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i_rr" vbProcedure="false">In!$E$80</definedName>
    <definedName function="false" hidden="false" name="ant_sh" vbProcedure="false">In!$E$112</definedName>
    <definedName function="false" hidden="false" name="ant_sh_hi" vbProcedure="false">In!$F$112</definedName>
    <definedName function="false" hidden="false" name="ant_sh_lo" vbProcedure="false">In!$D$112</definedName>
    <definedName function="false" hidden="false" name="ant_val" vbProcedure="false">In!$E$111</definedName>
    <definedName function="false" hidden="false" name="beta" vbProcedure="false">In!$E$12</definedName>
    <definedName function="false" hidden="false" name="beta_hi" vbProcedure="false">In!$F$12</definedName>
    <definedName function="false" hidden="false" name="beta_lo" vbProcedure="false">In!$D$12</definedName>
    <definedName function="false" hidden="false" name="capex_g26" vbProcedure="false">In!$E$78</definedName>
    <definedName function="false" hidden="false" name="cash_q2" vbProcedure="false">In!$E$103</definedName>
    <definedName function="false" hidden="false" name="cf_chip" vbProcedure="false">In!$E$73</definedName>
    <definedName function="false" hidden="false" name="cf_chip_lo" vbProcedure="false">In!$D$73</definedName>
    <definedName function="false" hidden="false" name="cf_cx" vbProcedure="false">In!$E$74</definedName>
    <definedName function="false" hidden="false" name="cf_cx_lo" vbProcedure="false">In!$D$74</definedName>
    <definedName function="false" hidden="false" name="colo_sh" vbProcedure="false">In!$E$75</definedName>
    <definedName function="false" hidden="false" name="colo_sh_hi" vbProcedure="false">In!$F$75</definedName>
    <definedName function="false" hidden="false" name="colo_sh_lo" vbProcedure="false">In!$D$75</definedName>
    <definedName function="false" hidden="false" name="cons_tp" vbProcedure="false">In!$E$9</definedName>
    <definedName function="false" hidden="false" name="cons_tp_hi" vbProcedure="false">In!$F$9</definedName>
    <definedName function="false" hidden="false" name="cons_tp_lo" vbProcedure="false">In!$D$9</definedName>
    <definedName function="false" hidden="false" name="cust_sh" vbProcedure="false">In!$E$69</definedName>
    <definedName function="false" hidden="false" name="cust_sh_hi" vbProcedure="false">In!$F$69</definedName>
    <definedName function="false" hidden="false" name="cust_sh_lo" vbProcedure="false">In!$D$69</definedName>
    <definedName function="false" hidden="false" name="cx_awso" vbProcedure="false">In!$E$83</definedName>
    <definedName function="false" hidden="false" name="cx_awso_hi" vbProcedure="false">In!$F$83</definedName>
    <definedName function="false" hidden="false" name="cx_awso_lo" vbProcedure="false">In!$D$83</definedName>
    <definedName function="false" hidden="false" name="cx_rt" vbProcedure="false">In!$E$94</definedName>
    <definedName function="false" hidden="false" name="c_capex26" vbProcedure="false">In!$E$124</definedName>
    <definedName function="false" hidden="false" name="c_capex27" vbProcedure="false">In!$E$131</definedName>
    <definedName function="false" hidden="false" name="c_capex28" vbProcedure="false">In!$E$138</definedName>
    <definedName function="false" hidden="false" name="c_ebit26" vbProcedure="false">In!$E$121</definedName>
    <definedName function="false" hidden="false" name="c_ebit27" vbProcedure="false">In!$E$128</definedName>
    <definedName function="false" hidden="false" name="c_ebit28" vbProcedure="false">In!$E$135</definedName>
    <definedName function="false" hidden="false" name="c_ebitda26" vbProcedure="false">In!$E$120</definedName>
    <definedName function="false" hidden="false" name="c_ebitda27" vbProcedure="false">In!$E$127</definedName>
    <definedName function="false" hidden="false" name="c_ebitda28" vbProcedure="false">In!$E$134</definedName>
    <definedName function="false" hidden="false" name="c_eps26" vbProcedure="false">In!$E$123</definedName>
    <definedName function="false" hidden="false" name="c_eps27" vbProcedure="false">In!$E$130</definedName>
    <definedName function="false" hidden="false" name="c_eps28" vbProcedure="false">In!$E$137</definedName>
    <definedName function="false" hidden="false" name="c_fcf26" vbProcedure="false">In!$E$125</definedName>
    <definedName function="false" hidden="false" name="c_fcf27" vbProcedure="false">In!$E$132</definedName>
    <definedName function="false" hidden="false" name="c_fcf28" vbProcedure="false">In!$E$139</definedName>
    <definedName function="false" hidden="false" name="c_ni26" vbProcedure="false">In!$E$122</definedName>
    <definedName function="false" hidden="false" name="c_ni27" vbProcedure="false">In!$E$129</definedName>
    <definedName function="false" hidden="false" name="c_ni28" vbProcedure="false">In!$E$136</definedName>
    <definedName function="false" hidden="false" name="c_rev26" vbProcedure="false">In!$E$119</definedName>
    <definedName function="false" hidden="false" name="c_rev27" vbProcedure="false">In!$E$126</definedName>
    <definedName function="false" hidden="false" name="c_rev28" vbProcedure="false">In!$E$133</definedName>
    <definedName function="false" hidden="false" name="c_speps26" vbProcedure="false">In!$E$142</definedName>
    <definedName function="false" hidden="false" name="c_speps26_hi" vbProcedure="false">In!$F$142</definedName>
    <definedName function="false" hidden="false" name="c_speps26_lo" vbProcedure="false">In!$D$142</definedName>
    <definedName function="false" hidden="false" name="c_speps27" vbProcedure="false">In!$E$143</definedName>
    <definedName function="false" hidden="false" name="c_sprev26" vbProcedure="false">In!$E$140</definedName>
    <definedName function="false" hidden="false" name="c_sprev26_hi" vbProcedure="false">In!$F$140</definedName>
    <definedName function="false" hidden="false" name="c_sprev26_lo" vbProcedure="false">In!$D$140</definedName>
    <definedName function="false" hidden="false" name="c_sprev27" vbProcedure="false">In!$E$141</definedName>
    <definedName function="false" hidden="false" name="debt_q2" vbProcedure="false">In!$E$16</definedName>
    <definedName function="false" hidden="false" name="dps" vbProcedure="false">In!$E$109</definedName>
    <definedName function="false" hidden="false" name="erp" vbProcedure="false">In!$E$13</definedName>
    <definedName function="false" hidden="false" name="erp_hi" vbProcedure="false">In!$F$13</definedName>
    <definedName function="false" hidden="false" name="erp_lo" vbProcedure="false">In!$D$13</definedName>
    <definedName function="false" hidden="false" name="ext_sh" vbProcedure="false">In!$E$34</definedName>
    <definedName function="false" hidden="false" name="ext_sh_hi" vbProcedure="false">In!$F$34</definedName>
    <definedName function="false" hidden="false" name="ext_sh_lo" vbProcedure="false">In!$D$34</definedName>
    <definedName function="false" hidden="false" name="fac_life" vbProcedure="false">In!$E$55</definedName>
    <definedName function="false" hidden="false" name="fac_life_hi" vbProcedure="false">In!$F$55</definedName>
    <definedName function="false" hidden="false" name="fac_life_lo" vbProcedure="false">In!$D$55</definedName>
    <definedName function="false" hidden="false" name="g26q3_hi" vbProcedure="false">In!$E$145</definedName>
    <definedName function="false" hidden="false" name="g26q3_lo" vbProcedure="false">In!$E$144</definedName>
    <definedName function="false" hidden="false" name="g26q3_oihi" vbProcedure="false">In!$E$147</definedName>
    <definedName function="false" hidden="false" name="g26q3_oilo" vbProcedure="false">In!$E$146</definedName>
    <definedName function="false" hidden="false" name="g_ad" vbProcedure="false">In!$E$88</definedName>
    <definedName function="false" hidden="false" name="g_ad_hi" vbProcedure="false">In!$F$88</definedName>
    <definedName function="false" hidden="false" name="g_ad_lo" vbProcedure="false">In!$D$88</definedName>
    <definedName function="false" hidden="false" name="g_awso_lt" vbProcedure="false">In!$E$82</definedName>
    <definedName function="false" hidden="false" name="g_awso_lt_hi" vbProcedure="false">In!$F$82</definedName>
    <definedName function="false" hidden="false" name="g_awso_lt_lo" vbProcedure="false">In!$D$82</definedName>
    <definedName function="false" hidden="false" name="g_os" vbProcedure="false">In!$E$85</definedName>
    <definedName function="false" hidden="false" name="g_os_hi" vbProcedure="false">In!$F$85</definedName>
    <definedName function="false" hidden="false" name="g_os_lo" vbProcedure="false">In!$D$85</definedName>
    <definedName function="false" hidden="false" name="g_ot" vbProcedure="false">In!$E$90</definedName>
    <definedName function="false" hidden="false" name="g_ot_hi" vbProcedure="false">In!$F$90</definedName>
    <definedName function="false" hidden="false" name="g_ot_lo" vbProcedure="false">In!$D$90</definedName>
    <definedName function="false" hidden="false" name="g_ps" vbProcedure="false">In!$E$86</definedName>
    <definedName function="false" hidden="false" name="g_ps_hi" vbProcedure="false">In!$F$86</definedName>
    <definedName function="false" hidden="false" name="g_ps_lo" vbProcedure="false">In!$D$86</definedName>
    <definedName function="false" hidden="false" name="g_sp" vbProcedure="false">In!$E$87</definedName>
    <definedName function="false" hidden="false" name="g_sp_hi" vbProcedure="false">In!$F$87</definedName>
    <definedName function="false" hidden="false" name="g_sp_lo" vbProcedure="false">In!$D$87</definedName>
    <definedName function="false" hidden="false" name="g_sub" vbProcedure="false">In!$E$89</definedName>
    <definedName function="false" hidden="false" name="g_sub_hi" vbProcedure="false">In!$F$89</definedName>
    <definedName function="false" hidden="false" name="g_sub_lo" vbProcedure="false">In!$D$89</definedName>
    <definedName function="false" hidden="false" name="he_open" vbProcedure="false">In!$E$66</definedName>
    <definedName function="false" hidden="false" name="inv_2h26" vbProcedure="false">In!$E$106</definedName>
    <definedName function="false" hidden="false" name="iss_2h26" vbProcedure="false">In!$E$105</definedName>
    <definedName function="false" hidden="false" name="kd_book" vbProcedure="false">In!$E$101</definedName>
    <definedName function="false" hidden="false" name="kd_new" vbProcedure="false">In!$E$14</definedName>
    <definedName function="false" hidden="false" name="ke" vbProcedure="false">In!$E$17</definedName>
    <definedName function="false" hidden="false" name="k_A" vbProcedure="false">In!$E$59</definedName>
    <definedName function="false" hidden="false" name="k_B" vbProcedure="false">In!$E$60</definedName>
    <definedName function="false" hidden="false" name="k_C" vbProcedure="false">In!$E$61</definedName>
    <definedName function="false" hidden="false" name="k_long" vbProcedure="false">In!$E$57</definedName>
    <definedName function="false" hidden="false" name="k_long_lo" vbProcedure="false">In!$D$57</definedName>
    <definedName function="false" hidden="false" name="k_spot" vbProcedure="false">In!$E$58</definedName>
    <definedName function="false" hidden="false" name="k_spot_hi" vbProcedure="false">In!$F$58</definedName>
    <definedName function="false" hidden="false" name="lease_pr" vbProcedure="false">In!$E$99</definedName>
    <definedName function="false" hidden="false" name="lease_pr_hi" vbProcedure="false">In!$F$99</definedName>
    <definedName function="false" hidden="false" name="lease_pr_lo" vbProcedure="false">In!$D$99</definedName>
    <definedName function="false" hidden="false" name="liq_disc" vbProcedure="false">In!$E$115</definedName>
    <definedName function="false" hidden="false" name="liq_disc_hi" vbProcedure="false">In!$F$115</definedName>
    <definedName function="false" hidden="false" name="liq_disc_lo" vbProcedure="false">In!$D$115</definedName>
    <definedName function="false" hidden="false" name="long_sh" vbProcedure="false">In!$E$35</definedName>
    <definedName function="false" hidden="false" name="long_sh_hi" vbProcedure="false">In!$F$35</definedName>
    <definedName function="false" hidden="false" name="long_sh_lo" vbProcedure="false">In!$D$35</definedName>
    <definedName function="false" hidden="false" name="min_cash" vbProcedure="false">In!$E$104</definedName>
    <definedName function="false" hidden="false" name="min_cash_hi" vbProcedure="false">In!$F$104</definedName>
    <definedName function="false" hidden="false" name="min_cash_lo" vbProcedure="false">In!$D$104</definedName>
    <definedName function="false" hidden="false" name="mo_gb200" vbProcedure="false">In!$E$64</definedName>
    <definedName function="false" hidden="false" name="mo_gb300" vbProcedure="false">In!$E$65</definedName>
    <definedName function="false" hidden="false" name="mo_h100" vbProcedure="false">In!$E$63</definedName>
    <definedName function="false" hidden="false" name="mo_trn2" vbProcedure="false">In!$E$62</definedName>
    <definedName function="false" hidden="false" name="mw_open" vbProcedure="false">In!$E$30</definedName>
    <definedName function="false" hidden="false" name="mw_open_hi" vbProcedure="false">In!$F$30</definedName>
    <definedName function="false" hidden="false" name="mw_open_lo" vbProcedure="false">In!$D$30</definedName>
    <definedName function="false" hidden="false" name="mw_ye23" vbProcedure="false">In!$E$27</definedName>
    <definedName function="false" hidden="false" name="mw_ye24" vbProcedure="false">In!$E$28</definedName>
    <definedName function="false" hidden="false" name="mw_ye25" vbProcedure="false">In!$E$29</definedName>
    <definedName function="false" hidden="false" name="mw_ye25_hi" vbProcedure="false">In!$F$29</definedName>
    <definedName function="false" hidden="false" name="mw_ye25_lo" vbProcedure="false">In!$D$29</definedName>
    <definedName function="false" hidden="false" name="m_ad" vbProcedure="false">In!$E$91</definedName>
    <definedName function="false" hidden="false" name="m_ads" vbProcedure="false">Val!$C$54</definedName>
    <definedName function="false" hidden="false" name="m_ad_hi" vbProcedure="false">In!$F$91</definedName>
    <definedName function="false" hidden="false" name="m_ad_lo" vbProcedure="false">In!$D$91</definedName>
    <definedName function="false" hidden="false" name="m_ai" vbProcedure="false">In!$E$116</definedName>
    <definedName function="false" hidden="false" name="m_ai_hi" vbProcedure="false">In!$F$116</definedName>
    <definedName function="false" hidden="false" name="m_ai_lo" vbProcedure="false">In!$D$116</definedName>
    <definedName function="false" hidden="false" name="m_cloud" vbProcedure="false">Val!$C$55</definedName>
    <definedName function="false" hidden="false" name="m_retail" vbProcedure="false">Val!$C$53</definedName>
    <definedName function="false" hidden="false" name="m_x" vbProcedure="false">In!$E$117</definedName>
    <definedName function="false" hidden="false" name="m_x_hi" vbProcedure="false">In!$F$117</definedName>
    <definedName function="false" hidden="false" name="m_x_lo" vbProcedure="false">In!$D$117</definedName>
    <definedName function="false" hidden="false" name="na_vr26" vbProcedure="false">In!$E$70</definedName>
    <definedName function="false" hidden="false" name="na_vr27" vbProcedure="false">In!$E$71</definedName>
    <definedName function="false" hidden="false" name="na_vr28" vbProcedure="false">In!$E$72</definedName>
    <definedName function="false" hidden="false" name="oai_sh" vbProcedure="false">In!$E$114</definedName>
    <definedName function="false" hidden="false" name="oai_val" vbProcedure="false">In!$E$113</definedName>
    <definedName function="false" hidden="false" name="oth_r" vbProcedure="false">In!$E$97</definedName>
    <definedName function="false" hidden="false" name="oth_r_hi" vbProcedure="false">In!$F$97</definedName>
    <definedName function="false" hidden="false" name="oth_r_lo" vbProcedure="false">In!$D$97</definedName>
    <definedName function="false" hidden="false" name="ox_open" vbProcedure="false">In!$E$67</definedName>
    <definedName function="false" hidden="false" name="pace_A" vbProcedure="false">In!$E$31</definedName>
    <definedName function="false" hidden="false" name="pace_B" vbProcedure="false">In!$E$32</definedName>
    <definedName function="false" hidden="false" name="pace_C" vbProcedure="false">In!$E$33</definedName>
    <definedName function="false" hidden="false" name="pd_amt" vbProcedure="false">In!$E$108</definedName>
    <definedName function="false" hidden="false" name="pd_sh" vbProcedure="false">In!$E$107</definedName>
    <definedName function="false" hidden="false" name="pd_sh_hi" vbProcedure="false">In!$F$107</definedName>
    <definedName function="false" hidden="false" name="pd_sh_lo" vbProcedure="false">In!$D$107</definedName>
    <definedName function="false" hidden="false" name="px" vbProcedure="false">In!$E$5</definedName>
    <definedName function="false" hidden="false" name="p_list" vbProcedure="false">In!$E$37</definedName>
    <definedName function="false" hidden="false" name="p_long" vbProcedure="false">In!$E$38</definedName>
    <definedName function="false" hidden="false" name="p_long_lo" vbProcedure="false">In!$E$39</definedName>
    <definedName function="false" hidden="false" name="p_spot" vbProcedure="false">In!$E$36</definedName>
    <definedName function="false" hidden="false" name="rd2" vbProcedure="false">In!$E$79</definedName>
    <definedName function="false" hidden="false" name="rd2_hi" vbProcedure="false">In!$F$79</definedName>
    <definedName function="false" hidden="false" name="rent_mw" vbProcedure="false">In!$E$77</definedName>
    <definedName function="false" hidden="false" name="rent_rec" vbProcedure="false">In!$E$76</definedName>
    <definedName function="false" hidden="false" name="rf" vbProcedure="false">In!$E$11</definedName>
    <definedName function="false" hidden="false" name="ronic" vbProcedure="false">In!$E$20</definedName>
    <definedName function="false" hidden="false" name="ronic_hi" vbProcedure="false">In!$F$20</definedName>
    <definedName function="false" hidden="false" name="rpm_open" vbProcedure="false">In!$E$68</definedName>
    <definedName function="false" hidden="false" name="sbc_r" vbProcedure="false">In!$E$96</definedName>
    <definedName function="false" hidden="false" name="sh_awd" vbProcedure="false">In!$E$7</definedName>
    <definedName function="false" hidden="false" name="sh_g" vbProcedure="false">In!$E$100</definedName>
    <definedName function="false" hidden="false" name="sh_g_hi" vbProcedure="false">In!$F$100</definedName>
    <definedName function="false" hidden="false" name="sh_g_lo" vbProcedure="false">In!$D$100</definedName>
    <definedName function="false" hidden="false" name="sh_out" vbProcedure="false">In!$E$6</definedName>
    <definedName function="false" hidden="false" name="sh_val" vbProcedure="false">In!$E$8</definedName>
    <definedName function="false" hidden="false" name="step_in" vbProcedure="false">In!$E$93</definedName>
    <definedName function="false" hidden="false" name="step_in_hi" vbProcedure="false">In!$F$93</definedName>
    <definedName function="false" hidden="false" name="step_in_lo" vbProcedure="false">In!$D$93</definedName>
    <definedName function="false" hidden="false" name="step_na" vbProcedure="false">In!$E$92</definedName>
    <definedName function="false" hidden="false" name="step_na_hi" vbProcedure="false">In!$F$92</definedName>
    <definedName function="false" hidden="false" name="step_na_lo" vbProcedure="false">In!$D$92</definedName>
    <definedName function="false" hidden="false" name="tax" vbProcedure="false">In!$E$15</definedName>
    <definedName function="false" hidden="false" name="tax_hi" vbProcedure="false">In!$F$15</definedName>
    <definedName function="false" hidden="false" name="tax_lo" vbProcedure="false">In!$D$15</definedName>
    <definedName function="false" hidden="false" name="tg" vbProcedure="false">In!$E$19</definedName>
    <definedName function="false" hidden="false" name="tg_hi" vbProcedure="false">In!$F$19</definedName>
    <definedName function="false" hidden="false" name="tg_lo" vbProcedure="false">In!$D$19</definedName>
    <definedName function="false" hidden="false" name="tk_cx_gb200" vbProcedure="false">In!$E$45</definedName>
    <definedName function="false" hidden="false" name="tk_cx_gb300" vbProcedure="false">In!$E$46</definedName>
    <definedName function="false" hidden="false" name="tk_cx_h100" vbProcedure="false">In!$E$44</definedName>
    <definedName function="false" hidden="false" name="tk_cx_vr200" vbProcedure="false">In!$E$47</definedName>
    <definedName function="false" hidden="false" name="tk_fac" vbProcedure="false">In!$E$53</definedName>
    <definedName function="false" hidden="false" name="tk_gpuhr" vbProcedure="false">In!$E$52</definedName>
    <definedName function="false" hidden="false" name="tk_he_gb200" vbProcedure="false">In!$E$41</definedName>
    <definedName function="false" hidden="false" name="tk_he_gb300" vbProcedure="false">In!$E$42</definedName>
    <definedName function="false" hidden="false" name="tk_he_h100" vbProcedure="false">In!$E$40</definedName>
    <definedName function="false" hidden="false" name="tk_he_vr200" vbProcedure="false">In!$E$43</definedName>
    <definedName function="false" hidden="false" name="tk_life" vbProcedure="false">In!$E$54</definedName>
    <definedName function="false" hidden="false" name="tk_life_hi" vbProcedure="false">In!$F$54</definedName>
    <definedName function="false" hidden="false" name="tk_life_lo" vbProcedure="false">In!$D$54</definedName>
    <definedName function="false" hidden="false" name="tk_ox_gb200" vbProcedure="false">In!$E$49</definedName>
    <definedName function="false" hidden="false" name="tk_ox_gb300" vbProcedure="false">In!$E$50</definedName>
    <definedName function="false" hidden="false" name="tk_ox_h100" vbProcedure="false">In!$E$48</definedName>
    <definedName function="false" hidden="false" name="tk_ox_vr200" vbProcedure="false">In!$E$51</definedName>
    <definedName function="false" hidden="false" name="tk_pq" vbProcedure="false">In!$E$56</definedName>
    <definedName function="false" hidden="false" name="tk_pq_hi" vbProcedure="false">In!$F$56</definedName>
    <definedName function="false" hidden="false" name="tk_pq_lo" vbProcedure="false">In!$D$56</definedName>
    <definedName function="false" hidden="false" name="tp_yf" vbProcedure="false">In!$E$25</definedName>
    <definedName function="false" hidden="false" name="v022_px" vbProcedure="false">In!$E$150</definedName>
    <definedName function="false" hidden="false" name="v022_tp" vbProcedure="false">In!$E$149</definedName>
    <definedName function="false" hidden="false" name="wacc" vbProcedure="false">In!$E$18</definedName>
    <definedName function="false" hidden="false" name="wc_2h26" vbProcedure="false">In!$E$98</definedName>
    <definedName function="false" hidden="false" name="w_A" vbProcedure="false">In!$E$22</definedName>
    <definedName function="false" hidden="false" name="w_B" vbProcedure="false">In!$E$23</definedName>
    <definedName function="false" hidden="false" name="w_C" vbProcedure="false">In!$E$24</definedName>
    <definedName function="false" hidden="false" name="w_dcf" vbProcedure="false">In!$E$21</definedName>
    <definedName function="false" hidden="false" name="y_cash" vbProcedure="false">In!$E$102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<sst xmlns="http://schemas.openxmlformats.org/spreadsheetml/2006/main" count="19584" uniqueCount="1297">
  <si>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AMZN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Noto Sans CJK SC"/>
        <family val="2"/>
      </rPr>
      <t xml:space="preserve">（命題模組＋官方營收分部 → 損益表）　</t>
    </r>
    <r>
      <rPr>
        <b val="true"/>
        <sz val="11"/>
        <rFont val="Cambria"/>
        <family val="0"/>
        <charset val="1"/>
      </rPr>
      <t xml:space="preserve">2026-10-27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</si>
  <si>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（架構重建；取代 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CoreWeave </t>
    </r>
    <r>
      <rPr>
        <sz val="11"/>
        <rFont val="Noto Sans CJK SC"/>
        <family val="2"/>
      </rPr>
      <t xml:space="preserve">式收支引擎，舊引擎移至 </t>
    </r>
    <r>
      <rPr>
        <sz val="11"/>
        <rFont val="Cambria"/>
        <family val="0"/>
        <charset val="1"/>
      </rPr>
      <t xml:space="preserve">legacy_v0.2/</t>
    </r>
    <r>
      <rPr>
        <sz val="11"/>
        <rFont val="Noto Sans CJK SC"/>
        <family val="2"/>
      </rPr>
      <t xml:space="preserve">）。資料截至 </t>
    </r>
    <r>
      <rPr>
        <sz val="11"/>
        <rFont val="Cambria"/>
        <family val="0"/>
        <charset val="1"/>
      </rPr>
      <t xml:space="preserve">2026Q2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10-Q 2026-07-31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＝上半年實績＋下半年模型；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公布後以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滾入。</t>
    </r>
  </si>
  <si>
    <r>
      <rPr>
        <b val="true"/>
        <sz val="11"/>
        <rFont val="Noto Sans CJK SC"/>
        <family val="2"/>
      </rPr>
      <t xml:space="preserve">命題：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容量（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）能否以高於資金成本的報酬變現，零售與廣告的現金流能否支應資本支出。</t>
    </r>
  </si>
  <si>
    <r>
      <rPr>
        <b val="true"/>
        <sz val="11"/>
        <rFont val="Noto Sans CJK SC"/>
        <family val="2"/>
      </rPr>
      <t xml:space="preserve">核心問題：</t>
    </r>
    <r>
      <rPr>
        <b val="true"/>
        <sz val="11"/>
        <rFont val="Cambria"/>
        <family val="0"/>
        <charset val="1"/>
      </rPr>
      <t xml:space="preserve">FY2028 AWS </t>
    </r>
    <r>
      <rPr>
        <b val="true"/>
        <sz val="11"/>
        <rFont val="Noto Sans CJK SC"/>
        <family val="2"/>
      </rPr>
      <t xml:space="preserve">營業利益率與自由現金流（扣股利後）是否轉正並維持。</t>
    </r>
  </si>
  <si>
    <t xml:space="preserve">驅動 → 推導對照表（每頁輸入、推導量、因果方向）</t>
  </si>
  <si>
    <r>
      <rPr>
        <sz val="11"/>
        <rFont val="Cambria"/>
        <family val="0"/>
        <charset val="1"/>
      </rPr>
      <t xml:space="preserve">In → Thesis</t>
    </r>
    <r>
      <rPr>
        <sz val="11"/>
        <rFont val="Noto Sans CJK SC"/>
        <family val="2"/>
      </rPr>
      <t xml:space="preserve">：對外 </t>
    </r>
    <r>
      <rPr>
        <sz val="11"/>
        <rFont val="Cambria"/>
        <family val="0"/>
        <charset val="1"/>
      </rPr>
      <t xml:space="preserve">AI MW</t>
    </r>
    <r>
      <rPr>
        <sz val="11"/>
        <rFont val="Noto Sans CJK SC"/>
        <family val="2"/>
      </rPr>
      <t xml:space="preserve">（期初 </t>
    </r>
    <r>
      <rPr>
        <sz val="11"/>
        <rFont val="Cambria"/>
        <family val="0"/>
        <charset val="1"/>
      </rPr>
      <t xml:space="preserve">2,080 MW</t>
    </r>
    <r>
      <rPr>
        <sz val="11"/>
        <rFont val="Noto Sans CJK SC"/>
        <family val="2"/>
      </rPr>
      <t xml:space="preserve">、每年新增 </t>
    </r>
    <r>
      <rPr>
        <sz val="11"/>
        <rFont val="Cambria"/>
        <family val="0"/>
        <charset val="1"/>
      </rPr>
      <t xml:space="preserve">pace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Tokenomics IF_HoldEcon × k → AWS AI </t>
    </r>
    <r>
      <rPr>
        <sz val="11"/>
        <rFont val="Noto Sans CJK SC"/>
        <family val="2"/>
      </rPr>
      <t xml:space="preserve">營收；新增 </t>
    </r>
    <r>
      <rPr>
        <sz val="11"/>
        <rFont val="Cambria"/>
        <family val="0"/>
        <charset val="1"/>
      </rPr>
      <t xml:space="preserve">MW ÷ </t>
    </r>
    <r>
      <rPr>
        <sz val="11"/>
        <rFont val="Noto Sans CJK SC"/>
        <family val="2"/>
      </rPr>
      <t xml:space="preserve">對外比例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IT</t>
    </r>
    <r>
      <rPr>
        <sz val="11"/>
        <rFont val="Noto Sans CJK SC"/>
        <family val="2"/>
      </rPr>
      <t xml:space="preserve">＋自建機房成本）→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 → </t>
    </r>
    <r>
      <rPr>
        <sz val="11"/>
        <rFont val="Cambria"/>
        <family val="0"/>
        <charset val="1"/>
      </rPr>
      <t xml:space="preserve">IT 6 </t>
    </r>
    <r>
      <rPr>
        <sz val="11"/>
        <rFont val="Noto Sans CJK SC"/>
        <family val="2"/>
      </rPr>
      <t xml:space="preserve">年／機房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年折舊 → </t>
    </r>
    <r>
      <rPr>
        <sz val="11"/>
        <rFont val="Cambria"/>
        <family val="0"/>
        <charset val="1"/>
      </rPr>
      <t xml:space="preserve">AWS AI </t>
    </r>
    <r>
      <rPr>
        <sz val="11"/>
        <rFont val="Noto Sans CJK SC"/>
        <family val="2"/>
      </rPr>
      <t xml:space="preserve">營業利益（對外）與自用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成本（零售）。</t>
    </r>
  </si>
  <si>
    <r>
      <rPr>
        <sz val="11"/>
        <rFont val="Cambria"/>
        <family val="0"/>
        <charset val="1"/>
      </rPr>
      <t xml:space="preserve">In → Seg</t>
    </r>
    <r>
      <rPr>
        <sz val="11"/>
        <rFont val="Noto Sans CJK SC"/>
        <family val="2"/>
      </rPr>
      <t xml:space="preserve">：零售六條營收線（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2H25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年增），之後收斂到長期年增）→ 零售合計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北美比例 → </t>
    </r>
    <r>
      <rPr>
        <sz val="11"/>
        <rFont val="Cambria"/>
        <family val="0"/>
        <charset val="1"/>
      </rPr>
      <t xml:space="preserve">North America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International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AWS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其他（殘差起算、收斂到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</si>
  <si>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Thesis → PL</t>
    </r>
    <r>
      <rPr>
        <sz val="11"/>
        <rFont val="Noto Sans CJK SC"/>
        <family val="2"/>
      </rPr>
      <t xml:space="preserve">：北美／國際營業利益＝廣告營收 </t>
    </r>
    <r>
      <rPr>
        <sz val="11"/>
        <rFont val="Cambria"/>
        <family val="0"/>
        <charset val="1"/>
      </rPr>
      <t xml:space="preserve">× 50%</t>
    </r>
    <r>
      <rPr>
        <sz val="11"/>
        <rFont val="Noto Sans CJK SC"/>
        <family val="2"/>
      </rPr>
      <t xml:space="preserve">＋零售本業營收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本業利益率（實績殘差＋每年改善）− 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成本；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營業利益＝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近四季利益率 → 合併營業利益 → 利息（</t>
    </r>
    <r>
      <rPr>
        <sz val="11"/>
        <rFont val="Cambria"/>
        <family val="0"/>
        <charset val="1"/>
      </rPr>
      <t xml:space="preserve">CF</t>
    </r>
    <r>
      <rPr>
        <sz val="11"/>
        <rFont val="Noto Sans CJK SC"/>
        <family val="2"/>
      </rPr>
      <t xml:space="preserve">）、稅 </t>
    </r>
    <r>
      <rPr>
        <sz val="11"/>
        <rFont val="Cambria"/>
        <family val="0"/>
        <charset val="1"/>
      </rPr>
      <t xml:space="preserve">17.4% → </t>
    </r>
    <r>
      <rPr>
        <sz val="11"/>
        <rFont val="Noto Sans CJK SC"/>
        <family val="2"/>
      </rPr>
      <t xml:space="preserve">淨利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</si>
  <si>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PL → CF</t>
    </r>
    <r>
      <rPr>
        <sz val="11"/>
        <rFont val="Noto Sans CJK SC"/>
        <family val="2"/>
      </rPr>
      <t xml:space="preserve">：淨利＋分部折舊＋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＋其他 − 資本支出（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＋零售 </t>
    </r>
    <r>
      <rPr>
        <sz val="11"/>
        <rFont val="Cambria"/>
        <family val="0"/>
        <charset val="1"/>
      </rPr>
      <t xml:space="preserve">5.9%</t>
    </r>
    <r>
      <rPr>
        <sz val="11"/>
        <rFont val="Noto Sans CJK SC"/>
        <family val="2"/>
      </rPr>
      <t xml:space="preserve">）− 融資租賃本金 → 自由現金流；股利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、回購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；現金低於 </t>
    </r>
    <r>
      <rPr>
        <sz val="11"/>
        <rFont val="Cambria"/>
        <family val="0"/>
        <charset val="1"/>
      </rPr>
      <t xml:space="preserve">50 </t>
    </r>
    <r>
      <rPr>
        <sz val="11"/>
        <rFont val="Noto Sans CJK SC"/>
        <family val="2"/>
      </rPr>
      <t xml:space="preserve">即舉債 → 利息費用回到 </t>
    </r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</si>
  <si>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CF → 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FCFF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WACC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RONIC </t>
    </r>
    <r>
      <rPr>
        <sz val="11"/>
        <rFont val="Noto Sans CJK SC"/>
        <family val="2"/>
      </rPr>
      <t xml:space="preserve">永續）＋分部加總（廣告、零售本業、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其他、</t>
    </r>
    <r>
      <rPr>
        <sz val="11"/>
        <rFont val="Cambria"/>
        <family val="0"/>
        <charset val="1"/>
      </rPr>
      <t xml:space="preserve">AWS AI × </t>
    </r>
    <r>
      <rPr>
        <sz val="11"/>
        <rFont val="Noto Sans CJK SC"/>
        <family val="2"/>
      </rPr>
      <t xml:space="preserve">同業倍數）＋持股（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）→ 情境目標價 → 情境加權 → 上檔空間 → 投資建議。</t>
    </r>
  </si>
  <si>
    <r>
      <rPr>
        <sz val="11"/>
        <rFont val="Noto Sans CJK SC"/>
        <family val="2"/>
      </rPr>
      <t xml:space="preserve">工作表：</t>
    </r>
    <r>
      <rPr>
        <sz val="11"/>
        <rFont val="Cambria"/>
        <family val="0"/>
        <charset val="1"/>
      </rPr>
      <t xml:space="preserve">README → In</t>
    </r>
    <r>
      <rPr>
        <sz val="11"/>
        <rFont val="Noto Sans CJK SC"/>
        <family val="2"/>
      </rPr>
      <t xml:space="preserve">（輸入）→ </t>
    </r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（實績與核對）→ </t>
    </r>
    <r>
      <rPr>
        <sz val="11"/>
        <rFont val="Cambria"/>
        <family val="0"/>
        <charset val="1"/>
      </rPr>
      <t xml:space="preserve">Thesis</t>
    </r>
    <r>
      <rPr>
        <sz val="11"/>
        <rFont val="Noto Sans CJK SC"/>
        <family val="2"/>
      </rPr>
      <t xml:space="preserve">（命題模組）→ </t>
    </r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（營收分部）→ </t>
    </r>
    <r>
      <rPr>
        <sz val="11"/>
        <rFont val="Cambria"/>
        <family val="0"/>
        <charset val="1"/>
      </rPr>
      <t xml:space="preserve">PL → CF → Val → Recon</t>
    </r>
    <r>
      <rPr>
        <sz val="11"/>
        <rFont val="Noto Sans CJK SC"/>
        <family val="2"/>
      </rPr>
      <t xml:space="preserve">（共識、指引、</t>
    </r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）→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（敏感度）→ </t>
    </r>
    <r>
      <rPr>
        <sz val="11"/>
        <rFont val="Cambria"/>
        <family val="0"/>
        <charset val="1"/>
      </rPr>
      <t xml:space="preserve">Sources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</si>
  <si>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。沿用 </t>
    </r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規格（</t>
    </r>
    <r>
      <rPr>
        <sz val="11"/>
        <rFont val="Cambria"/>
        <family val="0"/>
        <charset val="1"/>
      </rPr>
      <t xml:space="preserve">kspec.py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C10 </t>
    </r>
    <r>
      <rPr>
        <sz val="11"/>
        <rFont val="Noto Sans CJK SC"/>
        <family val="2"/>
      </rPr>
      <t xml:space="preserve">基準速度、對外比例、</t>
    </r>
    <r>
      <rPr>
        <sz val="11"/>
        <rFont val="Cambria"/>
        <family val="0"/>
        <charset val="1"/>
      </rPr>
      <t xml:space="preserve">Tokenomics v21.4 </t>
    </r>
    <r>
      <rPr>
        <sz val="11"/>
        <rFont val="Noto Sans CJK SC"/>
        <family val="2"/>
      </rPr>
      <t xml:space="preserve">快照、</t>
    </r>
    <r>
      <rPr>
        <sz val="11"/>
        <rFont val="Cambria"/>
        <family val="0"/>
        <charset val="1"/>
      </rPr>
      <t xml:space="preserve">WACC </t>
    </r>
    <r>
      <rPr>
        <sz val="11"/>
        <rFont val="Noto Sans CJK SC"/>
        <family val="2"/>
      </rPr>
      <t xml:space="preserve">輸入、持股與同業倍數。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</si>
  <si>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在役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、對外比例與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營收，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其他的歷史分拆為估計；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分部共識未找到；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同業倍數與 </t>
    </r>
    <r>
      <rPr>
        <sz val="11"/>
        <rFont val="Cambria"/>
        <family val="0"/>
        <charset val="1"/>
      </rPr>
      <t xml:space="preserve">WACC </t>
    </r>
    <r>
      <rPr>
        <sz val="11"/>
        <rFont val="Noto Sans CJK SC"/>
        <family val="2"/>
      </rPr>
      <t xml:space="preserve">輸入沿用 </t>
    </r>
    <r>
      <rPr>
        <sz val="11"/>
        <rFont val="Cambria"/>
        <family val="0"/>
        <charset val="1"/>
      </rPr>
      <t xml:space="preserve">2026-10-07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到期債務假設全數再融資；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讀法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為主值（</t>
    </r>
    <r>
      <rPr>
        <sz val="11"/>
        <rFont val="Cambria"/>
        <family val="0"/>
        <charset val="1"/>
      </rPr>
      <t xml:space="preserve">C16 </t>
    </r>
    <r>
      <rPr>
        <sz val="11"/>
        <rFont val="Noto Sans CJK SC"/>
        <family val="2"/>
      </rPr>
      <t xml:space="preserve">待決）。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</si>
  <si>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 </t>
    </r>
    <r>
      <rPr>
        <sz val="11"/>
        <color theme="1"/>
        <rFont val="Calibri"/>
        <family val="2"/>
        <charset val="1"/>
      </rPr>
      <t xml:space="preserve">US$bn</t>
    </r>
    <r>
      <rPr>
        <sz val="11"/>
        <color theme="1"/>
        <rFont val="Noto Sans CJK SC"/>
        <family val="2"/>
      </rPr>
      <t xml:space="preserve">、每股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。每列一個鍵（定義名稱＝鍵）；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</si>
  <si>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已核准的參數與證據（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 </t>
    </r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基準速度、對外比例、</t>
    </r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快照），出處見 </t>
    </r>
    <r>
      <rPr>
        <sz val="11"/>
        <color theme="1"/>
        <rFont val="Calibri"/>
        <family val="2"/>
        <charset val="1"/>
      </rPr>
      <t xml:space="preserve">legacy_v0.2/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docs/handoff</t>
    </r>
    <r>
      <rPr>
        <sz val="11"/>
        <color theme="1"/>
        <rFont val="Noto Sans CJK SC"/>
        <family val="2"/>
      </rPr>
      <t xml:space="preserve">。不以公司雲端營收、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run-rate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價格（共同規則第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節）；公司說法只作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驗證列。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</si>
  <si>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</si>
  <si>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</si>
  <si>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</si>
  <si>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</si>
  <si>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</si>
  <si>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</si>
  <si>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</si>
  <si>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</si>
  <si>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</si>
  <si>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價格、股數與共識目標價</t>
    </r>
  </si>
  <si>
    <t xml:space="preserve">px</t>
  </si>
  <si>
    <r>
      <rPr>
        <sz val="11"/>
        <color theme="1"/>
        <rFont val="Calibri"/>
        <family val="2"/>
        <charset val="1"/>
      </rPr>
      <t xml:space="preserve">AMZN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</si>
  <si>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</si>
  <si>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</si>
  <si>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S14</t>
    </r>
  </si>
  <si>
    <r>
      <rPr>
        <sz val="11"/>
        <color theme="1"/>
        <rFont val="Noto Sans CJK SC"/>
        <family val="2"/>
      </rPr>
      <t xml:space="preserve">前收 </t>
    </r>
    <r>
      <rPr>
        <sz val="11"/>
        <color theme="1"/>
        <rFont val="Calibri"/>
        <family val="2"/>
        <charset val="1"/>
      </rPr>
      <t xml:space="preserve">248.00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）；市值約 </t>
    </r>
    <r>
      <rPr>
        <sz val="11"/>
        <color theme="1"/>
        <rFont val="Calibri"/>
        <family val="2"/>
        <charset val="1"/>
      </rPr>
      <t xml:space="preserve">2.69T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盤中）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</si>
  <si>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</si>
  <si>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封面）</t>
    </r>
  </si>
  <si>
    <t xml:space="preserve">十億股</t>
  </si>
  <si>
    <t xml:space="preserve">S02</t>
  </si>
  <si>
    <r>
      <rPr>
        <sz val="11"/>
        <color theme="1"/>
        <rFont val="Calibri"/>
        <family val="2"/>
        <charset val="1"/>
      </rPr>
      <t xml:space="preserve">10,786,313,572 </t>
    </r>
    <r>
      <rPr>
        <sz val="11"/>
        <color theme="1"/>
        <rFont val="Noto Sans CJK SC"/>
        <family val="2"/>
      </rPr>
      <t xml:space="preserve">股</t>
    </r>
  </si>
  <si>
    <t xml:space="preserve">sh_awd</t>
  </si>
  <si>
    <r>
      <rPr>
        <sz val="11"/>
        <color theme="1"/>
        <rFont val="Noto Sans CJK SC"/>
        <family val="2"/>
      </rPr>
      <t xml:space="preserve">未歸屬股份獎勵（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</si>
  <si>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244 </t>
    </r>
    <r>
      <rPr>
        <sz val="11"/>
        <color theme="1"/>
        <rFont val="Noto Sans CJK SC"/>
        <family val="2"/>
      </rPr>
      <t xml:space="preserve">百萬股</t>
    </r>
  </si>
  <si>
    <t xml:space="preserve">sh_val</t>
  </si>
  <si>
    <t xml:space="preserve">評價用稀釋股數＝流通股數＋未歸屬獎勵</t>
  </si>
  <si>
    <t xml:space="preserve">Derived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</si>
  <si>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valuation.shares 11.030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</si>
  <si>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本列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</si>
  <si>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</si>
  <si>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位平均）</t>
    </r>
  </si>
  <si>
    <t xml:space="preserve">Interested-party</t>
  </si>
  <si>
    <t xml:space="preserve">S15</t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</si>
  <si>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Strong Buy 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Buy 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Hold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MarketBeat 2026-10-07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322.86</t>
    </r>
    <r>
      <rPr>
        <sz val="11"/>
        <color theme="1"/>
        <rFont val="Noto Sans CJK SC"/>
        <family val="2"/>
      </rPr>
      <t xml:space="preserve">（獨立彙整）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</si>
  <si>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輸入，現價更新）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</si>
  <si>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</si>
  <si>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年美債）</t>
    </r>
  </si>
  <si>
    <t xml:space="preserve">%</t>
  </si>
  <si>
    <t xml:space="preserve">S28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</si>
  <si>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）；本輪未更新</t>
    </r>
  </si>
  <si>
    <t xml:space="preserve">beta</t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</si>
  <si>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（獨立來源平均：</t>
    </r>
    <r>
      <rPr>
        <sz val="11"/>
        <color theme="1"/>
        <rFont val="Calibri"/>
        <family val="2"/>
        <charset val="1"/>
      </rPr>
      <t xml:space="preserve">StockAnalysis 5 </t>
    </r>
    <r>
      <rPr>
        <sz val="11"/>
        <color theme="1"/>
        <rFont val="Noto Sans CJK SC"/>
        <family val="2"/>
      </rPr>
      <t xml:space="preserve">年月 </t>
    </r>
    <r>
      <rPr>
        <sz val="11"/>
        <color theme="1"/>
        <rFont val="Calibri"/>
        <family val="2"/>
        <charset val="1"/>
      </rPr>
      <t xml:space="preserve">1.46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GuruFocus 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1.567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</si>
  <si>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</si>
  <si>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 </t>
    </r>
    <r>
      <rPr>
        <sz val="11"/>
        <color theme="1"/>
        <rFont val="Calibri"/>
        <family val="2"/>
        <charset val="1"/>
      </rPr>
      <t xml:space="preserve">r1 C13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</si>
  <si>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 Spread 0.78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MarketBeat 1.45 </t>
    </r>
    <r>
      <rPr>
        <sz val="11"/>
        <color theme="1"/>
        <rFont val="Noto Sans CJK SC"/>
        <family val="2"/>
      </rPr>
      <t xml:space="preserve">口徑未說明，不計入</t>
    </r>
  </si>
  <si>
    <t xml:space="preserve">erp</t>
  </si>
  <si>
    <t xml:space="preserve">股權風險溢酬</t>
  </si>
  <si>
    <t xml:space="preserve">Assumed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</si>
  <si>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（對照表預設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</si>
  <si>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t xml:space="preserve">kd_new</t>
  </si>
  <si>
    <r>
      <rPr>
        <sz val="11"/>
        <color theme="1"/>
        <rFont val="Noto Sans CJK SC"/>
        <family val="2"/>
      </rPr>
      <t xml:space="preserve">稅前債務成本（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新發 </t>
    </r>
    <r>
      <rPr>
        <sz val="11"/>
        <color theme="1"/>
        <rFont val="Calibri"/>
        <family val="2"/>
        <charset val="1"/>
      </rPr>
      <t xml:space="preserve">2066 </t>
    </r>
    <r>
      <rPr>
        <sz val="11"/>
        <color theme="1"/>
        <rFont val="Noto Sans CJK SC"/>
        <family val="2"/>
      </rPr>
      <t xml:space="preserve">票據有效利率）</t>
    </r>
  </si>
  <si>
    <r>
      <rPr>
        <sz val="11"/>
        <color theme="1"/>
        <rFont val="Noto Sans CJK SC"/>
        <family val="2"/>
      </rPr>
      <t xml:space="preserve">期後事項：固定票面 </t>
    </r>
    <r>
      <rPr>
        <sz val="11"/>
        <color theme="1"/>
        <rFont val="Calibri"/>
        <family val="2"/>
        <charset val="1"/>
      </rPr>
      <t xml:space="preserve">4.60%–6.25%</t>
    </r>
    <r>
      <rPr>
        <sz val="11"/>
        <color theme="1"/>
        <rFont val="Noto Sans CJK SC"/>
        <family val="2"/>
      </rPr>
      <t xml:space="preserve">、有效 </t>
    </r>
    <r>
      <rPr>
        <sz val="11"/>
        <color theme="1"/>
        <rFont val="Calibri"/>
        <family val="2"/>
        <charset val="1"/>
      </rPr>
      <t xml:space="preserve">4.67%–6.33%</t>
    </r>
  </si>
  <si>
    <t xml:space="preserve">tax</t>
  </si>
  <si>
    <r>
      <rPr>
        <sz val="11"/>
        <color theme="1"/>
        <rFont val="Noto Sans CJK SC"/>
        <family val="2"/>
      </rPr>
      <t xml:space="preserve">稅率（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有效稅率平均）</t>
    </r>
  </si>
  <si>
    <t xml:space="preserve">S01</t>
  </si>
  <si>
    <r>
      <rPr>
        <sz val="11"/>
        <color theme="1"/>
        <rFont val="Calibri"/>
        <family val="2"/>
        <charset val="1"/>
      </rPr>
      <t xml:space="preserve">18.96%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19.61%</t>
    </r>
    <r>
      <rPr>
        <sz val="11"/>
        <color theme="1"/>
        <rFont val="Noto Sans CJK SC"/>
        <family val="2"/>
      </rPr>
      <t xml:space="preserve">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17.36%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上半年不含一次性項目 </t>
    </r>
    <r>
      <rPr>
        <sz val="11"/>
        <color theme="1"/>
        <rFont val="Calibri"/>
        <family val="2"/>
        <charset val="1"/>
      </rPr>
      <t xml:space="preserve">23%</t>
    </r>
  </si>
  <si>
    <t xml:space="preserve">debt_q2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</si>
  <si>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</si>
  <si>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US$bn</t>
  </si>
  <si>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5</t>
    </r>
  </si>
  <si>
    <t xml:space="preserve">ke</t>
  </si>
  <si>
    <r>
      <rPr>
        <sz val="11"/>
        <color theme="1"/>
        <rFont val="Noto Sans CJK SC"/>
        <family val="2"/>
      </rPr>
      <t xml:space="preserve">股權成本＝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</si>
  <si>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t xml:space="preserve">CAPM</t>
  </si>
  <si>
    <t xml:space="preserve">wacc</t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</si>
  <si>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E/(D+E) × ke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D/(D+E) × kd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</si>
  <si>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12.5%</t>
    </r>
    <r>
      <rPr>
        <sz val="11"/>
        <color theme="1"/>
        <rFont val="Noto Sans CJK SC"/>
        <family val="2"/>
      </rPr>
      <t xml:space="preserve">）</t>
    </r>
  </si>
  <si>
    <t xml:space="preserve">tg</t>
  </si>
  <si>
    <r>
      <rPr>
        <sz val="11"/>
        <color theme="1"/>
        <rFont val="Noto Sans CJK SC"/>
        <family val="2"/>
      </rPr>
      <t xml:space="preserve">永續成長率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</si>
  <si>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）</t>
    </r>
  </si>
  <si>
    <t xml:space="preserve">ronic</t>
  </si>
  <si>
    <r>
      <rPr>
        <sz val="11"/>
        <color theme="1"/>
        <rFont val="Noto Sans CJK SC"/>
        <family val="2"/>
      </rPr>
      <t xml:space="preserve">永續期新投資報酬率（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；預設＝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：永續成長不創造價值）</t>
    </r>
  </si>
  <si>
    <r>
      <rPr>
        <sz val="11"/>
        <color theme="1"/>
        <rFont val="Noto Sans CJK SC"/>
        <family val="2"/>
      </rPr>
      <t xml:space="preserve">判斷（報告第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</si>
  <si>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高值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＝永續成長創造價值（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</si>
  <si>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</si>
  <si>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</si>
  <si>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</si>
  <si>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</si>
  <si>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w_A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</si>
  <si>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</si>
  <si>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</si>
  <si>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 </t>
    </r>
    <r>
      <rPr>
        <sz val="11"/>
        <color theme="1"/>
        <rFont val="Calibri"/>
        <family val="2"/>
        <charset val="1"/>
      </rPr>
      <t xml:space="preserve">100%</t>
    </r>
  </si>
  <si>
    <t xml:space="preserve">w_B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</si>
  <si>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（基準）</t>
    </r>
  </si>
  <si>
    <t xml:space="preserve">w_C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</si>
  <si>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（保守）</t>
    </r>
  </si>
  <si>
    <t xml:space="preserve">tp_yf</t>
  </si>
  <si>
    <r>
      <rPr>
        <sz val="11"/>
        <color theme="1"/>
        <rFont val="Noto Sans CJK SC"/>
        <family val="2"/>
      </rPr>
      <t xml:space="preserve">目標價時點（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）距評價基準日（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）年數</t>
    </r>
  </si>
  <si>
    <t xml:space="preserve">年</t>
  </si>
  <si>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</si>
  <si>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推到目標價時點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</si>
  <si>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AWS AI</t>
    </r>
    <r>
      <rPr>
        <b val="true"/>
        <sz val="11"/>
        <rFont val="Noto Sans CJK SC"/>
        <family val="2"/>
      </rPr>
      <t xml:space="preserve">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 </t>
    </r>
    <r>
      <rPr>
        <b val="true"/>
        <sz val="11"/>
        <rFont val="Cambria"/>
        <family val="0"/>
        <charset val="1"/>
      </rPr>
      <t xml:space="preserve">MW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年收入；沿用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）</t>
    </r>
  </si>
  <si>
    <t xml:space="preserve">mw_ye23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</si>
  <si>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年底）</t>
    </r>
  </si>
  <si>
    <t xml:space="preserve">MW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</si>
  <si>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defaults.mwYearEnd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</si>
  <si>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；只用於歷史分拆與折舊年份</t>
    </r>
  </si>
  <si>
    <t xml:space="preserve">mw_ye24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</si>
  <si>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年底）</t>
    </r>
  </si>
  <si>
    <t xml:space="preserve">同上</t>
  </si>
  <si>
    <t xml:space="preserve">mw_ye25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</si>
  <si>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</si>
  <si>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Calibri"/>
        <family val="2"/>
        <charset val="1"/>
      </rPr>
      <t xml:space="preserve">Trainium2 1.4M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× 0.871 kW ≈ 1,220 MW-IT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chip.trn2.mwFromLanded</t>
    </r>
    <r>
      <rPr>
        <sz val="11"/>
        <color theme="1"/>
        <rFont val="Noto Sans CJK SC"/>
        <family val="2"/>
      </rPr>
      <t xml:space="preserve">）</t>
    </r>
  </si>
  <si>
    <t xml:space="preserve">mw_open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</si>
  <si>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（期初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）＝在役 </t>
    </r>
    <r>
      <rPr>
        <sz val="11"/>
        <color theme="1"/>
        <rFont val="Calibri"/>
        <family val="2"/>
        <charset val="1"/>
      </rPr>
      <t xml:space="preserve">AI 2,600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</si>
  <si>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S19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S20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</si>
  <si>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三站 </t>
    </r>
    <r>
      <rPr>
        <sz val="11"/>
        <color theme="1"/>
        <rFont val="Calibri"/>
        <family val="2"/>
        <charset val="1"/>
      </rPr>
      <t xml:space="preserve">1,422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推估；第三方估計，區間見事實總帳 </t>
    </r>
    <r>
      <rPr>
        <sz val="11"/>
        <color theme="1"/>
        <rFont val="Calibri"/>
        <family val="2"/>
        <charset val="1"/>
      </rPr>
      <t xml:space="preserve">mw.ai.ext.2026q2</t>
    </r>
  </si>
  <si>
    <t xml:space="preserve">pace_A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</si>
  <si>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每年新增（公司「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年底容量為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年兩倍」，以 </t>
    </r>
    <r>
      <rPr>
        <sz val="11"/>
        <color theme="1"/>
        <rFont val="Calibri"/>
        <family val="2"/>
        <charset val="1"/>
      </rPr>
      <t xml:space="preserve">MS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8 GW </t>
    </r>
    <r>
      <rPr>
        <sz val="11"/>
        <color theme="1"/>
        <rFont val="Noto Sans CJK SC"/>
        <family val="2"/>
      </rPr>
      <t xml:space="preserve">對照）</t>
    </r>
  </si>
  <si>
    <r>
      <rPr>
        <sz val="11"/>
        <color theme="1"/>
        <rFont val="Calibri"/>
        <family val="2"/>
        <charset val="1"/>
      </rPr>
      <t xml:space="preserve">MW/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</si>
  <si>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scenarios.mwPath.pace.high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S30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</si>
  <si>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+7 GW × AI </t>
    </r>
    <r>
      <rPr>
        <sz val="11"/>
        <color theme="1"/>
        <rFont val="Noto Sans CJK SC"/>
        <family val="2"/>
      </rPr>
      <t xml:space="preserve">占新增 </t>
    </r>
    <r>
      <rPr>
        <sz val="11"/>
        <color theme="1"/>
        <rFont val="Calibri"/>
        <family val="2"/>
        <charset val="1"/>
      </rPr>
      <t xml:space="preserve">80% ÷ PUE 1.2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80%</t>
    </r>
  </si>
  <si>
    <t xml:space="preserve">pace_B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</si>
  <si>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隱含的建置量，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</si>
  <si>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scripts/calib_pace.js </t>
    </r>
    <r>
      <rPr>
        <sz val="11"/>
        <color theme="1"/>
        <rFont val="Noto Sans CJK SC"/>
        <family val="2"/>
      </rPr>
      <t xml:space="preserve">解出，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</t>
    </r>
  </si>
  <si>
    <t xml:space="preserve">這是把支出換成實體產能（物理換算），不是以營收反推單價</t>
  </si>
  <si>
    <t xml:space="preserve">pace_C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</si>
  <si>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相同：資本支出照指引投入，下檔在變現）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</si>
  <si>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的保守情境為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站點速度 </t>
    </r>
    <r>
      <rPr>
        <sz val="11"/>
        <color theme="1"/>
        <rFont val="Calibri"/>
        <family val="2"/>
        <charset val="1"/>
      </rPr>
      <t xml:space="preserve">720</t>
    </r>
    <r>
      <rPr>
        <sz val="11"/>
        <color theme="1"/>
        <rFont val="Noto Sans CJK SC"/>
        <family val="2"/>
      </rPr>
      <t xml:space="preserve">／年；本版改為變現不如預期</t>
    </r>
  </si>
  <si>
    <t xml:space="preserve">ext_sh</t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</si>
  <si>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中租給客戶的比例）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</si>
  <si>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 </t>
    </r>
    <r>
      <rPr>
        <sz val="11"/>
        <color theme="1"/>
        <rFont val="Calibri"/>
        <family val="2"/>
        <charset val="1"/>
      </rPr>
      <t xml:space="preserve">r1 C23</t>
    </r>
    <r>
      <rPr>
        <sz val="11"/>
        <color theme="1"/>
        <rFont val="Noto Sans CJK SC"/>
        <family val="2"/>
      </rPr>
      <t xml:space="preserve">：公司未揭露、最大不確定）</t>
    </r>
  </si>
  <si>
    <r>
      <rPr>
        <sz val="11"/>
        <color theme="1"/>
        <rFont val="Calibri"/>
        <family val="2"/>
        <charset val="1"/>
      </rPr>
      <t xml:space="preserve">Anthropic Trainium2 </t>
    </r>
    <r>
      <rPr>
        <sz val="11"/>
        <color theme="1"/>
        <rFont val="Noto Sans CJK SC"/>
        <family val="2"/>
      </rPr>
      <t xml:space="preserve">三站全為對外；自用（</t>
    </r>
    <r>
      <rPr>
        <sz val="11"/>
        <color theme="1"/>
        <rFont val="Calibri"/>
        <family val="2"/>
        <charset val="1"/>
      </rPr>
      <t xml:space="preserve">Alexa+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Rufus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Nova</t>
    </r>
    <r>
      <rPr>
        <sz val="11"/>
        <color theme="1"/>
        <rFont val="Noto Sans CJK SC"/>
        <family val="2"/>
      </rPr>
      <t xml:space="preserve">、廣告）未揭露；</t>
    </r>
    <r>
      <rPr>
        <sz val="11"/>
        <color theme="1"/>
        <rFont val="Calibri"/>
        <family val="2"/>
        <charset val="1"/>
      </rPr>
      <t xml:space="preserve">Sens ±20pt</t>
    </r>
  </si>
  <si>
    <t xml:space="preserve">long_sh</t>
  </si>
  <si>
    <t xml:space="preserve">長約占對外容量比例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</si>
  <si>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pricing.longShare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</si>
  <si>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Trainium2 </t>
    </r>
    <r>
      <rPr>
        <sz val="11"/>
        <color theme="1"/>
        <rFont val="Noto Sans CJK SC"/>
        <family val="2"/>
      </rPr>
      <t xml:space="preserve">三站＋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兩筆占多數</t>
    </r>
  </si>
  <si>
    <t xml:space="preserve">p_spot</t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</si>
  <si>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現貨價（</t>
    </r>
    <r>
      <rPr>
        <sz val="11"/>
        <color theme="1"/>
        <rFont val="Calibri"/>
        <family val="2"/>
        <charset val="1"/>
      </rPr>
      <t xml:space="preserve">Silicon Data </t>
    </r>
    <r>
      <rPr>
        <sz val="11"/>
        <color theme="1"/>
        <rFont val="Noto Sans CJK SC"/>
        <family val="2"/>
      </rPr>
      <t xml:space="preserve">指數）</t>
    </r>
  </si>
  <si>
    <t xml:space="preserve">US$/GPU-hr</t>
  </si>
  <si>
    <t xml:space="preserve">S18</t>
  </si>
  <si>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三家共用（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）</t>
    </r>
  </si>
  <si>
    <t xml:space="preserve">p_list</t>
  </si>
  <si>
    <r>
      <rPr>
        <sz val="11"/>
        <color theme="1"/>
        <rFont val="Calibri"/>
        <family val="2"/>
        <charset val="1"/>
      </rPr>
      <t xml:space="preserve">AWS p5.48xlarge </t>
    </r>
    <r>
      <rPr>
        <sz val="11"/>
        <color theme="1"/>
        <rFont val="Noto Sans CJK SC"/>
        <family val="2"/>
      </rPr>
      <t xml:space="preserve">隨需（每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小時）</t>
    </r>
  </si>
  <si>
    <r>
      <rPr>
        <sz val="11"/>
        <color theme="1"/>
        <rFont val="Noto Sans CJK SC"/>
        <family val="2"/>
      </rPr>
      <t xml:space="preserve">公開牌價（賣價，非成交價）；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高軸</t>
    </r>
  </si>
  <si>
    <t xml:space="preserve">p_long</t>
  </si>
  <si>
    <r>
      <rPr>
        <sz val="11"/>
        <color theme="1"/>
        <rFont val="Noto Sans CJK SC"/>
        <family val="2"/>
      </rPr>
      <t xml:space="preserve">長約等值價格（判斷倍數 </t>
    </r>
    <r>
      <rPr>
        <sz val="11"/>
        <color theme="1"/>
        <rFont val="Calibri"/>
        <family val="2"/>
        <charset val="1"/>
      </rPr>
      <t xml:space="preserve">0.75 × v5.27 VR200 </t>
    </r>
    <r>
      <rPr>
        <sz val="11"/>
        <color theme="1"/>
        <rFont val="Noto Sans CJK SC"/>
        <family val="2"/>
      </rPr>
      <t xml:space="preserve">成本 </t>
    </r>
    <r>
      <rPr>
        <sz val="11"/>
        <color theme="1"/>
        <rFont val="Calibri"/>
        <family val="2"/>
        <charset val="1"/>
      </rPr>
      <t xml:space="preserve">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</si>
  <si>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</si>
  <si>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kspec.py long.base</t>
    </r>
    <r>
      <rPr>
        <sz val="11"/>
        <color theme="1"/>
        <rFont val="Noto Sans CJK SC"/>
        <family val="2"/>
      </rPr>
      <t xml:space="preserve">）</t>
    </r>
  </si>
  <si>
    <t xml:space="preserve">判斷值，不是觀察到的市場價格</t>
  </si>
  <si>
    <t xml:space="preserve">p_long_lo</t>
  </si>
  <si>
    <r>
      <rPr>
        <sz val="11"/>
        <color theme="1"/>
        <rFont val="Noto Sans CJK SC"/>
        <family val="2"/>
      </rPr>
      <t xml:space="preserve">長約等值價格下緣（判斷倍數 </t>
    </r>
    <r>
      <rPr>
        <sz val="11"/>
        <color theme="1"/>
        <rFont val="Calibri"/>
        <family val="2"/>
        <charset val="1"/>
      </rPr>
      <t xml:space="preserve">0.55 × 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</si>
  <si>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kspec.py long.low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</si>
  <si>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下限 </t>
    </r>
    <r>
      <rPr>
        <sz val="11"/>
        <color theme="1"/>
        <rFont val="Calibri"/>
        <family val="2"/>
        <charset val="1"/>
      </rPr>
      <t xml:space="preserve">0.22–0.45 </t>
    </r>
    <r>
      <rPr>
        <sz val="11"/>
        <color theme="1"/>
        <rFont val="Noto Sans CJK SC"/>
        <family val="2"/>
      </rPr>
      <t xml:space="preserve">只作對照</t>
    </r>
  </si>
  <si>
    <t xml:space="preserve">tk_he_h100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</si>
  <si>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</si>
  <si>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S17</t>
  </si>
  <si>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下的打平持有成本（資本回收年金＋營運費用）</t>
    </r>
  </si>
  <si>
    <t xml:space="preserve">tk_he_gb200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</si>
  <si>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</si>
  <si>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tk_he_gb300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</si>
  <si>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</si>
  <si>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tk_he_vr200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</si>
  <si>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</si>
  <si>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tk_cx_h100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</si>
  <si>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</si>
  <si>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</si>
  <si>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tk_cx_gb200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</si>
  <si>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</si>
  <si>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tk_cx_gb300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</si>
  <si>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</si>
  <si>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tk_cx_vr200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</si>
  <si>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</si>
  <si>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tk_ox_h100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</si>
  <si>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</si>
  <si>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tk_ox_gb200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</si>
  <si>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</si>
  <si>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tk_ox_gb300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</si>
  <si>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</si>
  <si>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tk_ox_vr200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</si>
  <si>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</si>
  <si>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tk_gpuhr</t>
  </si>
  <si>
    <r>
      <rPr>
        <sz val="11"/>
        <color theme="1"/>
        <rFont val="Calibri"/>
        <family val="2"/>
        <charset val="1"/>
      </rPr>
      <t xml:space="preserve">Tokenomics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</si>
  <si>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現貨的分母</t>
    </r>
  </si>
  <si>
    <t xml:space="preserve">tk_fac</t>
  </si>
  <si>
    <r>
      <rPr>
        <sz val="11"/>
        <color theme="1"/>
        <rFont val="Calibri"/>
        <family val="2"/>
        <charset val="1"/>
      </rPr>
      <t xml:space="preserve">Tokenomics L1_FacCapexMW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</si>
  <si>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tk_life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</si>
  <si>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設備折舊年限（</t>
    </r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</si>
  <si>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管理層口述伺服器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年（事實總帳 </t>
    </r>
    <r>
      <rPr>
        <sz val="11"/>
        <color theme="1"/>
        <rFont val="Calibri"/>
        <family val="2"/>
        <charset val="1"/>
      </rPr>
      <t xml:space="preserve">guide.server.life</t>
    </r>
    <r>
      <rPr>
        <sz val="11"/>
        <color theme="1"/>
        <rFont val="Noto Sans CJK SC"/>
        <family val="2"/>
      </rPr>
      <t xml:space="preserve">）</t>
    </r>
  </si>
  <si>
    <t xml:space="preserve">fac_life</t>
  </si>
  <si>
    <t xml:space="preserve">機房折舊年限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</si>
  <si>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</si>
  <si>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管理層：資料中心建築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年以上</t>
    </r>
  </si>
  <si>
    <t xml:space="preserve">tk_pq</t>
  </si>
  <si>
    <r>
      <rPr>
        <sz val="11"/>
        <color theme="1"/>
        <rFont val="Calibri"/>
        <family val="2"/>
        <charset val="1"/>
      </rPr>
      <t xml:space="preserve">Tokenomics L1_RevGW_PQ_VR200</t>
    </r>
    <r>
      <rPr>
        <sz val="11"/>
        <color theme="1"/>
        <rFont val="Noto Sans CJK SC"/>
        <family val="2"/>
      </rPr>
      <t xml:space="preserve">（模型商每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年實收 </t>
    </r>
    <r>
      <rPr>
        <sz val="11"/>
        <color theme="1"/>
        <rFont val="Calibri"/>
        <family val="2"/>
        <charset val="1"/>
      </rPr>
      <t xml:space="preserve">P×Q</t>
    </r>
    <r>
      <rPr>
        <sz val="11"/>
        <color theme="1"/>
        <rFont val="Noto Sans CJK SC"/>
        <family val="2"/>
      </rPr>
      <t xml:space="preserve">；只作上限檢查）</t>
    </r>
  </si>
  <si>
    <t xml:space="preserve">上限，不得作預測</t>
  </si>
  <si>
    <t xml:space="preserve">k_long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</si>
  <si>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長約＝長約等值價格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VR200 IF_HoldEcon</t>
    </r>
  </si>
  <si>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起隨目前快照重算）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</si>
  <si>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0.783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0.574</t>
    </r>
  </si>
  <si>
    <t xml:space="preserve">k_spot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</si>
  <si>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現貨＝現貨價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</si>
  <si>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（三家一致，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</si>
  <si>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價格軸高）</t>
    </r>
  </si>
  <si>
    <t xml:space="preserve">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</si>
  <si>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：新產能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（價格軸高：現貨改用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</si>
  <si>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價格軸（</t>
    </r>
    <r>
      <rPr>
        <sz val="11"/>
        <color theme="1"/>
        <rFont val="Calibri"/>
        <family val="2"/>
        <charset val="1"/>
      </rPr>
      <t xml:space="preserve">pricing.kSpot.high</t>
    </r>
    <r>
      <rPr>
        <sz val="11"/>
        <color theme="1"/>
        <rFont val="Noto Sans CJK SC"/>
        <family val="2"/>
      </rPr>
      <t xml:space="preserve">）</t>
    </r>
  </si>
  <si>
    <t xml:space="preserve">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</si>
  <si>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（價格軸基準：長約 </t>
    </r>
    <r>
      <rPr>
        <sz val="11"/>
        <color theme="1"/>
        <rFont val="Calibri"/>
        <family val="2"/>
        <charset val="1"/>
      </rPr>
      <t xml:space="preserve">80% × k_</t>
    </r>
    <r>
      <rPr>
        <sz val="11"/>
        <color theme="1"/>
        <rFont val="Noto Sans CJK SC"/>
        <family val="2"/>
      </rPr>
      <t xml:space="preserve">長約＋現貨 </t>
    </r>
    <r>
      <rPr>
        <sz val="11"/>
        <color theme="1"/>
        <rFont val="Calibri"/>
        <family val="2"/>
        <charset val="1"/>
      </rPr>
      <t xml:space="preserve">20% × k_</t>
    </r>
    <r>
      <rPr>
        <sz val="11"/>
        <color theme="1"/>
        <rFont val="Noto Sans CJK SC"/>
        <family val="2"/>
      </rPr>
      <t xml:space="preserve">現貨）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</si>
  <si>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</si>
  <si>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t xml:space="preserve">期初機隊三情境皆用本列</t>
  </si>
  <si>
    <t xml:space="preserve">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</si>
  <si>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：新產能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（價格軸低：長約下緣）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</si>
  <si>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價格軸（</t>
    </r>
    <r>
      <rPr>
        <sz val="11"/>
        <color theme="1"/>
        <rFont val="Calibri"/>
        <family val="2"/>
        <charset val="1"/>
      </rPr>
      <t xml:space="preserve">pricing.kLong.low</t>
    </r>
    <r>
      <rPr>
        <sz val="11"/>
        <color theme="1"/>
        <rFont val="Noto Sans CJK SC"/>
        <family val="2"/>
      </rPr>
      <t xml:space="preserve">）</t>
    </r>
  </si>
  <si>
    <t xml:space="preserve">mo_trn2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</si>
  <si>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Trainium2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計價，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</t>
    </r>
  </si>
  <si>
    <t xml:space="preserve">S20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</si>
  <si>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三站 </t>
    </r>
    <r>
      <rPr>
        <sz val="11"/>
        <color theme="1"/>
        <rFont val="Calibri"/>
        <family val="2"/>
        <charset val="1"/>
      </rPr>
      <t xml:space="preserve">1,422 ÷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2,600</t>
    </r>
  </si>
  <si>
    <t xml:space="preserve">mo_h100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</si>
  <si>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Hopper</t>
    </r>
  </si>
  <si>
    <t xml:space="preserve">mo_gb200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</si>
  <si>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GB200</t>
    </r>
  </si>
  <si>
    <t xml:space="preserve">mo_gb300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</si>
  <si>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GB300</t>
    </r>
  </si>
  <si>
    <t xml:space="preserve">he_open</t>
  </si>
  <si>
    <r>
      <rPr>
        <sz val="11"/>
        <color theme="1"/>
        <rFont val="Noto Sans CJK SC"/>
        <family val="2"/>
      </rPr>
      <t xml:space="preserve">期初機隊加權 </t>
    </r>
    <r>
      <rPr>
        <sz val="11"/>
        <color theme="1"/>
        <rFont val="Calibri"/>
        <family val="2"/>
        <charset val="1"/>
      </rPr>
      <t xml:space="preserve">IF_HoldEcon</t>
    </r>
  </si>
  <si>
    <t xml:space="preserve">上列加權</t>
  </si>
  <si>
    <t xml:space="preserve">ox_open</t>
  </si>
  <si>
    <t xml:space="preserve">期初機隊加權營運費用</t>
  </si>
  <si>
    <t xml:space="preserve">rpm_open</t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</si>
  <si>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年收入＝加權 </t>
    </r>
    <r>
      <rPr>
        <sz val="11"/>
        <color theme="1"/>
        <rFont val="Calibri"/>
        <family val="2"/>
        <charset val="1"/>
      </rPr>
      <t xml:space="preserve">IF_HoldEcon × k_B</t>
    </r>
    <r>
      <rPr>
        <sz val="11"/>
        <color theme="1"/>
        <rFont val="Noto Sans CJK SC"/>
        <family val="2"/>
      </rPr>
      <t xml:space="preserve">（收入端不乘 </t>
    </r>
    <r>
      <rPr>
        <sz val="11"/>
        <color theme="1"/>
        <rFont val="Calibri"/>
        <family val="2"/>
        <charset val="1"/>
      </rPr>
      <t xml:space="preserve">IF_Util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</si>
  <si>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</t>
    </r>
  </si>
  <si>
    <t xml:space="preserve">cust_sh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</si>
  <si>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中自研晶片（</t>
    </r>
    <r>
      <rPr>
        <sz val="11"/>
        <color theme="1"/>
        <rFont val="Calibri"/>
        <family val="2"/>
        <charset val="1"/>
      </rPr>
      <t xml:space="preserve">Trainium3 → GB300 </t>
    </r>
    <r>
      <rPr>
        <sz val="11"/>
        <color theme="1"/>
        <rFont val="Noto Sans CJK SC"/>
        <family val="2"/>
      </rPr>
      <t xml:space="preserve">計價）比例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</si>
  <si>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pricing.chips mixAdds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</si>
  <si>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Trainium3 2026 </t>
    </r>
    <r>
      <rPr>
        <sz val="11"/>
        <color theme="1"/>
        <rFont val="Noto Sans CJK SC"/>
        <family val="2"/>
      </rPr>
      <t xml:space="preserve">年初出貨且「接近全數認購」</t>
    </r>
  </si>
  <si>
    <t xml:space="preserve">na_vr26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</si>
  <si>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</si>
  <si>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</si>
  <si>
    <t xml:space="preserve">na_vr27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</si>
  <si>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</si>
  <si>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na_vr28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</si>
  <si>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</t>
    </r>
  </si>
  <si>
    <t xml:space="preserve">cf_chip</t>
  </si>
  <si>
    <r>
      <rPr>
        <sz val="11"/>
        <color theme="1"/>
        <rFont val="Noto Sans CJK SC"/>
        <family val="2"/>
      </rPr>
      <t xml:space="preserve">自研晶片每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收入係數（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</si>
  <si>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C2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</si>
  <si>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IF_NonNV_Hold_Trn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）</t>
    </r>
  </si>
  <si>
    <t xml:space="preserve">cf_cx</t>
  </si>
  <si>
    <r>
      <rPr>
        <sz val="11"/>
        <color theme="1"/>
        <rFont val="Noto Sans CJK SC"/>
        <family val="2"/>
      </rPr>
      <t xml:space="preserve">自研晶片每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資本支出係數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</si>
  <si>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customCapexFactor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</si>
  <si>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雙邊敏感度時與收入係數同乘 </t>
    </r>
    <r>
      <rPr>
        <sz val="11"/>
        <color theme="1"/>
        <rFont val="Calibri"/>
        <family val="2"/>
        <charset val="1"/>
      </rPr>
      <t xml:space="preserve">0.7</t>
    </r>
  </si>
  <si>
    <t xml:space="preserve">colo_sh</t>
  </si>
  <si>
    <t xml:space="preserve">機房租用比例（第三方託管）</t>
  </si>
  <si>
    <t xml:space="preserve">S29</t>
  </si>
  <si>
    <r>
      <rPr>
        <sz val="11"/>
        <color theme="1"/>
        <rFont val="Noto Sans CJK SC"/>
        <family val="2"/>
      </rPr>
      <t xml:space="preserve">自建比例＝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本列；租用部分不計機房資本支出</t>
    </r>
  </si>
  <si>
    <t xml:space="preserve">rent_rec</t>
  </si>
  <si>
    <r>
      <rPr>
        <sz val="11"/>
        <color theme="1"/>
        <rFont val="Noto Sans CJK SC"/>
        <family val="2"/>
      </rPr>
      <t xml:space="preserve">租用機房年租金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機房資本支出（資本回收係數，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</si>
  <si>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C22</t>
    </r>
  </si>
  <si>
    <t xml:space="preserve">rent_mw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</si>
  <si>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年機房租金（攤到全部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）＝租用比例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回收係數</t>
    </r>
  </si>
  <si>
    <t xml:space="preserve">上列</t>
  </si>
  <si>
    <t xml:space="preserve">capex_g26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</si>
  <si>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現金資本支出指引（下限）</t>
    </r>
  </si>
  <si>
    <t xml:space="preserve">S11</t>
  </si>
  <si>
    <r>
      <rPr>
        <sz val="11"/>
        <color theme="1"/>
        <rFont val="Noto Sans CJK SC"/>
        <family val="2"/>
      </rPr>
      <t xml:space="preserve">上調自約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；首期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MAX(MW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 − 上半年實際 − 非 </t>
    </r>
    <r>
      <rPr>
        <sz val="11"/>
        <color theme="1"/>
        <rFont val="Calibri"/>
        <family val="2"/>
        <charset val="1"/>
      </rPr>
      <t xml:space="preserve">AI)</t>
    </r>
  </si>
  <si>
    <t xml:space="preserve">rd2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</si>
  <si>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：只計成本；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計影子效益）</t>
    </r>
  </si>
  <si>
    <t xml:space="preserve">0/1</t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</si>
  <si>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C16</t>
    </r>
    <r>
      <rPr>
        <sz val="11"/>
        <color theme="1"/>
        <rFont val="Noto Sans CJK SC"/>
        <family val="2"/>
      </rPr>
      <t xml:space="preserve">（主值待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</si>
  <si>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Sens</t>
    </r>
  </si>
  <si>
    <t xml:space="preserve">ai_rr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</si>
  <si>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營收年化（</t>
    </r>
    <r>
      <rPr>
        <sz val="11"/>
        <color theme="1"/>
        <rFont val="Calibri"/>
        <family val="2"/>
        <charset val="1"/>
      </rPr>
      <t xml:space="preserve">AWS AI run-rate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&gt;25</t>
    </r>
    <r>
      <rPr>
        <sz val="11"/>
        <color theme="1"/>
        <rFont val="Noto Sans CJK SC"/>
        <family val="2"/>
      </rPr>
      <t xml:space="preserve">）</t>
    </r>
  </si>
  <si>
    <t xml:space="preserve">S04</t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</si>
  <si>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驗證列（</t>
    </r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）；不用於校準</t>
    </r>
  </si>
  <si>
    <r>
      <rPr>
        <b val="true"/>
        <sz val="11"/>
        <rFont val="Cambria"/>
        <family val="0"/>
        <charset val="1"/>
      </rPr>
      <t xml:space="preserve">D. AWS </t>
    </r>
    <r>
      <rPr>
        <b val="true"/>
        <sz val="11"/>
        <rFont val="Noto Sans CJK SC"/>
        <family val="2"/>
      </rPr>
      <t xml:space="preserve">其他（非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雲端）</t>
    </r>
  </si>
  <si>
    <t xml:space="preserve">g_awso_lt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</si>
  <si>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</si>
  <si>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gLT 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</si>
  <si>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由近期年增（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）線性收斂</t>
    </r>
  </si>
  <si>
    <t xml:space="preserve">cx_awso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</si>
  <si>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其他資本支出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其他營收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</si>
  <si>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cx 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</si>
  <si>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上緣＝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AWS PP&amp;E </t>
    </r>
    <r>
      <rPr>
        <sz val="11"/>
        <color theme="1"/>
        <rFont val="Noto Sans CJK SC"/>
        <family val="2"/>
      </rPr>
      <t xml:space="preserve">淨增加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27.4%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</si>
  <si>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零售各營收線（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營收類別；北美＋國際）</t>
    </r>
  </si>
  <si>
    <t xml:space="preserve">g_os</t>
  </si>
  <si>
    <r>
      <rPr>
        <sz val="11"/>
        <color theme="1"/>
        <rFont val="Calibri"/>
        <family val="2"/>
        <charset val="1"/>
      </rPr>
      <t xml:space="preserve">Online stores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</si>
  <si>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年增）；</t>
    </r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年增線性收斂到本列</t>
    </r>
  </si>
  <si>
    <t xml:space="preserve">g_ps</t>
  </si>
  <si>
    <r>
      <rPr>
        <sz val="11"/>
        <color theme="1"/>
        <rFont val="Calibri"/>
        <family val="2"/>
        <charset val="1"/>
      </rPr>
      <t xml:space="preserve">Physical stores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</si>
  <si>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g_sp</t>
  </si>
  <si>
    <r>
      <rPr>
        <sz val="11"/>
        <color theme="1"/>
        <rFont val="Calibri"/>
        <family val="2"/>
        <charset val="1"/>
      </rPr>
      <t xml:space="preserve">Third-party seller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</si>
  <si>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g_ad</t>
  </si>
  <si>
    <r>
      <rPr>
        <sz val="11"/>
        <color theme="1"/>
        <rFont val="Calibri"/>
        <family val="2"/>
        <charset val="1"/>
      </rPr>
      <t xml:space="preserve">Advertising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</si>
  <si>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g_sub</t>
  </si>
  <si>
    <r>
      <rPr>
        <sz val="11"/>
        <color theme="1"/>
        <rFont val="Calibri"/>
        <family val="2"/>
        <charset val="1"/>
      </rPr>
      <t xml:space="preserve">Subscription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</si>
  <si>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g_ot</t>
  </si>
  <si>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</si>
  <si>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m_ad</t>
  </si>
  <si>
    <r>
      <rPr>
        <sz val="11"/>
        <color theme="1"/>
        <rFont val="Noto Sans CJK SC"/>
        <family val="2"/>
      </rPr>
      <t xml:space="preserve">廣告營業利益率（分攤到北美／國際的方法：見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</si>
  <si>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（廣告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，分部未揭露）</t>
    </r>
  </si>
  <si>
    <r>
      <rPr>
        <sz val="11"/>
        <color theme="1"/>
        <rFont val="Noto Sans CJK SC"/>
        <family val="2"/>
      </rPr>
      <t xml:space="preserve">數位廣告同業 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 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50%–60%</t>
    </r>
    <r>
      <rPr>
        <sz val="11"/>
        <color theme="1"/>
        <rFont val="Noto Sans CJK SC"/>
        <family val="2"/>
      </rPr>
      <t xml:space="preserve">；零售本業利益率＝分部利益扣廣告利潤後的殘差</t>
    </r>
  </si>
  <si>
    <t xml:space="preserve">step_na</t>
  </si>
  <si>
    <r>
      <rPr>
        <sz val="11"/>
        <color theme="1"/>
        <rFont val="Noto Sans CJK SC"/>
        <family val="2"/>
      </rPr>
      <t xml:space="preserve">北美零售本業利益率每年改善（</t>
    </r>
    <r>
      <rPr>
        <sz val="11"/>
        <color theme="1"/>
        <rFont val="Calibri"/>
        <family val="2"/>
        <charset val="1"/>
      </rPr>
      <t xml:space="preserve">2027–2030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</si>
  <si>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</si>
  <si>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改善約 </t>
    </r>
    <r>
      <rPr>
        <sz val="11"/>
        <color theme="1"/>
        <rFont val="Calibri"/>
        <family val="2"/>
        <charset val="1"/>
      </rPr>
      <t xml:space="preserve">0.5pt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頁推導）</t>
    </r>
  </si>
  <si>
    <t xml:space="preserve">step_in</t>
  </si>
  <si>
    <r>
      <rPr>
        <sz val="11"/>
        <color theme="1"/>
        <rFont val="Noto Sans CJK SC"/>
        <family val="2"/>
      </rPr>
      <t xml:space="preserve">國際零售本業利益率每年改善（</t>
    </r>
    <r>
      <rPr>
        <sz val="11"/>
        <color theme="1"/>
        <rFont val="Calibri"/>
        <family val="2"/>
        <charset val="1"/>
      </rPr>
      <t xml:space="preserve">2027–2030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</si>
  <si>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0.3pt</t>
    </r>
  </si>
  <si>
    <t xml:space="preserve">cx_rt</t>
  </si>
  <si>
    <r>
      <rPr>
        <sz val="11"/>
        <color theme="1"/>
        <rFont val="Noto Sans CJK SC"/>
        <family val="2"/>
      </rPr>
      <t xml:space="preserve">零售資本支出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零售營收（北美＋國際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淨增加，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</si>
  <si>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4.48%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5.84%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7.40%</t>
    </r>
    <r>
      <rPr>
        <sz val="11"/>
        <color theme="1"/>
        <rFont val="Noto Sans CJK SC"/>
        <family val="2"/>
      </rPr>
      <t xml:space="preserve">；含分攤的技術基礎設施，可能偏高（沿用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</si>
  <si>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公司層與現金</t>
    </r>
  </si>
  <si>
    <t xml:space="preserve">sbc_r</t>
  </si>
  <si>
    <r>
      <rPr>
        <sz val="11"/>
        <color theme="1"/>
        <rFont val="Noto Sans CJK SC"/>
        <family val="2"/>
      </rPr>
      <t xml:space="preserve">股份基礎給付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營收（近四季）</t>
    </r>
  </si>
  <si>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計入費用；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不加回（視同現金成本）</t>
    </r>
  </si>
  <si>
    <t xml:space="preserve">oth_r</t>
  </si>
  <si>
    <r>
      <rPr>
        <sz val="11"/>
        <color theme="1"/>
        <rFont val="Noto Sans CJK SC"/>
        <family val="2"/>
      </rPr>
      <t xml:space="preserve">營運現金其他項目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營收（營運現金流 −（淨利 − 業外淨額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稅率））− 分部 </t>
    </r>
    <r>
      <rPr>
        <sz val="11"/>
        <color theme="1"/>
        <rFont val="Calibri"/>
        <family val="2"/>
        <charset val="1"/>
      </rPr>
      <t xml:space="preserve">D&amp;A − SBC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</si>
  <si>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0.6%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2.3%</t>
    </r>
    <r>
      <rPr>
        <sz val="11"/>
        <color theme="1"/>
        <rFont val="Noto Sans CJK SC"/>
        <family val="2"/>
      </rPr>
      <t xml:space="preserve">；扣除業外（持股評價利益為非現金）；影音內容與營業租賃資產攤銷與其現金支出相抵，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只加回分部 </t>
    </r>
    <r>
      <rPr>
        <sz val="11"/>
        <color theme="1"/>
        <rFont val="Calibri"/>
        <family val="2"/>
        <charset val="1"/>
      </rPr>
      <t xml:space="preserve">D&amp;A</t>
    </r>
  </si>
  <si>
    <t xml:space="preserve">wc_2h26</t>
  </si>
  <si>
    <r>
      <rPr>
        <sz val="11"/>
        <color theme="1"/>
        <rFont val="Noto Sans CJK SC"/>
        <family val="2"/>
      </rPr>
      <t xml:space="preserve">首期營運資金（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實際，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</si>
  <si>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全年 −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上半年（事實總帳 </t>
    </r>
    <r>
      <rPr>
        <sz val="11"/>
        <color theme="1"/>
        <rFont val="Calibri"/>
        <family val="2"/>
        <charset val="1"/>
      </rPr>
      <t xml:space="preserve">cf.wcChg.2h2025</t>
    </r>
    <r>
      <rPr>
        <sz val="11"/>
        <color theme="1"/>
        <rFont val="Noto Sans CJK SC"/>
        <family val="2"/>
      </rPr>
      <t xml:space="preserve">）</t>
    </r>
  </si>
  <si>
    <t xml:space="preserve">lease_pr</t>
  </si>
  <si>
    <t xml:space="preserve">融資租賃本金償還（每年）</t>
  </si>
  <si>
    <r>
      <rPr>
        <sz val="11"/>
        <color theme="1"/>
        <rFont val="Calibri"/>
        <family val="2"/>
        <charset val="1"/>
      </rPr>
      <t xml:space="preserve">2023 4.384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2024 2.043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2025 1.557</t>
    </r>
  </si>
  <si>
    <t xml:space="preserve">sh_g</t>
  </si>
  <si>
    <r>
      <rPr>
        <sz val="11"/>
        <color theme="1"/>
        <rFont val="Noto Sans CJK SC"/>
        <family val="2"/>
      </rPr>
      <t xml:space="preserve">稀釋股數年增（無回購，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稀釋）</t>
    </r>
  </si>
  <si>
    <t xml:space="preserve">S10</t>
  </si>
  <si>
    <r>
      <rPr>
        <sz val="11"/>
        <color theme="1"/>
        <rFont val="Noto Sans CJK SC"/>
        <family val="2"/>
      </rPr>
      <t xml:space="preserve">稀釋加權股數 </t>
    </r>
    <r>
      <rPr>
        <sz val="11"/>
        <color theme="1"/>
        <rFont val="Calibri"/>
        <family val="2"/>
        <charset val="1"/>
      </rPr>
      <t xml:space="preserve">2024→2025 +1.0%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2025→1H26 +0.6%</t>
    </r>
    <r>
      <rPr>
        <sz val="11"/>
        <color theme="1"/>
        <rFont val="Noto Sans CJK SC"/>
        <family val="2"/>
      </rPr>
      <t xml:space="preserve">（半年）</t>
    </r>
  </si>
  <si>
    <t xml:space="preserve">kd_book</t>
  </si>
  <si>
    <r>
      <rPr>
        <sz val="11"/>
        <color theme="1"/>
        <rFont val="Noto Sans CJK SC"/>
        <family val="2"/>
      </rPr>
      <t xml:space="preserve">既有債務平均利率（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× 2 ÷ </t>
    </r>
    <r>
      <rPr>
        <sz val="11"/>
        <color theme="1"/>
        <rFont val="Noto Sans CJK SC"/>
        <family val="2"/>
      </rPr>
      <t xml:space="preserve">平均債務面額）</t>
    </r>
  </si>
  <si>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133.0 </t>
    </r>
    <r>
      <rPr>
        <sz val="11"/>
        <color theme="1"/>
        <rFont val="Noto Sans CJK SC"/>
        <family val="2"/>
      </rPr>
      <t xml:space="preserve">以本列計息；新增借款以 </t>
    </r>
    <r>
      <rPr>
        <sz val="11"/>
        <color theme="1"/>
        <rFont val="Calibri"/>
        <family val="2"/>
        <charset val="1"/>
      </rPr>
      <t xml:space="preserve">kd_new</t>
    </r>
  </si>
  <si>
    <t xml:space="preserve">y_cash</t>
  </si>
  <si>
    <r>
      <rPr>
        <sz val="11"/>
        <color theme="1"/>
        <rFont val="Noto Sans CJK SC"/>
        <family val="2"/>
      </rPr>
      <t xml:space="preserve">現金與有價證券收益率（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× 4 ÷ </t>
    </r>
    <r>
      <rPr>
        <sz val="11"/>
        <color theme="1"/>
        <rFont val="Noto Sans CJK SC"/>
        <family val="2"/>
      </rPr>
      <t xml:space="preserve">期末現金）</t>
    </r>
  </si>
  <si>
    <t xml:space="preserve">cash_q2</t>
  </si>
  <si>
    <r>
      <rPr>
        <sz val="11"/>
        <color theme="1"/>
        <rFont val="Noto Sans CJK SC"/>
        <family val="2"/>
      </rPr>
      <t xml:space="preserve">現金、約當現金與有價證券（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</si>
  <si>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min_cash</t>
  </si>
  <si>
    <t xml:space="preserve">最低現金（低於即舉債）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</si>
  <si>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minCash 50</t>
    </r>
    <r>
      <rPr>
        <sz val="11"/>
        <color theme="1"/>
        <rFont val="Noto Sans CJK SC"/>
        <family val="2"/>
      </rPr>
      <t xml:space="preserve">）</t>
    </r>
  </si>
  <si>
    <t xml:space="preserve">iss_2h26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</si>
  <si>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下半年已發行債券（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25.0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英鎊 </t>
    </r>
    <r>
      <rPr>
        <sz val="11"/>
        <color theme="1"/>
        <rFont val="Calibri"/>
        <family val="2"/>
        <charset val="1"/>
      </rPr>
      <t xml:space="preserve">£3.25B ≈ 4.25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</si>
  <si>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S02</t>
    </r>
    <r>
      <rPr>
        <sz val="11"/>
        <color theme="1"/>
        <rFont val="Noto Sans CJK SC"/>
        <family val="2"/>
      </rPr>
      <t xml:space="preserve">（期後事項）；</t>
    </r>
    <r>
      <rPr>
        <sz val="11"/>
        <color theme="1"/>
        <rFont val="Calibri"/>
        <family val="2"/>
        <charset val="1"/>
      </rPr>
      <t xml:space="preserve">S12</t>
    </r>
  </si>
  <si>
    <t xml:space="preserve">inv_2h26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</si>
  <si>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下半年策略投資（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35.0 </t>
    </r>
    <r>
      <rPr>
        <sz val="11"/>
        <color theme="1"/>
        <rFont val="Noto Sans CJK SC"/>
        <family val="2"/>
      </rPr>
      <t xml:space="preserve">的期後補足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</si>
  <si>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尚可動用的 </t>
    </r>
    <r>
      <rPr>
        <sz val="11"/>
        <color theme="1"/>
        <rFont val="Calibri"/>
        <family val="2"/>
        <charset val="1"/>
      </rPr>
      <t xml:space="preserve">15.0 </t>
    </r>
    <r>
      <rPr>
        <sz val="11"/>
        <color theme="1"/>
        <rFont val="Noto Sans CJK SC"/>
        <family val="2"/>
      </rPr>
      <t xml:space="preserve">融資額度依里程碑，不列</t>
    </r>
  </si>
  <si>
    <t xml:space="preserve">pd_sh</t>
  </si>
  <si>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的時點影響（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400bp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</si>
  <si>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營收指引年增 </t>
    </r>
    <r>
      <rPr>
        <sz val="11"/>
        <color theme="1"/>
        <rFont val="Calibri"/>
        <family val="2"/>
        <charset val="1"/>
      </rPr>
      <t xml:space="preserve">9%–12%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時點影響約 </t>
    </r>
    <r>
      <rPr>
        <sz val="11"/>
        <color theme="1"/>
        <rFont val="Calibri"/>
        <family val="2"/>
        <charset val="1"/>
      </rPr>
      <t xml:space="preserve">400bp</t>
    </r>
  </si>
  <si>
    <t xml:space="preserve">pd_amt</t>
  </si>
  <si>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時點影響金額（＝</t>
    </r>
    <r>
      <rPr>
        <sz val="11"/>
        <color theme="1"/>
        <rFont val="Calibri"/>
        <family val="2"/>
        <charset val="1"/>
      </rPr>
      <t xml:space="preserve">pd_sh × 2025Q3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</si>
  <si>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Online stores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Third-party seller services </t>
    </r>
    <r>
      <rPr>
        <sz val="11"/>
        <color theme="1"/>
        <rFont val="Noto Sans CJK SC"/>
        <family val="2"/>
      </rPr>
      <t xml:space="preserve">扣除；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全年不受影響</t>
    </r>
  </si>
  <si>
    <t xml:space="preserve">dps</t>
  </si>
  <si>
    <t xml:space="preserve">每股股利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</si>
  <si>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未發放現金股利；</t>
    </r>
    <r>
      <rPr>
        <sz val="11"/>
        <color theme="1"/>
        <rFont val="Calibri"/>
        <family val="2"/>
        <charset val="1"/>
      </rPr>
      <t xml:space="preserve">2023–2026H1 </t>
    </r>
    <r>
      <rPr>
        <sz val="11"/>
        <color theme="1"/>
        <rFont val="Noto Sans CJK SC"/>
        <family val="2"/>
      </rPr>
      <t xml:space="preserve">無回購（授權剩 </t>
    </r>
    <r>
      <rPr>
        <sz val="11"/>
        <color theme="1"/>
        <rFont val="Calibri"/>
        <family val="2"/>
        <charset val="1"/>
      </rPr>
      <t xml:space="preserve">6.1B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</si>
  <si>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持股（分部加總與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都加；預測期業外評價損益設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</si>
  <si>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t xml:space="preserve">ant_val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</si>
  <si>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投後估值（</t>
    </r>
    <r>
      <rPr>
        <sz val="11"/>
        <color theme="1"/>
        <rFont val="Calibri"/>
        <family val="2"/>
        <charset val="1"/>
      </rPr>
      <t xml:space="preserve">Series H</t>
    </r>
    <r>
      <rPr>
        <sz val="11"/>
        <color theme="1"/>
        <rFont val="Noto Sans CJK SC"/>
        <family val="2"/>
      </rPr>
      <t xml:space="preserve">）</t>
    </r>
  </si>
  <si>
    <t xml:space="preserve">S25</t>
  </si>
  <si>
    <t xml:space="preserve">新創自報估值</t>
  </si>
  <si>
    <t xml:space="preserve">ant_sh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</si>
  <si>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</si>
  <si>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S26</t>
    </r>
  </si>
  <si>
    <r>
      <rPr>
        <sz val="11"/>
        <color theme="1"/>
        <rFont val="Calibri"/>
        <family val="2"/>
        <charset val="1"/>
      </rPr>
      <t xml:space="preserve">Fortune 15%–19%</t>
    </r>
    <r>
      <rPr>
        <sz val="11"/>
        <color theme="1"/>
        <rFont val="Noto Sans CJK SC"/>
        <family val="2"/>
      </rPr>
      <t xml:space="preserve">、帳列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Crypto Briefing 21%</t>
    </r>
    <r>
      <rPr>
        <sz val="11"/>
        <color theme="1"/>
        <rFont val="Noto Sans CJK SC"/>
        <family val="2"/>
      </rPr>
      <t xml:space="preserve">（無法查證）</t>
    </r>
  </si>
  <si>
    <t xml:space="preserve">oai_val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</si>
  <si>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投後估值（投前 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＋該輪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）</t>
    </r>
  </si>
  <si>
    <t xml:space="preserve">S27</t>
  </si>
  <si>
    <t xml:space="preserve">oai_sh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</si>
  <si>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比例（投入 </t>
    </r>
    <r>
      <rPr>
        <sz val="11"/>
        <color theme="1"/>
        <rFont val="Calibri"/>
        <family val="2"/>
        <charset val="1"/>
      </rPr>
      <t xml:space="preserve">50 ÷ 840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</si>
  <si>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資本結構（</t>
    </r>
    <r>
      <rPr>
        <sz val="11"/>
        <color theme="1"/>
        <rFont val="Calibri"/>
        <family val="2"/>
        <charset val="1"/>
      </rPr>
      <t xml:space="preserve">PBC</t>
    </r>
    <r>
      <rPr>
        <sz val="11"/>
        <color theme="1"/>
        <rFont val="Noto Sans CJK SC"/>
        <family val="2"/>
      </rPr>
      <t xml:space="preserve">＋基金會）可能使比例不同</t>
    </r>
  </si>
  <si>
    <t xml:space="preserve">liq_disc</t>
  </si>
  <si>
    <t xml:space="preserve">持股流動性折價</t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</si>
  <si>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</si>
  <si>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m_ai</t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</si>
  <si>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EV/EBITDA </t>
    </r>
    <r>
      <rPr>
        <sz val="11"/>
        <color theme="1"/>
        <rFont val="Noto Sans CJK SC"/>
        <family val="2"/>
      </rPr>
      <t xml:space="preserve">倍數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</si>
  <si>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 </t>
    </r>
    <r>
      <rPr>
        <sz val="11"/>
        <color theme="1"/>
        <rFont val="Calibri"/>
        <family val="2"/>
        <charset val="1"/>
      </rPr>
      <t xml:space="preserve">D6</t>
    </r>
    <r>
      <rPr>
        <sz val="11"/>
        <color theme="1"/>
        <rFont val="Noto Sans CJK SC"/>
        <family val="2"/>
      </rPr>
      <t xml:space="preserve">：跨 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可比）</t>
    </r>
  </si>
  <si>
    <r>
      <rPr>
        <sz val="11"/>
        <color theme="1"/>
        <rFont val="Calibri"/>
        <family val="2"/>
        <charset val="1"/>
      </rPr>
      <t xml:space="preserve">CRWV TTM 25.0×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16.5×</t>
    </r>
    <r>
      <rPr>
        <sz val="11"/>
        <color theme="1"/>
        <rFont val="Noto Sans CJK SC"/>
        <family val="2"/>
      </rPr>
      <t xml:space="preserve">（只作對照）；已知可能偏低，</t>
    </r>
    <r>
      <rPr>
        <sz val="11"/>
        <color theme="1"/>
        <rFont val="Calibri"/>
        <family val="2"/>
        <charset val="1"/>
      </rPr>
      <t xml:space="preserve">Sens 10×</t>
    </r>
  </si>
  <si>
    <t xml:space="preserve">m_x</t>
  </si>
  <si>
    <r>
      <rPr>
        <sz val="11"/>
        <color theme="1"/>
        <rFont val="Noto Sans CJK SC"/>
        <family val="2"/>
      </rPr>
      <t xml:space="preserve">分部倍數乘數（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</si>
  <si>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Sens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</si>
  <si>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市場共識（只作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對照，不校準）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</si>
  <si>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</si>
  <si>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</si>
  <si>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S16</t>
  </si>
  <si>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口徑由供應商定義</t>
    </r>
  </si>
  <si>
    <t xml:space="preserve">c_ebitda26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</si>
  <si>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</si>
  <si>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</si>
  <si>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</si>
  <si>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</si>
  <si>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</si>
  <si>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</si>
  <si>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</si>
  <si>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c_capex26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</si>
  <si>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</si>
  <si>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c_fcf26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</si>
  <si>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</si>
  <si>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</si>
  <si>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</si>
  <si>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c_ebitda27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</si>
  <si>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</si>
  <si>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</si>
  <si>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</si>
  <si>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</si>
  <si>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</si>
  <si>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</si>
  <si>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</si>
  <si>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c_capex27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</si>
  <si>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</si>
  <si>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c_fcf27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</si>
  <si>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</si>
  <si>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</si>
  <si>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</si>
  <si>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c_ebitda28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</si>
  <si>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</si>
  <si>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</si>
  <si>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</si>
  <si>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</si>
  <si>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</si>
  <si>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</si>
  <si>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</si>
  <si>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c_capex28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</si>
  <si>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</si>
  <si>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c_fcf28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</si>
  <si>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</si>
  <si>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c_sprev26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</si>
  <si>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</si>
  <si>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位</t>
    </r>
  </si>
  <si>
    <t xml:space="preserve">c_sprev27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</si>
  <si>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</si>
  <si>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c_speps26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</si>
  <si>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</si>
  <si>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評價利益）</t>
    </r>
  </si>
  <si>
    <t xml:space="preserve">c_speps27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</si>
  <si>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</si>
  <si>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g26q3_lo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</si>
  <si>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營收下緣</t>
    </r>
  </si>
  <si>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9%–12%</t>
    </r>
  </si>
  <si>
    <t xml:space="preserve">g26q3_hi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</si>
  <si>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營收上緣</t>
    </r>
  </si>
  <si>
    <t xml:space="preserve">g26q3_oilo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</si>
  <si>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營業利益下緣</t>
    </r>
  </si>
  <si>
    <t xml:space="preserve">g26q3_oihi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</si>
  <si>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營業利益上緣</t>
    </r>
  </si>
  <si>
    <r>
      <rPr>
        <b val="true"/>
        <sz val="11"/>
        <rFont val="Cambria"/>
        <family val="0"/>
        <charset val="1"/>
      </rPr>
      <t xml:space="preserve">I. v0.2.2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差異拆解用）</t>
    </r>
  </si>
  <si>
    <t xml:space="preserve">v022_tp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</si>
  <si>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</si>
  <si>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legacy_v0.2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交接檔）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</si>
  <si>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220.09</t>
    </r>
    <r>
      <rPr>
        <sz val="11"/>
        <color theme="1"/>
        <rFont val="Noto Sans CJK SC"/>
        <family val="2"/>
      </rPr>
      <t xml:space="preserve">；三情境 </t>
    </r>
    <r>
      <rPr>
        <sz val="11"/>
        <color theme="1"/>
        <rFont val="Calibri"/>
        <family val="2"/>
        <charset val="1"/>
      </rPr>
      <t xml:space="preserve">212.33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201.71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201.14 </t>
    </r>
    <r>
      <rPr>
        <sz val="11"/>
        <color theme="1"/>
        <rFont val="Noto Sans CJK SC"/>
        <family val="2"/>
      </rPr>
      <t xml:space="preserve">皆賣出</t>
    </r>
  </si>
  <si>
    <t xml:space="preserve">v022_px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</si>
  <si>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</si>
  <si>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legacy_v0.2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</si>
  <si>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US$bn</t>
    </r>
    <r>
      <rPr>
        <sz val="11"/>
        <color theme="1"/>
        <rFont val="Noto Sans CJK SC"/>
        <family val="2"/>
      </rPr>
      <t xml:space="preserve">；股數十億股）：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、最近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季（</t>
    </r>
    <r>
      <rPr>
        <sz val="11"/>
        <color theme="1"/>
        <rFont val="Calibri"/>
        <family val="2"/>
        <charset val="1"/>
      </rPr>
      <t xml:space="preserve">2024Q3–2026Q2</t>
    </r>
    <r>
      <rPr>
        <sz val="11"/>
        <color theme="1"/>
        <rFont val="Noto Sans CJK SC"/>
        <family val="2"/>
      </rPr>
      <t xml:space="preserve">）與半年合計。資料取自 </t>
    </r>
    <r>
      <rPr>
        <sz val="11"/>
        <color theme="1"/>
        <rFont val="Calibri"/>
        <family val="2"/>
        <charset val="1"/>
      </rPr>
      <t xml:space="preserve">data/amazon_facts_20261008.json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、財報新聞稿逐季補充表），藍字＝事實值、黑字＝加總或換算。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（美國時間）公布，本版未納入</t>
    </r>
  </si>
  <si>
    <r>
      <rPr>
        <sz val="11"/>
        <color theme="1"/>
        <rFont val="Noto Sans CJK SC"/>
        <family val="2"/>
      </rPr>
      <t xml:space="preserve">核對列（綠底）：零售營收線合計＝北美＋國際、營收線合計＝合併營收、分部合計＝合併營收、分部營業利益合計＋未分攤＝合併營業利益；實績皆須為 </t>
    </r>
    <r>
      <rPr>
        <sz val="11"/>
        <color theme="1"/>
        <rFont val="Calibri"/>
        <family val="2"/>
        <charset val="1"/>
      </rPr>
      <t xml:space="preserve">0</t>
    </r>
  </si>
  <si>
    <t xml:space="preserve">FY2023A</t>
  </si>
  <si>
    <t xml:space="preserve">FY2024A</t>
  </si>
  <si>
    <t xml:space="preserve">FY2025A</t>
  </si>
  <si>
    <t xml:space="preserve">2024Q3</t>
  </si>
  <si>
    <t xml:space="preserve">2024Q4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</si>
  <si>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</si>
  <si>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</si>
  <si>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</si>
  <si>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</si>
  <si>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</si>
  <si>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</si>
  <si>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1H25</t>
  </si>
  <si>
    <t xml:space="preserve">2H25</t>
  </si>
  <si>
    <t xml:space="preserve">1H26</t>
  </si>
  <si>
    <r>
      <rPr>
        <b val="true"/>
        <sz val="11"/>
        <rFont val="Noto Sans CJK SC"/>
        <family val="2"/>
      </rPr>
      <t xml:space="preserve">近四季（</t>
    </r>
    <r>
      <rPr>
        <b val="true"/>
        <sz val="11"/>
        <rFont val="Cambria"/>
        <family val="0"/>
        <charset val="1"/>
      </rPr>
      <t xml:space="preserve">2025Q3–2026Q2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</si>
  <si>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官方報告分部營收（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附註：</t>
    </r>
    <r>
      <rPr>
        <b val="true"/>
        <sz val="11"/>
        <rFont val="Cambria"/>
        <family val="0"/>
        <charset val="1"/>
      </rPr>
      <t xml:space="preserve">North America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International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）</t>
    </r>
  </si>
  <si>
    <t xml:space="preserve">North America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</si>
  <si>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</si>
  <si>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S08</t>
    </r>
    <r>
      <rPr>
        <sz val="11"/>
        <color theme="1"/>
        <rFont val="Noto Sans CJK SC"/>
        <family val="2"/>
      </rPr>
      <t xml:space="preserve">（逐季補充表）</t>
    </r>
  </si>
  <si>
    <t xml:space="preserve">International</t>
  </si>
  <si>
    <t xml:space="preserve">AWS</t>
  </si>
  <si>
    <t xml:space="preserve">合併營收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</si>
  <si>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營收線（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營收類別；零售各線＝北美＋國際，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線＝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分部）</t>
    </r>
  </si>
  <si>
    <t xml:space="preserve">Online stores</t>
  </si>
  <si>
    <t xml:space="preserve">Physical stores</t>
  </si>
  <si>
    <t xml:space="preserve">Third-party seller services</t>
  </si>
  <si>
    <t xml:space="preserve">Advertising services</t>
  </si>
  <si>
    <t xml:space="preserve">Subscription services</t>
  </si>
  <si>
    <t xml:space="preserve">Other</t>
  </si>
  <si>
    <r>
      <rPr>
        <sz val="11"/>
        <color theme="1"/>
        <rFont val="Noto Sans CJK SC"/>
        <family val="2"/>
      </rPr>
      <t xml:space="preserve">零售營收線合計（不含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</si>
  <si>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（營收線）</t>
    </r>
  </si>
  <si>
    <r>
      <rPr>
        <sz val="11"/>
        <color theme="1"/>
        <rFont val="Noto Sans CJK SC"/>
        <family val="2"/>
      </rPr>
      <t xml:space="preserve">檢查：零售營收線合計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</si>
  <si>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</si>
  <si>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t xml:space="preserve">檢查：分部合計 − 合併營收</t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</si>
  <si>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</si>
  <si>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</si>
  <si>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</si>
  <si>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</t>
    </r>
  </si>
  <si>
    <t xml:space="preserve">合併營業利益</t>
  </si>
  <si>
    <r>
      <rPr>
        <sz val="11"/>
        <color theme="1"/>
        <rFont val="Noto Sans CJK SC"/>
        <family val="2"/>
      </rPr>
      <t xml:space="preserve">未分攤（合併 − 分部合計；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分部已含全部費用）</t>
    </r>
  </si>
  <si>
    <t xml:space="preserve">檢查：分部營業利益合計＋未分攤 − 合併營業利益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</si>
  <si>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分部折舊攤銷（不含影音內容與營業租賃資產攤銷；</t>
    </r>
    <r>
      <rPr>
        <b val="true"/>
        <sz val="11"/>
        <rFont val="Cambria"/>
        <family val="0"/>
        <charset val="1"/>
      </rPr>
      <t xml:space="preserve">2024 </t>
    </r>
    <r>
      <rPr>
        <b val="true"/>
        <sz val="11"/>
        <rFont val="Noto Sans CJK SC"/>
        <family val="2"/>
      </rPr>
      <t xml:space="preserve">季度 </t>
    </r>
    <r>
      <rPr>
        <b val="true"/>
        <sz val="11"/>
        <rFont val="Cambria"/>
        <family val="0"/>
        <charset val="1"/>
      </rPr>
      <t xml:space="preserve">facts </t>
    </r>
    <r>
      <rPr>
        <b val="true"/>
        <sz val="11"/>
        <rFont val="Noto Sans CJK SC"/>
        <family val="2"/>
      </rPr>
      <t xml:space="preserve">未收；</t>
    </r>
    <r>
      <rPr>
        <b val="true"/>
        <sz val="11"/>
        <rFont val="Cambria"/>
        <family val="0"/>
        <charset val="1"/>
      </rPr>
      <t xml:space="preserve">2025Q4</t>
    </r>
    <r>
      <rPr>
        <b val="true"/>
        <sz val="11"/>
        <rFont val="Noto Sans CJK SC"/>
        <family val="2"/>
      </rPr>
      <t xml:space="preserve">＝全年 − 前三季）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</si>
  <si>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</si>
  <si>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S03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</si>
  <si>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</si>
  <si>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折舊攤銷</t>
    </r>
  </si>
  <si>
    <t xml:space="preserve">分部折舊攤銷合計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</si>
  <si>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損益（業外、稅、淨利）</t>
    </r>
  </si>
  <si>
    <t xml:space="preserve">利息費用</t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</si>
  <si>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S04</t>
    </r>
  </si>
  <si>
    <r>
      <rPr>
        <sz val="11"/>
        <color theme="1"/>
        <rFont val="Noto Sans CJK SC"/>
        <family val="2"/>
      </rPr>
      <t xml:space="preserve">利息收入（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</si>
  <si>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稅前淨利</t>
  </si>
  <si>
    <t xml:space="preserve">所得稅</t>
  </si>
  <si>
    <t xml:space="preserve">淨利</t>
  </si>
  <si>
    <r>
      <rPr>
        <sz val="11"/>
        <color theme="1"/>
        <rFont val="Noto Sans CJK SC"/>
        <family val="2"/>
      </rPr>
      <t xml:space="preserve">業外淨額（稅前 − 營業利益＋利息費用；含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等持股評價利益）</t>
    </r>
  </si>
  <si>
    <t xml:space="preserve">有效稅率</t>
  </si>
  <si>
    <t xml:space="preserve">稀釋加權股數</t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</si>
  <si>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稀釋加權股數）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</si>
  <si>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現金流量、資本支出與股東回饋</t>
    </r>
  </si>
  <si>
    <t xml:space="preserve">營運現金流</t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</si>
  <si>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S09</t>
    </r>
  </si>
  <si>
    <r>
      <rPr>
        <sz val="11"/>
        <color theme="1"/>
        <rFont val="Noto Sans CJK SC"/>
        <family val="2"/>
      </rPr>
      <t xml:space="preserve">資本支出（購置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，總額）</t>
    </r>
  </si>
  <si>
    <t xml:space="preserve">資本支出（現金，淨額＝購置 − 出售及獎勵）</t>
  </si>
  <si>
    <t xml:space="preserve">由同季新聞稿現金流量表換算</t>
  </si>
  <si>
    <t xml:space="preserve">折舊攤銷（現金流量表；含影音內容與營業租賃資產）</t>
  </si>
  <si>
    <t xml:space="preserve">股份基礎給付</t>
  </si>
  <si>
    <t xml:space="preserve">自由現金流（公司口徑＝營運現金流 − 資本支出淨額）</t>
  </si>
  <si>
    <t xml:space="preserve">融資租賃本金償還</t>
  </si>
  <si>
    <t xml:space="preserve">買回庫藏股</t>
  </si>
  <si>
    <t xml:space="preserve">現金股利</t>
  </si>
  <si>
    <r>
      <rPr>
        <sz val="11"/>
        <color theme="1"/>
        <rFont val="Noto Sans CJK SC"/>
        <family val="2"/>
      </rPr>
      <t xml:space="preserve">策略投資（收購與投資；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上半年含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</si>
  <si>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7. </t>
    </r>
    <r>
      <rPr>
        <b val="true"/>
        <sz val="11"/>
        <rFont val="Noto Sans CJK SC"/>
        <family val="2"/>
      </rPr>
      <t xml:space="preserve">資本支出分布（</t>
    </r>
    <r>
      <rPr>
        <b val="true"/>
        <sz val="11"/>
        <rFont val="Cambria"/>
        <family val="0"/>
        <charset val="1"/>
      </rPr>
      <t xml:space="preserve">PP&amp;E </t>
    </r>
    <r>
      <rPr>
        <b val="true"/>
        <sz val="11"/>
        <rFont val="Noto Sans CJK SC"/>
        <family val="2"/>
      </rPr>
      <t xml:space="preserve">淨增加，含融資租賃取得與已取得未付款；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分部附註）</t>
    </r>
  </si>
  <si>
    <r>
      <rPr>
        <sz val="11"/>
        <color theme="1"/>
        <rFont val="Calibri"/>
        <family val="2"/>
        <charset val="1"/>
      </rPr>
      <t xml:space="preserve">North America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</si>
  <si>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S02</t>
    </r>
  </si>
  <si>
    <r>
      <rPr>
        <sz val="11"/>
        <color theme="1"/>
        <rFont val="Calibri"/>
        <family val="2"/>
        <charset val="1"/>
      </rPr>
      <t xml:space="preserve">International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</si>
  <si>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AWS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</si>
  <si>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Noto Sans CJK SC"/>
        <family val="2"/>
      </rPr>
      <t xml:space="preserve">公司層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</si>
  <si>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淨增加合計</t>
    </r>
  </si>
  <si>
    <r>
      <rPr>
        <b val="true"/>
        <sz val="11"/>
        <rFont val="Cambria"/>
        <family val="0"/>
        <charset val="1"/>
      </rPr>
      <t xml:space="preserve">8. </t>
    </r>
    <r>
      <rPr>
        <b val="true"/>
        <sz val="11"/>
        <rFont val="Noto Sans CJK SC"/>
        <family val="2"/>
      </rPr>
      <t xml:space="preserve">期末餘額</t>
    </r>
  </si>
  <si>
    <t xml:space="preserve">現金、約當現金與有價證券</t>
  </si>
  <si>
    <t xml:space="preserve">債務面額</t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</si>
  <si>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＝對外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Tokenomics v21.4 IF_HoldEcon × 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以同期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世代計價，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資本支出（含自用）→ </t>
    </r>
    <r>
      <rPr>
        <sz val="11"/>
        <color theme="1"/>
        <rFont val="Calibri"/>
        <family val="2"/>
        <charset val="1"/>
      </rPr>
      <t xml:space="preserve">IT 6 </t>
    </r>
    <r>
      <rPr>
        <sz val="11"/>
        <color theme="1"/>
        <rFont val="Noto Sans CJK SC"/>
        <family val="2"/>
      </rPr>
      <t xml:space="preserve">年／機房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年折舊（次年起提列）→ 對外部分進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營業利益、自用部分進北美／國際營業利益。三情境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依序排列</t>
    </r>
  </si>
  <si>
    <r>
      <rPr>
        <sz val="11"/>
        <color theme="1"/>
        <rFont val="Noto Sans CJK SC"/>
        <family val="2"/>
      </rPr>
      <t xml:space="preserve">情境差異集中在命題驅動：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＝公司容量目標速度＋新產能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價格軸高；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＝資本支出指引隱含速度（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）＋基準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同速度（資本支出照指引）＋新產能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價格軸低。非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業務三情境相同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</si>
  <si>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</si>
  <si>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t xml:space="preserve">1H26A</t>
  </si>
  <si>
    <t xml:space="preserve">2H26E</t>
  </si>
  <si>
    <r>
      <rPr>
        <b val="true"/>
        <sz val="11"/>
        <rFont val="Cambria"/>
        <family val="0"/>
        <charset val="1"/>
      </rPr>
      <t xml:space="preserve">FY2026E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1H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 </t>
    </r>
    <r>
      <rPr>
        <b val="true"/>
        <sz val="11"/>
        <rFont val="Noto Sans CJK SC"/>
        <family val="2"/>
      </rPr>
      <t xml:space="preserve">模型）</t>
    </r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</si>
  <si>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</si>
  <si>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</si>
  <si>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</si>
  <si>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</si>
  <si>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</si>
  <si>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</si>
  <si>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t xml:space="preserve">1H25A</t>
  </si>
  <si>
    <t xml:space="preserve">2H25A</t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</si>
  <si>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容量（對外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 </t>
    </r>
    <r>
      <rPr>
        <b val="true"/>
        <sz val="11"/>
        <rFont val="Cambria"/>
        <family val="0"/>
        <charset val="1"/>
      </rPr>
      <t xml:space="preserve">MW-IT</t>
    </r>
    <r>
      <rPr>
        <b val="true"/>
        <sz val="11"/>
        <rFont val="Noto Sans CJK SC"/>
        <family val="2"/>
      </rPr>
      <t xml:space="preserve">；期末）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</si>
  <si>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（期末）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</si>
  <si>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mw_open</t>
    </r>
    <r>
      <rPr>
        <sz val="11"/>
        <color theme="1"/>
        <rFont val="Noto Sans CJK SC"/>
        <family val="2"/>
      </rPr>
      <t xml:space="preserve">；每年新增＝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（情境）；歷史年底值只用於分拆與折舊年份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</si>
  <si>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（期間）</t>
    </r>
  </si>
  <si>
    <t xml:space="preserve">期間長度</t>
  </si>
  <si>
    <r>
      <rPr>
        <sz val="11"/>
        <color theme="1"/>
        <rFont val="Noto Sans CJK SC"/>
        <family val="2"/>
      </rPr>
      <t xml:space="preserve">新增對外 </t>
    </r>
    <r>
      <rPr>
        <sz val="11"/>
        <color theme="1"/>
        <rFont val="Calibri"/>
        <family val="2"/>
        <charset val="1"/>
      </rPr>
      <t xml:space="preserve">AI MW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</si>
  <si>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（含自用＝對外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</si>
  <si>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Calibri"/>
        <family val="2"/>
        <charset val="1"/>
      </rPr>
      <t xml:space="preserve">R–AA </t>
    </r>
    <r>
      <rPr>
        <sz val="11"/>
        <color theme="1"/>
        <rFont val="Noto Sans CJK SC"/>
        <family val="2"/>
      </rPr>
      <t xml:space="preserve">欄：依年份（折舊與汰換用）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</si>
  <si>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新增產能的世代與單位經濟（</t>
    </r>
    <r>
      <rPr>
        <b val="true"/>
        <sz val="11"/>
        <rFont val="Cambria"/>
        <family val="0"/>
        <charset val="1"/>
      </rPr>
      <t xml:space="preserve">Tokenomics v21.4 </t>
    </r>
    <r>
      <rPr>
        <b val="true"/>
        <sz val="11"/>
        <rFont val="Noto Sans CJK SC"/>
        <family val="2"/>
      </rPr>
      <t xml:space="preserve">基準成本；自研晶片以同期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世代計價，</t>
    </r>
    <r>
      <rPr>
        <b val="true"/>
        <sz val="11"/>
        <rFont val="Cambria"/>
        <family val="0"/>
        <charset val="1"/>
      </rPr>
      <t xml:space="preserve">C2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</si>
  <si>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</si>
  <si>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（含自研晶片係數）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</si>
  <si>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加權營運費用（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</si>
  <si>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；含自研晶片資本支出係數）</t>
    </r>
  </si>
  <si>
    <r>
      <rPr>
        <sz val="11"/>
        <color theme="1"/>
        <rFont val="Noto Sans CJK SC"/>
        <family val="2"/>
      </rPr>
      <t xml:space="preserve">期初後新增對外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累計（期末）</t>
    </r>
  </si>
  <si>
    <r>
      <rPr>
        <sz val="11"/>
        <color theme="1"/>
        <rFont val="Calibri"/>
        <family val="2"/>
        <charset val="1"/>
      </rPr>
      <t xml:space="preserve">  Σ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× HoldEcon</t>
    </r>
  </si>
  <si>
    <t xml:space="preserve">US$m</t>
  </si>
  <si>
    <r>
      <rPr>
        <sz val="11"/>
        <color theme="1"/>
        <rFont val="Calibri"/>
        <family val="2"/>
        <charset val="1"/>
      </rPr>
      <t xml:space="preserve">  Σ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營運費用</t>
    </r>
  </si>
  <si>
    <r>
      <rPr>
        <sz val="11"/>
        <color theme="1"/>
        <rFont val="Noto Sans CJK SC"/>
        <family val="2"/>
      </rPr>
      <t xml:space="preserve">新增機隊加權 </t>
    </r>
    <r>
      <rPr>
        <sz val="11"/>
        <color theme="1"/>
        <rFont val="Calibri"/>
        <family val="2"/>
        <charset val="1"/>
      </rPr>
      <t xml:space="preserve">HoldEcon</t>
    </r>
  </si>
  <si>
    <t xml:space="preserve">新增機隊加權營運費用</t>
  </si>
  <si>
    <r>
      <rPr>
        <sz val="11"/>
        <color theme="1"/>
        <rFont val="Noto Sans CJK SC"/>
        <family val="2"/>
      </rPr>
      <t xml:space="preserve">新增產能每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年收入＝新增機隊 </t>
    </r>
    <r>
      <rPr>
        <sz val="11"/>
        <color theme="1"/>
        <rFont val="Calibri"/>
        <family val="2"/>
        <charset val="1"/>
      </rPr>
      <t xml:space="preserve">HoldEcon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</si>
  <si>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期初機隊 </t>
    </r>
    <r>
      <rPr>
        <sz val="11"/>
        <color theme="1"/>
        <rFont val="Calibri"/>
        <family val="2"/>
        <charset val="1"/>
      </rPr>
      <t xml:space="preserve">2,080 MW </t>
    </r>
    <r>
      <rPr>
        <sz val="11"/>
        <color theme="1"/>
        <rFont val="Noto Sans CJK SC"/>
        <family val="2"/>
      </rPr>
      <t xml:space="preserve">三情境同用 </t>
    </r>
    <r>
      <rPr>
        <sz val="11"/>
        <color theme="1"/>
        <rFont val="Calibri"/>
        <family val="2"/>
        <charset val="1"/>
      </rPr>
      <t xml:space="preserve">rpm_open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k_B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只用於新產能</t>
    </r>
  </si>
  <si>
    <r>
      <rPr>
        <sz val="11"/>
        <color theme="1"/>
        <rFont val="Noto Sans CJK SC"/>
        <family val="2"/>
      </rPr>
      <t xml:space="preserve">新增產能平均在役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（期間）</t>
    </r>
  </si>
  <si>
    <r>
      <rPr>
        <b val="true"/>
        <sz val="11"/>
        <rFont val="Cambria"/>
        <family val="0"/>
        <charset val="1"/>
      </rPr>
      <t xml:space="preserve">3. AWS AI </t>
    </r>
    <r>
      <rPr>
        <b val="true"/>
        <sz val="11"/>
        <rFont val="Noto Sans CJK SC"/>
        <family val="2"/>
      </rPr>
      <t xml:space="preserve">損益（收入端不乘 </t>
    </r>
    <r>
      <rPr>
        <b val="true"/>
        <sz val="11"/>
        <rFont val="Cambria"/>
        <family val="0"/>
        <charset val="1"/>
      </rPr>
      <t xml:space="preserve">IF_Util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MW-year </t>
    </r>
    <r>
      <rPr>
        <b val="true"/>
        <sz val="11"/>
        <rFont val="Noto Sans CJK SC"/>
        <family val="2"/>
      </rPr>
      <t xml:space="preserve">計價）</t>
    </r>
  </si>
  <si>
    <r>
      <rPr>
        <b val="true"/>
        <sz val="11"/>
        <rFont val="Cambria"/>
        <family val="0"/>
        <charset val="1"/>
      </rPr>
      <t xml:space="preserve">AWS AI </t>
    </r>
    <r>
      <rPr>
        <b val="true"/>
        <sz val="11"/>
        <rFont val="Noto Sans CJK SC"/>
        <family val="2"/>
      </rPr>
      <t xml:space="preserve">營收（命題子列）</t>
    </r>
  </si>
  <si>
    <r>
      <rPr>
        <sz val="11"/>
        <color theme="1"/>
        <rFont val="Noto Sans CJK SC"/>
        <family val="2"/>
      </rPr>
      <t xml:space="preserve">實績欄為分拆估計（期初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），不是公司揭露值</t>
    </r>
  </si>
  <si>
    <r>
      <rPr>
        <sz val="11"/>
        <color theme="1"/>
        <rFont val="Noto Sans CJK SC"/>
        <family val="2"/>
      </rPr>
      <t xml:space="preserve">全機隊每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</si>
  <si>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營運成本（含自用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、租用機房租金 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</si>
  <si>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營收（實績，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</si>
  <si>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其他營收（非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雲端）</t>
    </r>
  </si>
  <si>
    <r>
      <rPr>
        <sz val="11"/>
        <color theme="1"/>
        <rFont val="Noto Sans CJK SC"/>
        <family val="2"/>
      </rPr>
      <t xml:space="preserve">實績＝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分拆估計（殘差，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</si>
  <si>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AWS </t>
    </r>
    <r>
      <rPr>
        <sz val="11"/>
        <color theme="1"/>
        <rFont val="Noto Sans CJK SC"/>
        <family val="2"/>
      </rPr>
      <t xml:space="preserve">其他年增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</si>
  <si>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低估的可能）；收斂到 </t>
    </r>
    <r>
      <rPr>
        <sz val="11"/>
        <color theme="1"/>
        <rFont val="Calibri"/>
        <family val="2"/>
        <charset val="1"/>
      </rPr>
      <t xml:space="preserve">g_awso_lt</t>
    </r>
  </si>
  <si>
    <r>
      <rPr>
        <b val="true"/>
        <sz val="11"/>
        <rFont val="Cambria"/>
        <family val="0"/>
        <charset val="1"/>
      </rPr>
      <t xml:space="preserve">4. AI </t>
    </r>
    <r>
      <rPr>
        <b val="true"/>
        <sz val="11"/>
        <rFont val="Noto Sans CJK SC"/>
        <family val="2"/>
      </rPr>
      <t xml:space="preserve">資本支出（現金）→ 折舊（</t>
    </r>
    <r>
      <rPr>
        <b val="true"/>
        <sz val="11"/>
        <rFont val="Cambria"/>
        <family val="0"/>
        <charset val="1"/>
      </rPr>
      <t xml:space="preserve">IT 6 </t>
    </r>
    <r>
      <rPr>
        <b val="true"/>
        <sz val="11"/>
        <rFont val="Noto Sans CJK SC"/>
        <family val="2"/>
      </rPr>
      <t xml:space="preserve">年、機房 </t>
    </r>
    <r>
      <rPr>
        <b val="true"/>
        <sz val="11"/>
        <rFont val="Cambria"/>
        <family val="0"/>
        <charset val="1"/>
      </rPr>
      <t xml:space="preserve">20 </t>
    </r>
    <r>
      <rPr>
        <b val="true"/>
        <sz val="11"/>
        <rFont val="Noto Sans CJK SC"/>
        <family val="2"/>
      </rPr>
      <t xml:space="preserve">年；次年起提列）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</si>
  <si>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資本支出（零售＋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</si>
  <si>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比例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</si>
  <si>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資本支出（現金，含自用）</t>
    </r>
  </si>
  <si>
    <r>
      <rPr>
        <sz val="11"/>
        <color theme="1"/>
        <rFont val="Noto Sans CJK SC"/>
        <family val="2"/>
      </rPr>
      <t xml:space="preserve">實績＝公司資本支出淨額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（零售 </t>
    </r>
    <r>
      <rPr>
        <sz val="11"/>
        <color theme="1"/>
        <rFont val="Calibri"/>
        <family val="2"/>
        <charset val="1"/>
      </rPr>
      <t xml:space="preserve">cx_rt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cx_awso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MAX(MW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220 − </t>
    </r>
    <r>
      <rPr>
        <sz val="11"/>
        <color theme="1"/>
        <rFont val="Noto Sans CJK SC"/>
        <family val="2"/>
      </rPr>
      <t xml:space="preserve">上半年 − 非 </t>
    </r>
    <r>
      <rPr>
        <sz val="11"/>
        <color theme="1"/>
        <rFont val="Calibri"/>
        <family val="2"/>
        <charset val="1"/>
      </rPr>
      <t xml:space="preserve">AI)</t>
    </r>
    <r>
      <rPr>
        <sz val="11"/>
        <color theme="1"/>
        <rFont val="Noto Sans CJK SC"/>
        <family val="2"/>
      </rPr>
      <t xml:space="preserve">；之後＝新增 </t>
    </r>
    <r>
      <rPr>
        <sz val="11"/>
        <color theme="1"/>
        <rFont val="Calibri"/>
        <family val="2"/>
        <charset val="1"/>
      </rPr>
      <t xml:space="preserve">MW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＋自建機房）＋汰換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</si>
  <si>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汰換（折舊年限前新增的總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</si>
  <si>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</t>
    </r>
  </si>
  <si>
    <t xml:space="preserve">  其中機房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</si>
  <si>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</si>
  <si>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機房折舊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</si>
  <si>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折舊合計（對外 → 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；自用 → 零售分部）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</si>
  <si>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淨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（期末）</t>
    </r>
  </si>
  <si>
    <r>
      <rPr>
        <b val="true"/>
        <sz val="11"/>
        <rFont val="Cambria"/>
        <family val="0"/>
        <charset val="1"/>
      </rPr>
      <t xml:space="preserve">5. AWS AI </t>
    </r>
    <r>
      <rPr>
        <b val="true"/>
        <sz val="11"/>
        <rFont val="Noto Sans CJK SC"/>
        <family val="2"/>
      </rPr>
      <t xml:space="preserve">營業利益、自用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成本、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</si>
  <si>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AWS AI EBITDA</t>
    </r>
    <r>
      <rPr>
        <sz val="11"/>
        <color theme="1"/>
        <rFont val="Noto Sans CJK SC"/>
        <family val="2"/>
      </rPr>
      <t xml:space="preserve">＝營收 − 對外比例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營運成本</t>
    </r>
  </si>
  <si>
    <r>
      <rPr>
        <b val="true"/>
        <sz val="11"/>
        <rFont val="Cambria"/>
        <family val="0"/>
        <charset val="1"/>
      </rPr>
      <t xml:space="preserve">AWS AI </t>
    </r>
    <r>
      <rPr>
        <b val="true"/>
        <sz val="11"/>
        <rFont val="Noto Sans CJK SC"/>
        <family val="2"/>
      </rPr>
      <t xml:space="preserve">營業利益＝</t>
    </r>
    <r>
      <rPr>
        <b val="true"/>
        <sz val="11"/>
        <rFont val="Cambria"/>
        <family val="0"/>
        <charset val="1"/>
      </rPr>
      <t xml:space="preserve">EBITDA − </t>
    </r>
    <r>
      <rPr>
        <b val="true"/>
        <sz val="11"/>
        <rFont val="Noto Sans CJK SC"/>
        <family val="2"/>
      </rPr>
      <t xml:space="preserve">對外比例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</si>
  <si>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  AWS AI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</si>
  <si>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MW × HoldEcon × 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</si>
  <si>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rd2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C16 </t>
    </r>
    <r>
      <rPr>
        <sz val="11"/>
        <color theme="1"/>
        <rFont val="Noto Sans CJK SC"/>
        <family val="2"/>
      </rPr>
      <t xml:space="preserve">主值待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</si>
  <si>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成本淨額（營運＋折舊 −影子效益；分攤到北美／國際）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</si>
  <si>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營業利益（實績，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</si>
  <si>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其他營業利益</t>
    </r>
  </si>
  <si>
    <r>
      <rPr>
        <sz val="11"/>
        <color theme="1"/>
        <rFont val="Noto Sans CJK SC"/>
        <family val="2"/>
      </rPr>
      <t xml:space="preserve">實績＝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營業利益（殘差）</t>
    </r>
  </si>
  <si>
    <r>
      <rPr>
        <sz val="11"/>
        <color theme="1"/>
        <rFont val="Calibri"/>
        <family val="2"/>
        <charset val="1"/>
      </rPr>
      <t xml:space="preserve">  AWS </t>
    </r>
    <r>
      <rPr>
        <sz val="11"/>
        <color theme="1"/>
        <rFont val="Noto Sans CJK SC"/>
        <family val="2"/>
      </rPr>
      <t xml:space="preserve">其他營業利益率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</si>
  <si>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起固定為近四季（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）殘差利益率（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</si>
  <si>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其他營收（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</si>
  <si>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折舊攤銷（分部）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</si>
  <si>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命題指標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</si>
  <si>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（稅後營業利益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對外分攤的平均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淨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</si>
  <si>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C11</t>
    </r>
    <r>
      <rPr>
        <sz val="11"/>
        <color theme="1"/>
        <rFont val="Noto Sans CJK SC"/>
        <family val="2"/>
      </rPr>
      <t xml:space="preserve">：分子分母同口徑（對外）</t>
    </r>
  </si>
  <si>
    <r>
      <rPr>
        <sz val="11"/>
        <color theme="1"/>
        <rFont val="Noto Sans CJK SC"/>
        <family val="2"/>
      </rPr>
      <t xml:space="preserve">機隊平均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持有成本）</t>
    </r>
  </si>
  <si>
    <r>
      <rPr>
        <sz val="11"/>
        <color theme="1"/>
        <rFont val="Noto Sans CJK SC"/>
        <family val="2"/>
      </rPr>
      <t xml:space="preserve">打平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所需的機隊平均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</si>
  <si>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上限檢查：全機隊每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 </t>
    </r>
    <r>
      <rPr>
        <sz val="11"/>
        <color theme="1"/>
        <rFont val="Calibri"/>
        <family val="2"/>
        <charset val="1"/>
      </rPr>
      <t xml:space="preserve">÷ Tokenomics P×Q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</si>
  <si>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上限，不得作預測；只作檢查</t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</si>
  <si>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</si>
  <si>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</si>
  <si>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營收線 </t>
    </r>
    <r>
      <rPr>
        <sz val="11"/>
        <color theme="1"/>
        <rFont val="Calibri"/>
        <family val="2"/>
        <charset val="1"/>
      </rPr>
      <t xml:space="preserve">Online stores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Physical stores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Third-party seller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Advertising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Subscription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（零售各線合計＝北美＋國際）與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（命題子列，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其他。核對列（綠底）每情境每年度皆須為 </t>
    </r>
    <r>
      <rPr>
        <sz val="11"/>
        <color theme="1"/>
        <rFont val="Calibri"/>
        <family val="2"/>
        <charset val="1"/>
      </rPr>
      <t xml:space="preserve">0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</si>
  <si>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</si>
  <si>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零售各營收線（</t>
    </r>
    <r>
      <rPr>
        <b val="true"/>
        <sz val="11"/>
        <rFont val="Cambria"/>
        <family val="0"/>
        <charset val="1"/>
      </rPr>
      <t xml:space="preserve">2H26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2H25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2H25 </t>
    </r>
    <r>
      <rPr>
        <b val="true"/>
        <sz val="11"/>
        <rFont val="Noto Sans CJK SC"/>
        <family val="2"/>
      </rPr>
      <t xml:space="preserve">年增）− </t>
    </r>
    <r>
      <rPr>
        <b val="true"/>
        <sz val="11"/>
        <rFont val="Cambria"/>
        <family val="0"/>
        <charset val="1"/>
      </rPr>
      <t xml:space="preserve">Prime Day </t>
    </r>
    <r>
      <rPr>
        <b val="true"/>
        <sz val="11"/>
        <rFont val="Noto Sans CJK SC"/>
        <family val="2"/>
      </rPr>
      <t xml:space="preserve">時點；</t>
    </r>
    <r>
      <rPr>
        <b val="true"/>
        <sz val="11"/>
        <rFont val="Cambria"/>
        <family val="0"/>
        <charset val="1"/>
      </rPr>
      <t xml:space="preserve">2027–2030 </t>
    </r>
    <r>
      <rPr>
        <b val="true"/>
        <sz val="11"/>
        <rFont val="Noto Sans CJK SC"/>
        <family val="2"/>
      </rPr>
      <t xml:space="preserve">年增由 </t>
    </r>
    <r>
      <rPr>
        <b val="true"/>
        <sz val="11"/>
        <rFont val="Cambria"/>
        <family val="0"/>
        <charset val="1"/>
      </rPr>
      <t xml:space="preserve">2H25 </t>
    </r>
    <r>
      <rPr>
        <b val="true"/>
        <sz val="11"/>
        <rFont val="Noto Sans CJK SC"/>
        <family val="2"/>
      </rPr>
      <t xml:space="preserve">年增線性收斂到長期值；</t>
    </r>
    <r>
      <rPr>
        <b val="true"/>
        <sz val="11"/>
        <rFont val="Cambria"/>
        <family val="0"/>
        <charset val="1"/>
      </rPr>
      <t xml:space="preserve">2031–2032</t>
    </r>
    <r>
      <rPr>
        <b val="true"/>
        <sz val="11"/>
        <rFont val="Noto Sans CJK SC"/>
        <family val="2"/>
      </rPr>
      <t xml:space="preserve">＝長期值）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</si>
  <si>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頁實績；預測＝前期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＋年增）</t>
    </r>
  </si>
  <si>
    <r>
      <rPr>
        <sz val="11"/>
        <color theme="1"/>
        <rFont val="Calibri"/>
        <family val="2"/>
        <charset val="1"/>
      </rPr>
      <t xml:space="preserve">  Online stores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</si>
  <si>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g_os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另扣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時點（</t>
    </r>
    <r>
      <rPr>
        <sz val="11"/>
        <color theme="1"/>
        <rFont val="Calibri"/>
        <family val="2"/>
        <charset val="1"/>
      </rPr>
      <t xml:space="preserve">pd_amt</t>
    </r>
    <r>
      <rPr>
        <sz val="11"/>
        <color theme="1"/>
        <rFont val="Noto Sans CJK SC"/>
        <family val="2"/>
      </rPr>
      <t xml:space="preserve">，按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比例分攤到 </t>
    </r>
    <r>
      <rPr>
        <sz val="11"/>
        <color theme="1"/>
        <rFont val="Calibri"/>
        <family val="2"/>
        <charset val="1"/>
      </rPr>
      <t xml:space="preserve">Online stores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Third-party seller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</si>
  <si>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Physical stores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</si>
  <si>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g_ps</t>
    </r>
  </si>
  <si>
    <r>
      <rPr>
        <sz val="11"/>
        <color theme="1"/>
        <rFont val="Calibri"/>
        <family val="2"/>
        <charset val="1"/>
      </rPr>
      <t xml:space="preserve">  Third-party seller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</si>
  <si>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g_sp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另扣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時點（</t>
    </r>
    <r>
      <rPr>
        <sz val="11"/>
        <color theme="1"/>
        <rFont val="Calibri"/>
        <family val="2"/>
        <charset val="1"/>
      </rPr>
      <t xml:space="preserve">pd_amt</t>
    </r>
    <r>
      <rPr>
        <sz val="11"/>
        <color theme="1"/>
        <rFont val="Noto Sans CJK SC"/>
        <family val="2"/>
      </rPr>
      <t xml:space="preserve">，按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比例分攤到 </t>
    </r>
    <r>
      <rPr>
        <sz val="11"/>
        <color theme="1"/>
        <rFont val="Calibri"/>
        <family val="2"/>
        <charset val="1"/>
      </rPr>
      <t xml:space="preserve">Online stores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Third-party seller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</si>
  <si>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Advertising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</si>
  <si>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g_ad</t>
    </r>
  </si>
  <si>
    <r>
      <rPr>
        <sz val="11"/>
        <color theme="1"/>
        <rFont val="Calibri"/>
        <family val="2"/>
        <charset val="1"/>
      </rPr>
      <t xml:space="preserve">  Subscription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</si>
  <si>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g_sub</t>
    </r>
  </si>
  <si>
    <r>
      <rPr>
        <sz val="11"/>
        <color theme="1"/>
        <rFont val="Calibri"/>
        <family val="2"/>
        <charset val="1"/>
      </rPr>
      <t xml:space="preserve">  Other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</si>
  <si>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g_ot</t>
    </r>
  </si>
  <si>
    <r>
      <rPr>
        <b val="true"/>
        <sz val="11"/>
        <rFont val="Noto Sans CJK SC"/>
        <family val="2"/>
      </rPr>
      <t xml:space="preserve">零售營收線合計（＝</t>
    </r>
    <r>
      <rPr>
        <b val="true"/>
        <sz val="11"/>
        <rFont val="Cambria"/>
        <family val="0"/>
        <charset val="1"/>
      </rPr>
      <t xml:space="preserve">North America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International</t>
    </r>
    <r>
      <rPr>
        <b val="true"/>
        <sz val="11"/>
        <rFont val="Noto Sans CJK SC"/>
        <family val="2"/>
      </rPr>
      <t xml:space="preserve">）</t>
    </r>
  </si>
  <si>
    <t xml:space="preserve">北美占零售營收比例（地區分攤）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</si>
  <si>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起固定為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）；各營收線不分地區揭露，故以本列分攤</t>
    </r>
  </si>
  <si>
    <r>
      <rPr>
        <sz val="11"/>
        <color theme="1"/>
        <rFont val="Noto Sans CJK SC"/>
        <family val="2"/>
      </rPr>
      <t xml:space="preserve">官方分部；預測＝零售營收線合計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北美比例</t>
    </r>
  </si>
  <si>
    <r>
      <rPr>
        <sz val="11"/>
        <color theme="1"/>
        <rFont val="Noto Sans CJK SC"/>
        <family val="2"/>
      </rPr>
      <t xml:space="preserve">官方分部；預測＝零售營收線合計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北美比例）</t>
    </r>
  </si>
  <si>
    <r>
      <rPr>
        <sz val="11"/>
        <color theme="1"/>
        <rFont val="Noto Sans CJK SC"/>
        <family val="2"/>
      </rPr>
      <t xml:space="preserve">廣告營收歸北美（＝廣告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北美比例）</t>
    </r>
  </si>
  <si>
    <r>
      <rPr>
        <sz val="11"/>
        <color theme="1"/>
        <rFont val="Noto Sans CJK SC"/>
        <family val="2"/>
      </rPr>
      <t xml:space="preserve">廣告營收依零售營收的地區比例分攤（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；公司未分地區揭露）</t>
    </r>
  </si>
  <si>
    <t xml:space="preserve">廣告營收歸國際</t>
  </si>
  <si>
    <r>
      <rPr>
        <b val="true"/>
        <sz val="11"/>
        <rFont val="Cambria"/>
        <family val="0"/>
        <charset val="1"/>
      </rPr>
      <t xml:space="preserve">2. AWS</t>
    </r>
    <r>
      <rPr>
        <b val="true"/>
        <sz val="11"/>
        <rFont val="Noto Sans CJK SC"/>
        <family val="2"/>
      </rPr>
      <t xml:space="preserve">（命題子列＋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其他）與合併營收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</si>
  <si>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</si>
  <si>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</si>
  <si>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</si>
  <si>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官方分部＝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營收線</t>
    </r>
  </si>
  <si>
    <t xml:space="preserve">合併營收（實績＝公司揭露；預測＝營收線加總）</t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</si>
  <si>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</si>
  <si>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</si>
  <si>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）：分部合計 − 合併營收</t>
    </r>
  </si>
  <si>
    <t xml:space="preserve">合併營收年增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</si>
  <si>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占合併營收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</si>
  <si>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</si>
  <si>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</si>
  <si>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</si>
  <si>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</si>
  <si>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）：分部合計 − 合併營收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</si>
  <si>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</si>
  <si>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</si>
  <si>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</si>
  <si>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）：分部合計 − 合併營收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</si>
  <si>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 → 合併營業利益 → 業外、稅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。廣告利潤率 </t>
    </r>
    <r>
      <rPr>
        <sz val="11"/>
        <color theme="1"/>
        <rFont val="Calibri"/>
        <family val="2"/>
        <charset val="1"/>
      </rPr>
      <t xml:space="preserve">m_ad </t>
    </r>
    <r>
      <rPr>
        <sz val="11"/>
        <color theme="1"/>
        <rFont val="Noto Sans CJK SC"/>
        <family val="2"/>
      </rPr>
      <t xml:space="preserve">驅動北美／國際利益率（廣告營收依零售地區比例分攤；零售本業利益率＝分部利益扣廣告利潤後的殘差）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</si>
  <si>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4–10 </t>
    </r>
    <r>
      <rPr>
        <sz val="11"/>
        <color theme="1"/>
        <rFont val="Noto Sans CJK SC"/>
        <family val="2"/>
      </rPr>
      <t xml:space="preserve">列：跨情境核對（三情境絕對值合計；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讀本區）；實績欄為公司揭露值的核對</t>
    </r>
  </si>
  <si>
    <r>
      <rPr>
        <b val="true"/>
        <sz val="11"/>
        <rFont val="Noto Sans CJK SC"/>
        <family val="2"/>
      </rPr>
      <t xml:space="preserve">跨情境核對（三情境絕對值合計；應全為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</si>
  <si>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</si>
  <si>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t xml:space="preserve">檢查：分部營業利益合計 − 合併營業利益</t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</si>
  <si>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</si>
  <si>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營收線與官方分部）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</si>
  <si>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（營收線＝分部）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</si>
  <si>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</si>
  <si>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分部營業利益（廣告利潤率 </t>
    </r>
    <r>
      <rPr>
        <b val="true"/>
        <sz val="11"/>
        <rFont val="Cambria"/>
        <family val="0"/>
        <charset val="1"/>
      </rPr>
      <t xml:space="preserve">m_ad </t>
    </r>
    <r>
      <rPr>
        <b val="true"/>
        <sz val="11"/>
        <rFont val="Noto Sans CJK SC"/>
        <family val="2"/>
      </rPr>
      <t xml:space="preserve">計入北美／國際；零售本業利益率＝殘差；自用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成本按北美比例分攤）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</si>
  <si>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：廣告利潤（廣告營收 </t>
    </r>
    <r>
      <rPr>
        <sz val="11"/>
        <color theme="1"/>
        <rFont val="Calibri"/>
        <family val="2"/>
        <charset val="1"/>
      </rPr>
      <t xml:space="preserve">× m_ad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</si>
  <si>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：零售本業營收（分部 − 廣告）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</si>
  <si>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成本淨額分攤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</si>
  <si>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：零售本業利益率（實績＝殘差，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</si>
  <si>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(1H26 − 1H25)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每年＋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step</t>
    </r>
    <r>
      <rPr>
        <sz val="11"/>
        <color theme="1"/>
        <rFont val="Noto Sans CJK SC"/>
        <family val="2"/>
      </rPr>
      <t xml:space="preserve">；之後持平</t>
    </r>
  </si>
  <si>
    <r>
      <rPr>
        <b val="true"/>
        <sz val="11"/>
        <rFont val="Cambria"/>
        <family val="0"/>
        <charset val="1"/>
      </rPr>
      <t xml:space="preserve">North America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</si>
  <si>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：廣告利潤（廣告營收 </t>
    </r>
    <r>
      <rPr>
        <sz val="11"/>
        <color theme="1"/>
        <rFont val="Calibri"/>
        <family val="2"/>
        <charset val="1"/>
      </rPr>
      <t xml:space="preserve">× m_ad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</si>
  <si>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：零售本業營收（分部 − 廣告）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</si>
  <si>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成本淨額分攤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</si>
  <si>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：零售本業利益率（實績＝殘差，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</si>
  <si>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International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</si>
  <si>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營業利益（命題子列）</t>
    </r>
  </si>
  <si>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</si>
  <si>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未分攤（公司層；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</si>
  <si>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</si>
  <si>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</si>
  <si>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</si>
  <si>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</si>
  <si>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營業利益率</t>
    </r>
  </si>
  <si>
    <t xml:space="preserve">合併營業利益率</t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</si>
  <si>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分部折舊攤銷（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EBITDA</t>
    </r>
    <r>
      <rPr>
        <b val="true"/>
        <sz val="11"/>
        <rFont val="Noto Sans CJK SC"/>
        <family val="2"/>
      </rPr>
      <t xml:space="preserve">（分部加總評價用）</t>
    </r>
  </si>
  <si>
    <r>
      <rPr>
        <sz val="11"/>
        <color theme="1"/>
        <rFont val="Noto Sans CJK SC"/>
        <family val="2"/>
      </rPr>
      <t xml:space="preserve">零售非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零售營收（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</si>
  <si>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Noto Sans CJK SC"/>
        <family val="2"/>
      </rPr>
      <t xml:space="preserve">分部折舊攤銷合計（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；不含影音內容與營業租賃資產）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</si>
  <si>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：廣告（＝廣告利潤，未分攤折舊）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</si>
  <si>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：零售本業（北美＋國際 營業利益＋折舊 − 廣告利潤；含自用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</si>
  <si>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</si>
  <si>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AI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</si>
  <si>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（營業利益＋分部折舊攤銷）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</si>
  <si>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業外、稅、淨利、</t>
    </r>
    <r>
      <rPr>
        <b val="true"/>
        <sz val="11"/>
        <rFont val="Cambria"/>
        <family val="0"/>
        <charset val="1"/>
      </rPr>
      <t xml:space="preserve">EPS</t>
    </r>
  </si>
  <si>
    <t xml:space="preserve">利息收入（預測；實績含在業外其他）</t>
  </si>
  <si>
    <r>
      <rPr>
        <sz val="11"/>
        <color theme="1"/>
        <rFont val="Noto Sans CJK SC"/>
        <family val="2"/>
      </rPr>
      <t xml:space="preserve">業外其他（含利息收入與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等持股評價損益；預測期設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</si>
  <si>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持股價值另在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頁加入（不重複計算）</t>
    </r>
  </si>
  <si>
    <r>
      <rPr>
        <sz val="11"/>
        <color theme="1"/>
        <rFont val="Noto Sans CJK SC"/>
        <family val="2"/>
      </rPr>
      <t xml:space="preserve">無回購；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稀釋每年 </t>
    </r>
    <r>
      <rPr>
        <sz val="11"/>
        <color theme="1"/>
        <rFont val="Calibri"/>
        <family val="2"/>
        <charset val="1"/>
      </rPr>
      <t xml:space="preserve">sh_g</t>
    </r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</si>
  <si>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（稀釋）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</si>
  <si>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（不含業外其他，近似：扣除業外其他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</si>
  <si>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上半年業外含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評價利益約 </t>
    </r>
    <r>
      <rPr>
        <sz val="11"/>
        <color theme="1"/>
        <rFont val="Calibri"/>
        <family val="2"/>
        <charset val="1"/>
      </rPr>
      <t xml:space="preserve">69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</si>
  <si>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</si>
  <si>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</si>
  <si>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</si>
  <si>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</si>
  <si>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</si>
  <si>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</si>
  <si>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</si>
  <si>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營運現金（淨利＋分部折舊＋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＋其他）− 資本支出（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其他＋零售）− 融資租賃本金 → 自由現金流；股利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、回購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無）；現金低於最低現金即舉債</t>
    </r>
  </si>
  <si>
    <t xml:space="preserve">收支關卡（地圖讀取；列標籤固定）</t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</si>
  <si>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</si>
  <si>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</si>
  <si>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</si>
  <si>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情境加權</t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</si>
  <si>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</si>
  <si>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FY2026–FY2030</t>
    </r>
    <r>
      <rPr>
        <sz val="11"/>
        <color theme="1"/>
        <rFont val="Noto Sans CJK SC"/>
        <family val="2"/>
      </rPr>
      <t xml:space="preserve">（首年起五年；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模型）自由現金流扣股利合計；負值＝入不敷出（地圖收支關卡）</t>
    </r>
  </si>
  <si>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新增借款合計（不含已發行債券）</t>
    </r>
  </si>
  <si>
    <t xml:space="preserve">是否需要舉債</t>
  </si>
  <si>
    <r>
      <rPr>
        <sz val="11"/>
        <color theme="1"/>
        <rFont val="Noto Sans CJK SC"/>
        <family val="2"/>
      </rPr>
      <t xml:space="preserve">已發行的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下半年債券 </t>
    </r>
    <r>
      <rPr>
        <sz val="11"/>
        <color theme="1"/>
        <rFont val="Calibri"/>
        <family val="2"/>
        <charset val="1"/>
      </rPr>
      <t xml:space="preserve">29.25 </t>
    </r>
    <r>
      <rPr>
        <sz val="11"/>
        <color theme="1"/>
        <rFont val="Noto Sans CJK SC"/>
        <family val="2"/>
      </rPr>
      <t xml:space="preserve">不計；現金低於最低現金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時舉債</t>
    </r>
  </si>
  <si>
    <t xml:space="preserve">回購是否需停止</t>
  </si>
  <si>
    <r>
      <rPr>
        <sz val="11"/>
        <color theme="1"/>
        <rFont val="Noto Sans CJK SC"/>
        <family val="2"/>
      </rPr>
      <t xml:space="preserve">無回購可減（</t>
    </r>
    <r>
      <rPr>
        <sz val="11"/>
        <color theme="1"/>
        <rFont val="Calibri"/>
        <family val="2"/>
        <charset val="1"/>
      </rPr>
      <t xml:space="preserve">2023–2026H1 </t>
    </r>
    <r>
      <rPr>
        <sz val="11"/>
        <color theme="1"/>
        <rFont val="Noto Sans CJK SC"/>
        <family val="2"/>
      </rPr>
      <t xml:space="preserve">皆為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</si>
  <si>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自由現金流（扣股利）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</si>
  <si>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（樂觀）：營運現金 − 資本支出 − 租賃本金 → 自由現金流；股利、回購、借款與淨現金</t>
    </r>
  </si>
  <si>
    <r>
      <rPr>
        <sz val="11"/>
        <color theme="1"/>
        <rFont val="Noto Sans CJK SC"/>
        <family val="2"/>
      </rPr>
      <t xml:space="preserve">分部折舊攤銷（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</si>
  <si>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股份基礎給付（加回）</t>
  </si>
  <si>
    <t xml:space="preserve">其他營運項目（營運資金、影音內容與租賃現金支出、非現金業外）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</si>
  <si>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含首期營運資金（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）；實績含持股評價利益的扣除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</si>
  <si>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</si>
  <si>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cx_awso × AWS </t>
    </r>
    <r>
      <rPr>
        <sz val="11"/>
        <color theme="1"/>
        <rFont val="Noto Sans CJK SC"/>
        <family val="2"/>
      </rPr>
      <t xml:space="preserve">其他營收）</t>
    </r>
  </si>
  <si>
    <r>
      <rPr>
        <sz val="11"/>
        <color theme="1"/>
        <rFont val="Noto Sans CJK SC"/>
        <family val="2"/>
      </rPr>
      <t xml:space="preserve">資本支出：零售（</t>
    </r>
    <r>
      <rPr>
        <sz val="11"/>
        <color theme="1"/>
        <rFont val="Calibri"/>
        <family val="2"/>
        <charset val="1"/>
      </rPr>
      <t xml:space="preserve">cx_rt × </t>
    </r>
    <r>
      <rPr>
        <sz val="11"/>
        <color theme="1"/>
        <rFont val="Noto Sans CJK SC"/>
        <family val="2"/>
      </rPr>
      <t xml:space="preserve">零售營收）</t>
    </r>
  </si>
  <si>
    <t xml:space="preserve">資本支出（現金，淨額）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</si>
  <si>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未揭露：以全年 </t>
    </r>
    <r>
      <rPr>
        <sz val="11"/>
        <color theme="1"/>
        <rFont val="Calibri"/>
        <family val="2"/>
        <charset val="1"/>
      </rPr>
      <t xml:space="preserve">÷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</si>
  <si>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自由現金流（營運現金流 − 資本支出 − 融資租賃本金）</t>
  </si>
  <si>
    <t xml:space="preserve">股利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</si>
  <si>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未配息</t>
    </r>
  </si>
  <si>
    <t xml:space="preserve">回購</t>
  </si>
  <si>
    <r>
      <rPr>
        <sz val="11"/>
        <color theme="1"/>
        <rFont val="Calibri"/>
        <family val="2"/>
        <charset val="1"/>
      </rPr>
      <t xml:space="preserve">2023–2026H1 </t>
    </r>
    <r>
      <rPr>
        <sz val="11"/>
        <color theme="1"/>
        <rFont val="Noto Sans CJK SC"/>
        <family val="2"/>
      </rPr>
      <t xml:space="preserve">無回購；模型不設回購（無可減的回購）</t>
    </r>
  </si>
  <si>
    <t xml:space="preserve">自由現金流扣股利</t>
  </si>
  <si>
    <r>
      <rPr>
        <sz val="11"/>
        <color theme="1"/>
        <rFont val="Noto Sans CJK SC"/>
        <family val="2"/>
      </rPr>
      <t xml:space="preserve">策略投資（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</si>
  <si>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已發行債券（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下半年）</t>
    </r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</si>
  <si>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起）</t>
    </r>
  </si>
  <si>
    <t xml:space="preserve">借款前現金</t>
  </si>
  <si>
    <t xml:space="preserve">新增借款（現金低於最低現金時）</t>
  </si>
  <si>
    <r>
      <rPr>
        <sz val="11"/>
        <color theme="1"/>
        <rFont val="Noto Sans CJK SC"/>
        <family val="2"/>
      </rPr>
      <t xml:space="preserve">到期債務假設全數再融資（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</si>
  <si>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期末現金與有價證券</t>
  </si>
  <si>
    <t xml:space="preserve">期末債務面額</t>
  </si>
  <si>
    <t xml:space="preserve">淨負債（債務 − 現金；負值＝淨現金）</t>
  </si>
  <si>
    <r>
      <rPr>
        <sz val="11"/>
        <color theme="1"/>
        <rFont val="Noto Sans CJK SC"/>
        <family val="2"/>
      </rPr>
      <t xml:space="preserve">利息費用（既有債務 </t>
    </r>
    <r>
      <rPr>
        <sz val="11"/>
        <color theme="1"/>
        <rFont val="Calibri"/>
        <family val="2"/>
        <charset val="1"/>
      </rPr>
      <t xml:space="preserve">× kd_book</t>
    </r>
    <r>
      <rPr>
        <sz val="11"/>
        <color theme="1"/>
        <rFont val="Noto Sans CJK SC"/>
        <family val="2"/>
      </rPr>
      <t xml:space="preserve">＋新增債務 </t>
    </r>
    <r>
      <rPr>
        <sz val="11"/>
        <color theme="1"/>
        <rFont val="Calibri"/>
        <family val="2"/>
        <charset val="1"/>
      </rPr>
      <t xml:space="preserve">× kd_new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</si>
  <si>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y_cash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</si>
  <si>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收支關卡（本情境）：自由現金流扣股利 </t>
    </r>
    <r>
      <rPr>
        <b val="true"/>
        <sz val="11"/>
        <rFont val="Cambria"/>
        <family val="0"/>
        <charset val="1"/>
      </rPr>
      <t xml:space="preserve">FY2026–FY2030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</si>
  <si>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</si>
  <si>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（保守）：營運現金 − 資本支出 − 租賃本金 → 自由現金流；股利、回購、借款與淨現金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</si>
  <si>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FCFF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；五級投資建議</t>
    </r>
  </si>
  <si>
    <r>
      <rPr>
        <b val="true"/>
        <sz val="12"/>
        <rFont val="Cambria"/>
        <family val="0"/>
        <charset val="1"/>
      </rPr>
      <t xml:space="preserve">0. </t>
    </r>
    <r>
      <rPr>
        <b val="true"/>
        <sz val="12"/>
        <rFont val="Noto Sans CJK SC"/>
        <family val="2"/>
      </rPr>
      <t xml:space="preserve">目標價（工作單第 </t>
    </r>
    <r>
      <rPr>
        <b val="true"/>
        <sz val="12"/>
        <rFont val="Cambria"/>
        <family val="0"/>
        <charset val="1"/>
      </rPr>
      <t xml:space="preserve">2 </t>
    </r>
    <r>
      <rPr>
        <b val="true"/>
        <sz val="12"/>
        <rFont val="Noto Sans CJK SC"/>
        <family val="2"/>
      </rPr>
      <t xml:space="preserve">節；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半導體 </t>
    </r>
    <r>
      <rPr>
        <b val="true"/>
        <sz val="12"/>
        <rFont val="Cambria"/>
        <family val="0"/>
        <charset val="1"/>
      </rPr>
      <t xml:space="preserve">v2 </t>
    </r>
    <r>
      <rPr>
        <b val="true"/>
        <sz val="12"/>
        <rFont val="Noto Sans CJK SC"/>
        <family val="2"/>
      </rPr>
      <t xml:space="preserve">口徑：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＋</t>
    </r>
    <r>
      <rPr>
        <b val="true"/>
        <sz val="12"/>
        <rFont val="Cambria"/>
        <family val="0"/>
        <charset val="1"/>
      </rPr>
      <t xml:space="preserve">Comparable </t>
    </r>
    <r>
      <rPr>
        <b val="true"/>
        <sz val="12"/>
        <rFont val="Noto Sans CJK SC"/>
        <family val="2"/>
      </rPr>
      <t xml:space="preserve">各半，</t>
    </r>
    <r>
      <rPr>
        <b val="true"/>
        <sz val="12"/>
        <rFont val="Cambria"/>
        <family val="0"/>
        <charset val="1"/>
      </rPr>
      <t xml:space="preserve">Comparable </t>
    </r>
    <r>
      <rPr>
        <b val="true"/>
        <sz val="12"/>
        <rFont val="Noto Sans CJK SC"/>
        <family val="2"/>
      </rPr>
      <t xml:space="preserve">在分部層做＝分部加總）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</si>
  <si>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</si>
  <si>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sz val="11"/>
        <color theme="1"/>
        <rFont val="Calibri"/>
        <family val="2"/>
        <charset val="1"/>
      </rPr>
      <t xml:space="preserve">FCFF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折到 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，再以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2027-10-27</t>
    </r>
  </si>
  <si>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（分部加總）情境價值</t>
    </r>
  </si>
  <si>
    <r>
      <rPr>
        <sz val="11"/>
        <color theme="1"/>
        <rFont val="Noto Sans CJK SC"/>
        <family val="2"/>
      </rPr>
      <t xml:space="preserve">廣告、零售本業、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各乘同業倍數；＋持股 − 淨負債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</si>
  <si>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</si>
  <si>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企業價值</t>
    </r>
  </si>
  <si>
    <t xml:space="preserve">情境權重</t>
  </si>
  <si>
    <r>
      <rPr>
        <sz val="11"/>
        <color theme="1"/>
        <rFont val="Calibri"/>
        <family val="2"/>
        <charset val="1"/>
      </rPr>
      <t xml:space="preserve">FY2028 AWS </t>
    </r>
    <r>
      <rPr>
        <sz val="11"/>
        <color theme="1"/>
        <rFont val="Noto Sans CJK SC"/>
        <family val="2"/>
      </rPr>
      <t xml:space="preserve">營業利益率</t>
    </r>
  </si>
  <si>
    <t xml:space="preserve">核心問題（一）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</si>
  <si>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自由現金流扣股利</t>
    </r>
  </si>
  <si>
    <t xml:space="preserve">核心問題（二）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</si>
  <si>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ROIC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</si>
  <si>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</si>
  <si>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t xml:space="preserve">FY2028 EPS</t>
  </si>
  <si>
    <r>
      <rPr>
        <sz val="11"/>
        <color theme="1"/>
        <rFont val="Noto Sans CJK SC"/>
        <family val="2"/>
      </rPr>
      <t xml:space="preserve">收支關卡（各情境）：自由現金流扣股利 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</si>
  <si>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</t>
    </r>
  </si>
  <si>
    <t xml:space="preserve">數值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</si>
  <si>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</si>
  <si>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</si>
  <si>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分部加總（工作單：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</si>
  <si>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</si>
  <si>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情境目標價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</si>
  <si>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</si>
  <si>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同值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</si>
  <si>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</si>
  <si>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</si>
  <si>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</si>
  <si>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</si>
  <si>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</si>
  <si>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</si>
  <si>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 Global 60 </t>
    </r>
    <r>
      <rPr>
        <sz val="11"/>
        <color theme="1"/>
        <rFont val="Noto Sans CJK SC"/>
        <family val="2"/>
      </rPr>
      <t xml:space="preserve">位平均（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</si>
  <si>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上檔空間：市場共識目標價</t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</si>
  <si>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</si>
  <si>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</si>
  <si>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（目標價時點）</t>
    </r>
  </si>
  <si>
    <r>
      <rPr>
        <sz val="11"/>
        <color theme="1"/>
        <rFont val="Noto Sans CJK SC"/>
        <family val="2"/>
      </rPr>
      <t xml:space="preserve">收支關卡（引用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頁）：自由現金流扣股利五年合計（情境加權）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</si>
  <si>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</si>
  <si>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</si>
  <si>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FCFF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＋分部折舊 − 資本支出 − 融資租賃本金＋其他營運項目（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不加回），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，沿用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輸入、現價更新），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期中折現，永續價值＝</t>
    </r>
    <r>
      <rPr>
        <sz val="11"/>
        <color theme="1"/>
        <rFont val="Calibri"/>
        <family val="2"/>
        <charset val="1"/>
      </rPr>
      <t xml:space="preserve">FY2033 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RONIC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RONIC </t>
    </r>
    <r>
      <rPr>
        <sz val="11"/>
        <color theme="1"/>
        <rFont val="Noto Sans CJK SC"/>
        <family val="2"/>
      </rPr>
      <t xml:space="preserve">預設＝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；淨負債為模型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年底值；持股（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）加回。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（分部加總）：目標價時點未來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0.25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0.75 × FY2028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中位數（零售、數位廣告、非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雲端；</t>
    </r>
    <r>
      <rPr>
        <sz val="11"/>
        <color theme="1"/>
        <rFont val="Calibri"/>
        <family val="2"/>
        <charset val="1"/>
      </rPr>
      <t xml:space="preserve">AWS AI 6×</t>
    </r>
    <r>
      <rPr>
        <sz val="11"/>
        <color theme="1"/>
        <rFont val="Noto Sans CJK SC"/>
        <family val="2"/>
      </rPr>
      <t xml:space="preserve">），減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年底淨負債、加持股。</t>
    </r>
  </si>
  <si>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StockAnalysis EV ÷ MarketScreener NTM EBITDA </t>
    </r>
    <r>
      <rPr>
        <b val="true"/>
        <sz val="11"/>
        <rFont val="Noto Sans CJK SC"/>
        <family val="2"/>
      </rPr>
      <t xml:space="preserve">共識，</t>
    </r>
    <r>
      <rPr>
        <b val="true"/>
        <sz val="11"/>
        <rFont val="Cambria"/>
        <family val="0"/>
        <charset val="1"/>
      </rPr>
      <t xml:space="preserve">2026-10-07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共用同業檔，本輪未更新）</t>
    </r>
  </si>
  <si>
    <t xml:space="preserve">同業</t>
  </si>
  <si>
    <t xml:space="preserve">代號</t>
  </si>
  <si>
    <t xml:space="preserve">NTM EV/EBITDA</t>
  </si>
  <si>
    <t xml:space="preserve">組別</t>
  </si>
  <si>
    <t xml:space="preserve">Walmart</t>
  </si>
  <si>
    <t xml:space="preserve">WMT</t>
  </si>
  <si>
    <t xml:space="preserve">零售</t>
  </si>
  <si>
    <t xml:space="preserve">S24</t>
  </si>
  <si>
    <t xml:space="preserve">Costco</t>
  </si>
  <si>
    <t xml:space="preserve">COST</t>
  </si>
  <si>
    <t xml:space="preserve">Target</t>
  </si>
  <si>
    <t xml:space="preserve">TGT</t>
  </si>
  <si>
    <t xml:space="preserve">Meta</t>
  </si>
  <si>
    <t xml:space="preserve">META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</si>
  <si>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C18 </t>
    </r>
    <r>
      <rPr>
        <sz val="11"/>
        <color theme="1"/>
        <rFont val="Noto Sans CJK SC"/>
        <family val="2"/>
      </rPr>
      <t xml:space="preserve">共用組）</t>
    </r>
  </si>
  <si>
    <t xml:space="preserve">S23</t>
  </si>
  <si>
    <t xml:space="preserve">Pinterest</t>
  </si>
  <si>
    <t xml:space="preserve">PINS</t>
  </si>
  <si>
    <t xml:space="preserve">The Trade Desk</t>
  </si>
  <si>
    <t xml:space="preserve">TTD</t>
  </si>
  <si>
    <t xml:space="preserve">AppLovin</t>
  </si>
  <si>
    <t xml:space="preserve">APP</t>
  </si>
  <si>
    <t xml:space="preserve">Reddit</t>
  </si>
  <si>
    <t xml:space="preserve">RDDT</t>
  </si>
  <si>
    <t xml:space="preserve">Snap</t>
  </si>
  <si>
    <t xml:space="preserve">SNAP</t>
  </si>
  <si>
    <t xml:space="preserve">Oracle</t>
  </si>
  <si>
    <t xml:space="preserve">ORCL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</si>
  <si>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雲端（</t>
    </r>
    <r>
      <rPr>
        <sz val="11"/>
        <color theme="1"/>
        <rFont val="Calibri"/>
        <family val="2"/>
        <charset val="1"/>
      </rPr>
      <t xml:space="preserve">C12 </t>
    </r>
    <r>
      <rPr>
        <sz val="11"/>
        <color theme="1"/>
        <rFont val="Noto Sans CJK SC"/>
        <family val="2"/>
      </rPr>
      <t xml:space="preserve">共用組）</t>
    </r>
  </si>
  <si>
    <t xml:space="preserve">S22</t>
  </si>
  <si>
    <t xml:space="preserve">IBM</t>
  </si>
  <si>
    <t xml:space="preserve">SAP</t>
  </si>
  <si>
    <t xml:space="preserve">Salesforce</t>
  </si>
  <si>
    <t xml:space="preserve">CRM</t>
  </si>
  <si>
    <t xml:space="preserve">ServiceNow</t>
  </si>
  <si>
    <t xml:space="preserve">NOW</t>
  </si>
  <si>
    <t xml:space="preserve">Akamai</t>
  </si>
  <si>
    <t xml:space="preserve">AKAM</t>
  </si>
  <si>
    <t xml:space="preserve">Equinix</t>
  </si>
  <si>
    <t xml:space="preserve">EQIX</t>
  </si>
  <si>
    <t xml:space="preserve">DigitalOcean</t>
  </si>
  <si>
    <t xml:space="preserve">DOCN</t>
  </si>
  <si>
    <t xml:space="preserve">零售 中位數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</si>
  <si>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</t>
    </r>
  </si>
  <si>
    <t xml:space="preserve">數位廣告 中位數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</si>
  <si>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</t>
    </r>
  </si>
  <si>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 中位數</t>
    </r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</si>
  <si>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</si>
  <si>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m_ai</t>
    </r>
    <r>
      <rPr>
        <sz val="11"/>
        <color theme="1"/>
        <rFont val="Noto Sans CJK SC"/>
        <family val="2"/>
      </rPr>
      <t xml:space="preserve">，對照表 </t>
    </r>
    <r>
      <rPr>
        <sz val="11"/>
        <color theme="1"/>
        <rFont val="Calibri"/>
        <family val="2"/>
        <charset val="1"/>
      </rPr>
      <t xml:space="preserve">D6</t>
    </r>
    <r>
      <rPr>
        <sz val="11"/>
        <color theme="1"/>
        <rFont val="Noto Sans CJK SC"/>
        <family val="2"/>
      </rPr>
      <t xml:space="preserve">）；對照 </t>
    </r>
    <r>
      <rPr>
        <sz val="11"/>
        <color theme="1"/>
        <rFont val="Calibri"/>
        <family val="2"/>
        <charset val="1"/>
      </rPr>
      <t xml:space="preserve">CRWV TTM 25.0×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TTM 16.5×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260×</t>
    </r>
    <r>
      <rPr>
        <sz val="11"/>
        <color theme="1"/>
        <rFont val="Noto Sans CJK SC"/>
        <family val="2"/>
      </rPr>
      <t xml:space="preserve">（只作對照）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</si>
  <si>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</si>
  <si>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（基準日 </t>
    </r>
    <r>
      <rPr>
        <b val="true"/>
        <sz val="11"/>
        <rFont val="Cambria"/>
        <family val="0"/>
        <charset val="1"/>
      </rPr>
      <t xml:space="preserve">2026-12-31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期中折現；永續價值＝</t>
    </r>
    <r>
      <rPr>
        <b val="true"/>
        <sz val="11"/>
        <rFont val="Cambria"/>
        <family val="0"/>
        <charset val="1"/>
      </rPr>
      <t xml:space="preserve">FY2033 NOPAT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1 − g ÷ RONIC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WACC − g</t>
    </r>
    <r>
      <rPr>
        <b val="true"/>
        <sz val="1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</si>
  <si>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＝合併營業利益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</si>
  <si>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t xml:space="preserve">＋分部折舊攤銷</t>
  </si>
  <si>
    <t xml:space="preserve">− 資本支出</t>
  </si>
  <si>
    <t xml:space="preserve">− 融資租賃本金</t>
  </si>
  <si>
    <t xml:space="preserve">＋其他營運項目</t>
  </si>
  <si>
    <r>
      <rPr>
        <b val="true"/>
        <sz val="11"/>
        <rFont val="Cambria"/>
        <family val="0"/>
        <charset val="1"/>
      </rPr>
      <t xml:space="preserve">FCFF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不加回，視同現金成本）</t>
    </r>
  </si>
  <si>
    <t xml:space="preserve">折現因子（期中）</t>
  </si>
  <si>
    <t xml:space="preserve">現值</t>
  </si>
  <si>
    <t xml:space="preserve">明確期現值合計</t>
  </si>
  <si>
    <r>
      <rPr>
        <sz val="11"/>
        <color theme="1"/>
        <rFont val="Noto Sans CJK SC"/>
        <family val="2"/>
      </rPr>
      <t xml:space="preserve">永續價值（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年底）</t>
    </r>
  </si>
  <si>
    <t xml:space="preserve">永續價值現值</t>
  </si>
  <si>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</si>
  <si>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永續價值占 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</si>
  <si>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− 淨負債（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</si>
  <si>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＋持股：</t>
    </r>
    <r>
      <rPr>
        <sz val="11"/>
        <color theme="1"/>
        <rFont val="Calibri"/>
        <family val="2"/>
        <charset val="1"/>
      </rPr>
      <t xml:space="preserve">(Anthropic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</t>
    </r>
    <r>
      <rPr>
        <sz val="11"/>
        <color theme="1"/>
        <rFont val="Calibri"/>
        <family val="2"/>
        <charset val="1"/>
      </rPr>
      <t xml:space="preserve">)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流動性折價）</t>
    </r>
  </si>
  <si>
    <t xml:space="preserve">股權價值</t>
  </si>
  <si>
    <r>
      <rPr>
        <sz val="11"/>
        <color theme="1"/>
        <rFont val="Noto Sans CJK SC"/>
        <family val="2"/>
      </rPr>
      <t xml:space="preserve">每股價值（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sh_val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</si>
  <si>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情境價值推到目標價時點（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ke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^tp_yf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</si>
  <si>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；目標價時點的未來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 </t>
    </r>
    <r>
      <rPr>
        <b val="true"/>
        <sz val="11"/>
        <rFont val="Cambria"/>
        <family val="0"/>
        <charset val="1"/>
      </rPr>
      <t xml:space="preserve">EBITDA ≈ 0.25 × FY2027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0.75 × FY2028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 </t>
    </r>
    <r>
      <rPr>
        <b val="true"/>
        <sz val="1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</si>
  <si>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廣告：未來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</si>
  <si>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t xml:space="preserve">廣告：倍數</t>
  </si>
  <si>
    <r>
      <rPr>
        <sz val="11"/>
        <color theme="1"/>
        <rFont val="Noto Sans CJK SC"/>
        <family val="2"/>
      </rPr>
      <t xml:space="preserve">廣告：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</si>
  <si>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零售本業：未來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</si>
  <si>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t xml:space="preserve">零售本業：倍數</t>
  </si>
  <si>
    <r>
      <rPr>
        <sz val="11"/>
        <color theme="1"/>
        <rFont val="Noto Sans CJK SC"/>
        <family val="2"/>
      </rPr>
      <t xml:space="preserve">零售本業：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</si>
  <si>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</si>
  <si>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雲端）：倍數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</si>
  <si>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</si>
  <si>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</si>
  <si>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：倍數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</si>
  <si>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</si>
  <si>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</si>
  <si>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− 淨負債（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</t>
    </r>
  </si>
  <si>
    <t xml:space="preserve">股權價值（＋持股）</t>
  </si>
  <si>
    <t xml:space="preserve">分部加總每股價值（目標價時點）</t>
  </si>
  <si>
    <r>
      <rPr>
        <b val="true"/>
        <sz val="11"/>
        <rFont val="Noto Sans CJK SC"/>
        <family val="2"/>
      </rPr>
      <t xml:space="preserve">情境目標價＝</t>
    </r>
    <r>
      <rPr>
        <b val="true"/>
        <sz val="11"/>
        <rFont val="Cambria"/>
        <family val="0"/>
        <charset val="1"/>
      </rPr>
      <t xml:space="preserve">w_dcf × DCF</t>
    </r>
    <r>
      <rPr>
        <b val="true"/>
        <sz val="11"/>
        <rFont val="Noto Sans CJK SC"/>
        <family val="2"/>
      </rPr>
      <t xml:space="preserve">＋（</t>
    </r>
    <r>
      <rPr>
        <b val="true"/>
        <sz val="11"/>
        <rFont val="Cambria"/>
        <family val="0"/>
        <charset val="1"/>
      </rPr>
      <t xml:space="preserve">1 − w_dcf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分部加總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</si>
  <si>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權重（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</si>
  <si>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</si>
  <si>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</si>
  <si>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市場共識、公司指引與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。只作事後對照，不為對上數字而調參數（共同規則第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</si>
  <si>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</si>
  <si>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</si>
  <si>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</si>
  <si>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</si>
  <si>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差距（</t>
    </r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對照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</si>
  <si>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合併共識（</t>
    </r>
    <r>
      <rPr>
        <b val="true"/>
        <sz val="11"/>
        <rFont val="Cambria"/>
        <family val="0"/>
        <charset val="1"/>
      </rPr>
      <t xml:space="preserve">MarketScreener 2026-10-08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S&amp;P Global 2026-10-26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</si>
  <si>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</si>
  <si>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</si>
  <si>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模型含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</si>
  <si>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</si>
  <si>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</si>
  <si>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FY2026 EBITDA</t>
  </si>
  <si>
    <r>
      <rPr>
        <sz val="11"/>
        <color theme="1"/>
        <rFont val="Noto Sans CJK SC"/>
        <family val="2"/>
      </rPr>
      <t xml:space="preserve">模型＝營業利益＋分部折舊（不含影音內容與營業租賃資產攤銷約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／年），口徑低於供應商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</si>
  <si>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</si>
  <si>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</si>
  <si>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含上半年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</si>
  <si>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</si>
  <si>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（調整後，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模型不含業外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</si>
  <si>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</si>
  <si>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模型扣除業外其他（近似）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</si>
  <si>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</si>
  <si>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自由現金流</t>
    </r>
  </si>
  <si>
    <t xml:space="preserve">模型扣融資租賃本金；供應商口徑未揭露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</si>
  <si>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</si>
  <si>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</si>
  <si>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t xml:space="preserve">FY2027 EBITDA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</si>
  <si>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</si>
  <si>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</si>
  <si>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</si>
  <si>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（調整後，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模型不含業外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</si>
  <si>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</si>
  <si>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</si>
  <si>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</si>
  <si>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FY2028 EBITDA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</si>
  <si>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</si>
  <si>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</si>
  <si>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</si>
  <si>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</si>
  <si>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</si>
  <si>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分部與營收線共識（逐分部）</t>
    </r>
  </si>
  <si>
    <t xml:space="preserve">FY2026 North America</t>
  </si>
  <si>
    <t xml:space="preserve">未找到</t>
  </si>
  <si>
    <t xml:space="preserve">未找到：本輪未取得公開的分部共識（免費來源只有合併數；網路搜尋額度用盡）</t>
  </si>
  <si>
    <t xml:space="preserve">FY2027 North America</t>
  </si>
  <si>
    <t xml:space="preserve">FY2026 International</t>
  </si>
  <si>
    <t xml:space="preserve">FY2027 International</t>
  </si>
  <si>
    <t xml:space="preserve">FY2026 AWS</t>
  </si>
  <si>
    <t xml:space="preserve">FY2027 AWS</t>
  </si>
  <si>
    <t xml:space="preserve">FY2026 Advertising services</t>
  </si>
  <si>
    <t xml:space="preserve">FY2027 Advertising services</t>
  </si>
  <si>
    <r>
      <rPr>
        <sz val="11"/>
        <color theme="1"/>
        <rFont val="Calibri"/>
        <family val="2"/>
        <charset val="1"/>
      </rPr>
      <t xml:space="preserve">FY2026 AWS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</si>
  <si>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</si>
  <si>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AWS AI</t>
    </r>
    <r>
      <rPr>
        <sz val="11"/>
        <color theme="1"/>
        <rFont val="Noto Sans CJK SC"/>
        <family val="2"/>
      </rPr>
      <t xml:space="preserve">（命題子列）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</si>
  <si>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公司指引與說法（驗證列；不用於校準）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</si>
  <si>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</si>
  <si>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法說（二手逐字稿）</t>
    </r>
  </si>
  <si>
    <r>
      <rPr>
        <sz val="11"/>
        <color theme="1"/>
        <rFont val="Calibri"/>
        <family val="2"/>
        <charset val="1"/>
      </rPr>
      <t xml:space="preserve">2H26 AI </t>
    </r>
    <r>
      <rPr>
        <sz val="11"/>
        <color theme="1"/>
        <rFont val="Noto Sans CJK SC"/>
        <family val="2"/>
      </rPr>
      <t xml:space="preserve">資本支出取 </t>
    </r>
    <r>
      <rPr>
        <sz val="11"/>
        <color theme="1"/>
        <rFont val="Calibri"/>
        <family val="2"/>
        <charset val="1"/>
      </rPr>
      <t xml:space="preserve">MAX(MW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指引下限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</si>
  <si>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營收指引中點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2H26 ÷ 2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</si>
  <si>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新聞稿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</si>
  <si>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季節性高於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2H ÷ 2 </t>
    </r>
    <r>
      <rPr>
        <sz val="11"/>
        <color theme="1"/>
        <rFont val="Noto Sans CJK SC"/>
        <family val="2"/>
      </rPr>
      <t xml:space="preserve">應高於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</si>
  <si>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營業利益指引中點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2H26 ÷ 2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</si>
  <si>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年化營收（評價日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&gt;25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</si>
  <si>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</si>
  <si>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：不回頭改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，差距本身是發現</t>
    </r>
  </si>
  <si>
    <r>
      <rPr>
        <sz val="11"/>
        <color theme="1"/>
        <rFont val="Noto Sans CJK SC"/>
        <family val="2"/>
      </rPr>
      <t xml:space="preserve">要對上公司說法：所需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</si>
  <si>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k_B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</si>
  <si>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要對上公司說法：所需對外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</si>
  <si>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對照期初 </t>
    </r>
    <r>
      <rPr>
        <sz val="11"/>
        <color theme="1"/>
        <rFont val="Calibri"/>
        <family val="2"/>
        <charset val="1"/>
      </rPr>
      <t xml:space="preserve">2,080 MW</t>
    </r>
  </si>
  <si>
    <r>
      <rPr>
        <sz val="11"/>
        <color theme="1"/>
        <rFont val="Noto Sans CJK SC"/>
        <family val="2"/>
      </rPr>
      <t xml:space="preserve">上限檢查：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 </t>
    </r>
    <r>
      <rPr>
        <sz val="11"/>
        <color theme="1"/>
        <rFont val="Calibri"/>
        <family val="2"/>
        <charset val="1"/>
      </rPr>
      <t xml:space="preserve">÷ Tokenomics P×Q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</si>
  <si>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Tokenomics v21.4</t>
  </si>
  <si>
    <r>
      <rPr>
        <b val="true"/>
        <sz val="11"/>
        <rFont val="Cambria"/>
        <family val="0"/>
        <charset val="1"/>
      </rPr>
      <t xml:space="preserve">D. v0.3 vs v0.2.2</t>
    </r>
    <r>
      <rPr>
        <b val="true"/>
        <sz val="11"/>
        <rFont val="Noto Sans CJK SC"/>
        <family val="2"/>
      </rPr>
      <t xml:space="preserve">：目標價差異拆解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</si>
  <si>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；現價 </t>
    </r>
    <r>
      <rPr>
        <sz val="11"/>
        <color theme="1"/>
        <rFont val="Calibri"/>
        <family val="2"/>
        <charset val="1"/>
      </rPr>
      <t xml:space="preserve">259.92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</si>
  <si>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</t>
    </r>
  </si>
  <si>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</si>
  <si>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t xml:space="preserve">總差異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</si>
  <si>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）評價權重：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55% → </t>
    </r>
    <r>
      <rPr>
        <sz val="11"/>
        <color theme="1"/>
        <rFont val="Noto Sans CJK SC"/>
        <family val="2"/>
      </rPr>
      <t xml:space="preserve">各半（以情境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計）</t>
    </r>
  </si>
  <si>
    <t xml:space="preserve">方法變更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</si>
  <si>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）情境加權（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以基準情境為目標價）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</si>
  <si>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）其餘：營收結構改官方分部、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成本進分部營業利益、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永續法（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）、分部加總口徑、現價與日期</t>
    </r>
  </si>
  <si>
    <r>
      <rPr>
        <sz val="11"/>
        <color theme="1"/>
        <rFont val="Noto Sans CJK SC"/>
        <family val="2"/>
      </rPr>
      <t xml:space="preserve">未再細分：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引擎（</t>
    </r>
    <r>
      <rPr>
        <sz val="11"/>
        <color theme="1"/>
        <rFont val="Calibri"/>
        <family val="2"/>
        <charset val="1"/>
      </rPr>
      <t xml:space="preserve">legacy_v0.2</t>
    </r>
    <r>
      <rPr>
        <sz val="11"/>
        <color theme="1"/>
        <rFont val="Noto Sans CJK SC"/>
        <family val="2"/>
      </rPr>
      <t xml:space="preserve">）與本版結構不同，無法逐項替換重算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</si>
  <si>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上檔空間（基準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當時現價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</si>
  <si>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評等：賣出（舊三級口徑）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</si>
  <si>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）：對情境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目標價、</t>
    </r>
    <r>
      <rPr>
        <sz val="11"/>
        <color theme="1"/>
        <rFont val="Calibri"/>
        <family val="2"/>
        <charset val="1"/>
      </rPr>
      <t xml:space="preserve">FY2028 AWS </t>
    </r>
    <r>
      <rPr>
        <sz val="11"/>
        <color theme="1"/>
        <rFont val="Noto Sans CJK SC"/>
        <family val="2"/>
      </rPr>
      <t xml:space="preserve">營業利益率、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與收支關卡的影響。每個案例是一個完整推導區塊（本頁第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列起，與主頁同一引擎）</t>
    </r>
  </si>
  <si>
    <t xml:space="preserve">案例</t>
  </si>
  <si>
    <t xml:space="preserve">設定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</si>
  <si>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目標價</t>
    </r>
  </si>
  <si>
    <t xml:space="preserve">相對基準</t>
  </si>
  <si>
    <r>
      <rPr>
        <b val="true"/>
        <sz val="11"/>
        <rFont val="Cambria"/>
        <family val="0"/>
        <charset val="1"/>
      </rPr>
      <t xml:space="preserve">FY2028 AWS </t>
    </r>
    <r>
      <rPr>
        <b val="true"/>
        <sz val="11"/>
        <rFont val="Noto Sans CJK SC"/>
        <family val="2"/>
      </rPr>
      <t xml:space="preserve">營業利益率</t>
    </r>
  </si>
  <si>
    <t xml:space="preserve">收支關卡（五年）</t>
  </si>
  <si>
    <t xml:space="preserve">驅動類別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</si>
  <si>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</si>
  <si>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主頁情境 </t>
    </r>
    <r>
      <rPr>
        <sz val="11"/>
        <color theme="1"/>
        <rFont val="Calibri"/>
        <family val="2"/>
        <charset val="1"/>
      </rPr>
      <t xml:space="preserve">B</t>
    </r>
  </si>
  <si>
    <t xml:space="preserve">—</t>
  </si>
  <si>
    <r>
      <rPr>
        <sz val="11"/>
        <color theme="1"/>
        <rFont val="Noto Sans CJK SC"/>
        <family val="2"/>
      </rPr>
      <t xml:space="preserve">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低（價格軸低 </t>
    </r>
    <r>
      <rPr>
        <sz val="11"/>
        <color theme="1"/>
        <rFont val="Calibri"/>
        <family val="2"/>
        <charset val="1"/>
      </rPr>
      <t xml:space="preserve">k_C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</si>
  <si>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0.574 </t>
    </r>
    <r>
      <rPr>
        <sz val="11"/>
        <color theme="1"/>
        <rFont val="Noto Sans CJK SC"/>
        <family val="2"/>
      </rPr>
      <t xml:space="preserve">混合</t>
    </r>
  </si>
  <si>
    <t xml:space="preserve">命題</t>
  </si>
  <si>
    <r>
      <rPr>
        <sz val="11"/>
        <color theme="1"/>
        <rFont val="Noto Sans CJK SC"/>
        <family val="2"/>
      </rPr>
      <t xml:space="preserve">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高（價格軸高 </t>
    </r>
    <r>
      <rPr>
        <sz val="11"/>
        <color theme="1"/>
        <rFont val="Calibri"/>
        <family val="2"/>
        <charset val="1"/>
      </rPr>
      <t xml:space="preserve">k_A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</si>
  <si>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現貨改用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</si>
  <si>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60%</t>
    </r>
  </si>
  <si>
    <t xml:space="preserve">C23 −20pt</t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</si>
  <si>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100%</t>
    </r>
  </si>
  <si>
    <t xml:space="preserve">C23 +20pt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</si>
  <si>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× 0.75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</si>
  <si>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 −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</si>
  <si>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× 1.25</t>
    </r>
  </si>
  <si>
    <t xml:space="preserve">+25%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</si>
  <si>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</si>
  <si>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Tokenomics 6 </t>
    </r>
    <r>
      <rPr>
        <sz val="11"/>
        <color theme="1"/>
        <rFont val="Noto Sans CJK SC"/>
        <family val="2"/>
      </rPr>
      <t xml:space="preserve">年 → 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</si>
  <si>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</si>
  <si>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6 → 7</t>
  </si>
  <si>
    <r>
      <rPr>
        <sz val="11"/>
        <color theme="1"/>
        <rFont val="Noto Sans CJK SC"/>
        <family val="2"/>
      </rPr>
      <t xml:space="preserve">自研晶片係數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（收入與資本支出）</t>
    </r>
  </si>
  <si>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敏感度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</si>
  <si>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（影子效益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</si>
  <si>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C16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</si>
  <si>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其他長期成長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</si>
  <si>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g_awso_lt </t>
    </r>
    <r>
      <rPr>
        <sz val="11"/>
        <color theme="1"/>
        <rFont val="Noto Sans CJK SC"/>
        <family val="2"/>
      </rPr>
      <t xml:space="preserve">低</t>
    </r>
  </si>
  <si>
    <t xml:space="preserve">業務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</si>
  <si>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其他長期成長 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</si>
  <si>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g_awso_lt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</si>
  <si>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廣告利益率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</si>
  <si>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m_ad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</si>
  <si>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廣告利益率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</si>
  <si>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m_ad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</si>
  <si>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廣告長期成長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</si>
  <si>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Calibri"/>
        <family val="2"/>
        <charset val="1"/>
      </rPr>
      <t xml:space="preserve">g_ad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</si>
  <si>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廣告長期成長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</si>
  <si>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g_ad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</si>
  <si>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北美零售利益率年改善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</si>
  <si>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step_na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</si>
  <si>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北美零售利益率年改善 </t>
    </r>
    <r>
      <rPr>
        <sz val="11"/>
        <color theme="1"/>
        <rFont val="Calibri"/>
        <family val="2"/>
        <charset val="1"/>
      </rPr>
      <t xml:space="preserve">0.6pt</t>
    </r>
  </si>
  <si>
    <r>
      <rPr>
        <sz val="11"/>
        <color theme="1"/>
        <rFont val="Calibri"/>
        <family val="2"/>
        <charset val="1"/>
      </rPr>
      <t xml:space="preserve">step_na </t>
    </r>
    <r>
      <rPr>
        <sz val="11"/>
        <color theme="1"/>
        <rFont val="Noto Sans CJK SC"/>
        <family val="2"/>
      </rPr>
      <t xml:space="preserve">高</t>
    </r>
  </si>
  <si>
    <t xml:space="preserve">WACC −1pt</t>
  </si>
  <si>
    <t xml:space="preserve">評價</t>
  </si>
  <si>
    <t xml:space="preserve">WACC +1pt</t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</si>
  <si>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 2%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</si>
  <si>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 4%</t>
    </r>
  </si>
  <si>
    <r>
      <rPr>
        <sz val="11"/>
        <color theme="1"/>
        <rFont val="Calibri"/>
        <family val="2"/>
        <charset val="1"/>
      </rPr>
      <t xml:space="preserve">RONIC 20%</t>
    </r>
    <r>
      <rPr>
        <sz val="11"/>
        <color theme="1"/>
        <rFont val="Noto Sans CJK SC"/>
        <family val="2"/>
      </rPr>
      <t xml:space="preserve">（永續成長創造價值）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</si>
  <si>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</si>
  <si>
    <r>
      <rPr>
        <sz val="11"/>
        <color theme="1"/>
        <rFont val="Noto Sans CJK SC"/>
        <family val="2"/>
      </rPr>
      <t xml:space="preserve">分部倍數 </t>
    </r>
    <r>
      <rPr>
        <sz val="11"/>
        <color theme="1"/>
        <rFont val="Calibri"/>
        <family val="2"/>
        <charset val="1"/>
      </rPr>
      <t xml:space="preserve">× 0.8</t>
    </r>
  </si>
  <si>
    <r>
      <rPr>
        <sz val="11"/>
        <color theme="1"/>
        <rFont val="Noto Sans CJK SC"/>
        <family val="2"/>
      </rPr>
      <t xml:space="preserve">零售、廣告、非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</t>
    </r>
  </si>
  <si>
    <r>
      <rPr>
        <sz val="11"/>
        <color theme="1"/>
        <rFont val="Noto Sans CJK SC"/>
        <family val="2"/>
      </rPr>
      <t xml:space="preserve">分部倍數 </t>
    </r>
    <r>
      <rPr>
        <sz val="11"/>
        <color theme="1"/>
        <rFont val="Calibri"/>
        <family val="2"/>
        <charset val="1"/>
      </rPr>
      <t xml:space="preserve">× 1.2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</si>
  <si>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10×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</si>
  <si>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6×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</si>
  <si>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</si>
  <si>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</si>
  <si>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21%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</si>
  <si>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</si>
  <si>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</si>
  <si>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</si>
  <si>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基準區塊目標價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</si>
  <si>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讀法：相對基準＝案例目標價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；每列只動一個輸入（自研晶片係數同時動收入與資本支出）。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</si>
  <si>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</si>
  <si>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</si>
  <si>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</si>
  <si>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</si>
  <si>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</si>
  <si>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</si>
  <si>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</si>
  <si>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</si>
  <si>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</si>
  <si>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</si>
  <si>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</si>
  <si>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</si>
  <si>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</si>
  <si>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</si>
  <si>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</si>
  <si>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</si>
  <si>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</si>
  <si>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</si>
  <si>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</si>
  <si>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</si>
  <si>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</si>
  <si>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</si>
  <si>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</si>
  <si>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</si>
  <si>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</si>
  <si>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</si>
  <si>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</si>
  <si>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</si>
  <si>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</si>
  <si>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</si>
  <si>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</si>
  <si>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</si>
  <si>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</si>
  <si>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</si>
  <si>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</si>
  <si>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</si>
  <si>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</si>
  <si>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</si>
  <si>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</si>
  <si>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</si>
  <si>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</si>
  <si>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</si>
  <si>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</si>
  <si>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</si>
  <si>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</si>
  <si>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</si>
  <si>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</si>
  <si>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</si>
  <si>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</si>
  <si>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</si>
  <si>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</si>
  <si>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</si>
  <si>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</si>
  <si>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</si>
  <si>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</si>
  <si>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</si>
  <si>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</si>
  <si>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</si>
  <si>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</si>
  <si>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</si>
  <si>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</si>
  <si>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</si>
  <si>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</si>
  <si>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</si>
  <si>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</si>
  <si>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</si>
  <si>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</si>
  <si>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</si>
  <si>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</si>
  <si>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</si>
  <si>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</si>
  <si>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</si>
  <si>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</si>
  <si>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</si>
  <si>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</si>
  <si>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</si>
  <si>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</si>
  <si>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</si>
  <si>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</si>
  <si>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</si>
  <si>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</si>
  <si>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</si>
  <si>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</si>
  <si>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</si>
  <si>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</si>
  <si>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</si>
  <si>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</si>
  <si>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</si>
  <si>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</si>
  <si>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</si>
  <si>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</si>
  <si>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</si>
  <si>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</si>
  <si>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</si>
  <si>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</si>
  <si>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</si>
  <si>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</si>
  <si>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</si>
  <si>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</si>
  <si>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</si>
  <si>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</si>
  <si>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</si>
  <si>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</si>
  <si>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</si>
  <si>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</si>
  <si>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</si>
  <si>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</si>
  <si>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</si>
  <si>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</si>
  <si>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</si>
  <si>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</si>
  <si>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</si>
  <si>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</si>
  <si>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</si>
  <si>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</si>
  <si>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</si>
  <si>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</si>
  <si>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</si>
  <si>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</si>
  <si>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</si>
  <si>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</si>
  <si>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</si>
  <si>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</si>
  <si>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</si>
  <si>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</si>
  <si>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</si>
  <si>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</si>
  <si>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</si>
  <si>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</si>
  <si>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</si>
  <si>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</si>
  <si>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</si>
  <si>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</si>
  <si>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</si>
  <si>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</si>
  <si>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</si>
  <si>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</si>
  <si>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</si>
  <si>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</si>
  <si>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</si>
  <si>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</si>
  <si>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</si>
  <si>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</si>
  <si>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</si>
  <si>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</si>
  <si>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</si>
  <si>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</si>
  <si>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</si>
  <si>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</si>
  <si>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</si>
  <si>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</si>
  <si>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</si>
  <si>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</si>
  <si>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</si>
  <si>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</si>
  <si>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Sources — </t>
    </r>
    <r>
      <rPr>
        <b val="true"/>
        <sz val="11"/>
        <rFont val="Noto Sans CJK SC"/>
        <family val="2"/>
      </rPr>
      <t xml:space="preserve">每個來源一列（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頁、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頁以編號引用）。公司新聞稿與法說屬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（經查核）與 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（核閱）為 </t>
    </r>
    <r>
      <rPr>
        <b val="true"/>
        <sz val="11"/>
        <rFont val="Cambria"/>
        <family val="0"/>
        <charset val="1"/>
      </rPr>
      <t xml:space="preserve">Verified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SemiAnalysis </t>
    </r>
    <r>
      <rPr>
        <b val="true"/>
        <sz val="11"/>
        <rFont val="Noto Sans CJK SC"/>
        <family val="2"/>
      </rPr>
      <t xml:space="preserve">未使用</t>
    </r>
  </si>
  <si>
    <t xml:space="preserve">編號</t>
  </si>
  <si>
    <t xml:space="preserve">文件</t>
  </si>
  <si>
    <t xml:space="preserve">日期</t>
  </si>
  <si>
    <t xml:space="preserve">網址</t>
  </si>
  <si>
    <r>
      <rPr>
        <sz val="11"/>
        <color theme="1"/>
        <rFont val="Calibri"/>
        <family val="2"/>
        <charset val="1"/>
      </rPr>
      <t xml:space="preserve">Form 10-K 2025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，經查核）</t>
    </r>
  </si>
  <si>
    <t xml:space="preserve">2026-02-06</t>
  </si>
  <si>
    <t xml:space="preserve">https://www.sec.gov/Archives/edgar/data/1018724/000101872426000004/amzn-20251231.htm</t>
  </si>
  <si>
    <r>
      <rPr>
        <sz val="11"/>
        <color theme="1"/>
        <rFont val="Calibri"/>
        <family val="2"/>
        <charset val="1"/>
      </rPr>
      <t xml:space="preserve">Form 10-Q 2026Q2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，核閱未查核）</t>
    </r>
  </si>
  <si>
    <t xml:space="preserve">2026-07-31</t>
  </si>
  <si>
    <t xml:space="preserve">https://www.sec.gov/Archives/edgar/data/1018724/000101872426000026/amzn-20260630.htm</t>
  </si>
  <si>
    <t xml:space="preserve">S03</t>
  </si>
  <si>
    <r>
      <rPr>
        <sz val="11"/>
        <color theme="1"/>
        <rFont val="Calibri"/>
        <family val="2"/>
        <charset val="1"/>
      </rPr>
      <t xml:space="preserve">Form 10-Q 2025Q3</t>
    </r>
    <r>
      <rPr>
        <sz val="11"/>
        <color theme="1"/>
        <rFont val="Noto Sans CJK SC"/>
        <family val="2"/>
      </rPr>
      <t xml:space="preserve">（分部 </t>
    </r>
    <r>
      <rPr>
        <sz val="11"/>
        <color theme="1"/>
        <rFont val="Calibri"/>
        <family val="2"/>
        <charset val="1"/>
      </rPr>
      <t xml:space="preserve">D&amp;A </t>
    </r>
    <r>
      <rPr>
        <sz val="11"/>
        <color theme="1"/>
        <rFont val="Noto Sans CJK SC"/>
        <family val="2"/>
      </rPr>
      <t xml:space="preserve">前九個月）</t>
    </r>
  </si>
  <si>
    <t xml:space="preserve">2025-10-31</t>
  </si>
  <si>
    <t xml:space="preserve">https://www.sec.gov/Archives/edgar/data/1018724/000101872425000123/amzn-20250930.htm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</si>
  <si>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；逐季補充表、指引）</t>
    </r>
  </si>
  <si>
    <t xml:space="preserve">2026-07-30</t>
  </si>
  <si>
    <t xml:space="preserve">https://www.sec.gov/Archives/edgar/data/1018724/000101872426000024/amzn-20260630xex991.htm</t>
  </si>
  <si>
    <t xml:space="preserve">S05</t>
  </si>
  <si>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</si>
  <si>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2026-04-29</t>
  </si>
  <si>
    <t xml:space="preserve">https://www.sec.gov/Archives/edgar/data/1018724/000101872426000012/amzn-20260331xex991.htm</t>
  </si>
  <si>
    <t xml:space="preserve">S06</t>
  </si>
  <si>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</si>
  <si>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2026-02-05</t>
  </si>
  <si>
    <t xml:space="preserve">https://www.sec.gov/Archives/edgar/data/1018724/000101872426000002/amzn-20251231xex991.htm</t>
  </si>
  <si>
    <t xml:space="preserve">S07</t>
  </si>
  <si>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</si>
  <si>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2025-10-30</t>
  </si>
  <si>
    <t xml:space="preserve">https://www.sec.gov/Archives/edgar/data/1018724/000101872425000121/amzn-20250930xex991.htm</t>
  </si>
  <si>
    <t xml:space="preserve">S08</t>
  </si>
  <si>
    <r>
      <rPr>
        <sz val="11"/>
        <color theme="1"/>
        <rFont val="Calibri"/>
        <family val="2"/>
        <charset val="1"/>
      </rPr>
      <t xml:space="preserve">2024Q4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；逐季補充表）</t>
    </r>
  </si>
  <si>
    <t xml:space="preserve">2025-02-06</t>
  </si>
  <si>
    <t xml:space="preserve">https://www.sec.gov/Archives/edgar/data/1018724/000101872425000002/amzn-20241231xex991.htm</t>
  </si>
  <si>
    <t xml:space="preserve">S09</t>
  </si>
  <si>
    <r>
      <rPr>
        <sz val="11"/>
        <color theme="1"/>
        <rFont val="Calibri"/>
        <family val="2"/>
        <charset val="1"/>
      </rPr>
      <t xml:space="preserve">2024Q3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</si>
  <si>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2024-10-31</t>
  </si>
  <si>
    <t xml:space="preserve">https://www.sec.gov/Archives/edgar/data/1018724/000101872424000158/amzn-20240930xex991.htm</t>
  </si>
  <si>
    <r>
      <rPr>
        <sz val="11"/>
        <color theme="1"/>
        <rFont val="Calibri"/>
        <family val="2"/>
        <charset val="1"/>
      </rPr>
      <t xml:space="preserve">SEC XBRL companyfacts</t>
    </r>
    <r>
      <rPr>
        <sz val="11"/>
        <color theme="1"/>
        <rFont val="Noto Sans CJK SC"/>
        <family val="2"/>
      </rPr>
      <t xml:space="preserve">（稀釋加權股數）</t>
    </r>
  </si>
  <si>
    <t xml:space="preserve">2026-10-08</t>
  </si>
  <si>
    <t xml:space="preserve">https://data.sec.gov/api/xbrl/companyfacts/CIK0001018724.json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</si>
  <si>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法說會逐字稿（二手轉錄：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</si>
  <si>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https://www.webull.com/news/15364638750483456</t>
  </si>
  <si>
    <t xml:space="preserve">S12</t>
  </si>
  <si>
    <r>
      <rPr>
        <sz val="11"/>
        <color theme="1"/>
        <rFont val="Calibri"/>
        <family val="2"/>
        <charset val="1"/>
      </rPr>
      <t xml:space="preserve">424B5 </t>
    </r>
    <r>
      <rPr>
        <sz val="11"/>
        <color theme="1"/>
        <rFont val="Noto Sans CJK SC"/>
        <family val="2"/>
      </rPr>
      <t xml:space="preserve">英鎊票據公開說明書補充（</t>
    </r>
    <r>
      <rPr>
        <sz val="11"/>
        <color theme="1"/>
        <rFont val="Calibri"/>
        <family val="2"/>
        <charset val="1"/>
      </rPr>
      <t xml:space="preserve">£3.25B</t>
    </r>
    <r>
      <rPr>
        <sz val="11"/>
        <color theme="1"/>
        <rFont val="Noto Sans CJK SC"/>
        <family val="2"/>
      </rPr>
      <t xml:space="preserve">）</t>
    </r>
  </si>
  <si>
    <t xml:space="preserve">2026-09-11</t>
  </si>
  <si>
    <t xml:space="preserve">https://www.sec.gov/Archives/edgar/data/1018724/000110465926107122/tm2624614-3_424b5.htm</t>
  </si>
  <si>
    <t xml:space="preserve">S13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</si>
  <si>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AMZN 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249.09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同值）</t>
    </r>
  </si>
  <si>
    <t xml:space="preserve">2026-10-26</t>
  </si>
  <si>
    <t xml:space="preserve">https://stockanalysis.com/stocks/amzn/history/</t>
  </si>
  <si>
    <t xml:space="preserve">S14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</si>
  <si>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AMZN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249.09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 16:00 EDT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</si>
  <si>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https://finance.yahoo.com/quote/AMZN/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</si>
  <si>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332.24</t>
    </r>
    <r>
      <rPr>
        <sz val="11"/>
        <color theme="1"/>
        <rFont val="Noto Sans CJK SC"/>
        <family val="2"/>
      </rPr>
      <t xml:space="preserve">、營收與調整後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共識）</t>
    </r>
  </si>
  <si>
    <t xml:space="preserve">https://stockanalysis.com/stocks/amzn/forecast/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</si>
  <si>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年度共識（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系；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、淨利、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、資本支出、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）</t>
    </r>
  </si>
  <si>
    <t xml:space="preserve">https://www.marketscreener.com/quote/stock/AMAZON-COM-INC-12864605/finances/</t>
  </si>
  <si>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amazon/data/tokenomics_snapshot_v21.4.json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</si>
  <si>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</si>
  <si>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t xml:space="preserve">amazon/data/tokenomics_snapshot_v21.4.json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</si>
  <si>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證據（</t>
    </r>
    <r>
      <rPr>
        <sz val="11"/>
        <color theme="1"/>
        <rFont val="Calibri"/>
        <family val="2"/>
        <charset val="1"/>
      </rPr>
      <t xml:space="preserve">amazon/data/kevidence_amazon_20261008.json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指數、</t>
    </r>
    <r>
      <rPr>
        <sz val="11"/>
        <color theme="1"/>
        <rFont val="Calibri"/>
        <family val="2"/>
        <charset val="1"/>
      </rPr>
      <t xml:space="preserve">AWS p5 </t>
    </r>
    <r>
      <rPr>
        <sz val="11"/>
        <color theme="1"/>
        <rFont val="Noto Sans CJK SC"/>
        <family val="2"/>
      </rPr>
      <t xml:space="preserve">牌價）</t>
    </r>
  </si>
  <si>
    <t xml:space="preserve">amazon/data/kevidence_amazon_20261008.json</t>
  </si>
  <si>
    <t xml:space="preserve">S19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</si>
  <si>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資料中心目錄（</t>
    </r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Madison</t>
    </r>
    <r>
      <rPr>
        <sz val="11"/>
        <color theme="1"/>
        <rFont val="Noto Sans CJK SC"/>
        <family val="2"/>
      </rPr>
      <t xml:space="preserve">）</t>
    </r>
  </si>
  <si>
    <t xml:space="preserve">2026-10-05</t>
  </si>
  <si>
    <t xml:space="preserve">https://epoch.ai/data/ai-data-centers/directory/</t>
  </si>
  <si>
    <t xml:space="preserve">Analogy</t>
  </si>
  <si>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資料報告（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、對外比例、世代占比的推導）</t>
    </r>
  </si>
  <si>
    <r>
      <rPr>
        <sz val="11"/>
        <color theme="1"/>
        <rFont val="Calibri"/>
        <family val="2"/>
        <charset val="1"/>
      </rPr>
      <t xml:space="preserve">amazon/docs/reports/20261008_amazon_v0.1a_</t>
    </r>
    <r>
      <rPr>
        <sz val="11"/>
        <color theme="1"/>
        <rFont val="Noto Sans CJK SC"/>
        <family val="2"/>
      </rPr>
      <t xml:space="preserve">資料</t>
    </r>
    <r>
      <rPr>
        <sz val="11"/>
        <color theme="1"/>
        <rFont val="Calibri"/>
        <family val="2"/>
        <charset val="1"/>
      </rPr>
      <t xml:space="preserve">.md</t>
    </r>
  </si>
  <si>
    <t xml:space="preserve">S21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</si>
  <si>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交接檔（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、持股、同業倍數；本版沿用）</t>
    </r>
  </si>
  <si>
    <r>
      <rPr>
        <sz val="11"/>
        <color theme="1"/>
        <rFont val="Calibri"/>
        <family val="2"/>
        <charset val="1"/>
      </rPr>
      <t xml:space="preserve">amazon/legacy_v0.2/docs_handoff_v0_2_2.md</t>
    </r>
    <r>
      <rPr>
        <sz val="11"/>
        <color theme="1"/>
        <rFont val="Noto Sans CJK SC"/>
        <family val="2"/>
      </rPr>
      <t xml:space="preserve">（搬移前：</t>
    </r>
    <r>
      <rPr>
        <sz val="11"/>
        <color theme="1"/>
        <rFont val="Calibri"/>
        <family val="2"/>
        <charset val="1"/>
      </rPr>
      <t xml:space="preserve">amazon/docs/handoff/20261025_Amazon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</si>
  <si>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雲端同業檔（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EV ÷ MarketScreener NTM EBITDA</t>
    </r>
    <r>
      <rPr>
        <sz val="11"/>
        <color theme="1"/>
        <rFont val="Noto Sans CJK SC"/>
        <family val="2"/>
      </rPr>
      <t xml:space="preserve">）</t>
    </r>
  </si>
  <si>
    <t xml:space="preserve">2026-10-07</t>
  </si>
  <si>
    <t xml:space="preserve">amazon/data/peers_cloud_20261008.json</t>
  </si>
  <si>
    <r>
      <rPr>
        <sz val="11"/>
        <color theme="1"/>
        <rFont val="Noto Sans CJK SC"/>
        <family val="2"/>
      </rPr>
      <t xml:space="preserve">共用數位廣告同業檔（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</t>
    </r>
  </si>
  <si>
    <t xml:space="preserve">amazon/data/peers_ads_20261009.json</t>
  </si>
  <si>
    <r>
      <rPr>
        <sz val="11"/>
        <color theme="1"/>
        <rFont val="Noto Sans CJK SC"/>
        <family val="2"/>
      </rPr>
      <t xml:space="preserve">零售同業（</t>
    </r>
    <r>
      <rPr>
        <sz val="11"/>
        <color theme="1"/>
        <rFont val="Calibri"/>
        <family val="2"/>
        <charset val="1"/>
      </rPr>
      <t xml:space="preserve">WMT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TGT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val.peer.retail.*</t>
    </r>
    <r>
      <rPr>
        <sz val="11"/>
        <color theme="1"/>
        <rFont val="Noto Sans CJK SC"/>
        <family val="2"/>
      </rPr>
      <t xml:space="preserve">）</t>
    </r>
  </si>
  <si>
    <t xml:space="preserve">amazon/data/amazon_facts_20261008.json</t>
  </si>
  <si>
    <r>
      <rPr>
        <sz val="11"/>
        <color theme="1"/>
        <rFont val="Calibri"/>
        <family val="2"/>
        <charset val="1"/>
      </rPr>
      <t xml:space="preserve">Anthropic Series H </t>
    </r>
    <r>
      <rPr>
        <sz val="11"/>
        <color theme="1"/>
        <rFont val="Noto Sans CJK SC"/>
        <family val="2"/>
      </rPr>
      <t xml:space="preserve">投後估值 </t>
    </r>
    <r>
      <rPr>
        <sz val="11"/>
        <color theme="1"/>
        <rFont val="Calibri"/>
        <family val="2"/>
        <charset val="1"/>
      </rPr>
      <t xml:space="preserve">965B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W.Media</t>
    </r>
    <r>
      <rPr>
        <sz val="11"/>
        <color theme="1"/>
        <rFont val="Noto Sans CJK SC"/>
        <family val="2"/>
      </rPr>
      <t xml:space="preserve">）</t>
    </r>
  </si>
  <si>
    <t xml:space="preserve">2026-06-01</t>
  </si>
  <si>
    <t xml:space="preserve">https://w.media/anthropic-valuation-touches-us-965-billion-surpassing-openai/</t>
  </si>
  <si>
    <t xml:space="preserve">S26</t>
  </si>
  <si>
    <r>
      <rPr>
        <sz val="11"/>
        <color theme="1"/>
        <rFont val="Calibri"/>
        <family val="2"/>
        <charset val="1"/>
      </rPr>
      <t xml:space="preserve">Fortune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mid-to-high teens</t>
    </r>
  </si>
  <si>
    <t xml:space="preserve">2026-06-04</t>
  </si>
  <si>
    <t xml:space="preserve">https://www.fortune.com/2026/06/04/amazon-google-billions-anthropic-ipo/</t>
  </si>
  <si>
    <r>
      <rPr>
        <sz val="11"/>
        <color theme="1"/>
        <rFont val="Calibri"/>
        <family val="2"/>
        <charset val="1"/>
      </rPr>
      <t xml:space="preserve">GeekWire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OpenAI 50B</t>
    </r>
    <r>
      <rPr>
        <sz val="11"/>
        <color theme="1"/>
        <rFont val="Noto Sans CJK SC"/>
        <family val="2"/>
      </rPr>
      <t xml:space="preserve">、投前 </t>
    </r>
    <r>
      <rPr>
        <sz val="11"/>
        <color theme="1"/>
        <rFont val="Calibri"/>
        <family val="2"/>
        <charset val="1"/>
      </rPr>
      <t xml:space="preserve">730B</t>
    </r>
  </si>
  <si>
    <t xml:space="preserve">2026-02-27</t>
  </si>
  <si>
    <t xml:space="preserve">https://www.geekwire.com/2026/amazon-invests-50b-in-openai-deepens-aws-partnership-with-expanded-100b-cloud-deal/</t>
  </si>
  <si>
    <r>
      <rPr>
        <sz val="11"/>
        <color theme="1"/>
        <rFont val="Noto Sans CJK SC"/>
        <family val="2"/>
      </rPr>
      <t xml:space="preserve">美國財政部每日殖利率曲線（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5.28%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沿用）</t>
    </r>
  </si>
  <si>
    <t xml:space="preserve">https://home.treasury.gov/resource-center/data-chart-center/interest-rates/TextView?type=daily_treasury_par_yield_curve_rates</t>
  </si>
  <si>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SourceMaterial</t>
    </r>
    <r>
      <rPr>
        <sz val="11"/>
        <color theme="1"/>
        <rFont val="Noto Sans CJK SC"/>
        <family val="2"/>
      </rPr>
      <t xml:space="preserve">：第三方託管約占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運算力五分之一（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</t>
    </r>
  </si>
  <si>
    <t xml:space="preserve">2025-11-24</t>
  </si>
  <si>
    <t xml:space="preserve">amazon/data/amazon_facts_20261008.json → mw.colo.share</t>
  </si>
  <si>
    <t xml:space="preserve">S30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</si>
  <si>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Brian Nowak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2026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8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轉述）</t>
    </r>
  </si>
  <si>
    <t xml:space="preserve">2026-08-18</t>
  </si>
  <si>
    <t xml:space="preserve">https://invezz.com/news/2026/08/18/could-amazon-stock-double-by-end-of-next-year-heres-what-morgan-stanley-says/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</si>
</sst>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.00##"/>
    <numFmt numFmtId="166" formatCode="0.0%"/>
    <numFmt numFmtId="167" formatCode="#,##0.0000"/>
    <numFmt numFmtId="168" formatCode="#,##0.000"/>
    <numFmt numFmtId="169" formatCode="0.00%"/>
    <numFmt numFmtId="170" formatCode="0.00"/>
    <numFmt numFmtId="171" formatCode="#,##0"/>
    <numFmt numFmtId="172" formatCode="0.0"/>
    <numFmt numFmtId="173" formatCode="0%"/>
    <numFmt numFmtId="174" formatCode="0.000"/>
    <numFmt numFmtId="175" formatCode="#,##0.00"/>
    <numFmt numFmtId="176" formatCode="#,##0.0"/>
    <numFmt numFmtId="177" formatCode="@"/>
    <numFmt numFmtId="178" formatCode="0.0000"/>
    <numFmt numFmtId="179" formatCode="\+0.0%;\-0.0%;0.0%"/>
    <numFmt numFmtId="180" formatCode="0.00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7.15" hidden="false" customHeight="false" outlineLevel="0" collapsed="false">
      <c r="A5" s="1" t="str">
        <f aca="false">"投資建議："&amp;Val!B24&amp;"（加權目標價 US$"&amp;TEXT(Val!B19,"0.00")&amp;"，現價 US$"&amp;TEXT(px,"0.00")&amp;"〔2026-10-26〕，上檔空間 "&amp;TEXT(Val!B21,"+0.0%;-0.0%")&amp;"；依五級固定規則）"</f>
        <v>投資建議：中立（加權目標價 US$193.22，現價 US$249.09〔2026-10-26〕，上檔空間 -22.4%；依五級固定規則）</v>
      </c>
    </row>
    <row r="6" customFormat="false" ht="17.15" hidden="false" customHeight="false" outlineLevel="0" collapsed="false">
      <c r="A6" s="2" t="str">
        <f aca="false">"命題答案（情境 B）：FY2028 對外 AI ROIC "&amp;TEXT(Thesis!$I$110,"0.0%")&amp;"，低於 WACC "&amp;TEXT(wacc,"0.0%")&amp;"；打平所需機隊平均 k "&amp;TEXT(Thesis!$I$112,"0.00")&amp;"，模型 k "&amp;TEXT(Thesis!$I$111,"0.00")&amp;"。FY2028 AWS 營業利益率 "&amp;TEXT(PL!$I$117,"0.0%")&amp;"（FY2025 "&amp;TEXT(PL!$D$117,"0.0%")&amp;"）；FY2028 自由現金流扣股利 "&amp;TEXT(CF!$I$59,"#,##0.0")&amp;"；收支關卡（FY2026–FY2030 合計，情境加權）"&amp;TEXT(CF!E6,"#,##0.0")&amp;"。"</f>
        <v>命題答案（情境 B）：FY2028 對外 AI ROIC 6.6%，低於 WACC 12.5%；打平所需機隊平均 k 1.26，模型 k 0.99。FY2028 AWS 營業利益率 34.9%（FY2025 35.4%）；FY2028 自由現金流扣股利 -4.0；收支關卡（FY2026–FY2030 合計，情境加權）40.2。</v>
      </c>
    </row>
    <row r="7" customFormat="false" ht="17.15" hidden="false" customHeight="false" outlineLevel="0" collapsed="false">
      <c r="A7" s="2" t="str">
        <f aca="false">"重點觀察 1：目標價 US$"&amp;TEXT(Val!B19,"0.00")&amp;"＝DCF "&amp;TEXT(Val!B17,"0.00")&amp;"（永續價值占 EV "&amp;TEXT(Val!C8,"0%")&amp;"）與分部加總 "&amp;TEXT(Val!B18,"0.00")&amp;" 各半；DCF 低是因為 WACC "&amp;TEXT(wacc,"0.0%")&amp;" 下，2027–2029 的 AI 資本支出（情境 B FY2027 "&amp;TEXT(CF!$H$54,"#,##0")&amp;"）讓 FCFF 為負，而 AI 增量報酬低於資金成本。"</f>
        <v>重點觀察 1：目標價 US$193.22＝DCF 105.70（永續價值占 EV 98%）與分部加總 280.74 各半；DCF 低是因為 WACC 12.5% 下，2027–2029 的 AI 資本支出（情境 B FY2027 278）讓 FCFF 為負，而 AI 增量報酬低於資金成本。</v>
      </c>
    </row>
    <row r="8" customFormat="false" ht="17.15" hidden="false" customHeight="false" outlineLevel="0" collapsed="false">
      <c r="A8" s="2" t="str">
        <f aca="false">"重點觀察 2：分部加總中 AWS 其他（非 AI 雲端）占 "&amp;TEXT(Val!$C$162/Val!$C$166,"0%")&amp;"、廣告占 "&amp;TEXT(Val!$C$156/Val!$C$166,"0%")&amp;"；零售本業 EBITDA 扣除自用 AI 成本後僅 "&amp;TEXT(Val!$C$157,"#,##0")&amp;"，廣告利潤（m_ad 50%）幾乎是零售分部的全部利潤。"</f>
        <v>重點觀察 2：分部加總中 AWS 其他（非 AI 雲端）占 50%、廣告占 18%；零售本業 EBITDA 扣除自用 AI 成本後僅 31，廣告利潤（m_ad 50%）幾乎是零售分部的全部利潤。</v>
      </c>
    </row>
    <row r="9" customFormat="false" ht="17.15" hidden="false" customHeight="false" outlineLevel="0" collapsed="false">
      <c r="A9" s="2" t="str">
        <f aca="false">"重點觀察 3：三情境目標價 A "&amp;TEXT(Val!B7,"0")&amp;"／B "&amp;TEXT(Val!C7,"0")&amp;"／C "&amp;TEXT(Val!D7,"0")&amp;"；新產能 k 是最大的命題驅動（Sens：k_C "&amp;TEXT(Sens!D5,"+0%;-0%")&amp;"、k_A "&amp;TEXT(Sens!D6,"+0%;-0%")&amp;"），對外比例 ±20pt 為 "&amp;TEXT(Sens!D7,"+0%;-0%")&amp;"／"&amp;TEXT(Sens!D8,"+0%;-0%")&amp;"；市場共識目標價 "&amp;TEXT(cons_tp,"0")&amp;"。"</f>
        <v>重點觀察 3：三情境目標價 A 232／B 185／C 171；新產能 k 是最大的命題驅動（Sens：k_C -8%、k_A +25%），對外比例 ±20pt 為 -21%／+12%；市場共識目標價 332。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4</v>
      </c>
    </row>
    <row r="12" customFormat="false" ht="17.15" hidden="false" customHeight="false" outlineLevel="0" collapsed="false">
      <c r="A12" s="4" t="s">
        <v>5</v>
      </c>
    </row>
    <row r="13" customFormat="false" ht="17.15" hidden="false" customHeight="false" outlineLevel="0" collapsed="false">
      <c r="A13" s="4" t="s">
        <v>6</v>
      </c>
    </row>
    <row r="14" customFormat="false" ht="17.15" hidden="false" customHeight="false" outlineLevel="0" collapsed="false">
      <c r="A14" s="4" t="s">
        <v>7</v>
      </c>
    </row>
    <row r="15" customFormat="false" ht="17.15" hidden="false" customHeight="false" outlineLevel="0" collapsed="false">
      <c r="A15" s="4" t="s">
        <v>8</v>
      </c>
    </row>
    <row r="16" customFormat="false" ht="17.15" hidden="false" customHeight="false" outlineLevel="0" collapsed="false">
      <c r="A16" s="4" t="s">
        <v>9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10</v>
      </c>
    </row>
    <row r="19" customFormat="false" ht="17.15" hidden="false" customHeight="false" outlineLevel="0" collapsed="false">
      <c r="A19" s="2" t="s">
        <v>11</v>
      </c>
    </row>
    <row r="20" customFormat="false" ht="17.15" hidden="false" customHeight="false" outlineLevel="0" collapsed="false">
      <c r="A20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6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5" t="s">
        <v>14</v>
      </c>
    </row>
    <row r="3" customFormat="false" ht="15" hidden="false" customHeight="false" outlineLevel="0" collapsed="false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</row>
    <row r="4" customFormat="false" ht="17.15" hidden="false" customHeight="false" outlineLevel="0" collapsed="false">
      <c r="A4" s="1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0" t="s">
        <v>27</v>
      </c>
      <c r="E5" s="7" t="n">
        <v>249.09</v>
      </c>
      <c r="G5" s="8" t="s">
        <v>28</v>
      </c>
      <c r="H5" s="8" t="s">
        <v>29</v>
      </c>
      <c r="I5" s="5" t="s">
        <v>30</v>
      </c>
    </row>
    <row r="6" customFormat="false" ht="17.15" hidden="false" customHeight="false" outlineLevel="0" collapsed="false">
      <c r="A6" s="0" t="s">
        <v>31</v>
      </c>
      <c r="B6" s="5" t="s">
        <v>32</v>
      </c>
      <c r="C6" s="5" t="s">
        <v>33</v>
      </c>
      <c r="E6" s="7" t="n">
        <v>10.786314</v>
      </c>
      <c r="G6" s="8" t="s">
        <v>28</v>
      </c>
      <c r="H6" s="8" t="s">
        <v>34</v>
      </c>
      <c r="I6" s="8" t="s">
        <v>35</v>
      </c>
    </row>
    <row r="7" customFormat="false" ht="17.15" hidden="false" customHeight="false" outlineLevel="0" collapsed="false">
      <c r="A7" s="0" t="s">
        <v>36</v>
      </c>
      <c r="B7" s="5" t="s">
        <v>37</v>
      </c>
      <c r="C7" s="5" t="s">
        <v>33</v>
      </c>
      <c r="E7" s="7" t="n">
        <v>0.244</v>
      </c>
      <c r="G7" s="8" t="s">
        <v>28</v>
      </c>
      <c r="H7" s="8" t="s">
        <v>34</v>
      </c>
      <c r="I7" s="8" t="s">
        <v>38</v>
      </c>
    </row>
    <row r="8" customFormat="false" ht="17.15" hidden="false" customHeight="false" outlineLevel="0" collapsed="false">
      <c r="A8" s="0" t="s">
        <v>39</v>
      </c>
      <c r="B8" s="5" t="s">
        <v>40</v>
      </c>
      <c r="C8" s="5" t="s">
        <v>33</v>
      </c>
      <c r="E8" s="9" t="n">
        <f aca="false">sh_out+sh_awd</f>
        <v>11.030314</v>
      </c>
      <c r="G8" s="8" t="s">
        <v>41</v>
      </c>
      <c r="H8" s="5" t="s">
        <v>42</v>
      </c>
      <c r="I8" s="5" t="s">
        <v>43</v>
      </c>
    </row>
    <row r="9" customFormat="false" ht="17.15" hidden="false" customHeight="false" outlineLevel="0" collapsed="false">
      <c r="A9" s="0" t="s">
        <v>44</v>
      </c>
      <c r="B9" s="5" t="s">
        <v>45</v>
      </c>
      <c r="C9" s="0" t="s">
        <v>27</v>
      </c>
      <c r="D9" s="7" t="n">
        <v>230</v>
      </c>
      <c r="E9" s="7" t="n">
        <v>332.24</v>
      </c>
      <c r="F9" s="7" t="n">
        <v>405</v>
      </c>
      <c r="G9" s="8" t="s">
        <v>46</v>
      </c>
      <c r="H9" s="8" t="s">
        <v>47</v>
      </c>
      <c r="I9" s="5" t="s">
        <v>48</v>
      </c>
    </row>
    <row r="10" customFormat="false" ht="17.15" hidden="false" customHeight="false" outlineLevel="0" collapsed="false">
      <c r="A10" s="1" t="s">
        <v>49</v>
      </c>
    </row>
    <row r="11" customFormat="false" ht="17.15" hidden="false" customHeight="false" outlineLevel="0" collapsed="false">
      <c r="A11" s="0" t="s">
        <v>50</v>
      </c>
      <c r="B11" s="5" t="s">
        <v>51</v>
      </c>
      <c r="C11" s="0" t="s">
        <v>52</v>
      </c>
      <c r="E11" s="10" t="n">
        <v>0.0528</v>
      </c>
      <c r="G11" s="8" t="s">
        <v>28</v>
      </c>
      <c r="H11" s="8" t="s">
        <v>53</v>
      </c>
      <c r="I11" s="5" t="s">
        <v>54</v>
      </c>
    </row>
    <row r="12" customFormat="false" ht="17.15" hidden="false" customHeight="false" outlineLevel="0" collapsed="false">
      <c r="A12" s="0" t="s">
        <v>55</v>
      </c>
      <c r="B12" s="0" t="s">
        <v>56</v>
      </c>
      <c r="C12" s="0" t="s">
        <v>57</v>
      </c>
      <c r="D12" s="11" t="n">
        <v>1.46</v>
      </c>
      <c r="E12" s="11" t="n">
        <v>1.5135</v>
      </c>
      <c r="F12" s="11" t="n">
        <v>1.567</v>
      </c>
      <c r="G12" s="8" t="s">
        <v>41</v>
      </c>
      <c r="H12" s="5" t="s">
        <v>58</v>
      </c>
      <c r="I12" s="8" t="s">
        <v>59</v>
      </c>
    </row>
    <row r="13" customFormat="false" ht="17.15" hidden="false" customHeight="false" outlineLevel="0" collapsed="false">
      <c r="A13" s="0" t="s">
        <v>60</v>
      </c>
      <c r="B13" s="5" t="s">
        <v>61</v>
      </c>
      <c r="C13" s="0" t="s">
        <v>52</v>
      </c>
      <c r="D13" s="10" t="n">
        <v>0.04</v>
      </c>
      <c r="E13" s="10" t="n">
        <v>0.05</v>
      </c>
      <c r="F13" s="10" t="n">
        <v>0.06</v>
      </c>
      <c r="G13" s="8" t="s">
        <v>62</v>
      </c>
      <c r="H13" s="5" t="s">
        <v>63</v>
      </c>
    </row>
    <row r="14" customFormat="false" ht="17.15" hidden="false" customHeight="false" outlineLevel="0" collapsed="false">
      <c r="A14" s="0" t="s">
        <v>64</v>
      </c>
      <c r="B14" s="5" t="s">
        <v>65</v>
      </c>
      <c r="C14" s="0" t="s">
        <v>52</v>
      </c>
      <c r="E14" s="10" t="n">
        <v>0.0633</v>
      </c>
      <c r="G14" s="8" t="s">
        <v>46</v>
      </c>
      <c r="H14" s="8" t="s">
        <v>34</v>
      </c>
      <c r="I14" s="5" t="s">
        <v>66</v>
      </c>
    </row>
    <row r="15" customFormat="false" ht="17.15" hidden="false" customHeight="false" outlineLevel="0" collapsed="false">
      <c r="A15" s="0" t="s">
        <v>67</v>
      </c>
      <c r="B15" s="5" t="s">
        <v>68</v>
      </c>
      <c r="C15" s="0" t="s">
        <v>52</v>
      </c>
      <c r="D15" s="10" t="n">
        <v>0.135</v>
      </c>
      <c r="E15" s="12" t="n">
        <f aca="false">AVERAGE(Q!$C$40,Q!$D$40,Q!$E$40)</f>
        <v>0.173584526621026</v>
      </c>
      <c r="F15" s="10" t="n">
        <v>0.23</v>
      </c>
      <c r="G15" s="8" t="s">
        <v>41</v>
      </c>
      <c r="H15" s="8" t="s">
        <v>69</v>
      </c>
      <c r="I15" s="8" t="s">
        <v>70</v>
      </c>
    </row>
    <row r="16" customFormat="false" ht="17.15" hidden="false" customHeight="false" outlineLevel="0" collapsed="false">
      <c r="A16" s="0" t="s">
        <v>71</v>
      </c>
      <c r="B16" s="5" t="s">
        <v>72</v>
      </c>
      <c r="C16" s="0" t="s">
        <v>73</v>
      </c>
      <c r="E16" s="7" t="n">
        <v>132.995</v>
      </c>
      <c r="G16" s="8" t="s">
        <v>28</v>
      </c>
      <c r="H16" s="8" t="s">
        <v>34</v>
      </c>
      <c r="I16" s="5" t="s">
        <v>74</v>
      </c>
    </row>
    <row r="17" customFormat="false" ht="17.15" hidden="false" customHeight="false" outlineLevel="0" collapsed="false">
      <c r="A17" s="0" t="s">
        <v>75</v>
      </c>
      <c r="B17" s="5" t="s">
        <v>76</v>
      </c>
      <c r="C17" s="0" t="s">
        <v>52</v>
      </c>
      <c r="E17" s="12" t="n">
        <f aca="false">rf+beta*erp</f>
        <v>0.128475</v>
      </c>
      <c r="G17" s="8" t="s">
        <v>41</v>
      </c>
      <c r="H17" s="8" t="s">
        <v>77</v>
      </c>
    </row>
    <row r="18" customFormat="false" ht="17.15" hidden="false" customHeight="false" outlineLevel="0" collapsed="false">
      <c r="A18" s="0" t="s">
        <v>78</v>
      </c>
      <c r="B18" s="0" t="s">
        <v>79</v>
      </c>
      <c r="C18" s="0" t="s">
        <v>52</v>
      </c>
      <c r="E18" s="12" t="n">
        <f aca="false">px*sh_out/(px*sh_out+debt_q2)*ke+debt_q2/(px*sh_out+debt_q2)*kd_new*(1-tax)</f>
        <v>0.124882746650253</v>
      </c>
      <c r="G18" s="8" t="s">
        <v>41</v>
      </c>
      <c r="H18" s="5" t="s">
        <v>80</v>
      </c>
    </row>
    <row r="19" customFormat="false" ht="17.15" hidden="false" customHeight="false" outlineLevel="0" collapsed="false">
      <c r="A19" s="13" t="s">
        <v>81</v>
      </c>
      <c r="B19" s="14" t="s">
        <v>82</v>
      </c>
      <c r="C19" s="13" t="s">
        <v>52</v>
      </c>
      <c r="D19" s="15" t="n">
        <v>0.02</v>
      </c>
      <c r="E19" s="15" t="n">
        <v>0.03</v>
      </c>
      <c r="F19" s="15" t="n">
        <v>0.04</v>
      </c>
      <c r="G19" s="13" t="s">
        <v>62</v>
      </c>
      <c r="H19" s="14" t="s">
        <v>83</v>
      </c>
      <c r="I19" s="13"/>
    </row>
    <row r="20" customFormat="false" ht="17.15" hidden="false" customHeight="false" outlineLevel="0" collapsed="false">
      <c r="A20" s="13" t="s">
        <v>84</v>
      </c>
      <c r="B20" s="14" t="s">
        <v>85</v>
      </c>
      <c r="C20" s="13" t="s">
        <v>52</v>
      </c>
      <c r="D20" s="13"/>
      <c r="E20" s="16" t="n">
        <f aca="false">wacc</f>
        <v>0.124882746650253</v>
      </c>
      <c r="F20" s="15" t="n">
        <v>0.2</v>
      </c>
      <c r="G20" s="13" t="s">
        <v>62</v>
      </c>
      <c r="H20" s="14" t="s">
        <v>86</v>
      </c>
      <c r="I20" s="14" t="s">
        <v>87</v>
      </c>
    </row>
    <row r="21" customFormat="false" ht="17.15" hidden="false" customHeight="false" outlineLevel="0" collapsed="false">
      <c r="A21" s="13" t="s">
        <v>88</v>
      </c>
      <c r="B21" s="14" t="s">
        <v>89</v>
      </c>
      <c r="C21" s="13" t="s">
        <v>52</v>
      </c>
      <c r="D21" s="13"/>
      <c r="E21" s="15" t="n">
        <v>0.5</v>
      </c>
      <c r="F21" s="13"/>
      <c r="G21" s="13" t="s">
        <v>62</v>
      </c>
      <c r="H21" s="14" t="s">
        <v>90</v>
      </c>
      <c r="I21" s="13" t="s">
        <v>91</v>
      </c>
    </row>
    <row r="22" customFormat="false" ht="17.15" hidden="false" customHeight="false" outlineLevel="0" collapsed="false">
      <c r="A22" s="13" t="s">
        <v>92</v>
      </c>
      <c r="B22" s="14" t="s">
        <v>93</v>
      </c>
      <c r="C22" s="13" t="s">
        <v>52</v>
      </c>
      <c r="D22" s="13"/>
      <c r="E22" s="15" t="n">
        <v>0.25</v>
      </c>
      <c r="F22" s="13"/>
      <c r="G22" s="13" t="s">
        <v>62</v>
      </c>
      <c r="H22" s="14" t="s">
        <v>94</v>
      </c>
      <c r="I22" s="14" t="s">
        <v>95</v>
      </c>
    </row>
    <row r="23" customFormat="false" ht="17.15" hidden="false" customHeight="false" outlineLevel="0" collapsed="false">
      <c r="A23" s="13" t="s">
        <v>96</v>
      </c>
      <c r="B23" s="14" t="s">
        <v>97</v>
      </c>
      <c r="C23" s="13" t="s">
        <v>52</v>
      </c>
      <c r="D23" s="13"/>
      <c r="E23" s="15" t="n">
        <v>0.5</v>
      </c>
      <c r="F23" s="13"/>
      <c r="G23" s="13" t="s">
        <v>62</v>
      </c>
      <c r="H23" s="14" t="s">
        <v>94</v>
      </c>
      <c r="I23" s="14" t="s">
        <v>95</v>
      </c>
    </row>
    <row r="24" customFormat="false" ht="17.15" hidden="false" customHeight="false" outlineLevel="0" collapsed="false">
      <c r="A24" s="13" t="s">
        <v>98</v>
      </c>
      <c r="B24" s="14" t="s">
        <v>99</v>
      </c>
      <c r="C24" s="13" t="s">
        <v>52</v>
      </c>
      <c r="D24" s="13"/>
      <c r="E24" s="15" t="n">
        <v>0.25</v>
      </c>
      <c r="F24" s="13"/>
      <c r="G24" s="13" t="s">
        <v>62</v>
      </c>
      <c r="H24" s="14" t="s">
        <v>94</v>
      </c>
      <c r="I24" s="14" t="s">
        <v>95</v>
      </c>
    </row>
    <row r="25" customFormat="false" ht="17.15" hidden="false" customHeight="false" outlineLevel="0" collapsed="false">
      <c r="A25" s="0" t="s">
        <v>100</v>
      </c>
      <c r="B25" s="5" t="s">
        <v>101</v>
      </c>
      <c r="C25" s="5" t="s">
        <v>102</v>
      </c>
      <c r="E25" s="9" t="n">
        <f aca="false">(DATE(2027,10,27)-DATE(2026,12,31))/365</f>
        <v>0.821917808219178</v>
      </c>
      <c r="G25" s="8" t="s">
        <v>41</v>
      </c>
      <c r="H25" s="5" t="s">
        <v>103</v>
      </c>
      <c r="I25" s="8" t="s">
        <v>104</v>
      </c>
    </row>
    <row r="26" customFormat="false" ht="17.15" hidden="false" customHeight="false" outlineLevel="0" collapsed="false">
      <c r="A26" s="1" t="s">
        <v>105</v>
      </c>
    </row>
    <row r="27" customFormat="false" ht="17.15" hidden="false" customHeight="false" outlineLevel="0" collapsed="false">
      <c r="A27" s="0" t="s">
        <v>106</v>
      </c>
      <c r="B27" s="5" t="s">
        <v>107</v>
      </c>
      <c r="C27" s="0" t="s">
        <v>108</v>
      </c>
      <c r="E27" s="7" t="n">
        <v>120</v>
      </c>
      <c r="G27" s="8" t="s">
        <v>62</v>
      </c>
      <c r="H27" s="5" t="s">
        <v>109</v>
      </c>
      <c r="I27" s="5" t="s">
        <v>110</v>
      </c>
    </row>
    <row r="28" customFormat="false" ht="17.15" hidden="false" customHeight="false" outlineLevel="0" collapsed="false">
      <c r="A28" s="0" t="s">
        <v>111</v>
      </c>
      <c r="B28" s="5" t="s">
        <v>112</v>
      </c>
      <c r="C28" s="0" t="s">
        <v>108</v>
      </c>
      <c r="E28" s="7" t="n">
        <v>360</v>
      </c>
      <c r="G28" s="8" t="s">
        <v>62</v>
      </c>
      <c r="H28" s="5" t="s">
        <v>109</v>
      </c>
      <c r="I28" s="5" t="s">
        <v>113</v>
      </c>
    </row>
    <row r="29" customFormat="false" ht="17.15" hidden="false" customHeight="false" outlineLevel="0" collapsed="false">
      <c r="A29" s="0" t="s">
        <v>114</v>
      </c>
      <c r="B29" s="5" t="s">
        <v>115</v>
      </c>
      <c r="C29" s="0" t="s">
        <v>108</v>
      </c>
      <c r="D29" s="7" t="n">
        <v>1100</v>
      </c>
      <c r="E29" s="7" t="n">
        <v>1440</v>
      </c>
      <c r="F29" s="7" t="n">
        <v>1800</v>
      </c>
      <c r="G29" s="8" t="s">
        <v>62</v>
      </c>
      <c r="H29" s="5" t="s">
        <v>109</v>
      </c>
      <c r="I29" s="8" t="s">
        <v>116</v>
      </c>
    </row>
    <row r="30" customFormat="false" ht="17.15" hidden="false" customHeight="false" outlineLevel="0" collapsed="false">
      <c r="A30" s="0" t="s">
        <v>117</v>
      </c>
      <c r="B30" s="5" t="s">
        <v>118</v>
      </c>
      <c r="C30" s="0" t="s">
        <v>108</v>
      </c>
      <c r="D30" s="7" t="n">
        <v>1400</v>
      </c>
      <c r="E30" s="7" t="n">
        <v>2080</v>
      </c>
      <c r="F30" s="7" t="n">
        <v>2970</v>
      </c>
      <c r="G30" s="8" t="s">
        <v>41</v>
      </c>
      <c r="H30" s="8" t="s">
        <v>119</v>
      </c>
      <c r="I30" s="8" t="s">
        <v>120</v>
      </c>
    </row>
    <row r="31" customFormat="false" ht="17.15" hidden="false" customHeight="false" outlineLevel="0" collapsed="false">
      <c r="A31" s="13" t="s">
        <v>121</v>
      </c>
      <c r="B31" s="14" t="s">
        <v>122</v>
      </c>
      <c r="C31" s="13" t="s">
        <v>123</v>
      </c>
      <c r="D31" s="13"/>
      <c r="E31" s="17" t="n">
        <v>3733</v>
      </c>
      <c r="F31" s="13"/>
      <c r="G31" s="13" t="s">
        <v>41</v>
      </c>
      <c r="H31" s="14" t="s">
        <v>124</v>
      </c>
      <c r="I31" s="14" t="s">
        <v>125</v>
      </c>
    </row>
    <row r="32" customFormat="false" ht="17.15" hidden="false" customHeight="false" outlineLevel="0" collapsed="false">
      <c r="A32" s="13" t="s">
        <v>126</v>
      </c>
      <c r="B32" s="14" t="s">
        <v>127</v>
      </c>
      <c r="C32" s="13" t="s">
        <v>123</v>
      </c>
      <c r="D32" s="13"/>
      <c r="E32" s="17" t="n">
        <v>3634.3</v>
      </c>
      <c r="F32" s="13"/>
      <c r="G32" s="13" t="s">
        <v>41</v>
      </c>
      <c r="H32" s="14" t="s">
        <v>128</v>
      </c>
      <c r="I32" s="14" t="s">
        <v>129</v>
      </c>
    </row>
    <row r="33" customFormat="false" ht="17.15" hidden="false" customHeight="false" outlineLevel="0" collapsed="false">
      <c r="A33" s="13" t="s">
        <v>130</v>
      </c>
      <c r="B33" s="14" t="s">
        <v>131</v>
      </c>
      <c r="C33" s="13" t="s">
        <v>123</v>
      </c>
      <c r="D33" s="13"/>
      <c r="E33" s="18" t="n">
        <f aca="false">pace_B</f>
        <v>3634.3</v>
      </c>
      <c r="F33" s="13"/>
      <c r="G33" s="13" t="s">
        <v>62</v>
      </c>
      <c r="H33" s="14" t="s">
        <v>86</v>
      </c>
      <c r="I33" s="13" t="s">
        <v>132</v>
      </c>
    </row>
    <row r="34" customFormat="false" ht="17.15" hidden="false" customHeight="false" outlineLevel="0" collapsed="false">
      <c r="A34" s="13" t="s">
        <v>133</v>
      </c>
      <c r="B34" s="14" t="s">
        <v>134</v>
      </c>
      <c r="C34" s="13" t="s">
        <v>52</v>
      </c>
      <c r="D34" s="15" t="n">
        <v>0.6</v>
      </c>
      <c r="E34" s="15" t="n">
        <v>0.8</v>
      </c>
      <c r="F34" s="15" t="n">
        <v>1</v>
      </c>
      <c r="G34" s="13" t="s">
        <v>62</v>
      </c>
      <c r="H34" s="14" t="s">
        <v>135</v>
      </c>
      <c r="I34" s="13" t="s">
        <v>136</v>
      </c>
    </row>
    <row r="35" customFormat="false" ht="17.15" hidden="false" customHeight="false" outlineLevel="0" collapsed="false">
      <c r="A35" s="0" t="s">
        <v>137</v>
      </c>
      <c r="B35" s="5" t="s">
        <v>138</v>
      </c>
      <c r="C35" s="0" t="s">
        <v>52</v>
      </c>
      <c r="D35" s="10" t="n">
        <v>0.7</v>
      </c>
      <c r="E35" s="10" t="n">
        <v>0.8</v>
      </c>
      <c r="F35" s="10" t="n">
        <v>0.9</v>
      </c>
      <c r="G35" s="8" t="s">
        <v>62</v>
      </c>
      <c r="H35" s="5" t="s">
        <v>139</v>
      </c>
      <c r="I35" s="8" t="s">
        <v>140</v>
      </c>
    </row>
    <row r="36" customFormat="false" ht="17.15" hidden="false" customHeight="false" outlineLevel="0" collapsed="false">
      <c r="A36" s="0" t="s">
        <v>141</v>
      </c>
      <c r="B36" s="0" t="s">
        <v>142</v>
      </c>
      <c r="C36" s="0" t="s">
        <v>143</v>
      </c>
      <c r="E36" s="7" t="n">
        <v>2.82</v>
      </c>
      <c r="G36" s="8" t="s">
        <v>28</v>
      </c>
      <c r="H36" s="8" t="s">
        <v>144</v>
      </c>
      <c r="I36" s="8" t="s">
        <v>145</v>
      </c>
    </row>
    <row r="37" customFormat="false" ht="17.15" hidden="false" customHeight="false" outlineLevel="0" collapsed="false">
      <c r="A37" s="0" t="s">
        <v>146</v>
      </c>
      <c r="B37" s="0" t="s">
        <v>147</v>
      </c>
      <c r="C37" s="0" t="s">
        <v>143</v>
      </c>
      <c r="E37" s="7" t="n">
        <v>6.88</v>
      </c>
      <c r="G37" s="8" t="s">
        <v>28</v>
      </c>
      <c r="H37" s="8" t="s">
        <v>144</v>
      </c>
      <c r="I37" s="5" t="s">
        <v>148</v>
      </c>
    </row>
    <row r="38" customFormat="false" ht="17.15" hidden="false" customHeight="false" outlineLevel="0" collapsed="false">
      <c r="A38" s="0" t="s">
        <v>149</v>
      </c>
      <c r="B38" s="5" t="s">
        <v>150</v>
      </c>
      <c r="C38" s="0" t="s">
        <v>151</v>
      </c>
      <c r="E38" s="7" t="n">
        <v>9.5715</v>
      </c>
      <c r="G38" s="8" t="s">
        <v>62</v>
      </c>
      <c r="H38" s="5" t="s">
        <v>152</v>
      </c>
      <c r="I38" s="5" t="s">
        <v>153</v>
      </c>
    </row>
    <row r="39" customFormat="false" ht="17.15" hidden="false" customHeight="false" outlineLevel="0" collapsed="false">
      <c r="A39" s="0" t="s">
        <v>154</v>
      </c>
      <c r="B39" s="5" t="s">
        <v>155</v>
      </c>
      <c r="C39" s="0" t="s">
        <v>151</v>
      </c>
      <c r="E39" s="7" t="n">
        <v>7.0191</v>
      </c>
      <c r="G39" s="8" t="s">
        <v>62</v>
      </c>
      <c r="H39" s="5" t="s">
        <v>156</v>
      </c>
      <c r="I39" s="8" t="s">
        <v>157</v>
      </c>
    </row>
    <row r="40" customFormat="false" ht="17.15" hidden="false" customHeight="false" outlineLevel="0" collapsed="false">
      <c r="A40" s="0" t="s">
        <v>158</v>
      </c>
      <c r="B40" s="0" t="s">
        <v>159</v>
      </c>
      <c r="C40" s="0" t="s">
        <v>151</v>
      </c>
      <c r="E40" s="7" t="n">
        <v>9.70308728611469</v>
      </c>
      <c r="G40" s="8" t="s">
        <v>41</v>
      </c>
      <c r="H40" s="8" t="s">
        <v>160</v>
      </c>
      <c r="I40" s="8" t="s">
        <v>161</v>
      </c>
    </row>
    <row r="41" customFormat="false" ht="17.15" hidden="false" customHeight="false" outlineLevel="0" collapsed="false">
      <c r="A41" s="0" t="s">
        <v>162</v>
      </c>
      <c r="B41" s="0" t="s">
        <v>163</v>
      </c>
      <c r="C41" s="0" t="s">
        <v>151</v>
      </c>
      <c r="E41" s="7" t="n">
        <v>8.82816556596761</v>
      </c>
      <c r="G41" s="8" t="s">
        <v>41</v>
      </c>
      <c r="H41" s="8" t="s">
        <v>160</v>
      </c>
      <c r="I41" s="8" t="s">
        <v>161</v>
      </c>
    </row>
    <row r="42" customFormat="false" ht="17.15" hidden="false" customHeight="false" outlineLevel="0" collapsed="false">
      <c r="A42" s="0" t="s">
        <v>164</v>
      </c>
      <c r="B42" s="0" t="s">
        <v>165</v>
      </c>
      <c r="C42" s="0" t="s">
        <v>151</v>
      </c>
      <c r="E42" s="7" t="n">
        <v>10.8864110021101</v>
      </c>
      <c r="G42" s="8" t="s">
        <v>41</v>
      </c>
      <c r="H42" s="8" t="s">
        <v>160</v>
      </c>
      <c r="I42" s="8" t="s">
        <v>161</v>
      </c>
    </row>
    <row r="43" customFormat="false" ht="17.15" hidden="false" customHeight="false" outlineLevel="0" collapsed="false">
      <c r="A43" s="0" t="s">
        <v>166</v>
      </c>
      <c r="B43" s="0" t="s">
        <v>167</v>
      </c>
      <c r="C43" s="0" t="s">
        <v>151</v>
      </c>
      <c r="E43" s="7" t="n">
        <v>12.2254710045841</v>
      </c>
      <c r="G43" s="8" t="s">
        <v>41</v>
      </c>
      <c r="H43" s="8" t="s">
        <v>160</v>
      </c>
      <c r="I43" s="8" t="s">
        <v>161</v>
      </c>
    </row>
    <row r="44" customFormat="false" ht="17.15" hidden="false" customHeight="false" outlineLevel="0" collapsed="false">
      <c r="A44" s="0" t="s">
        <v>168</v>
      </c>
      <c r="B44" s="0" t="s">
        <v>169</v>
      </c>
      <c r="C44" s="0" t="s">
        <v>170</v>
      </c>
      <c r="E44" s="7" t="n">
        <v>27.510214</v>
      </c>
      <c r="G44" s="8" t="s">
        <v>41</v>
      </c>
      <c r="H44" s="8" t="s">
        <v>160</v>
      </c>
    </row>
    <row r="45" customFormat="false" ht="17.15" hidden="false" customHeight="false" outlineLevel="0" collapsed="false">
      <c r="A45" s="0" t="s">
        <v>171</v>
      </c>
      <c r="B45" s="0" t="s">
        <v>172</v>
      </c>
      <c r="C45" s="0" t="s">
        <v>170</v>
      </c>
      <c r="E45" s="7" t="n">
        <v>24.015174</v>
      </c>
      <c r="G45" s="8" t="s">
        <v>41</v>
      </c>
      <c r="H45" s="8" t="s">
        <v>160</v>
      </c>
    </row>
    <row r="46" customFormat="false" ht="17.15" hidden="false" customHeight="false" outlineLevel="0" collapsed="false">
      <c r="A46" s="0" t="s">
        <v>173</v>
      </c>
      <c r="B46" s="0" t="s">
        <v>174</v>
      </c>
      <c r="C46" s="0" t="s">
        <v>170</v>
      </c>
      <c r="E46" s="7" t="n">
        <v>32.237224</v>
      </c>
      <c r="G46" s="8" t="s">
        <v>41</v>
      </c>
      <c r="H46" s="8" t="s">
        <v>160</v>
      </c>
    </row>
    <row r="47" customFormat="false" ht="17.15" hidden="false" customHeight="false" outlineLevel="0" collapsed="false">
      <c r="A47" s="0" t="s">
        <v>175</v>
      </c>
      <c r="B47" s="0" t="s">
        <v>176</v>
      </c>
      <c r="C47" s="0" t="s">
        <v>170</v>
      </c>
      <c r="E47" s="7" t="n">
        <v>37.586352</v>
      </c>
      <c r="G47" s="8" t="s">
        <v>41</v>
      </c>
      <c r="H47" s="8" t="s">
        <v>160</v>
      </c>
    </row>
    <row r="48" customFormat="false" ht="17.15" hidden="false" customHeight="false" outlineLevel="0" collapsed="false">
      <c r="A48" s="0" t="s">
        <v>177</v>
      </c>
      <c r="B48" s="0" t="s">
        <v>178</v>
      </c>
      <c r="C48" s="0" t="s">
        <v>151</v>
      </c>
      <c r="E48" s="7" t="n">
        <v>1.88466748019734</v>
      </c>
      <c r="G48" s="8" t="s">
        <v>41</v>
      </c>
      <c r="H48" s="8" t="s">
        <v>160</v>
      </c>
    </row>
    <row r="49" customFormat="false" ht="17.15" hidden="false" customHeight="false" outlineLevel="0" collapsed="false">
      <c r="A49" s="0" t="s">
        <v>179</v>
      </c>
      <c r="B49" s="0" t="s">
        <v>180</v>
      </c>
      <c r="C49" s="0" t="s">
        <v>151</v>
      </c>
      <c r="E49" s="7" t="n">
        <v>1.812232738713</v>
      </c>
      <c r="G49" s="8" t="s">
        <v>41</v>
      </c>
      <c r="H49" s="8" t="s">
        <v>160</v>
      </c>
    </row>
    <row r="50" customFormat="false" ht="17.15" hidden="false" customHeight="false" outlineLevel="0" collapsed="false">
      <c r="A50" s="0" t="s">
        <v>181</v>
      </c>
      <c r="B50" s="0" t="s">
        <v>182</v>
      </c>
      <c r="C50" s="0" t="s">
        <v>151</v>
      </c>
      <c r="E50" s="7" t="n">
        <v>1.98263481314457</v>
      </c>
      <c r="G50" s="8" t="s">
        <v>41</v>
      </c>
      <c r="H50" s="8" t="s">
        <v>160</v>
      </c>
    </row>
    <row r="51" customFormat="false" ht="17.15" hidden="false" customHeight="false" outlineLevel="0" collapsed="false">
      <c r="A51" s="0" t="s">
        <v>183</v>
      </c>
      <c r="B51" s="0" t="s">
        <v>184</v>
      </c>
      <c r="C51" s="0" t="s">
        <v>151</v>
      </c>
      <c r="E51" s="7" t="n">
        <v>2.09349554831403</v>
      </c>
      <c r="G51" s="8" t="s">
        <v>41</v>
      </c>
      <c r="H51" s="8" t="s">
        <v>160</v>
      </c>
    </row>
    <row r="52" customFormat="false" ht="17.15" hidden="false" customHeight="false" outlineLevel="0" collapsed="false">
      <c r="A52" s="0" t="s">
        <v>185</v>
      </c>
      <c r="B52" s="0" t="s">
        <v>186</v>
      </c>
      <c r="C52" s="0" t="s">
        <v>143</v>
      </c>
      <c r="E52" s="7" t="n">
        <v>1.54259654785589</v>
      </c>
      <c r="G52" s="8" t="s">
        <v>41</v>
      </c>
      <c r="H52" s="8" t="s">
        <v>160</v>
      </c>
      <c r="I52" s="8" t="s">
        <v>187</v>
      </c>
    </row>
    <row r="53" customFormat="false" ht="17.15" hidden="false" customHeight="false" outlineLevel="0" collapsed="false">
      <c r="A53" s="0" t="s">
        <v>188</v>
      </c>
      <c r="B53" s="0" t="s">
        <v>189</v>
      </c>
      <c r="C53" s="0" t="s">
        <v>170</v>
      </c>
      <c r="E53" s="7" t="n">
        <v>12.67</v>
      </c>
      <c r="G53" s="8" t="s">
        <v>41</v>
      </c>
      <c r="H53" s="8" t="s">
        <v>160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5" t="s">
        <v>102</v>
      </c>
      <c r="D54" s="7" t="n">
        <v>5</v>
      </c>
      <c r="E54" s="7" t="n">
        <v>6</v>
      </c>
      <c r="F54" s="7" t="n">
        <v>7</v>
      </c>
      <c r="G54" s="8" t="s">
        <v>41</v>
      </c>
      <c r="H54" s="8" t="s">
        <v>160</v>
      </c>
      <c r="I54" s="5" t="s">
        <v>192</v>
      </c>
    </row>
    <row r="55" customFormat="false" ht="17.15" hidden="false" customHeight="false" outlineLevel="0" collapsed="false">
      <c r="A55" s="0" t="s">
        <v>193</v>
      </c>
      <c r="B55" s="5" t="s">
        <v>194</v>
      </c>
      <c r="C55" s="5" t="s">
        <v>102</v>
      </c>
      <c r="D55" s="7" t="n">
        <v>15</v>
      </c>
      <c r="E55" s="7" t="n">
        <v>20</v>
      </c>
      <c r="F55" s="7" t="n">
        <v>30</v>
      </c>
      <c r="G55" s="8" t="s">
        <v>62</v>
      </c>
      <c r="H55" s="5" t="s">
        <v>195</v>
      </c>
      <c r="I55" s="5" t="s">
        <v>196</v>
      </c>
    </row>
    <row r="56" customFormat="false" ht="17.15" hidden="false" customHeight="false" outlineLevel="0" collapsed="false">
      <c r="A56" s="0" t="s">
        <v>197</v>
      </c>
      <c r="B56" s="0" t="s">
        <v>198</v>
      </c>
      <c r="C56" s="0" t="s">
        <v>151</v>
      </c>
      <c r="D56" s="7" t="n">
        <v>36.2296</v>
      </c>
      <c r="E56" s="7" t="n">
        <v>49.5137840363362</v>
      </c>
      <c r="F56" s="7" t="n">
        <v>78.4975</v>
      </c>
      <c r="G56" s="8" t="s">
        <v>41</v>
      </c>
      <c r="H56" s="8" t="s">
        <v>160</v>
      </c>
      <c r="I56" s="5" t="s">
        <v>199</v>
      </c>
    </row>
    <row r="57" customFormat="false" ht="17.15" hidden="false" customHeight="false" outlineLevel="0" collapsed="false">
      <c r="A57" s="0" t="s">
        <v>200</v>
      </c>
      <c r="B57" s="0" t="s">
        <v>201</v>
      </c>
      <c r="C57" s="0" t="s">
        <v>57</v>
      </c>
      <c r="D57" s="19" t="n">
        <f aca="false">p_long_lo/tk_he_vr200</f>
        <v>0.574137388847276</v>
      </c>
      <c r="E57" s="19" t="n">
        <f aca="false">p_long/tk_he_vr200</f>
        <v>0.782914621155376</v>
      </c>
      <c r="G57" s="8" t="s">
        <v>41</v>
      </c>
      <c r="H57" s="8" t="s">
        <v>202</v>
      </c>
      <c r="I57" s="8" t="s">
        <v>203</v>
      </c>
    </row>
    <row r="58" customFormat="false" ht="17.15" hidden="false" customHeight="false" outlineLevel="0" collapsed="false">
      <c r="A58" s="0" t="s">
        <v>204</v>
      </c>
      <c r="B58" s="0" t="s">
        <v>205</v>
      </c>
      <c r="C58" s="0" t="s">
        <v>57</v>
      </c>
      <c r="E58" s="19" t="n">
        <f aca="false">p_spot/tk_gpuhr</f>
        <v>1.82808654921445</v>
      </c>
      <c r="F58" s="19" t="n">
        <f aca="false">p_list/tk_gpuhr</f>
        <v>4.46001257397001</v>
      </c>
      <c r="G58" s="8" t="s">
        <v>41</v>
      </c>
      <c r="H58" s="8" t="s">
        <v>206</v>
      </c>
      <c r="I58" s="5" t="s">
        <v>207</v>
      </c>
    </row>
    <row r="59" customFormat="false" ht="17.15" hidden="false" customHeight="false" outlineLevel="0" collapsed="false">
      <c r="A59" s="0" t="s">
        <v>208</v>
      </c>
      <c r="B59" s="5" t="s">
        <v>209</v>
      </c>
      <c r="C59" s="0" t="s">
        <v>57</v>
      </c>
      <c r="E59" s="19" t="n">
        <f aca="false">long_sh*k_long+(1-long_sh)*k_spot_hi</f>
        <v>1.5183342117183</v>
      </c>
      <c r="G59" s="8" t="s">
        <v>41</v>
      </c>
      <c r="H59" s="5" t="s">
        <v>210</v>
      </c>
    </row>
    <row r="60" customFormat="false" ht="17.15" hidden="false" customHeight="false" outlineLevel="0" collapsed="false">
      <c r="A60" s="0" t="s">
        <v>211</v>
      </c>
      <c r="B60" s="5" t="s">
        <v>212</v>
      </c>
      <c r="C60" s="0" t="s">
        <v>57</v>
      </c>
      <c r="E60" s="19" t="n">
        <f aca="false">long_sh*k_long+(1-long_sh)*k_spot</f>
        <v>0.991949006767191</v>
      </c>
      <c r="G60" s="8" t="s">
        <v>41</v>
      </c>
      <c r="H60" s="5" t="s">
        <v>213</v>
      </c>
      <c r="I60" s="5" t="s">
        <v>214</v>
      </c>
    </row>
    <row r="61" customFormat="false" ht="17.15" hidden="false" customHeight="false" outlineLevel="0" collapsed="false">
      <c r="A61" s="0" t="s">
        <v>215</v>
      </c>
      <c r="B61" s="5" t="s">
        <v>216</v>
      </c>
      <c r="C61" s="0" t="s">
        <v>57</v>
      </c>
      <c r="E61" s="19" t="n">
        <f aca="false">long_sh*k_long_lo+(1-long_sh)*k_spot</f>
        <v>0.824927220920711</v>
      </c>
      <c r="G61" s="8" t="s">
        <v>41</v>
      </c>
      <c r="H61" s="5" t="s">
        <v>217</v>
      </c>
    </row>
    <row r="62" customFormat="false" ht="17.15" hidden="false" customHeight="false" outlineLevel="0" collapsed="false">
      <c r="A62" s="0" t="s">
        <v>218</v>
      </c>
      <c r="B62" s="5" t="s">
        <v>219</v>
      </c>
      <c r="C62" s="0" t="s">
        <v>52</v>
      </c>
      <c r="E62" s="10" t="n">
        <v>0.55</v>
      </c>
      <c r="G62" s="8" t="s">
        <v>62</v>
      </c>
      <c r="H62" s="8" t="s">
        <v>220</v>
      </c>
      <c r="I62" s="8" t="s">
        <v>221</v>
      </c>
    </row>
    <row r="63" customFormat="false" ht="17.15" hidden="false" customHeight="false" outlineLevel="0" collapsed="false">
      <c r="A63" s="0" t="s">
        <v>222</v>
      </c>
      <c r="B63" s="5" t="s">
        <v>223</v>
      </c>
      <c r="C63" s="0" t="s">
        <v>52</v>
      </c>
      <c r="E63" s="10" t="n">
        <v>0.15</v>
      </c>
      <c r="G63" s="8" t="s">
        <v>62</v>
      </c>
      <c r="H63" s="8" t="s">
        <v>220</v>
      </c>
    </row>
    <row r="64" customFormat="false" ht="17.15" hidden="false" customHeight="false" outlineLevel="0" collapsed="false">
      <c r="A64" s="0" t="s">
        <v>224</v>
      </c>
      <c r="B64" s="5" t="s">
        <v>225</v>
      </c>
      <c r="C64" s="0" t="s">
        <v>52</v>
      </c>
      <c r="E64" s="10" t="n">
        <v>0.15</v>
      </c>
      <c r="G64" s="8" t="s">
        <v>62</v>
      </c>
      <c r="H64" s="8" t="s">
        <v>220</v>
      </c>
    </row>
    <row r="65" customFormat="false" ht="17.15" hidden="false" customHeight="false" outlineLevel="0" collapsed="false">
      <c r="A65" s="0" t="s">
        <v>226</v>
      </c>
      <c r="B65" s="5" t="s">
        <v>227</v>
      </c>
      <c r="C65" s="0" t="s">
        <v>52</v>
      </c>
      <c r="E65" s="10" t="n">
        <v>0.15</v>
      </c>
      <c r="G65" s="8" t="s">
        <v>62</v>
      </c>
      <c r="H65" s="8" t="s">
        <v>220</v>
      </c>
    </row>
    <row r="66" customFormat="false" ht="17.15" hidden="false" customHeight="false" outlineLevel="0" collapsed="false">
      <c r="A66" s="0" t="s">
        <v>228</v>
      </c>
      <c r="B66" s="5" t="s">
        <v>229</v>
      </c>
      <c r="C66" s="0" t="s">
        <v>151</v>
      </c>
      <c r="E66" s="9" t="n">
        <f aca="false">(mo_trn2+mo_h100)*tk_he_h100+mo_gb200*tk_he_gb200+mo_gb300*tk_he_gb300</f>
        <v>9.74934758549194</v>
      </c>
      <c r="G66" s="8" t="s">
        <v>41</v>
      </c>
      <c r="H66" s="5" t="s">
        <v>230</v>
      </c>
    </row>
    <row r="67" customFormat="false" ht="17.15" hidden="false" customHeight="false" outlineLevel="0" collapsed="false">
      <c r="A67" s="0" t="s">
        <v>231</v>
      </c>
      <c r="B67" s="5" t="s">
        <v>232</v>
      </c>
      <c r="C67" s="0" t="s">
        <v>151</v>
      </c>
      <c r="E67" s="9" t="n">
        <f aca="false">(mo_trn2+mo_h100)*tk_ox_h100+mo_gb200*tk_ox_gb200+mo_gb300*tk_ox_gb300</f>
        <v>1.88849736891677</v>
      </c>
      <c r="G67" s="8" t="s">
        <v>41</v>
      </c>
      <c r="H67" s="5" t="s">
        <v>230</v>
      </c>
    </row>
    <row r="68" customFormat="false" ht="17.15" hidden="false" customHeight="false" outlineLevel="0" collapsed="false">
      <c r="A68" s="0" t="s">
        <v>233</v>
      </c>
      <c r="B68" s="5" t="s">
        <v>234</v>
      </c>
      <c r="C68" s="0" t="s">
        <v>151</v>
      </c>
      <c r="E68" s="9" t="n">
        <f aca="false">he_open*k_B</f>
        <v>9.67085565405685</v>
      </c>
      <c r="G68" s="8" t="s">
        <v>41</v>
      </c>
      <c r="H68" s="5" t="s">
        <v>235</v>
      </c>
    </row>
    <row r="69" customFormat="false" ht="17.15" hidden="false" customHeight="false" outlineLevel="0" collapsed="false">
      <c r="A69" s="0" t="s">
        <v>236</v>
      </c>
      <c r="B69" s="5" t="s">
        <v>237</v>
      </c>
      <c r="C69" s="0" t="s">
        <v>52</v>
      </c>
      <c r="D69" s="10" t="n">
        <v>0.4</v>
      </c>
      <c r="E69" s="10" t="n">
        <v>0.5</v>
      </c>
      <c r="F69" s="10" t="n">
        <v>0.6</v>
      </c>
      <c r="G69" s="8" t="s">
        <v>62</v>
      </c>
      <c r="H69" s="5" t="s">
        <v>238</v>
      </c>
      <c r="I69" s="8" t="s">
        <v>239</v>
      </c>
    </row>
    <row r="70" customFormat="false" ht="17.15" hidden="false" customHeight="false" outlineLevel="0" collapsed="false">
      <c r="A70" s="0" t="s">
        <v>240</v>
      </c>
      <c r="B70" s="0" t="s">
        <v>241</v>
      </c>
      <c r="C70" s="0" t="s">
        <v>52</v>
      </c>
      <c r="E70" s="10" t="n">
        <v>0</v>
      </c>
      <c r="G70" s="8" t="s">
        <v>62</v>
      </c>
      <c r="H70" s="5" t="s">
        <v>242</v>
      </c>
    </row>
    <row r="71" customFormat="false" ht="17.15" hidden="false" customHeight="false" outlineLevel="0" collapsed="false">
      <c r="A71" s="0" t="s">
        <v>243</v>
      </c>
      <c r="B71" s="0" t="s">
        <v>244</v>
      </c>
      <c r="C71" s="0" t="s">
        <v>52</v>
      </c>
      <c r="E71" s="10" t="n">
        <v>0.5</v>
      </c>
      <c r="G71" s="8" t="s">
        <v>62</v>
      </c>
      <c r="H71" s="5" t="s">
        <v>242</v>
      </c>
    </row>
    <row r="72" customFormat="false" ht="17.15" hidden="false" customHeight="false" outlineLevel="0" collapsed="false">
      <c r="A72" s="0" t="s">
        <v>245</v>
      </c>
      <c r="B72" s="0" t="s">
        <v>246</v>
      </c>
      <c r="C72" s="0" t="s">
        <v>52</v>
      </c>
      <c r="E72" s="10" t="n">
        <v>1</v>
      </c>
      <c r="G72" s="8" t="s">
        <v>62</v>
      </c>
      <c r="H72" s="5" t="s">
        <v>242</v>
      </c>
    </row>
    <row r="73" customFormat="false" ht="17.15" hidden="false" customHeight="false" outlineLevel="0" collapsed="false">
      <c r="A73" s="0" t="s">
        <v>247</v>
      </c>
      <c r="B73" s="5" t="s">
        <v>248</v>
      </c>
      <c r="C73" s="0" t="s">
        <v>57</v>
      </c>
      <c r="D73" s="11" t="n">
        <v>0.7</v>
      </c>
      <c r="E73" s="11" t="n">
        <v>1</v>
      </c>
      <c r="G73" s="8" t="s">
        <v>62</v>
      </c>
      <c r="H73" s="5" t="s">
        <v>249</v>
      </c>
      <c r="I73" s="5" t="s">
        <v>250</v>
      </c>
    </row>
    <row r="74" customFormat="false" ht="17.15" hidden="false" customHeight="false" outlineLevel="0" collapsed="false">
      <c r="A74" s="0" t="s">
        <v>251</v>
      </c>
      <c r="B74" s="5" t="s">
        <v>252</v>
      </c>
      <c r="C74" s="0" t="s">
        <v>57</v>
      </c>
      <c r="D74" s="11" t="n">
        <v>0.7</v>
      </c>
      <c r="E74" s="11" t="n">
        <v>1</v>
      </c>
      <c r="G74" s="8" t="s">
        <v>62</v>
      </c>
      <c r="H74" s="5" t="s">
        <v>253</v>
      </c>
      <c r="I74" s="5" t="s">
        <v>254</v>
      </c>
    </row>
    <row r="75" customFormat="false" ht="17.15" hidden="false" customHeight="false" outlineLevel="0" collapsed="false">
      <c r="A75" s="0" t="s">
        <v>255</v>
      </c>
      <c r="B75" s="5" t="s">
        <v>256</v>
      </c>
      <c r="C75" s="0" t="s">
        <v>52</v>
      </c>
      <c r="D75" s="10" t="n">
        <v>0.1</v>
      </c>
      <c r="E75" s="10" t="n">
        <v>0.2</v>
      </c>
      <c r="F75" s="10" t="n">
        <v>0.3</v>
      </c>
      <c r="G75" s="8" t="s">
        <v>46</v>
      </c>
      <c r="H75" s="8" t="s">
        <v>257</v>
      </c>
      <c r="I75" s="5" t="s">
        <v>258</v>
      </c>
    </row>
    <row r="76" customFormat="false" ht="17.15" hidden="false" customHeight="false" outlineLevel="0" collapsed="false">
      <c r="A76" s="0" t="s">
        <v>259</v>
      </c>
      <c r="B76" s="5" t="s">
        <v>260</v>
      </c>
      <c r="C76" s="0" t="s">
        <v>52</v>
      </c>
      <c r="E76" s="10" t="n">
        <v>0.1</v>
      </c>
      <c r="G76" s="8" t="s">
        <v>62</v>
      </c>
      <c r="H76" s="5" t="s">
        <v>261</v>
      </c>
    </row>
    <row r="77" customFormat="false" ht="17.15" hidden="false" customHeight="false" outlineLevel="0" collapsed="false">
      <c r="A77" s="0" t="s">
        <v>262</v>
      </c>
      <c r="B77" s="5" t="s">
        <v>263</v>
      </c>
      <c r="C77" s="0" t="s">
        <v>151</v>
      </c>
      <c r="E77" s="9" t="n">
        <f aca="false">colo_sh*tk_fac*rent_rec</f>
        <v>0.2534</v>
      </c>
      <c r="G77" s="8" t="s">
        <v>41</v>
      </c>
      <c r="H77" s="5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0" t="s">
        <v>73</v>
      </c>
      <c r="E78" s="7" t="n">
        <v>220</v>
      </c>
      <c r="G78" s="8" t="s">
        <v>46</v>
      </c>
      <c r="H78" s="8" t="s">
        <v>267</v>
      </c>
      <c r="I78" s="5" t="s">
        <v>268</v>
      </c>
    </row>
    <row r="79" customFormat="false" ht="17.15" hidden="false" customHeight="false" outlineLevel="0" collapsed="false">
      <c r="A79" s="0" t="s">
        <v>269</v>
      </c>
      <c r="B79" s="5" t="s">
        <v>270</v>
      </c>
      <c r="C79" s="0" t="s">
        <v>271</v>
      </c>
      <c r="E79" s="7" t="n">
        <v>0</v>
      </c>
      <c r="F79" s="7" t="n">
        <v>1</v>
      </c>
      <c r="G79" s="8" t="s">
        <v>62</v>
      </c>
      <c r="H79" s="5" t="s">
        <v>272</v>
      </c>
      <c r="I79" s="5" t="s">
        <v>273</v>
      </c>
    </row>
    <row r="80" customFormat="false" ht="17.15" hidden="false" customHeight="false" outlineLevel="0" collapsed="false">
      <c r="A80" s="0" t="s">
        <v>274</v>
      </c>
      <c r="B80" s="5" t="s">
        <v>275</v>
      </c>
      <c r="C80" s="0" t="s">
        <v>73</v>
      </c>
      <c r="E80" s="7" t="n">
        <v>25</v>
      </c>
      <c r="G80" s="8" t="s">
        <v>46</v>
      </c>
      <c r="H80" s="8" t="s">
        <v>276</v>
      </c>
      <c r="I80" s="5" t="s">
        <v>277</v>
      </c>
    </row>
    <row r="81" customFormat="false" ht="17.15" hidden="false" customHeight="false" outlineLevel="0" collapsed="false">
      <c r="A81" s="1" t="s">
        <v>278</v>
      </c>
    </row>
    <row r="82" customFormat="false" ht="17.15" hidden="false" customHeight="false" outlineLevel="0" collapsed="false">
      <c r="A82" s="0" t="s">
        <v>279</v>
      </c>
      <c r="B82" s="0" t="s">
        <v>280</v>
      </c>
      <c r="C82" s="0" t="s">
        <v>52</v>
      </c>
      <c r="D82" s="10" t="n">
        <v>0.05</v>
      </c>
      <c r="E82" s="10" t="n">
        <v>0.08</v>
      </c>
      <c r="F82" s="10" t="n">
        <v>0.11</v>
      </c>
      <c r="G82" s="8" t="s">
        <v>62</v>
      </c>
      <c r="H82" s="5" t="s">
        <v>281</v>
      </c>
      <c r="I82" s="8" t="s">
        <v>282</v>
      </c>
    </row>
    <row r="83" customFormat="false" ht="17.15" hidden="false" customHeight="false" outlineLevel="0" collapsed="false">
      <c r="A83" s="0" t="s">
        <v>283</v>
      </c>
      <c r="B83" s="0" t="s">
        <v>284</v>
      </c>
      <c r="C83" s="0" t="s">
        <v>52</v>
      </c>
      <c r="D83" s="10" t="n">
        <v>0.15</v>
      </c>
      <c r="E83" s="10" t="n">
        <v>0.2</v>
      </c>
      <c r="F83" s="10" t="n">
        <v>0.27</v>
      </c>
      <c r="G83" s="8" t="s">
        <v>62</v>
      </c>
      <c r="H83" s="5" t="s">
        <v>285</v>
      </c>
      <c r="I83" s="5" t="s">
        <v>286</v>
      </c>
    </row>
    <row r="84" customFormat="false" ht="17.15" hidden="false" customHeight="false" outlineLevel="0" collapsed="false">
      <c r="A84" s="1" t="s">
        <v>287</v>
      </c>
    </row>
    <row r="85" customFormat="false" ht="17.15" hidden="false" customHeight="false" outlineLevel="0" collapsed="false">
      <c r="A85" s="0" t="s">
        <v>288</v>
      </c>
      <c r="B85" s="0" t="s">
        <v>289</v>
      </c>
      <c r="C85" s="0" t="s">
        <v>52</v>
      </c>
      <c r="D85" s="10" t="n">
        <v>0.03</v>
      </c>
      <c r="E85" s="10" t="n">
        <v>0.05</v>
      </c>
      <c r="F85" s="10" t="n">
        <v>0.07</v>
      </c>
      <c r="G85" s="8" t="s">
        <v>62</v>
      </c>
      <c r="H85" s="5" t="s">
        <v>86</v>
      </c>
      <c r="I85" s="8" t="s">
        <v>290</v>
      </c>
    </row>
    <row r="86" customFormat="false" ht="17.15" hidden="false" customHeight="false" outlineLevel="0" collapsed="false">
      <c r="A86" s="0" t="s">
        <v>291</v>
      </c>
      <c r="B86" s="0" t="s">
        <v>292</v>
      </c>
      <c r="C86" s="0" t="s">
        <v>52</v>
      </c>
      <c r="D86" s="10" t="n">
        <v>0.01</v>
      </c>
      <c r="E86" s="10" t="n">
        <v>0.03</v>
      </c>
      <c r="F86" s="10" t="n">
        <v>0.05</v>
      </c>
      <c r="G86" s="8" t="s">
        <v>62</v>
      </c>
      <c r="H86" s="5" t="s">
        <v>86</v>
      </c>
      <c r="I86" s="8" t="s">
        <v>290</v>
      </c>
    </row>
    <row r="87" customFormat="false" ht="17.15" hidden="false" customHeight="false" outlineLevel="0" collapsed="false">
      <c r="A87" s="0" t="s">
        <v>293</v>
      </c>
      <c r="B87" s="0" t="s">
        <v>294</v>
      </c>
      <c r="C87" s="0" t="s">
        <v>52</v>
      </c>
      <c r="D87" s="10" t="n">
        <v>0.05</v>
      </c>
      <c r="E87" s="10" t="n">
        <v>0.07</v>
      </c>
      <c r="F87" s="10" t="n">
        <v>0.09</v>
      </c>
      <c r="G87" s="8" t="s">
        <v>62</v>
      </c>
      <c r="H87" s="5" t="s">
        <v>86</v>
      </c>
      <c r="I87" s="8" t="s">
        <v>290</v>
      </c>
    </row>
    <row r="88" customFormat="false" ht="17.15" hidden="false" customHeight="false" outlineLevel="0" collapsed="false">
      <c r="A88" s="0" t="s">
        <v>295</v>
      </c>
      <c r="B88" s="0" t="s">
        <v>296</v>
      </c>
      <c r="C88" s="0" t="s">
        <v>52</v>
      </c>
      <c r="D88" s="10" t="n">
        <v>0.07</v>
      </c>
      <c r="E88" s="10" t="n">
        <v>0.1</v>
      </c>
      <c r="F88" s="10" t="n">
        <v>0.13</v>
      </c>
      <c r="G88" s="8" t="s">
        <v>62</v>
      </c>
      <c r="H88" s="5" t="s">
        <v>86</v>
      </c>
      <c r="I88" s="8" t="s">
        <v>290</v>
      </c>
    </row>
    <row r="89" customFormat="false" ht="17.15" hidden="false" customHeight="false" outlineLevel="0" collapsed="false">
      <c r="A89" s="0" t="s">
        <v>297</v>
      </c>
      <c r="B89" s="0" t="s">
        <v>298</v>
      </c>
      <c r="C89" s="0" t="s">
        <v>52</v>
      </c>
      <c r="D89" s="10" t="n">
        <v>0.05</v>
      </c>
      <c r="E89" s="10" t="n">
        <v>0.07</v>
      </c>
      <c r="F89" s="10" t="n">
        <v>0.09</v>
      </c>
      <c r="G89" s="8" t="s">
        <v>62</v>
      </c>
      <c r="H89" s="5" t="s">
        <v>86</v>
      </c>
      <c r="I89" s="8" t="s">
        <v>290</v>
      </c>
    </row>
    <row r="90" customFormat="false" ht="17.15" hidden="false" customHeight="false" outlineLevel="0" collapsed="false">
      <c r="A90" s="0" t="s">
        <v>299</v>
      </c>
      <c r="B90" s="0" t="s">
        <v>300</v>
      </c>
      <c r="C90" s="0" t="s">
        <v>52</v>
      </c>
      <c r="D90" s="10" t="n">
        <v>0.02</v>
      </c>
      <c r="E90" s="10" t="n">
        <v>0.05</v>
      </c>
      <c r="F90" s="10" t="n">
        <v>0.08</v>
      </c>
      <c r="G90" s="8" t="s">
        <v>62</v>
      </c>
      <c r="H90" s="5" t="s">
        <v>86</v>
      </c>
      <c r="I90" s="8" t="s">
        <v>290</v>
      </c>
    </row>
    <row r="91" customFormat="false" ht="17.15" hidden="false" customHeight="false" outlineLevel="0" collapsed="false">
      <c r="A91" s="0" t="s">
        <v>301</v>
      </c>
      <c r="B91" s="5" t="s">
        <v>302</v>
      </c>
      <c r="C91" s="0" t="s">
        <v>52</v>
      </c>
      <c r="D91" s="10" t="n">
        <v>0.4</v>
      </c>
      <c r="E91" s="10" t="n">
        <v>0.5</v>
      </c>
      <c r="F91" s="10" t="n">
        <v>0.6</v>
      </c>
      <c r="G91" s="8" t="s">
        <v>62</v>
      </c>
      <c r="H91" s="5" t="s">
        <v>303</v>
      </c>
      <c r="I91" s="5" t="s">
        <v>304</v>
      </c>
    </row>
    <row r="92" customFormat="false" ht="17.15" hidden="false" customHeight="false" outlineLevel="0" collapsed="false">
      <c r="A92" s="0" t="s">
        <v>305</v>
      </c>
      <c r="B92" s="5" t="s">
        <v>306</v>
      </c>
      <c r="C92" s="0" t="s">
        <v>307</v>
      </c>
      <c r="D92" s="10" t="n">
        <v>0</v>
      </c>
      <c r="E92" s="10" t="n">
        <v>0.003</v>
      </c>
      <c r="F92" s="10" t="n">
        <v>0.006</v>
      </c>
      <c r="G92" s="8" t="s">
        <v>62</v>
      </c>
      <c r="H92" s="5" t="s">
        <v>308</v>
      </c>
    </row>
    <row r="93" customFormat="false" ht="17.15" hidden="false" customHeight="false" outlineLevel="0" collapsed="false">
      <c r="A93" s="0" t="s">
        <v>309</v>
      </c>
      <c r="B93" s="5" t="s">
        <v>310</v>
      </c>
      <c r="C93" s="0" t="s">
        <v>307</v>
      </c>
      <c r="D93" s="10" t="n">
        <v>-0.003</v>
      </c>
      <c r="E93" s="10" t="n">
        <v>0</v>
      </c>
      <c r="F93" s="10" t="n">
        <v>0.003</v>
      </c>
      <c r="G93" s="8" t="s">
        <v>62</v>
      </c>
      <c r="H93" s="5" t="s">
        <v>311</v>
      </c>
    </row>
    <row r="94" customFormat="false" ht="17.15" hidden="false" customHeight="false" outlineLevel="0" collapsed="false">
      <c r="A94" s="0" t="s">
        <v>312</v>
      </c>
      <c r="B94" s="5" t="s">
        <v>313</v>
      </c>
      <c r="C94" s="0" t="s">
        <v>52</v>
      </c>
      <c r="E94" s="12" t="n">
        <f aca="false">AVERAGE((Q!$C$55+Q!$C$56)/(Q!$C$5+Q!$C$6),(Q!$D$55+Q!$D$56)/(Q!$D$5+Q!$D$6),(Q!$E$55+Q!$E$56)/(Q!$E$5+Q!$E$6))</f>
        <v>0.0590737529079913</v>
      </c>
      <c r="G94" s="8" t="s">
        <v>41</v>
      </c>
      <c r="H94" s="8" t="s">
        <v>69</v>
      </c>
      <c r="I94" s="8" t="s">
        <v>314</v>
      </c>
    </row>
    <row r="95" customFormat="false" ht="17.15" hidden="false" customHeight="false" outlineLevel="0" collapsed="false">
      <c r="A95" s="1" t="s">
        <v>315</v>
      </c>
    </row>
    <row r="96" customFormat="false" ht="17.15" hidden="false" customHeight="false" outlineLevel="0" collapsed="false">
      <c r="A96" s="0" t="s">
        <v>316</v>
      </c>
      <c r="B96" s="5" t="s">
        <v>317</v>
      </c>
      <c r="C96" s="0" t="s">
        <v>52</v>
      </c>
      <c r="E96" s="12" t="n">
        <f aca="false">Q!$Q$48/Q!$Q$8</f>
        <v>0.0248994430693069</v>
      </c>
      <c r="G96" s="8" t="s">
        <v>41</v>
      </c>
      <c r="H96" s="8" t="s">
        <v>276</v>
      </c>
      <c r="I96" s="8" t="s">
        <v>318</v>
      </c>
    </row>
    <row r="97" customFormat="false" ht="17.15" hidden="false" customHeight="false" outlineLevel="0" collapsed="false">
      <c r="A97" s="0" t="s">
        <v>319</v>
      </c>
      <c r="B97" s="5" t="s">
        <v>320</v>
      </c>
      <c r="C97" s="0" t="s">
        <v>52</v>
      </c>
      <c r="D97" s="10" t="n">
        <v>-0.005</v>
      </c>
      <c r="E97" s="12" t="n">
        <f aca="false">AVERAGE((Q!$C$44-(Q!$C$38-Q!$C$39*(1-Q!$C$40))-Q!$C$32-Q!$C$48)/Q!$C$8,(Q!$D$44-(Q!$D$38-Q!$D$39*(1-Q!$D$40))-Q!$D$32-Q!$D$48)/Q!$D$8,(Q!$E$44-(Q!$E$38-Q!$E$39*(1-Q!$E$40))-Q!$E$32-Q!$E$48)/Q!$E$8)</f>
        <v>0.0119845812666467</v>
      </c>
      <c r="F97" s="10" t="n">
        <v>0.02</v>
      </c>
      <c r="G97" s="8" t="s">
        <v>41</v>
      </c>
      <c r="H97" s="8" t="s">
        <v>69</v>
      </c>
      <c r="I97" s="8" t="s">
        <v>321</v>
      </c>
    </row>
    <row r="98" customFormat="false" ht="17.15" hidden="false" customHeight="false" outlineLevel="0" collapsed="false">
      <c r="A98" s="0" t="s">
        <v>322</v>
      </c>
      <c r="B98" s="5" t="s">
        <v>323</v>
      </c>
      <c r="C98" s="0" t="s">
        <v>73</v>
      </c>
      <c r="E98" s="7" t="n">
        <v>1.947</v>
      </c>
      <c r="G98" s="8" t="s">
        <v>41</v>
      </c>
      <c r="H98" s="8" t="s">
        <v>34</v>
      </c>
      <c r="I98" s="8" t="s">
        <v>324</v>
      </c>
    </row>
    <row r="99" customFormat="false" ht="17.15" hidden="false" customHeight="false" outlineLevel="0" collapsed="false">
      <c r="A99" s="0" t="s">
        <v>325</v>
      </c>
      <c r="B99" s="5" t="s">
        <v>326</v>
      </c>
      <c r="C99" s="0" t="s">
        <v>73</v>
      </c>
      <c r="D99" s="7" t="n">
        <v>1.5</v>
      </c>
      <c r="E99" s="7" t="n">
        <v>1.6</v>
      </c>
      <c r="F99" s="7" t="n">
        <v>3</v>
      </c>
      <c r="G99" s="8" t="s">
        <v>62</v>
      </c>
      <c r="H99" s="8" t="s">
        <v>69</v>
      </c>
      <c r="I99" s="8" t="s">
        <v>327</v>
      </c>
    </row>
    <row r="100" customFormat="false" ht="17.15" hidden="false" customHeight="false" outlineLevel="0" collapsed="false">
      <c r="A100" s="0" t="s">
        <v>328</v>
      </c>
      <c r="B100" s="5" t="s">
        <v>329</v>
      </c>
      <c r="C100" s="0" t="s">
        <v>52</v>
      </c>
      <c r="D100" s="10" t="n">
        <v>0</v>
      </c>
      <c r="E100" s="10" t="n">
        <v>0.008</v>
      </c>
      <c r="F100" s="10" t="n">
        <v>0.015</v>
      </c>
      <c r="G100" s="8" t="s">
        <v>41</v>
      </c>
      <c r="H100" s="8" t="s">
        <v>330</v>
      </c>
      <c r="I100" s="5" t="s">
        <v>331</v>
      </c>
    </row>
    <row r="101" customFormat="false" ht="17.15" hidden="false" customHeight="false" outlineLevel="0" collapsed="false">
      <c r="A101" s="0" t="s">
        <v>332</v>
      </c>
      <c r="B101" s="5" t="s">
        <v>333</v>
      </c>
      <c r="C101" s="0" t="s">
        <v>52</v>
      </c>
      <c r="E101" s="12" t="n">
        <f aca="false">Q!$P$34*2/((Q!$E$62+Q!$M$62)/2)</f>
        <v>0.0418964381091111</v>
      </c>
      <c r="G101" s="8" t="s">
        <v>41</v>
      </c>
      <c r="H101" s="8" t="s">
        <v>34</v>
      </c>
      <c r="I101" s="5" t="s">
        <v>334</v>
      </c>
    </row>
    <row r="102" customFormat="false" ht="17.15" hidden="false" customHeight="false" outlineLevel="0" collapsed="false">
      <c r="A102" s="0" t="s">
        <v>335</v>
      </c>
      <c r="B102" s="5" t="s">
        <v>336</v>
      </c>
      <c r="C102" s="0" t="s">
        <v>52</v>
      </c>
      <c r="E102" s="12" t="n">
        <f aca="false">Q!$M$35*4/Q!$M$61</f>
        <v>0.0421179302045728</v>
      </c>
      <c r="G102" s="8" t="s">
        <v>41</v>
      </c>
      <c r="H102" s="8" t="s">
        <v>34</v>
      </c>
    </row>
    <row r="103" customFormat="false" ht="17.15" hidden="false" customHeight="false" outlineLevel="0" collapsed="false">
      <c r="A103" s="0" t="s">
        <v>337</v>
      </c>
      <c r="B103" s="5" t="s">
        <v>338</v>
      </c>
      <c r="C103" s="0" t="s">
        <v>73</v>
      </c>
      <c r="E103" s="7" t="n">
        <v>122.988</v>
      </c>
      <c r="G103" s="8" t="s">
        <v>28</v>
      </c>
      <c r="H103" s="8" t="s">
        <v>34</v>
      </c>
    </row>
    <row r="104" customFormat="false" ht="17.15" hidden="false" customHeight="false" outlineLevel="0" collapsed="false">
      <c r="A104" s="0" t="s">
        <v>339</v>
      </c>
      <c r="B104" s="5" t="s">
        <v>340</v>
      </c>
      <c r="C104" s="0" t="s">
        <v>73</v>
      </c>
      <c r="D104" s="7" t="n">
        <v>30</v>
      </c>
      <c r="E104" s="7" t="n">
        <v>50</v>
      </c>
      <c r="F104" s="7" t="n">
        <v>80</v>
      </c>
      <c r="G104" s="8" t="s">
        <v>62</v>
      </c>
      <c r="H104" s="5" t="s">
        <v>341</v>
      </c>
    </row>
    <row r="105" customFormat="false" ht="17.15" hidden="false" customHeight="false" outlineLevel="0" collapsed="false">
      <c r="A105" s="0" t="s">
        <v>342</v>
      </c>
      <c r="B105" s="0" t="s">
        <v>343</v>
      </c>
      <c r="C105" s="0" t="s">
        <v>73</v>
      </c>
      <c r="E105" s="9" t="n">
        <f aca="false">25+4.25</f>
        <v>29.25</v>
      </c>
      <c r="G105" s="8" t="s">
        <v>46</v>
      </c>
      <c r="H105" s="8" t="s">
        <v>344</v>
      </c>
    </row>
    <row r="106" customFormat="false" ht="17.15" hidden="false" customHeight="false" outlineLevel="0" collapsed="false">
      <c r="A106" s="0" t="s">
        <v>345</v>
      </c>
      <c r="B106" s="0" t="s">
        <v>346</v>
      </c>
      <c r="C106" s="0" t="s">
        <v>73</v>
      </c>
      <c r="E106" s="7" t="n">
        <v>21.3</v>
      </c>
      <c r="G106" s="8" t="s">
        <v>46</v>
      </c>
      <c r="H106" s="8" t="s">
        <v>34</v>
      </c>
      <c r="I106" s="8" t="s">
        <v>347</v>
      </c>
    </row>
    <row r="107" customFormat="false" ht="17.15" hidden="false" customHeight="false" outlineLevel="0" collapsed="false">
      <c r="A107" s="0" t="s">
        <v>348</v>
      </c>
      <c r="B107" s="0" t="s">
        <v>349</v>
      </c>
      <c r="C107" s="0" t="s">
        <v>52</v>
      </c>
      <c r="D107" s="10" t="n">
        <v>0.03</v>
      </c>
      <c r="E107" s="10" t="n">
        <v>0.04</v>
      </c>
      <c r="F107" s="10" t="n">
        <v>0.05</v>
      </c>
      <c r="G107" s="8" t="s">
        <v>46</v>
      </c>
      <c r="H107" s="8" t="s">
        <v>276</v>
      </c>
      <c r="I107" s="8" t="s">
        <v>350</v>
      </c>
    </row>
    <row r="108" customFormat="false" ht="17.15" hidden="false" customHeight="false" outlineLevel="0" collapsed="false">
      <c r="A108" s="0" t="s">
        <v>351</v>
      </c>
      <c r="B108" s="0" t="s">
        <v>352</v>
      </c>
      <c r="C108" s="0" t="s">
        <v>73</v>
      </c>
      <c r="E108" s="9" t="n">
        <f aca="false">pd_sh*Q!$J$8</f>
        <v>7.20676</v>
      </c>
      <c r="G108" s="8" t="s">
        <v>41</v>
      </c>
      <c r="H108" s="8" t="s">
        <v>276</v>
      </c>
      <c r="I108" s="8" t="s">
        <v>353</v>
      </c>
    </row>
    <row r="109" customFormat="false" ht="17.15" hidden="false" customHeight="false" outlineLevel="0" collapsed="false">
      <c r="A109" s="0" t="s">
        <v>354</v>
      </c>
      <c r="B109" s="5" t="s">
        <v>355</v>
      </c>
      <c r="C109" s="0" t="s">
        <v>27</v>
      </c>
      <c r="E109" s="7" t="n">
        <v>0</v>
      </c>
      <c r="G109" s="8" t="s">
        <v>28</v>
      </c>
      <c r="H109" s="8" t="s">
        <v>34</v>
      </c>
      <c r="I109" s="8" t="s">
        <v>356</v>
      </c>
    </row>
    <row r="110" customFormat="false" ht="17.15" hidden="false" customHeight="false" outlineLevel="0" collapsed="false">
      <c r="A110" s="1" t="s">
        <v>357</v>
      </c>
    </row>
    <row r="111" customFormat="false" ht="17.15" hidden="false" customHeight="false" outlineLevel="0" collapsed="false">
      <c r="A111" s="0" t="s">
        <v>358</v>
      </c>
      <c r="B111" s="0" t="s">
        <v>359</v>
      </c>
      <c r="C111" s="0" t="s">
        <v>73</v>
      </c>
      <c r="E111" s="7" t="n">
        <v>965</v>
      </c>
      <c r="G111" s="8" t="s">
        <v>46</v>
      </c>
      <c r="H111" s="8" t="s">
        <v>360</v>
      </c>
      <c r="I111" s="5" t="s">
        <v>361</v>
      </c>
    </row>
    <row r="112" customFormat="false" ht="17.15" hidden="false" customHeight="false" outlineLevel="0" collapsed="false">
      <c r="A112" s="0" t="s">
        <v>362</v>
      </c>
      <c r="B112" s="0" t="s">
        <v>363</v>
      </c>
      <c r="C112" s="0" t="s">
        <v>52</v>
      </c>
      <c r="D112" s="10" t="n">
        <v>0.15</v>
      </c>
      <c r="E112" s="10" t="n">
        <v>0.18</v>
      </c>
      <c r="F112" s="10" t="n">
        <v>0.21</v>
      </c>
      <c r="G112" s="8" t="s">
        <v>62</v>
      </c>
      <c r="H112" s="5" t="s">
        <v>364</v>
      </c>
      <c r="I112" s="8" t="s">
        <v>365</v>
      </c>
    </row>
    <row r="113" customFormat="false" ht="17.15" hidden="false" customHeight="false" outlineLevel="0" collapsed="false">
      <c r="A113" s="0" t="s">
        <v>366</v>
      </c>
      <c r="B113" s="0" t="s">
        <v>367</v>
      </c>
      <c r="C113" s="0" t="s">
        <v>73</v>
      </c>
      <c r="E113" s="7" t="n">
        <v>840</v>
      </c>
      <c r="G113" s="8" t="s">
        <v>41</v>
      </c>
      <c r="H113" s="8" t="s">
        <v>368</v>
      </c>
    </row>
    <row r="114" customFormat="false" ht="17.15" hidden="false" customHeight="false" outlineLevel="0" collapsed="false">
      <c r="A114" s="0" t="s">
        <v>369</v>
      </c>
      <c r="B114" s="0" t="s">
        <v>370</v>
      </c>
      <c r="C114" s="0" t="s">
        <v>52</v>
      </c>
      <c r="E114" s="10" t="n">
        <v>0.0595</v>
      </c>
      <c r="G114" s="8" t="s">
        <v>41</v>
      </c>
      <c r="H114" s="5" t="s">
        <v>242</v>
      </c>
      <c r="I114" s="5" t="s">
        <v>371</v>
      </c>
    </row>
    <row r="115" customFormat="false" ht="17.15" hidden="false" customHeight="false" outlineLevel="0" collapsed="false">
      <c r="A115" s="0" t="s">
        <v>372</v>
      </c>
      <c r="B115" s="5" t="s">
        <v>373</v>
      </c>
      <c r="C115" s="0" t="s">
        <v>52</v>
      </c>
      <c r="D115" s="10" t="n">
        <v>0</v>
      </c>
      <c r="E115" s="10" t="n">
        <v>0.2</v>
      </c>
      <c r="F115" s="10" t="n">
        <v>0.4</v>
      </c>
      <c r="G115" s="8" t="s">
        <v>62</v>
      </c>
      <c r="H115" s="5" t="s">
        <v>374</v>
      </c>
    </row>
    <row r="116" customFormat="false" ht="17.15" hidden="false" customHeight="false" outlineLevel="0" collapsed="false">
      <c r="A116" s="0" t="s">
        <v>375</v>
      </c>
      <c r="B116" s="0" t="s">
        <v>376</v>
      </c>
      <c r="C116" s="0" t="s">
        <v>57</v>
      </c>
      <c r="D116" s="11" t="n">
        <v>4</v>
      </c>
      <c r="E116" s="11" t="n">
        <v>6</v>
      </c>
      <c r="F116" s="11" t="n">
        <v>10</v>
      </c>
      <c r="G116" s="8" t="s">
        <v>62</v>
      </c>
      <c r="H116" s="5" t="s">
        <v>377</v>
      </c>
      <c r="I116" s="8" t="s">
        <v>378</v>
      </c>
    </row>
    <row r="117" customFormat="false" ht="17.15" hidden="false" customHeight="false" outlineLevel="0" collapsed="false">
      <c r="A117" s="0" t="s">
        <v>379</v>
      </c>
      <c r="B117" s="5" t="s">
        <v>380</v>
      </c>
      <c r="C117" s="0" t="s">
        <v>57</v>
      </c>
      <c r="D117" s="11" t="n">
        <v>0.8</v>
      </c>
      <c r="E117" s="11" t="n">
        <v>1</v>
      </c>
      <c r="F117" s="11" t="n">
        <v>1.2</v>
      </c>
      <c r="G117" s="8" t="s">
        <v>62</v>
      </c>
      <c r="H117" s="8" t="s">
        <v>381</v>
      </c>
    </row>
    <row r="118" customFormat="false" ht="17.15" hidden="false" customHeight="false" outlineLevel="0" collapsed="false">
      <c r="A118" s="1" t="s">
        <v>382</v>
      </c>
    </row>
    <row r="119" customFormat="false" ht="17.15" hidden="false" customHeight="false" outlineLevel="0" collapsed="false">
      <c r="A119" s="0" t="s">
        <v>383</v>
      </c>
      <c r="B119" s="5" t="s">
        <v>384</v>
      </c>
      <c r="C119" s="0" t="s">
        <v>73</v>
      </c>
      <c r="E119" s="7" t="n">
        <v>828.285</v>
      </c>
      <c r="G119" s="8" t="s">
        <v>46</v>
      </c>
      <c r="H119" s="8" t="s">
        <v>385</v>
      </c>
      <c r="I119" s="8" t="s">
        <v>386</v>
      </c>
    </row>
    <row r="120" customFormat="false" ht="17.15" hidden="false" customHeight="false" outlineLevel="0" collapsed="false">
      <c r="A120" s="0" t="s">
        <v>387</v>
      </c>
      <c r="B120" s="5" t="s">
        <v>388</v>
      </c>
      <c r="C120" s="0" t="s">
        <v>73</v>
      </c>
      <c r="E120" s="7" t="n">
        <v>216.957</v>
      </c>
      <c r="G120" s="8" t="s">
        <v>46</v>
      </c>
      <c r="H120" s="8" t="s">
        <v>385</v>
      </c>
      <c r="I120" s="8" t="s">
        <v>386</v>
      </c>
    </row>
    <row r="121" customFormat="false" ht="17.15" hidden="false" customHeight="false" outlineLevel="0" collapsed="false">
      <c r="A121" s="0" t="s">
        <v>389</v>
      </c>
      <c r="B121" s="5" t="s">
        <v>390</v>
      </c>
      <c r="C121" s="0" t="s">
        <v>73</v>
      </c>
      <c r="E121" s="7" t="n">
        <v>109.867</v>
      </c>
      <c r="G121" s="8" t="s">
        <v>46</v>
      </c>
      <c r="H121" s="8" t="s">
        <v>385</v>
      </c>
      <c r="I121" s="8" t="s">
        <v>386</v>
      </c>
    </row>
    <row r="122" customFormat="false" ht="17.15" hidden="false" customHeight="false" outlineLevel="0" collapsed="false">
      <c r="A122" s="0" t="s">
        <v>391</v>
      </c>
      <c r="B122" s="5" t="s">
        <v>392</v>
      </c>
      <c r="C122" s="0" t="s">
        <v>73</v>
      </c>
      <c r="E122" s="7" t="n">
        <v>140.133</v>
      </c>
      <c r="G122" s="8" t="s">
        <v>46</v>
      </c>
      <c r="H122" s="8" t="s">
        <v>385</v>
      </c>
      <c r="I122" s="8" t="s">
        <v>386</v>
      </c>
    </row>
    <row r="123" customFormat="false" ht="17.15" hidden="false" customHeight="false" outlineLevel="0" collapsed="false">
      <c r="A123" s="0" t="s">
        <v>393</v>
      </c>
      <c r="B123" s="5" t="s">
        <v>394</v>
      </c>
      <c r="C123" s="0" t="s">
        <v>27</v>
      </c>
      <c r="E123" s="7" t="n">
        <v>12.88</v>
      </c>
      <c r="G123" s="8" t="s">
        <v>46</v>
      </c>
      <c r="H123" s="8" t="s">
        <v>385</v>
      </c>
      <c r="I123" s="8" t="s">
        <v>386</v>
      </c>
    </row>
    <row r="124" customFormat="false" ht="17.15" hidden="false" customHeight="false" outlineLevel="0" collapsed="false">
      <c r="A124" s="0" t="s">
        <v>395</v>
      </c>
      <c r="B124" s="5" t="s">
        <v>396</v>
      </c>
      <c r="C124" s="0" t="s">
        <v>73</v>
      </c>
      <c r="E124" s="7" t="n">
        <v>220.5</v>
      </c>
      <c r="G124" s="8" t="s">
        <v>46</v>
      </c>
      <c r="H124" s="8" t="s">
        <v>385</v>
      </c>
      <c r="I124" s="8" t="s">
        <v>386</v>
      </c>
    </row>
    <row r="125" customFormat="false" ht="17.15" hidden="false" customHeight="false" outlineLevel="0" collapsed="false">
      <c r="A125" s="0" t="s">
        <v>397</v>
      </c>
      <c r="B125" s="5" t="s">
        <v>398</v>
      </c>
      <c r="C125" s="0" t="s">
        <v>73</v>
      </c>
      <c r="E125" s="7" t="n">
        <v>-34.027</v>
      </c>
      <c r="G125" s="8" t="s">
        <v>46</v>
      </c>
      <c r="H125" s="8" t="s">
        <v>385</v>
      </c>
      <c r="I125" s="8" t="s">
        <v>386</v>
      </c>
    </row>
    <row r="126" customFormat="false" ht="17.15" hidden="false" customHeight="false" outlineLevel="0" collapsed="false">
      <c r="A126" s="0" t="s">
        <v>399</v>
      </c>
      <c r="B126" s="5" t="s">
        <v>400</v>
      </c>
      <c r="C126" s="0" t="s">
        <v>73</v>
      </c>
      <c r="E126" s="7" t="n">
        <v>947.853</v>
      </c>
      <c r="G126" s="8" t="s">
        <v>46</v>
      </c>
      <c r="H126" s="8" t="s">
        <v>385</v>
      </c>
      <c r="I126" s="8" t="s">
        <v>386</v>
      </c>
    </row>
    <row r="127" customFormat="false" ht="17.15" hidden="false" customHeight="false" outlineLevel="0" collapsed="false">
      <c r="A127" s="0" t="s">
        <v>401</v>
      </c>
      <c r="B127" s="5" t="s">
        <v>402</v>
      </c>
      <c r="C127" s="0" t="s">
        <v>73</v>
      </c>
      <c r="E127" s="7" t="n">
        <v>273.452</v>
      </c>
      <c r="G127" s="8" t="s">
        <v>46</v>
      </c>
      <c r="H127" s="8" t="s">
        <v>385</v>
      </c>
      <c r="I127" s="8" t="s">
        <v>386</v>
      </c>
    </row>
    <row r="128" customFormat="false" ht="17.15" hidden="false" customHeight="false" outlineLevel="0" collapsed="false">
      <c r="A128" s="0" t="s">
        <v>403</v>
      </c>
      <c r="B128" s="5" t="s">
        <v>404</v>
      </c>
      <c r="C128" s="0" t="s">
        <v>73</v>
      </c>
      <c r="E128" s="7" t="n">
        <v>140.372</v>
      </c>
      <c r="G128" s="8" t="s">
        <v>46</v>
      </c>
      <c r="H128" s="8" t="s">
        <v>385</v>
      </c>
      <c r="I128" s="8" t="s">
        <v>386</v>
      </c>
    </row>
    <row r="129" customFormat="false" ht="17.15" hidden="false" customHeight="false" outlineLevel="0" collapsed="false">
      <c r="A129" s="0" t="s">
        <v>405</v>
      </c>
      <c r="B129" s="5" t="s">
        <v>406</v>
      </c>
      <c r="C129" s="0" t="s">
        <v>73</v>
      </c>
      <c r="E129" s="7" t="n">
        <v>115.541</v>
      </c>
      <c r="G129" s="8" t="s">
        <v>46</v>
      </c>
      <c r="H129" s="8" t="s">
        <v>385</v>
      </c>
      <c r="I129" s="8" t="s">
        <v>386</v>
      </c>
    </row>
    <row r="130" customFormat="false" ht="17.15" hidden="false" customHeight="false" outlineLevel="0" collapsed="false">
      <c r="A130" s="0" t="s">
        <v>407</v>
      </c>
      <c r="B130" s="5" t="s">
        <v>408</v>
      </c>
      <c r="C130" s="0" t="s">
        <v>27</v>
      </c>
      <c r="E130" s="7" t="n">
        <v>10.51</v>
      </c>
      <c r="G130" s="8" t="s">
        <v>46</v>
      </c>
      <c r="H130" s="8" t="s">
        <v>385</v>
      </c>
      <c r="I130" s="8" t="s">
        <v>386</v>
      </c>
    </row>
    <row r="131" customFormat="false" ht="17.15" hidden="false" customHeight="false" outlineLevel="0" collapsed="false">
      <c r="A131" s="0" t="s">
        <v>409</v>
      </c>
      <c r="B131" s="5" t="s">
        <v>410</v>
      </c>
      <c r="C131" s="0" t="s">
        <v>73</v>
      </c>
      <c r="E131" s="7" t="n">
        <v>275.063</v>
      </c>
      <c r="G131" s="8" t="s">
        <v>46</v>
      </c>
      <c r="H131" s="8" t="s">
        <v>385</v>
      </c>
      <c r="I131" s="8" t="s">
        <v>386</v>
      </c>
    </row>
    <row r="132" customFormat="false" ht="17.15" hidden="false" customHeight="false" outlineLevel="0" collapsed="false">
      <c r="A132" s="0" t="s">
        <v>411</v>
      </c>
      <c r="B132" s="5" t="s">
        <v>412</v>
      </c>
      <c r="C132" s="0" t="s">
        <v>73</v>
      </c>
      <c r="E132" s="7" t="n">
        <v>-5.631</v>
      </c>
      <c r="G132" s="8" t="s">
        <v>46</v>
      </c>
      <c r="H132" s="8" t="s">
        <v>385</v>
      </c>
      <c r="I132" s="8" t="s">
        <v>386</v>
      </c>
    </row>
    <row r="133" customFormat="false" ht="17.15" hidden="false" customHeight="false" outlineLevel="0" collapsed="false">
      <c r="A133" s="0" t="s">
        <v>413</v>
      </c>
      <c r="B133" s="5" t="s">
        <v>414</v>
      </c>
      <c r="C133" s="0" t="s">
        <v>73</v>
      </c>
      <c r="E133" s="7" t="n">
        <v>1097.389</v>
      </c>
      <c r="G133" s="8" t="s">
        <v>46</v>
      </c>
      <c r="H133" s="8" t="s">
        <v>385</v>
      </c>
      <c r="I133" s="8" t="s">
        <v>386</v>
      </c>
    </row>
    <row r="134" customFormat="false" ht="17.15" hidden="false" customHeight="false" outlineLevel="0" collapsed="false">
      <c r="A134" s="0" t="s">
        <v>415</v>
      </c>
      <c r="B134" s="5" t="s">
        <v>416</v>
      </c>
      <c r="C134" s="0" t="s">
        <v>73</v>
      </c>
      <c r="E134" s="7" t="n">
        <v>355.29</v>
      </c>
      <c r="G134" s="8" t="s">
        <v>46</v>
      </c>
      <c r="H134" s="8" t="s">
        <v>385</v>
      </c>
      <c r="I134" s="8" t="s">
        <v>386</v>
      </c>
    </row>
    <row r="135" customFormat="false" ht="17.15" hidden="false" customHeight="false" outlineLevel="0" collapsed="false">
      <c r="A135" s="0" t="s">
        <v>417</v>
      </c>
      <c r="B135" s="5" t="s">
        <v>418</v>
      </c>
      <c r="C135" s="0" t="s">
        <v>73</v>
      </c>
      <c r="E135" s="7" t="n">
        <v>182.749</v>
      </c>
      <c r="G135" s="8" t="s">
        <v>46</v>
      </c>
      <c r="H135" s="8" t="s">
        <v>385</v>
      </c>
      <c r="I135" s="8" t="s">
        <v>386</v>
      </c>
    </row>
    <row r="136" customFormat="false" ht="17.15" hidden="false" customHeight="false" outlineLevel="0" collapsed="false">
      <c r="A136" s="0" t="s">
        <v>419</v>
      </c>
      <c r="B136" s="5" t="s">
        <v>420</v>
      </c>
      <c r="C136" s="0" t="s">
        <v>73</v>
      </c>
      <c r="E136" s="7" t="n">
        <v>147.701</v>
      </c>
      <c r="G136" s="8" t="s">
        <v>46</v>
      </c>
      <c r="H136" s="8" t="s">
        <v>385</v>
      </c>
      <c r="I136" s="8" t="s">
        <v>386</v>
      </c>
    </row>
    <row r="137" customFormat="false" ht="17.15" hidden="false" customHeight="false" outlineLevel="0" collapsed="false">
      <c r="A137" s="0" t="s">
        <v>421</v>
      </c>
      <c r="B137" s="5" t="s">
        <v>422</v>
      </c>
      <c r="C137" s="0" t="s">
        <v>27</v>
      </c>
      <c r="E137" s="7" t="n">
        <v>13.81</v>
      </c>
      <c r="G137" s="8" t="s">
        <v>46</v>
      </c>
      <c r="H137" s="8" t="s">
        <v>385</v>
      </c>
      <c r="I137" s="8" t="s">
        <v>386</v>
      </c>
    </row>
    <row r="138" customFormat="false" ht="17.15" hidden="false" customHeight="false" outlineLevel="0" collapsed="false">
      <c r="A138" s="0" t="s">
        <v>423</v>
      </c>
      <c r="B138" s="5" t="s">
        <v>424</v>
      </c>
      <c r="C138" s="0" t="s">
        <v>73</v>
      </c>
      <c r="E138" s="7" t="n">
        <v>292.927</v>
      </c>
      <c r="G138" s="8" t="s">
        <v>46</v>
      </c>
      <c r="H138" s="8" t="s">
        <v>385</v>
      </c>
      <c r="I138" s="8" t="s">
        <v>386</v>
      </c>
    </row>
    <row r="139" customFormat="false" ht="17.15" hidden="false" customHeight="false" outlineLevel="0" collapsed="false">
      <c r="A139" s="0" t="s">
        <v>425</v>
      </c>
      <c r="B139" s="5" t="s">
        <v>426</v>
      </c>
      <c r="C139" s="0" t="s">
        <v>73</v>
      </c>
      <c r="E139" s="7" t="n">
        <v>41.402</v>
      </c>
      <c r="G139" s="8" t="s">
        <v>46</v>
      </c>
      <c r="H139" s="8" t="s">
        <v>385</v>
      </c>
      <c r="I139" s="8" t="s">
        <v>386</v>
      </c>
    </row>
    <row r="140" customFormat="false" ht="17.15" hidden="false" customHeight="false" outlineLevel="0" collapsed="false">
      <c r="A140" s="0" t="s">
        <v>427</v>
      </c>
      <c r="B140" s="5" t="s">
        <v>428</v>
      </c>
      <c r="C140" s="0" t="s">
        <v>73</v>
      </c>
      <c r="D140" s="7" t="n">
        <v>815.9</v>
      </c>
      <c r="E140" s="7" t="n">
        <v>828.74</v>
      </c>
      <c r="F140" s="7" t="n">
        <v>842</v>
      </c>
      <c r="G140" s="8" t="s">
        <v>46</v>
      </c>
      <c r="H140" s="8" t="s">
        <v>47</v>
      </c>
      <c r="I140" s="8" t="s">
        <v>429</v>
      </c>
    </row>
    <row r="141" customFormat="false" ht="17.15" hidden="false" customHeight="false" outlineLevel="0" collapsed="false">
      <c r="A141" s="0" t="s">
        <v>430</v>
      </c>
      <c r="B141" s="5" t="s">
        <v>431</v>
      </c>
      <c r="C141" s="0" t="s">
        <v>73</v>
      </c>
      <c r="E141" s="7" t="n">
        <v>949.92</v>
      </c>
      <c r="G141" s="8" t="s">
        <v>46</v>
      </c>
      <c r="H141" s="8" t="s">
        <v>47</v>
      </c>
    </row>
    <row r="142" customFormat="false" ht="17.15" hidden="false" customHeight="false" outlineLevel="0" collapsed="false">
      <c r="A142" s="0" t="s">
        <v>432</v>
      </c>
      <c r="B142" s="5" t="s">
        <v>433</v>
      </c>
      <c r="C142" s="0" t="s">
        <v>27</v>
      </c>
      <c r="D142" s="7" t="n">
        <v>7.65</v>
      </c>
      <c r="E142" s="7" t="n">
        <v>7.92</v>
      </c>
      <c r="F142" s="7" t="n">
        <v>8.3</v>
      </c>
      <c r="G142" s="8" t="s">
        <v>46</v>
      </c>
      <c r="H142" s="8" t="s">
        <v>47</v>
      </c>
      <c r="I142" s="8" t="s">
        <v>434</v>
      </c>
    </row>
    <row r="143" customFormat="false" ht="17.15" hidden="false" customHeight="false" outlineLevel="0" collapsed="false">
      <c r="A143" s="0" t="s">
        <v>435</v>
      </c>
      <c r="B143" s="5" t="s">
        <v>436</v>
      </c>
      <c r="C143" s="0" t="s">
        <v>27</v>
      </c>
      <c r="E143" s="7" t="n">
        <v>10.43</v>
      </c>
      <c r="G143" s="8" t="s">
        <v>46</v>
      </c>
      <c r="H143" s="8" t="s">
        <v>47</v>
      </c>
    </row>
    <row r="144" customFormat="false" ht="17.15" hidden="false" customHeight="false" outlineLevel="0" collapsed="false">
      <c r="A144" s="0" t="s">
        <v>437</v>
      </c>
      <c r="B144" s="5" t="s">
        <v>438</v>
      </c>
      <c r="C144" s="0" t="s">
        <v>73</v>
      </c>
      <c r="E144" s="7" t="n">
        <v>197</v>
      </c>
      <c r="G144" s="8" t="s">
        <v>46</v>
      </c>
      <c r="H144" s="8" t="s">
        <v>276</v>
      </c>
      <c r="I144" s="5" t="s">
        <v>439</v>
      </c>
    </row>
    <row r="145" customFormat="false" ht="17.15" hidden="false" customHeight="false" outlineLevel="0" collapsed="false">
      <c r="A145" s="0" t="s">
        <v>440</v>
      </c>
      <c r="B145" s="5" t="s">
        <v>441</v>
      </c>
      <c r="C145" s="0" t="s">
        <v>73</v>
      </c>
      <c r="E145" s="7" t="n">
        <v>202</v>
      </c>
      <c r="G145" s="8" t="s">
        <v>46</v>
      </c>
      <c r="H145" s="8" t="s">
        <v>276</v>
      </c>
    </row>
    <row r="146" customFormat="false" ht="17.15" hidden="false" customHeight="false" outlineLevel="0" collapsed="false">
      <c r="A146" s="0" t="s">
        <v>442</v>
      </c>
      <c r="B146" s="5" t="s">
        <v>443</v>
      </c>
      <c r="C146" s="0" t="s">
        <v>73</v>
      </c>
      <c r="E146" s="7" t="n">
        <v>22.5</v>
      </c>
      <c r="G146" s="8" t="s">
        <v>46</v>
      </c>
      <c r="H146" s="8" t="s">
        <v>276</v>
      </c>
    </row>
    <row r="147" customFormat="false" ht="17.15" hidden="false" customHeight="false" outlineLevel="0" collapsed="false">
      <c r="A147" s="0" t="s">
        <v>444</v>
      </c>
      <c r="B147" s="5" t="s">
        <v>445</v>
      </c>
      <c r="C147" s="0" t="s">
        <v>73</v>
      </c>
      <c r="E147" s="7" t="n">
        <v>26.5</v>
      </c>
      <c r="G147" s="8" t="s">
        <v>46</v>
      </c>
      <c r="H147" s="8" t="s">
        <v>276</v>
      </c>
    </row>
    <row r="148" customFormat="false" ht="17.15" hidden="false" customHeight="false" outlineLevel="0" collapsed="false">
      <c r="A148" s="1" t="s">
        <v>446</v>
      </c>
    </row>
    <row r="149" customFormat="false" ht="17.15" hidden="false" customHeight="false" outlineLevel="0" collapsed="false">
      <c r="A149" s="0" t="s">
        <v>447</v>
      </c>
      <c r="B149" s="0" t="s">
        <v>448</v>
      </c>
      <c r="C149" s="0" t="s">
        <v>27</v>
      </c>
      <c r="E149" s="7" t="n">
        <v>201.71</v>
      </c>
      <c r="G149" s="8" t="s">
        <v>41</v>
      </c>
      <c r="H149" s="8" t="s">
        <v>449</v>
      </c>
      <c r="I149" s="5" t="s">
        <v>450</v>
      </c>
    </row>
    <row r="150" customFormat="false" ht="17.15" hidden="false" customHeight="false" outlineLevel="0" collapsed="false">
      <c r="A150" s="0" t="s">
        <v>451</v>
      </c>
      <c r="B150" s="0" t="s">
        <v>452</v>
      </c>
      <c r="C150" s="0" t="s">
        <v>27</v>
      </c>
      <c r="E150" s="7" t="n">
        <v>259.92</v>
      </c>
      <c r="G150" s="8" t="s">
        <v>28</v>
      </c>
      <c r="H150" s="8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7" min="3" style="0" width="11"/>
    <col collapsed="false" customWidth="true" hidden="false" outlineLevel="0" max="18" min="18" style="0" width="22"/>
    <col collapsed="false" customWidth="true" hidden="false" outlineLevel="0" max="19" min="19" style="0" width="60"/>
  </cols>
  <sheetData>
    <row r="1" customFormat="false" ht="17.15" hidden="false" customHeight="false" outlineLevel="0" collapsed="false">
      <c r="A1" s="0" t="s">
        <v>454</v>
      </c>
    </row>
    <row r="2" customFormat="false" ht="17.15" hidden="false" customHeight="false" outlineLevel="0" collapsed="false">
      <c r="A2" s="5" t="s">
        <v>455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20" t="s">
        <v>456</v>
      </c>
      <c r="D3" s="20" t="s">
        <v>457</v>
      </c>
      <c r="E3" s="20" t="s">
        <v>458</v>
      </c>
      <c r="F3" s="20" t="s">
        <v>459</v>
      </c>
      <c r="G3" s="20" t="s">
        <v>460</v>
      </c>
      <c r="H3" s="20" t="s">
        <v>461</v>
      </c>
      <c r="I3" s="20" t="s">
        <v>462</v>
      </c>
      <c r="J3" s="20" t="s">
        <v>463</v>
      </c>
      <c r="K3" s="20" t="s">
        <v>464</v>
      </c>
      <c r="L3" s="20" t="s">
        <v>465</v>
      </c>
      <c r="M3" s="20" t="s">
        <v>466</v>
      </c>
      <c r="N3" s="20" t="s">
        <v>467</v>
      </c>
      <c r="O3" s="20" t="s">
        <v>468</v>
      </c>
      <c r="P3" s="20" t="s">
        <v>469</v>
      </c>
      <c r="Q3" s="6" t="s">
        <v>470</v>
      </c>
      <c r="R3" s="6" t="s">
        <v>21</v>
      </c>
      <c r="S3" s="6" t="s">
        <v>22</v>
      </c>
    </row>
    <row r="4" customFormat="false" ht="17.15" hidden="false" customHeight="false" outlineLevel="0" collapsed="false">
      <c r="A4" s="1" t="s">
        <v>471</v>
      </c>
    </row>
    <row r="5" customFormat="false" ht="17.15" hidden="false" customHeight="false" outlineLevel="0" collapsed="false">
      <c r="A5" s="0" t="s">
        <v>472</v>
      </c>
      <c r="B5" s="0" t="s">
        <v>73</v>
      </c>
      <c r="C5" s="21" t="n">
        <v>352.828</v>
      </c>
      <c r="D5" s="21" t="n">
        <v>387.497</v>
      </c>
      <c r="E5" s="21" t="n">
        <v>426.305</v>
      </c>
      <c r="F5" s="21" t="n">
        <v>95.537</v>
      </c>
      <c r="G5" s="21" t="n">
        <v>115.586</v>
      </c>
      <c r="H5" s="21" t="n">
        <v>92.887</v>
      </c>
      <c r="I5" s="21" t="n">
        <v>100.068</v>
      </c>
      <c r="J5" s="21" t="n">
        <v>106.267</v>
      </c>
      <c r="K5" s="21" t="n">
        <v>127.083</v>
      </c>
      <c r="L5" s="21" t="n">
        <v>104.143</v>
      </c>
      <c r="M5" s="21" t="n">
        <v>116.177</v>
      </c>
      <c r="N5" s="22" t="n">
        <f aca="false">H5+I5</f>
        <v>192.955</v>
      </c>
      <c r="O5" s="22" t="n">
        <f aca="false">J5+K5</f>
        <v>233.35</v>
      </c>
      <c r="P5" s="22" t="n">
        <f aca="false">L5+M5</f>
        <v>220.32</v>
      </c>
      <c r="Q5" s="22" t="n">
        <f aca="false">J5+K5+L5+M5</f>
        <v>453.67</v>
      </c>
      <c r="R5" s="8" t="s">
        <v>473</v>
      </c>
      <c r="S5" s="8" t="s">
        <v>474</v>
      </c>
    </row>
    <row r="6" customFormat="false" ht="17.15" hidden="false" customHeight="false" outlineLevel="0" collapsed="false">
      <c r="A6" s="0" t="s">
        <v>475</v>
      </c>
      <c r="B6" s="0" t="s">
        <v>73</v>
      </c>
      <c r="C6" s="21" t="n">
        <v>131.2</v>
      </c>
      <c r="D6" s="21" t="n">
        <v>142.906</v>
      </c>
      <c r="E6" s="21" t="n">
        <v>161.894</v>
      </c>
      <c r="F6" s="21" t="n">
        <v>35.888</v>
      </c>
      <c r="G6" s="21" t="n">
        <v>43.42</v>
      </c>
      <c r="H6" s="21" t="n">
        <v>33.513</v>
      </c>
      <c r="I6" s="21" t="n">
        <v>36.761</v>
      </c>
      <c r="J6" s="21" t="n">
        <v>40.896</v>
      </c>
      <c r="K6" s="21" t="n">
        <v>50.724</v>
      </c>
      <c r="L6" s="21" t="n">
        <v>39.789</v>
      </c>
      <c r="M6" s="21" t="n">
        <v>42.197</v>
      </c>
      <c r="N6" s="22" t="n">
        <f aca="false">H6+I6</f>
        <v>70.274</v>
      </c>
      <c r="O6" s="22" t="n">
        <f aca="false">J6+K6</f>
        <v>91.62</v>
      </c>
      <c r="P6" s="22" t="n">
        <f aca="false">L6+M6</f>
        <v>81.986</v>
      </c>
      <c r="Q6" s="22" t="n">
        <f aca="false">J6+K6+L6+M6</f>
        <v>173.606</v>
      </c>
      <c r="R6" s="8" t="s">
        <v>473</v>
      </c>
      <c r="S6" s="8" t="s">
        <v>474</v>
      </c>
    </row>
    <row r="7" customFormat="false" ht="17.15" hidden="false" customHeight="false" outlineLevel="0" collapsed="false">
      <c r="A7" s="0" t="s">
        <v>476</v>
      </c>
      <c r="B7" s="0" t="s">
        <v>73</v>
      </c>
      <c r="C7" s="21" t="n">
        <v>90.757</v>
      </c>
      <c r="D7" s="21" t="n">
        <v>107.556</v>
      </c>
      <c r="E7" s="21" t="n">
        <v>128.725</v>
      </c>
      <c r="F7" s="21" t="n">
        <v>27.452</v>
      </c>
      <c r="G7" s="21" t="n">
        <v>28.786</v>
      </c>
      <c r="H7" s="21" t="n">
        <v>29.267</v>
      </c>
      <c r="I7" s="21" t="n">
        <v>30.873</v>
      </c>
      <c r="J7" s="21" t="n">
        <v>33.006</v>
      </c>
      <c r="K7" s="21" t="n">
        <v>35.579</v>
      </c>
      <c r="L7" s="21" t="n">
        <v>37.587</v>
      </c>
      <c r="M7" s="21" t="n">
        <v>42.232</v>
      </c>
      <c r="N7" s="22" t="n">
        <f aca="false">H7+I7</f>
        <v>60.14</v>
      </c>
      <c r="O7" s="22" t="n">
        <f aca="false">J7+K7</f>
        <v>68.585</v>
      </c>
      <c r="P7" s="22" t="n">
        <f aca="false">L7+M7</f>
        <v>79.819</v>
      </c>
      <c r="Q7" s="22" t="n">
        <f aca="false">J7+K7+L7+M7</f>
        <v>148.404</v>
      </c>
      <c r="R7" s="8" t="s">
        <v>473</v>
      </c>
      <c r="S7" s="8" t="s">
        <v>474</v>
      </c>
    </row>
    <row r="8" customFormat="false" ht="17.15" hidden="false" customHeight="false" outlineLevel="0" collapsed="false">
      <c r="A8" s="5" t="s">
        <v>477</v>
      </c>
      <c r="B8" s="0" t="s">
        <v>73</v>
      </c>
      <c r="C8" s="21" t="n">
        <v>574.785</v>
      </c>
      <c r="D8" s="21" t="n">
        <v>637.959</v>
      </c>
      <c r="E8" s="21" t="n">
        <v>716.924</v>
      </c>
      <c r="F8" s="21" t="n">
        <v>158.877</v>
      </c>
      <c r="G8" s="21" t="n">
        <v>187.792</v>
      </c>
      <c r="H8" s="21" t="n">
        <v>155.667</v>
      </c>
      <c r="I8" s="21" t="n">
        <v>167.702</v>
      </c>
      <c r="J8" s="21" t="n">
        <v>180.169</v>
      </c>
      <c r="K8" s="21" t="n">
        <v>213.386</v>
      </c>
      <c r="L8" s="21" t="n">
        <v>181.519</v>
      </c>
      <c r="M8" s="21" t="n">
        <v>200.606</v>
      </c>
      <c r="N8" s="22" t="n">
        <f aca="false">H8+I8</f>
        <v>323.369</v>
      </c>
      <c r="O8" s="22" t="n">
        <f aca="false">J8+K8</f>
        <v>393.555</v>
      </c>
      <c r="P8" s="22" t="n">
        <f aca="false">L8+M8</f>
        <v>382.125</v>
      </c>
      <c r="Q8" s="22" t="n">
        <f aca="false">J8+K8+L8+M8</f>
        <v>775.68</v>
      </c>
      <c r="R8" s="8" t="s">
        <v>473</v>
      </c>
      <c r="S8" s="8" t="s">
        <v>474</v>
      </c>
    </row>
    <row r="9" customFormat="false" ht="17.15" hidden="false" customHeight="false" outlineLevel="0" collapsed="false">
      <c r="A9" s="1" t="s">
        <v>478</v>
      </c>
    </row>
    <row r="10" customFormat="false" ht="17.15" hidden="false" customHeight="false" outlineLevel="0" collapsed="false">
      <c r="A10" s="0" t="s">
        <v>479</v>
      </c>
      <c r="B10" s="0" t="s">
        <v>73</v>
      </c>
      <c r="C10" s="21" t="n">
        <v>231.872</v>
      </c>
      <c r="D10" s="21" t="n">
        <v>247.029</v>
      </c>
      <c r="E10" s="21" t="n">
        <v>269.287</v>
      </c>
      <c r="F10" s="21" t="n">
        <v>61.411</v>
      </c>
      <c r="G10" s="21" t="n">
        <v>75.556</v>
      </c>
      <c r="H10" s="21" t="n">
        <v>57.407</v>
      </c>
      <c r="I10" s="21" t="n">
        <v>61.485</v>
      </c>
      <c r="J10" s="21" t="n">
        <v>67.407</v>
      </c>
      <c r="K10" s="21" t="n">
        <v>82.988</v>
      </c>
      <c r="L10" s="21" t="n">
        <v>64.254</v>
      </c>
      <c r="M10" s="21" t="n">
        <v>70.432</v>
      </c>
      <c r="N10" s="22" t="n">
        <f aca="false">H10+I10</f>
        <v>118.892</v>
      </c>
      <c r="O10" s="22" t="n">
        <f aca="false">J10+K10</f>
        <v>150.395</v>
      </c>
      <c r="P10" s="22" t="n">
        <f aca="false">L10+M10</f>
        <v>134.686</v>
      </c>
      <c r="Q10" s="22" t="n">
        <f aca="false">J10+K10+L10+M10</f>
        <v>285.081</v>
      </c>
      <c r="R10" s="8" t="s">
        <v>473</v>
      </c>
      <c r="S10" s="8" t="s">
        <v>474</v>
      </c>
    </row>
    <row r="11" customFormat="false" ht="17.15" hidden="false" customHeight="false" outlineLevel="0" collapsed="false">
      <c r="A11" s="0" t="s">
        <v>480</v>
      </c>
      <c r="B11" s="0" t="s">
        <v>73</v>
      </c>
      <c r="C11" s="21" t="n">
        <v>20.03</v>
      </c>
      <c r="D11" s="21" t="n">
        <v>21.215</v>
      </c>
      <c r="E11" s="21" t="n">
        <v>22.561</v>
      </c>
      <c r="F11" s="21" t="n">
        <v>5.228</v>
      </c>
      <c r="G11" s="21" t="n">
        <v>5.579</v>
      </c>
      <c r="H11" s="21" t="n">
        <v>5.533</v>
      </c>
      <c r="I11" s="21" t="n">
        <v>5.595</v>
      </c>
      <c r="J11" s="21" t="n">
        <v>5.578</v>
      </c>
      <c r="K11" s="21" t="n">
        <v>5.855</v>
      </c>
      <c r="L11" s="21" t="n">
        <v>5.785</v>
      </c>
      <c r="M11" s="21" t="n">
        <v>5.794</v>
      </c>
      <c r="N11" s="22" t="n">
        <f aca="false">H11+I11</f>
        <v>11.128</v>
      </c>
      <c r="O11" s="22" t="n">
        <f aca="false">J11+K11</f>
        <v>11.433</v>
      </c>
      <c r="P11" s="22" t="n">
        <f aca="false">L11+M11</f>
        <v>11.579</v>
      </c>
      <c r="Q11" s="22" t="n">
        <f aca="false">J11+K11+L11+M11</f>
        <v>23.012</v>
      </c>
      <c r="R11" s="8" t="s">
        <v>473</v>
      </c>
      <c r="S11" s="8" t="s">
        <v>474</v>
      </c>
    </row>
    <row r="12" customFormat="false" ht="17.15" hidden="false" customHeight="false" outlineLevel="0" collapsed="false">
      <c r="A12" s="0" t="s">
        <v>481</v>
      </c>
      <c r="B12" s="0" t="s">
        <v>73</v>
      </c>
      <c r="C12" s="21" t="n">
        <v>140.053</v>
      </c>
      <c r="D12" s="21" t="n">
        <v>156.146</v>
      </c>
      <c r="E12" s="21" t="n">
        <v>172.162</v>
      </c>
      <c r="F12" s="21" t="n">
        <v>37.864</v>
      </c>
      <c r="G12" s="21" t="n">
        <v>47.485</v>
      </c>
      <c r="H12" s="21" t="n">
        <v>36.512</v>
      </c>
      <c r="I12" s="21" t="n">
        <v>40.348</v>
      </c>
      <c r="J12" s="21" t="n">
        <v>42.486</v>
      </c>
      <c r="K12" s="21" t="n">
        <v>52.816</v>
      </c>
      <c r="L12" s="21" t="n">
        <v>41.578</v>
      </c>
      <c r="M12" s="21" t="n">
        <v>46.78</v>
      </c>
      <c r="N12" s="22" t="n">
        <f aca="false">H12+I12</f>
        <v>76.86</v>
      </c>
      <c r="O12" s="22" t="n">
        <f aca="false">J12+K12</f>
        <v>95.302</v>
      </c>
      <c r="P12" s="22" t="n">
        <f aca="false">L12+M12</f>
        <v>88.358</v>
      </c>
      <c r="Q12" s="22" t="n">
        <f aca="false">J12+K12+L12+M12</f>
        <v>183.66</v>
      </c>
      <c r="R12" s="8" t="s">
        <v>473</v>
      </c>
      <c r="S12" s="8" t="s">
        <v>474</v>
      </c>
    </row>
    <row r="13" customFormat="false" ht="17.15" hidden="false" customHeight="false" outlineLevel="0" collapsed="false">
      <c r="A13" s="0" t="s">
        <v>482</v>
      </c>
      <c r="B13" s="0" t="s">
        <v>73</v>
      </c>
      <c r="C13" s="21" t="n">
        <v>46.906</v>
      </c>
      <c r="D13" s="21" t="n">
        <v>56.214</v>
      </c>
      <c r="E13" s="21" t="n">
        <v>68.635</v>
      </c>
      <c r="F13" s="21" t="n">
        <v>14.331</v>
      </c>
      <c r="G13" s="21" t="n">
        <v>17.288</v>
      </c>
      <c r="H13" s="21" t="n">
        <v>13.921</v>
      </c>
      <c r="I13" s="21" t="n">
        <v>15.694</v>
      </c>
      <c r="J13" s="21" t="n">
        <v>17.703</v>
      </c>
      <c r="K13" s="21" t="n">
        <v>21.317</v>
      </c>
      <c r="L13" s="21" t="n">
        <v>17.243</v>
      </c>
      <c r="M13" s="21" t="n">
        <v>19.809</v>
      </c>
      <c r="N13" s="22" t="n">
        <f aca="false">H13+I13</f>
        <v>29.615</v>
      </c>
      <c r="O13" s="22" t="n">
        <f aca="false">J13+K13</f>
        <v>39.02</v>
      </c>
      <c r="P13" s="22" t="n">
        <f aca="false">L13+M13</f>
        <v>37.052</v>
      </c>
      <c r="Q13" s="22" t="n">
        <f aca="false">J13+K13+L13+M13</f>
        <v>76.072</v>
      </c>
      <c r="R13" s="8" t="s">
        <v>473</v>
      </c>
      <c r="S13" s="8" t="s">
        <v>474</v>
      </c>
    </row>
    <row r="14" customFormat="false" ht="17.15" hidden="false" customHeight="false" outlineLevel="0" collapsed="false">
      <c r="A14" s="0" t="s">
        <v>483</v>
      </c>
      <c r="B14" s="0" t="s">
        <v>73</v>
      </c>
      <c r="C14" s="21" t="n">
        <v>40.209</v>
      </c>
      <c r="D14" s="21" t="n">
        <v>44.374</v>
      </c>
      <c r="E14" s="21" t="n">
        <v>49.619</v>
      </c>
      <c r="F14" s="21" t="n">
        <v>11.278</v>
      </c>
      <c r="G14" s="21" t="n">
        <v>11.508</v>
      </c>
      <c r="H14" s="21" t="n">
        <v>11.715</v>
      </c>
      <c r="I14" s="21" t="n">
        <v>12.208</v>
      </c>
      <c r="J14" s="21" t="n">
        <v>12.574</v>
      </c>
      <c r="K14" s="21" t="n">
        <v>13.122</v>
      </c>
      <c r="L14" s="21" t="n">
        <v>13.427</v>
      </c>
      <c r="M14" s="21" t="n">
        <v>13.73</v>
      </c>
      <c r="N14" s="22" t="n">
        <f aca="false">H14+I14</f>
        <v>23.923</v>
      </c>
      <c r="O14" s="22" t="n">
        <f aca="false">J14+K14</f>
        <v>25.696</v>
      </c>
      <c r="P14" s="22" t="n">
        <f aca="false">L14+M14</f>
        <v>27.157</v>
      </c>
      <c r="Q14" s="22" t="n">
        <f aca="false">J14+K14+L14+M14</f>
        <v>52.853</v>
      </c>
      <c r="R14" s="8" t="s">
        <v>473</v>
      </c>
      <c r="S14" s="8" t="s">
        <v>474</v>
      </c>
    </row>
    <row r="15" customFormat="false" ht="17.15" hidden="false" customHeight="false" outlineLevel="0" collapsed="false">
      <c r="A15" s="0" t="s">
        <v>484</v>
      </c>
      <c r="B15" s="0" t="s">
        <v>73</v>
      </c>
      <c r="C15" s="21" t="n">
        <v>4.958</v>
      </c>
      <c r="D15" s="21" t="n">
        <v>5.425</v>
      </c>
      <c r="E15" s="21" t="n">
        <v>5.935</v>
      </c>
      <c r="F15" s="21" t="n">
        <v>1.313</v>
      </c>
      <c r="G15" s="21" t="n">
        <v>1.59</v>
      </c>
      <c r="H15" s="21" t="n">
        <v>1.312</v>
      </c>
      <c r="I15" s="21" t="n">
        <v>1.499</v>
      </c>
      <c r="J15" s="21" t="n">
        <v>1.415</v>
      </c>
      <c r="K15" s="21" t="n">
        <v>1.709</v>
      </c>
      <c r="L15" s="21" t="n">
        <v>1.645</v>
      </c>
      <c r="M15" s="21" t="n">
        <v>1.829</v>
      </c>
      <c r="N15" s="22" t="n">
        <f aca="false">H15+I15</f>
        <v>2.811</v>
      </c>
      <c r="O15" s="22" t="n">
        <f aca="false">J15+K15</f>
        <v>3.124</v>
      </c>
      <c r="P15" s="22" t="n">
        <f aca="false">L15+M15</f>
        <v>3.474</v>
      </c>
      <c r="Q15" s="22" t="n">
        <f aca="false">J15+K15+L15+M15</f>
        <v>6.598</v>
      </c>
      <c r="R15" s="8" t="s">
        <v>473</v>
      </c>
      <c r="S15" s="8" t="s">
        <v>474</v>
      </c>
    </row>
    <row r="16" customFormat="false" ht="17.15" hidden="false" customHeight="false" outlineLevel="0" collapsed="false">
      <c r="A16" s="5" t="s">
        <v>485</v>
      </c>
      <c r="B16" s="0" t="s">
        <v>73</v>
      </c>
      <c r="C16" s="23" t="n">
        <f aca="false">C10+C11+C12+C13+C14+C15</f>
        <v>484.028</v>
      </c>
      <c r="D16" s="23" t="n">
        <f aca="false">D10+D11+D12+D13+D14+D15</f>
        <v>530.403</v>
      </c>
      <c r="E16" s="23" t="n">
        <f aca="false">E10+E11+E12+E13+E14+E15</f>
        <v>588.199</v>
      </c>
      <c r="F16" s="23" t="n">
        <f aca="false">F10+F11+F12+F13+F14+F15</f>
        <v>131.425</v>
      </c>
      <c r="G16" s="23" t="n">
        <f aca="false">G10+G11+G12+G13+G14+G15</f>
        <v>159.006</v>
      </c>
      <c r="H16" s="23" t="n">
        <f aca="false">H10+H11+H12+H13+H14+H15</f>
        <v>126.4</v>
      </c>
      <c r="I16" s="23" t="n">
        <f aca="false">I10+I11+I12+I13+I14+I15</f>
        <v>136.829</v>
      </c>
      <c r="J16" s="23" t="n">
        <f aca="false">J10+J11+J12+J13+J14+J15</f>
        <v>147.163</v>
      </c>
      <c r="K16" s="23" t="n">
        <f aca="false">K10+K11+K12+K13+K14+K15</f>
        <v>177.807</v>
      </c>
      <c r="L16" s="23" t="n">
        <f aca="false">L10+L11+L12+L13+L14+L15</f>
        <v>143.932</v>
      </c>
      <c r="M16" s="23" t="n">
        <f aca="false">M10+M11+M12+M13+M14+M15</f>
        <v>158.374</v>
      </c>
      <c r="N16" s="23" t="n">
        <f aca="false">N10+N11+N12+N13+N14+N15</f>
        <v>263.229</v>
      </c>
      <c r="O16" s="23" t="n">
        <f aca="false">O10+O11+O12+O13+O14+O15</f>
        <v>324.97</v>
      </c>
      <c r="P16" s="23" t="n">
        <f aca="false">P10+P11+P12+P13+P14+P15</f>
        <v>302.306</v>
      </c>
      <c r="Q16" s="23" t="n">
        <f aca="false">Q10+Q11+Q12+Q13+Q14+Q15</f>
        <v>627.276</v>
      </c>
      <c r="R16" s="8" t="s">
        <v>41</v>
      </c>
    </row>
    <row r="17" customFormat="false" ht="17.15" hidden="false" customHeight="false" outlineLevel="0" collapsed="false">
      <c r="A17" s="0" t="s">
        <v>486</v>
      </c>
      <c r="B17" s="0" t="s">
        <v>73</v>
      </c>
      <c r="C17" s="23" t="n">
        <f aca="false">C7</f>
        <v>90.757</v>
      </c>
      <c r="D17" s="23" t="n">
        <f aca="false">D7</f>
        <v>107.556</v>
      </c>
      <c r="E17" s="23" t="n">
        <f aca="false">E7</f>
        <v>128.725</v>
      </c>
      <c r="F17" s="23" t="n">
        <f aca="false">F7</f>
        <v>27.452</v>
      </c>
      <c r="G17" s="23" t="n">
        <f aca="false">G7</f>
        <v>28.786</v>
      </c>
      <c r="H17" s="23" t="n">
        <f aca="false">H7</f>
        <v>29.267</v>
      </c>
      <c r="I17" s="23" t="n">
        <f aca="false">I7</f>
        <v>30.873</v>
      </c>
      <c r="J17" s="23" t="n">
        <f aca="false">J7</f>
        <v>33.006</v>
      </c>
      <c r="K17" s="23" t="n">
        <f aca="false">K7</f>
        <v>35.579</v>
      </c>
      <c r="L17" s="23" t="n">
        <f aca="false">L7</f>
        <v>37.587</v>
      </c>
      <c r="M17" s="23" t="n">
        <f aca="false">M7</f>
        <v>42.232</v>
      </c>
      <c r="N17" s="23" t="n">
        <f aca="false">N7</f>
        <v>60.14</v>
      </c>
      <c r="O17" s="23" t="n">
        <f aca="false">O7</f>
        <v>68.585</v>
      </c>
      <c r="P17" s="23" t="n">
        <f aca="false">P7</f>
        <v>79.819</v>
      </c>
      <c r="Q17" s="23" t="n">
        <f aca="false">Q7</f>
        <v>148.404</v>
      </c>
      <c r="R17" s="8" t="s">
        <v>41</v>
      </c>
    </row>
    <row r="18" customFormat="false" ht="17.15" hidden="false" customHeight="false" outlineLevel="0" collapsed="false">
      <c r="A18" s="24" t="s">
        <v>487</v>
      </c>
      <c r="B18" s="25" t="s">
        <v>73</v>
      </c>
      <c r="C18" s="26" t="n">
        <f aca="false">C16-(C5+C6)</f>
        <v>0</v>
      </c>
      <c r="D18" s="26" t="n">
        <f aca="false">D16-(D5+D6)</f>
        <v>0</v>
      </c>
      <c r="E18" s="26" t="n">
        <f aca="false">E16-(E5+E6)</f>
        <v>0</v>
      </c>
      <c r="F18" s="26" t="n">
        <f aca="false">F16-(F5+F6)</f>
        <v>0</v>
      </c>
      <c r="G18" s="26" t="n">
        <f aca="false">G16-(G5+G6)</f>
        <v>0</v>
      </c>
      <c r="H18" s="26" t="n">
        <f aca="false">H16-(H5+H6)</f>
        <v>0</v>
      </c>
      <c r="I18" s="26" t="n">
        <f aca="false">I16-(I5+I6)</f>
        <v>0</v>
      </c>
      <c r="J18" s="26" t="n">
        <f aca="false">J16-(J5+J6)</f>
        <v>0</v>
      </c>
      <c r="K18" s="26" t="n">
        <f aca="false">K16-(K5+K6)</f>
        <v>0</v>
      </c>
      <c r="L18" s="26" t="n">
        <f aca="false">L16-(L5+L6)</f>
        <v>0</v>
      </c>
      <c r="M18" s="26" t="n">
        <f aca="false">M16-(M5+M6)</f>
        <v>0</v>
      </c>
      <c r="N18" s="26" t="n">
        <f aca="false">N16-(N5+N6)</f>
        <v>0</v>
      </c>
      <c r="O18" s="26" t="n">
        <f aca="false">O16-(O5+O6)</f>
        <v>0</v>
      </c>
      <c r="P18" s="26" t="n">
        <f aca="false">P16-(P5+P6)</f>
        <v>0</v>
      </c>
      <c r="Q18" s="26" t="n">
        <f aca="false">Q16-(Q5+Q6)</f>
        <v>0</v>
      </c>
      <c r="R18" s="8" t="s">
        <v>41</v>
      </c>
    </row>
    <row r="19" customFormat="false" ht="17.15" hidden="false" customHeight="false" outlineLevel="0" collapsed="false">
      <c r="A19" s="24" t="s">
        <v>488</v>
      </c>
      <c r="B19" s="25" t="s">
        <v>73</v>
      </c>
      <c r="C19" s="26" t="n">
        <f aca="false">C16+C17-C8</f>
        <v>0</v>
      </c>
      <c r="D19" s="26" t="n">
        <f aca="false">D16+D17-D8</f>
        <v>0</v>
      </c>
      <c r="E19" s="26" t="n">
        <f aca="false">E16+E17-E8</f>
        <v>0</v>
      </c>
      <c r="F19" s="26" t="n">
        <f aca="false">F16+F17-F8</f>
        <v>0</v>
      </c>
      <c r="G19" s="26" t="n">
        <f aca="false">G16+G17-G8</f>
        <v>0</v>
      </c>
      <c r="H19" s="26" t="n">
        <f aca="false">H16+H17-H8</f>
        <v>0</v>
      </c>
      <c r="I19" s="26" t="n">
        <f aca="false">I16+I17-I8</f>
        <v>0</v>
      </c>
      <c r="J19" s="26" t="n">
        <f aca="false">J16+J17-J8</f>
        <v>0</v>
      </c>
      <c r="K19" s="26" t="n">
        <f aca="false">K16+K17-K8</f>
        <v>0</v>
      </c>
      <c r="L19" s="26" t="n">
        <f aca="false">L16+L17-L8</f>
        <v>0</v>
      </c>
      <c r="M19" s="26" t="n">
        <f aca="false">M16+M17-M8</f>
        <v>0</v>
      </c>
      <c r="N19" s="26" t="n">
        <f aca="false">N16+N17-N8</f>
        <v>0</v>
      </c>
      <c r="O19" s="26" t="n">
        <f aca="false">O16+O17-O8</f>
        <v>0</v>
      </c>
      <c r="P19" s="26" t="n">
        <f aca="false">P16+P17-P8</f>
        <v>0</v>
      </c>
      <c r="Q19" s="26" t="n">
        <f aca="false">Q16+Q17-Q8</f>
        <v>0</v>
      </c>
      <c r="R19" s="8" t="s">
        <v>41</v>
      </c>
    </row>
    <row r="20" customFormat="false" ht="15" hidden="false" customHeight="false" outlineLevel="0" collapsed="false">
      <c r="A20" s="24" t="s">
        <v>489</v>
      </c>
      <c r="B20" s="25" t="s">
        <v>73</v>
      </c>
      <c r="C20" s="26" t="n">
        <f aca="false">C5+C6+C7-C8</f>
        <v>0</v>
      </c>
      <c r="D20" s="26" t="n">
        <f aca="false">D5+D6+D7-D8</f>
        <v>0</v>
      </c>
      <c r="E20" s="26" t="n">
        <f aca="false">E5+E6+E7-E8</f>
        <v>0</v>
      </c>
      <c r="F20" s="26" t="n">
        <f aca="false">F5+F6+F7-F8</f>
        <v>0</v>
      </c>
      <c r="G20" s="26" t="n">
        <f aca="false">G5+G6+G7-G8</f>
        <v>0</v>
      </c>
      <c r="H20" s="26" t="n">
        <f aca="false">H5+H6+H7-H8</f>
        <v>0</v>
      </c>
      <c r="I20" s="26" t="n">
        <f aca="false">I5+I6+I7-I8</f>
        <v>0</v>
      </c>
      <c r="J20" s="26" t="n">
        <f aca="false">J5+J6+J7-J8</f>
        <v>0</v>
      </c>
      <c r="K20" s="26" t="n">
        <f aca="false">K5+K6+K7-K8</f>
        <v>0</v>
      </c>
      <c r="L20" s="26" t="n">
        <f aca="false">L5+L6+L7-L8</f>
        <v>0</v>
      </c>
      <c r="M20" s="26" t="n">
        <f aca="false">M5+M6+M7-M8</f>
        <v>0</v>
      </c>
      <c r="N20" s="26" t="n">
        <f aca="false">N5+N6+N7-N8</f>
        <v>0</v>
      </c>
      <c r="O20" s="26" t="n">
        <f aca="false">O5+O6+O7-O8</f>
        <v>0</v>
      </c>
      <c r="P20" s="26" t="n">
        <f aca="false">P5+P6+P7-P8</f>
        <v>0</v>
      </c>
      <c r="Q20" s="26" t="n">
        <f aca="false">Q5+Q6+Q7-Q8</f>
        <v>0</v>
      </c>
      <c r="R20" s="8" t="s">
        <v>41</v>
      </c>
    </row>
    <row r="21" customFormat="false" ht="17.15" hidden="false" customHeight="false" outlineLevel="0" collapsed="false">
      <c r="A21" s="1" t="s">
        <v>490</v>
      </c>
    </row>
    <row r="22" customFormat="false" ht="17.15" hidden="false" customHeight="false" outlineLevel="0" collapsed="false">
      <c r="A22" s="0" t="s">
        <v>491</v>
      </c>
      <c r="B22" s="0" t="s">
        <v>73</v>
      </c>
      <c r="C22" s="21" t="n">
        <v>14.877</v>
      </c>
      <c r="D22" s="21" t="n">
        <v>24.967</v>
      </c>
      <c r="E22" s="21" t="n">
        <v>29.619</v>
      </c>
      <c r="F22" s="21" t="n">
        <v>5.663</v>
      </c>
      <c r="G22" s="21" t="n">
        <v>9.256</v>
      </c>
      <c r="H22" s="21" t="n">
        <v>5.841</v>
      </c>
      <c r="I22" s="21" t="n">
        <v>7.517</v>
      </c>
      <c r="J22" s="21" t="n">
        <v>4.789</v>
      </c>
      <c r="K22" s="21" t="n">
        <v>11.472</v>
      </c>
      <c r="L22" s="21" t="n">
        <v>8.267</v>
      </c>
      <c r="M22" s="21" t="n">
        <v>9.123</v>
      </c>
      <c r="N22" s="22" t="n">
        <f aca="false">H22+I22</f>
        <v>13.358</v>
      </c>
      <c r="O22" s="22" t="n">
        <f aca="false">J22+K22</f>
        <v>16.261</v>
      </c>
      <c r="P22" s="22" t="n">
        <f aca="false">L22+M22</f>
        <v>17.39</v>
      </c>
      <c r="Q22" s="22" t="n">
        <f aca="false">J22+K22+L22+M22</f>
        <v>33.651</v>
      </c>
      <c r="R22" s="8" t="s">
        <v>473</v>
      </c>
      <c r="S22" s="8" t="s">
        <v>474</v>
      </c>
    </row>
    <row r="23" customFormat="false" ht="17.15" hidden="false" customHeight="false" outlineLevel="0" collapsed="false">
      <c r="A23" s="0" t="s">
        <v>492</v>
      </c>
      <c r="B23" s="0" t="s">
        <v>73</v>
      </c>
      <c r="C23" s="21" t="n">
        <v>-2.656</v>
      </c>
      <c r="D23" s="21" t="n">
        <v>3.792</v>
      </c>
      <c r="E23" s="21" t="n">
        <v>4.75</v>
      </c>
      <c r="F23" s="21" t="n">
        <v>1.301</v>
      </c>
      <c r="G23" s="21" t="n">
        <v>1.315</v>
      </c>
      <c r="H23" s="21" t="n">
        <v>1.017</v>
      </c>
      <c r="I23" s="21" t="n">
        <v>1.494</v>
      </c>
      <c r="J23" s="21" t="n">
        <v>1.199</v>
      </c>
      <c r="K23" s="21" t="n">
        <v>1.04</v>
      </c>
      <c r="L23" s="21" t="n">
        <v>1.424</v>
      </c>
      <c r="M23" s="21" t="n">
        <v>1.717</v>
      </c>
      <c r="N23" s="22" t="n">
        <f aca="false">H23+I23</f>
        <v>2.511</v>
      </c>
      <c r="O23" s="22" t="n">
        <f aca="false">J23+K23</f>
        <v>2.239</v>
      </c>
      <c r="P23" s="22" t="n">
        <f aca="false">L23+M23</f>
        <v>3.141</v>
      </c>
      <c r="Q23" s="22" t="n">
        <f aca="false">J23+K23+L23+M23</f>
        <v>5.38</v>
      </c>
      <c r="R23" s="8" t="s">
        <v>473</v>
      </c>
      <c r="S23" s="8" t="s">
        <v>474</v>
      </c>
    </row>
    <row r="24" customFormat="false" ht="17.15" hidden="false" customHeight="false" outlineLevel="0" collapsed="false">
      <c r="A24" s="0" t="s">
        <v>493</v>
      </c>
      <c r="B24" s="0" t="s">
        <v>73</v>
      </c>
      <c r="C24" s="21" t="n">
        <v>24.631</v>
      </c>
      <c r="D24" s="21" t="n">
        <v>39.834</v>
      </c>
      <c r="E24" s="21" t="n">
        <v>45.606</v>
      </c>
      <c r="F24" s="21" t="n">
        <v>10.447</v>
      </c>
      <c r="G24" s="21" t="n">
        <v>10.632</v>
      </c>
      <c r="H24" s="21" t="n">
        <v>11.547</v>
      </c>
      <c r="I24" s="21" t="n">
        <v>10.16</v>
      </c>
      <c r="J24" s="21" t="n">
        <v>11.434</v>
      </c>
      <c r="K24" s="21" t="n">
        <v>12.465</v>
      </c>
      <c r="L24" s="21" t="n">
        <v>14.161</v>
      </c>
      <c r="M24" s="21" t="n">
        <v>16.621</v>
      </c>
      <c r="N24" s="22" t="n">
        <f aca="false">H24+I24</f>
        <v>21.707</v>
      </c>
      <c r="O24" s="22" t="n">
        <f aca="false">J24+K24</f>
        <v>23.899</v>
      </c>
      <c r="P24" s="22" t="n">
        <f aca="false">L24+M24</f>
        <v>30.782</v>
      </c>
      <c r="Q24" s="22" t="n">
        <f aca="false">J24+K24+L24+M24</f>
        <v>54.681</v>
      </c>
      <c r="R24" s="8" t="s">
        <v>473</v>
      </c>
      <c r="S24" s="8" t="s">
        <v>474</v>
      </c>
    </row>
    <row r="25" customFormat="false" ht="17.15" hidden="false" customHeight="false" outlineLevel="0" collapsed="false">
      <c r="A25" s="5" t="s">
        <v>494</v>
      </c>
      <c r="B25" s="0" t="s">
        <v>73</v>
      </c>
      <c r="C25" s="21" t="n">
        <v>36.852</v>
      </c>
      <c r="D25" s="21" t="n">
        <v>68.593</v>
      </c>
      <c r="E25" s="21" t="n">
        <v>79.975</v>
      </c>
      <c r="F25" s="21" t="n">
        <v>17.411</v>
      </c>
      <c r="G25" s="21" t="n">
        <v>21.203</v>
      </c>
      <c r="H25" s="21" t="n">
        <v>18.405</v>
      </c>
      <c r="I25" s="21" t="n">
        <v>19.171</v>
      </c>
      <c r="J25" s="21" t="n">
        <v>17.422</v>
      </c>
      <c r="K25" s="21" t="n">
        <v>24.977</v>
      </c>
      <c r="L25" s="21" t="n">
        <v>23.852</v>
      </c>
      <c r="M25" s="21" t="n">
        <v>27.461</v>
      </c>
      <c r="N25" s="22" t="n">
        <f aca="false">H25+I25</f>
        <v>37.576</v>
      </c>
      <c r="O25" s="22" t="n">
        <f aca="false">J25+K25</f>
        <v>42.399</v>
      </c>
      <c r="P25" s="22" t="n">
        <f aca="false">L25+M25</f>
        <v>51.313</v>
      </c>
      <c r="Q25" s="22" t="n">
        <f aca="false">J25+K25+L25+M25</f>
        <v>93.712</v>
      </c>
      <c r="R25" s="8" t="s">
        <v>473</v>
      </c>
      <c r="S25" s="8" t="s">
        <v>474</v>
      </c>
    </row>
    <row r="26" customFormat="false" ht="17.15" hidden="false" customHeight="false" outlineLevel="0" collapsed="false">
      <c r="A26" s="5" t="s">
        <v>495</v>
      </c>
      <c r="B26" s="0" t="s">
        <v>73</v>
      </c>
      <c r="C26" s="23" t="n">
        <f aca="false">C25-(C22+C23+C24)</f>
        <v>0</v>
      </c>
      <c r="D26" s="23" t="n">
        <f aca="false">D25-(D22+D23+D24)</f>
        <v>0</v>
      </c>
      <c r="E26" s="23" t="n">
        <f aca="false">E25-(E22+E23+E24)</f>
        <v>0</v>
      </c>
      <c r="F26" s="23" t="n">
        <f aca="false">F25-(F22+F23+F24)</f>
        <v>0</v>
      </c>
      <c r="G26" s="23" t="n">
        <f aca="false">G25-(G22+G23+G24)</f>
        <v>0</v>
      </c>
      <c r="H26" s="23" t="n">
        <f aca="false">H25-(H22+H23+H24)</f>
        <v>0</v>
      </c>
      <c r="I26" s="23" t="n">
        <f aca="false">I25-(I22+I23+I24)</f>
        <v>0</v>
      </c>
      <c r="J26" s="23" t="n">
        <f aca="false">J25-(J22+J23+J24)</f>
        <v>0</v>
      </c>
      <c r="K26" s="23" t="n">
        <f aca="false">K25-(K22+K23+K24)</f>
        <v>0</v>
      </c>
      <c r="L26" s="23" t="n">
        <f aca="false">L25-(L22+L23+L24)</f>
        <v>0</v>
      </c>
      <c r="M26" s="23" t="n">
        <f aca="false">M25-(M22+M23+M24)</f>
        <v>0</v>
      </c>
      <c r="N26" s="23" t="n">
        <f aca="false">N25-(N22+N23+N24)</f>
        <v>0</v>
      </c>
      <c r="O26" s="23" t="n">
        <f aca="false">O25-(O22+O23+O24)</f>
        <v>0</v>
      </c>
      <c r="P26" s="23" t="n">
        <f aca="false">P25-(P22+P23+P24)</f>
        <v>0</v>
      </c>
      <c r="Q26" s="23" t="n">
        <f aca="false">Q25-(Q22+Q23+Q24)</f>
        <v>0</v>
      </c>
      <c r="R26" s="8" t="s">
        <v>41</v>
      </c>
    </row>
    <row r="27" customFormat="false" ht="15" hidden="false" customHeight="false" outlineLevel="0" collapsed="false">
      <c r="A27" s="24" t="s">
        <v>496</v>
      </c>
      <c r="B27" s="25" t="s">
        <v>73</v>
      </c>
      <c r="C27" s="26" t="n">
        <f aca="false">C22+C23+C24+C26-C25</f>
        <v>0</v>
      </c>
      <c r="D27" s="26" t="n">
        <f aca="false">D22+D23+D24+D26-D25</f>
        <v>0</v>
      </c>
      <c r="E27" s="26" t="n">
        <f aca="false">E22+E23+E24+E26-E25</f>
        <v>0</v>
      </c>
      <c r="F27" s="26" t="n">
        <f aca="false">F22+F23+F24+F26-F25</f>
        <v>0</v>
      </c>
      <c r="G27" s="26" t="n">
        <f aca="false">G22+G23+G24+G26-G25</f>
        <v>0</v>
      </c>
      <c r="H27" s="26" t="n">
        <f aca="false">H22+H23+H24+H26-H25</f>
        <v>0</v>
      </c>
      <c r="I27" s="26" t="n">
        <f aca="false">I22+I23+I24+I26-I25</f>
        <v>0</v>
      </c>
      <c r="J27" s="26" t="n">
        <f aca="false">J22+J23+J24+J26-J25</f>
        <v>0</v>
      </c>
      <c r="K27" s="26" t="n">
        <f aca="false">K22+K23+K24+K26-K25</f>
        <v>0</v>
      </c>
      <c r="L27" s="26" t="n">
        <f aca="false">L22+L23+L24+L26-L25</f>
        <v>0</v>
      </c>
      <c r="M27" s="26" t="n">
        <f aca="false">M22+M23+M24+M26-M25</f>
        <v>0</v>
      </c>
      <c r="N27" s="26" t="n">
        <f aca="false">N22+N23+N24+N26-N25</f>
        <v>0</v>
      </c>
      <c r="O27" s="26" t="n">
        <f aca="false">O22+O23+O24+O26-O25</f>
        <v>0</v>
      </c>
      <c r="P27" s="26" t="n">
        <f aca="false">P22+P23+P24+P26-P25</f>
        <v>0</v>
      </c>
      <c r="Q27" s="26" t="n">
        <f aca="false">Q22+Q23+Q24+Q26-Q25</f>
        <v>0</v>
      </c>
      <c r="R27" s="8" t="s">
        <v>41</v>
      </c>
    </row>
    <row r="28" customFormat="false" ht="17.15" hidden="false" customHeight="false" outlineLevel="0" collapsed="false">
      <c r="A28" s="1" t="s">
        <v>497</v>
      </c>
    </row>
    <row r="29" customFormat="false" ht="17.15" hidden="false" customHeight="false" outlineLevel="0" collapsed="false">
      <c r="A29" s="0" t="s">
        <v>498</v>
      </c>
      <c r="B29" s="0" t="s">
        <v>73</v>
      </c>
      <c r="C29" s="21" t="n">
        <v>13.678</v>
      </c>
      <c r="D29" s="21" t="n">
        <v>14.285</v>
      </c>
      <c r="E29" s="21" t="n">
        <v>15.503</v>
      </c>
      <c r="F29" s="22"/>
      <c r="G29" s="22"/>
      <c r="H29" s="21" t="n">
        <v>3.53</v>
      </c>
      <c r="I29" s="21" t="n">
        <v>3.742</v>
      </c>
      <c r="J29" s="21" t="n">
        <v>4.001</v>
      </c>
      <c r="K29" s="23" t="n">
        <f aca="false">E29-H29-I29-J29</f>
        <v>4.23</v>
      </c>
      <c r="L29" s="21" t="n">
        <v>4.28</v>
      </c>
      <c r="M29" s="21" t="n">
        <v>4.5</v>
      </c>
      <c r="N29" s="22" t="n">
        <f aca="false">H29+I29</f>
        <v>7.272</v>
      </c>
      <c r="O29" s="22" t="n">
        <f aca="false">J29+K29</f>
        <v>8.231</v>
      </c>
      <c r="P29" s="22" t="n">
        <f aca="false">L29+M29</f>
        <v>8.78</v>
      </c>
      <c r="Q29" s="22" t="n">
        <f aca="false">J29+K29+L29+M29</f>
        <v>17.011</v>
      </c>
      <c r="R29" s="8" t="s">
        <v>28</v>
      </c>
      <c r="S29" s="8" t="s">
        <v>499</v>
      </c>
    </row>
    <row r="30" customFormat="false" ht="17.15" hidden="false" customHeight="false" outlineLevel="0" collapsed="false">
      <c r="A30" s="0" t="s">
        <v>500</v>
      </c>
      <c r="B30" s="0" t="s">
        <v>73</v>
      </c>
      <c r="C30" s="21" t="n">
        <v>4.016</v>
      </c>
      <c r="D30" s="21" t="n">
        <v>4.462</v>
      </c>
      <c r="E30" s="21" t="n">
        <v>4.907</v>
      </c>
      <c r="F30" s="22"/>
      <c r="G30" s="22"/>
      <c r="H30" s="21" t="n">
        <v>1.136</v>
      </c>
      <c r="I30" s="21" t="n">
        <v>1.18</v>
      </c>
      <c r="J30" s="21" t="n">
        <v>1.276</v>
      </c>
      <c r="K30" s="23" t="n">
        <f aca="false">E30-H30-I30-J30</f>
        <v>1.315</v>
      </c>
      <c r="L30" s="21" t="n">
        <v>1.277</v>
      </c>
      <c r="M30" s="21" t="n">
        <v>1.293</v>
      </c>
      <c r="N30" s="22" t="n">
        <f aca="false">H30+I30</f>
        <v>2.316</v>
      </c>
      <c r="O30" s="22" t="n">
        <f aca="false">J30+K30</f>
        <v>2.591</v>
      </c>
      <c r="P30" s="22" t="n">
        <f aca="false">L30+M30</f>
        <v>2.57</v>
      </c>
      <c r="Q30" s="22" t="n">
        <f aca="false">J30+K30+L30+M30</f>
        <v>5.161</v>
      </c>
      <c r="R30" s="8" t="s">
        <v>28</v>
      </c>
      <c r="S30" s="8" t="s">
        <v>499</v>
      </c>
    </row>
    <row r="31" customFormat="false" ht="17.15" hidden="false" customHeight="false" outlineLevel="0" collapsed="false">
      <c r="A31" s="0" t="s">
        <v>501</v>
      </c>
      <c r="B31" s="0" t="s">
        <v>73</v>
      </c>
      <c r="C31" s="21" t="n">
        <v>12.531</v>
      </c>
      <c r="D31" s="21" t="n">
        <v>13.32</v>
      </c>
      <c r="E31" s="21" t="n">
        <v>21.45</v>
      </c>
      <c r="F31" s="22"/>
      <c r="G31" s="22"/>
      <c r="H31" s="21" t="n">
        <v>4.39</v>
      </c>
      <c r="I31" s="21" t="n">
        <v>4.844</v>
      </c>
      <c r="J31" s="21" t="n">
        <v>5.648</v>
      </c>
      <c r="K31" s="23" t="n">
        <f aca="false">E31-H31-I31-J31</f>
        <v>6.568</v>
      </c>
      <c r="L31" s="21" t="n">
        <v>7.277</v>
      </c>
      <c r="M31" s="21" t="n">
        <v>8.076</v>
      </c>
      <c r="N31" s="22" t="n">
        <f aca="false">H31+I31</f>
        <v>9.234</v>
      </c>
      <c r="O31" s="22" t="n">
        <f aca="false">J31+K31</f>
        <v>12.216</v>
      </c>
      <c r="P31" s="22" t="n">
        <f aca="false">L31+M31</f>
        <v>15.353</v>
      </c>
      <c r="Q31" s="22" t="n">
        <f aca="false">J31+K31+L31+M31</f>
        <v>27.569</v>
      </c>
      <c r="R31" s="8" t="s">
        <v>28</v>
      </c>
      <c r="S31" s="8" t="s">
        <v>499</v>
      </c>
    </row>
    <row r="32" customFormat="false" ht="15" hidden="false" customHeight="false" outlineLevel="0" collapsed="false">
      <c r="A32" s="5" t="s">
        <v>502</v>
      </c>
      <c r="B32" s="0" t="s">
        <v>73</v>
      </c>
      <c r="C32" s="23" t="n">
        <f aca="false">IF(COUNT(C29:C31)=3,C29+C30+C31,"")</f>
        <v>30.225</v>
      </c>
      <c r="D32" s="23" t="n">
        <f aca="false">IF(COUNT(D29:D31)=3,D29+D30+D31,"")</f>
        <v>32.067</v>
      </c>
      <c r="E32" s="23" t="n">
        <f aca="false">IF(COUNT(E29:E31)=3,E29+E30+E31,"")</f>
        <v>41.86</v>
      </c>
      <c r="F32" s="23" t="str">
        <f aca="false">IF(COUNT(F29:F31)=3,F29+F30+F31,"")</f>
        <v/>
      </c>
      <c r="G32" s="23" t="str">
        <f aca="false">IF(COUNT(G29:G31)=3,G29+G30+G31,"")</f>
        <v/>
      </c>
      <c r="H32" s="23" t="n">
        <f aca="false">IF(COUNT(H29:H31)=3,H29+H30+H31,"")</f>
        <v>9.056</v>
      </c>
      <c r="I32" s="23" t="n">
        <f aca="false">IF(COUNT(I29:I31)=3,I29+I30+I31,"")</f>
        <v>9.766</v>
      </c>
      <c r="J32" s="23" t="n">
        <f aca="false">IF(COUNT(J29:J31)=3,J29+J30+J31,"")</f>
        <v>10.925</v>
      </c>
      <c r="K32" s="23" t="n">
        <f aca="false">IF(COUNT(K29:K31)=3,K29+K30+K31,"")</f>
        <v>12.113</v>
      </c>
      <c r="L32" s="23" t="n">
        <f aca="false">IF(COUNT(L29:L31)=3,L29+L30+L31,"")</f>
        <v>12.834</v>
      </c>
      <c r="M32" s="23" t="n">
        <f aca="false">IF(COUNT(M29:M31)=3,M29+M30+M31,"")</f>
        <v>13.869</v>
      </c>
      <c r="N32" s="23" t="n">
        <f aca="false">IF(COUNT(N29:N31)=3,N29+N30+N31,"")</f>
        <v>18.822</v>
      </c>
      <c r="O32" s="23" t="n">
        <f aca="false">IF(COUNT(O29:O31)=3,O29+O30+O31,"")</f>
        <v>23.038</v>
      </c>
      <c r="P32" s="23" t="n">
        <f aca="false">IF(COUNT(P29:P31)=3,P29+P30+P31,"")</f>
        <v>26.703</v>
      </c>
      <c r="Q32" s="23" t="n">
        <f aca="false">IF(COUNT(Q29:Q31)=3,Q29+Q30+Q31,"")</f>
        <v>49.741</v>
      </c>
      <c r="R32" s="8" t="s">
        <v>41</v>
      </c>
    </row>
    <row r="33" customFormat="false" ht="17.15" hidden="false" customHeight="false" outlineLevel="0" collapsed="false">
      <c r="A33" s="1" t="s">
        <v>503</v>
      </c>
    </row>
    <row r="34" customFormat="false" ht="17.15" hidden="false" customHeight="false" outlineLevel="0" collapsed="false">
      <c r="A34" s="5" t="s">
        <v>504</v>
      </c>
      <c r="B34" s="0" t="s">
        <v>73</v>
      </c>
      <c r="C34" s="21" t="n">
        <v>3.182</v>
      </c>
      <c r="D34" s="21" t="n">
        <v>2.406</v>
      </c>
      <c r="E34" s="21" t="n">
        <v>2.274</v>
      </c>
      <c r="F34" s="21" t="n">
        <v>0.603</v>
      </c>
      <c r="G34" s="21" t="n">
        <v>0.57</v>
      </c>
      <c r="H34" s="21" t="n">
        <v>0.541</v>
      </c>
      <c r="I34" s="21" t="n">
        <v>0.516</v>
      </c>
      <c r="J34" s="21" t="n">
        <v>0.538</v>
      </c>
      <c r="K34" s="21" t="n">
        <v>0.679</v>
      </c>
      <c r="L34" s="21" t="n">
        <v>0.8</v>
      </c>
      <c r="M34" s="21" t="n">
        <v>1.314</v>
      </c>
      <c r="N34" s="22" t="n">
        <f aca="false">H34+I34</f>
        <v>1.057</v>
      </c>
      <c r="O34" s="22" t="n">
        <f aca="false">J34+K34</f>
        <v>1.217</v>
      </c>
      <c r="P34" s="22" t="n">
        <f aca="false">L34+M34</f>
        <v>2.114</v>
      </c>
      <c r="Q34" s="22" t="n">
        <f aca="false">J34+K34+L34+M34</f>
        <v>3.331</v>
      </c>
      <c r="R34" s="8" t="s">
        <v>28</v>
      </c>
      <c r="S34" s="8" t="s">
        <v>505</v>
      </c>
    </row>
    <row r="35" customFormat="false" ht="17.15" hidden="false" customHeight="false" outlineLevel="0" collapsed="false">
      <c r="A35" s="5" t="s">
        <v>506</v>
      </c>
      <c r="B35" s="0" t="s">
        <v>73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1" t="n">
        <v>1.295</v>
      </c>
      <c r="N35" s="22"/>
      <c r="O35" s="22"/>
      <c r="P35" s="22"/>
      <c r="Q35" s="22"/>
      <c r="R35" s="8" t="s">
        <v>28</v>
      </c>
      <c r="S35" s="8" t="s">
        <v>34</v>
      </c>
    </row>
    <row r="36" customFormat="false" ht="17.15" hidden="false" customHeight="false" outlineLevel="0" collapsed="false">
      <c r="A36" s="5" t="s">
        <v>507</v>
      </c>
      <c r="B36" s="0" t="s">
        <v>73</v>
      </c>
      <c r="C36" s="21" t="n">
        <v>37.557</v>
      </c>
      <c r="D36" s="21" t="n">
        <v>68.614</v>
      </c>
      <c r="E36" s="21" t="n">
        <v>97.311</v>
      </c>
      <c r="F36" s="21" t="n">
        <v>18.037</v>
      </c>
      <c r="G36" s="21" t="n">
        <v>22.349</v>
      </c>
      <c r="H36" s="21" t="n">
        <v>21.679</v>
      </c>
      <c r="I36" s="21" t="n">
        <v>20.857</v>
      </c>
      <c r="J36" s="21" t="n">
        <v>28.17</v>
      </c>
      <c r="K36" s="21" t="n">
        <v>26.605</v>
      </c>
      <c r="L36" s="21" t="n">
        <v>39.834</v>
      </c>
      <c r="M36" s="21" t="n">
        <v>80.857</v>
      </c>
      <c r="N36" s="22" t="n">
        <f aca="false">H36+I36</f>
        <v>42.536</v>
      </c>
      <c r="O36" s="22" t="n">
        <f aca="false">J36+K36</f>
        <v>54.775</v>
      </c>
      <c r="P36" s="22" t="n">
        <f aca="false">L36+M36</f>
        <v>120.691</v>
      </c>
      <c r="Q36" s="22" t="n">
        <f aca="false">J36+K36+L36+M36</f>
        <v>175.466</v>
      </c>
      <c r="R36" s="8" t="s">
        <v>28</v>
      </c>
      <c r="S36" s="8" t="s">
        <v>505</v>
      </c>
    </row>
    <row r="37" customFormat="false" ht="17.15" hidden="false" customHeight="false" outlineLevel="0" collapsed="false">
      <c r="A37" s="5" t="s">
        <v>508</v>
      </c>
      <c r="B37" s="0" t="s">
        <v>73</v>
      </c>
      <c r="C37" s="21" t="n">
        <v>7.12</v>
      </c>
      <c r="D37" s="21" t="n">
        <v>9.265</v>
      </c>
      <c r="E37" s="21" t="n">
        <v>19.087</v>
      </c>
      <c r="F37" s="21" t="n">
        <v>2.706</v>
      </c>
      <c r="G37" s="21" t="n">
        <v>2.325</v>
      </c>
      <c r="H37" s="21" t="n">
        <v>4.553</v>
      </c>
      <c r="I37" s="21" t="n">
        <v>2.678</v>
      </c>
      <c r="J37" s="21" t="n">
        <v>6.91</v>
      </c>
      <c r="K37" s="21" t="n">
        <v>4.946</v>
      </c>
      <c r="L37" s="21" t="n">
        <v>9.56</v>
      </c>
      <c r="M37" s="21" t="n">
        <v>18.199</v>
      </c>
      <c r="N37" s="22" t="n">
        <f aca="false">H37+I37</f>
        <v>7.231</v>
      </c>
      <c r="O37" s="22" t="n">
        <f aca="false">J37+K37</f>
        <v>11.856</v>
      </c>
      <c r="P37" s="22" t="n">
        <f aca="false">L37+M37</f>
        <v>27.759</v>
      </c>
      <c r="Q37" s="22" t="n">
        <f aca="false">J37+K37+L37+M37</f>
        <v>39.615</v>
      </c>
      <c r="R37" s="8" t="s">
        <v>28</v>
      </c>
      <c r="S37" s="8" t="s">
        <v>505</v>
      </c>
    </row>
    <row r="38" customFormat="false" ht="17.15" hidden="false" customHeight="false" outlineLevel="0" collapsed="false">
      <c r="A38" s="5" t="s">
        <v>509</v>
      </c>
      <c r="B38" s="0" t="s">
        <v>73</v>
      </c>
      <c r="C38" s="21" t="n">
        <v>30.425</v>
      </c>
      <c r="D38" s="21" t="n">
        <v>59.248</v>
      </c>
      <c r="E38" s="21" t="n">
        <v>77.67</v>
      </c>
      <c r="F38" s="21" t="n">
        <v>15.328</v>
      </c>
      <c r="G38" s="21" t="n">
        <v>20.004</v>
      </c>
      <c r="H38" s="21" t="n">
        <v>17.127</v>
      </c>
      <c r="I38" s="21" t="n">
        <v>18.164</v>
      </c>
      <c r="J38" s="21" t="n">
        <v>21.187</v>
      </c>
      <c r="K38" s="21" t="n">
        <v>21.192</v>
      </c>
      <c r="L38" s="21" t="n">
        <v>30.255</v>
      </c>
      <c r="M38" s="21" t="n">
        <v>62.647</v>
      </c>
      <c r="N38" s="22" t="n">
        <f aca="false">H38+I38</f>
        <v>35.291</v>
      </c>
      <c r="O38" s="22" t="n">
        <f aca="false">J38+K38</f>
        <v>42.379</v>
      </c>
      <c r="P38" s="22" t="n">
        <f aca="false">L38+M38</f>
        <v>92.902</v>
      </c>
      <c r="Q38" s="22" t="n">
        <f aca="false">J38+K38+L38+M38</f>
        <v>135.281</v>
      </c>
      <c r="R38" s="8" t="s">
        <v>28</v>
      </c>
      <c r="S38" s="8" t="s">
        <v>505</v>
      </c>
    </row>
    <row r="39" customFormat="false" ht="17.15" hidden="false" customHeight="false" outlineLevel="0" collapsed="false">
      <c r="A39" s="5" t="s">
        <v>510</v>
      </c>
      <c r="B39" s="0" t="s">
        <v>73</v>
      </c>
      <c r="C39" s="23" t="n">
        <f aca="false">IF(AND(ISNUMBER(C36),ISNUMBER(C34)),C36-C25+C34,"")</f>
        <v>3.88700000000001</v>
      </c>
      <c r="D39" s="23" t="n">
        <f aca="false">IF(AND(ISNUMBER(D36),ISNUMBER(D34)),D36-D25+D34,"")</f>
        <v>2.427</v>
      </c>
      <c r="E39" s="23" t="n">
        <f aca="false">IF(AND(ISNUMBER(E36),ISNUMBER(E34)),E36-E25+E34,"")</f>
        <v>19.61</v>
      </c>
      <c r="F39" s="23" t="n">
        <f aca="false">IF(AND(ISNUMBER(F36),ISNUMBER(F34)),F36-F25+F34,"")</f>
        <v>1.229</v>
      </c>
      <c r="G39" s="23" t="n">
        <f aca="false">IF(AND(ISNUMBER(G36),ISNUMBER(G34)),G36-G25+G34,"")</f>
        <v>1.716</v>
      </c>
      <c r="H39" s="23" t="n">
        <f aca="false">IF(AND(ISNUMBER(H36),ISNUMBER(H34)),H36-H25+H34,"")</f>
        <v>3.815</v>
      </c>
      <c r="I39" s="23" t="n">
        <f aca="false">IF(AND(ISNUMBER(I36),ISNUMBER(I34)),I36-I25+I34,"")</f>
        <v>2.202</v>
      </c>
      <c r="J39" s="23" t="n">
        <f aca="false">IF(AND(ISNUMBER(J36),ISNUMBER(J34)),J36-J25+J34,"")</f>
        <v>11.286</v>
      </c>
      <c r="K39" s="23" t="n">
        <f aca="false">IF(AND(ISNUMBER(K36),ISNUMBER(K34)),K36-K25+K34,"")</f>
        <v>2.307</v>
      </c>
      <c r="L39" s="23" t="n">
        <f aca="false">IF(AND(ISNUMBER(L36),ISNUMBER(L34)),L36-L25+L34,"")</f>
        <v>16.782</v>
      </c>
      <c r="M39" s="23" t="n">
        <f aca="false">IF(AND(ISNUMBER(M36),ISNUMBER(M34)),M36-M25+M34,"")</f>
        <v>54.71</v>
      </c>
      <c r="N39" s="23" t="n">
        <f aca="false">IF(AND(ISNUMBER(N36),ISNUMBER(N34)),N36-N25+N34,"")</f>
        <v>6.017</v>
      </c>
      <c r="O39" s="23" t="n">
        <f aca="false">IF(AND(ISNUMBER(O36),ISNUMBER(O34)),O36-O25+O34,"")</f>
        <v>13.593</v>
      </c>
      <c r="P39" s="23" t="n">
        <f aca="false">IF(AND(ISNUMBER(P36),ISNUMBER(P34)),P36-P25+P34,"")</f>
        <v>71.492</v>
      </c>
      <c r="Q39" s="23" t="n">
        <f aca="false">IF(AND(ISNUMBER(Q36),ISNUMBER(Q34)),Q36-Q25+Q34,"")</f>
        <v>85.085</v>
      </c>
      <c r="R39" s="8" t="s">
        <v>41</v>
      </c>
    </row>
    <row r="40" customFormat="false" ht="15" hidden="false" customHeight="false" outlineLevel="0" collapsed="false">
      <c r="A40" s="5" t="s">
        <v>511</v>
      </c>
      <c r="B40" s="0" t="s">
        <v>73</v>
      </c>
      <c r="C40" s="27" t="n">
        <f aca="false">C37/C36</f>
        <v>0.189578507335517</v>
      </c>
      <c r="D40" s="27" t="n">
        <f aca="false">D37/D36</f>
        <v>0.135030751741627</v>
      </c>
      <c r="E40" s="27" t="n">
        <f aca="false">E37/E36</f>
        <v>0.196144320785934</v>
      </c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8" t="s">
        <v>41</v>
      </c>
    </row>
    <row r="41" customFormat="false" ht="15" hidden="false" customHeight="false" outlineLevel="0" collapsed="false">
      <c r="A41" s="5" t="s">
        <v>512</v>
      </c>
      <c r="B41" s="5" t="s">
        <v>33</v>
      </c>
      <c r="C41" s="21" t="n">
        <v>10.492</v>
      </c>
      <c r="D41" s="21" t="n">
        <v>10.721</v>
      </c>
      <c r="E41" s="21" t="n">
        <v>10.827</v>
      </c>
      <c r="F41" s="21" t="n">
        <v>10.735</v>
      </c>
      <c r="G41" s="22"/>
      <c r="H41" s="21" t="n">
        <v>10.793</v>
      </c>
      <c r="I41" s="21" t="n">
        <v>10.806</v>
      </c>
      <c r="J41" s="21" t="n">
        <v>10.845</v>
      </c>
      <c r="K41" s="22"/>
      <c r="L41" s="21" t="n">
        <v>10.874</v>
      </c>
      <c r="M41" s="21" t="n">
        <v>10.903</v>
      </c>
      <c r="N41" s="22"/>
      <c r="O41" s="22"/>
      <c r="P41" s="22"/>
      <c r="Q41" s="22"/>
      <c r="R41" s="8" t="s">
        <v>28</v>
      </c>
      <c r="S41" s="8" t="s">
        <v>330</v>
      </c>
    </row>
    <row r="42" customFormat="false" ht="17.15" hidden="false" customHeight="false" outlineLevel="0" collapsed="false">
      <c r="A42" s="5" t="s">
        <v>513</v>
      </c>
      <c r="B42" s="0" t="s">
        <v>27</v>
      </c>
      <c r="C42" s="29" t="n">
        <f aca="false">IF(ISNUMBER(C41),C38/C41,"")</f>
        <v>2.89982844071674</v>
      </c>
      <c r="D42" s="29" t="n">
        <f aca="false">IF(ISNUMBER(D41),D38/D41,"")</f>
        <v>5.52635015390355</v>
      </c>
      <c r="E42" s="29" t="n">
        <f aca="false">IF(ISNUMBER(E41),E38/E41,"")</f>
        <v>7.1737323358271</v>
      </c>
      <c r="F42" s="29" t="n">
        <f aca="false">IF(ISNUMBER(F41),F38/F41,"")</f>
        <v>1.42785281788542</v>
      </c>
      <c r="G42" s="29" t="str">
        <f aca="false">IF(ISNUMBER(G41),G38/G41,"")</f>
        <v/>
      </c>
      <c r="H42" s="29" t="n">
        <f aca="false">IF(ISNUMBER(H41),H38/H41,"")</f>
        <v>1.58686185490596</v>
      </c>
      <c r="I42" s="29" t="n">
        <f aca="false">IF(ISNUMBER(I41),I38/I41,"")</f>
        <v>1.68091800851379</v>
      </c>
      <c r="J42" s="29" t="n">
        <f aca="false">IF(ISNUMBER(J41),J38/J41,"")</f>
        <v>1.95361917934532</v>
      </c>
      <c r="K42" s="29" t="str">
        <f aca="false">IF(ISNUMBER(K41),K38/K41,"")</f>
        <v/>
      </c>
      <c r="L42" s="29" t="n">
        <f aca="false">IF(ISNUMBER(L41),L38/L41,"")</f>
        <v>2.78232481147692</v>
      </c>
      <c r="M42" s="29" t="n">
        <f aca="false">IF(ISNUMBER(M41),M38/M41,"")</f>
        <v>5.74584976611942</v>
      </c>
      <c r="N42" s="30"/>
      <c r="O42" s="30"/>
      <c r="P42" s="30"/>
      <c r="Q42" s="30"/>
      <c r="R42" s="8" t="s">
        <v>41</v>
      </c>
    </row>
    <row r="43" customFormat="false" ht="17.15" hidden="false" customHeight="false" outlineLevel="0" collapsed="false">
      <c r="A43" s="1" t="s">
        <v>514</v>
      </c>
    </row>
    <row r="44" customFormat="false" ht="17.15" hidden="false" customHeight="false" outlineLevel="0" collapsed="false">
      <c r="A44" s="5" t="s">
        <v>515</v>
      </c>
      <c r="B44" s="0" t="s">
        <v>73</v>
      </c>
      <c r="C44" s="21" t="n">
        <v>84.946</v>
      </c>
      <c r="D44" s="21" t="n">
        <v>115.877</v>
      </c>
      <c r="E44" s="21" t="n">
        <v>139.514</v>
      </c>
      <c r="F44" s="21" t="n">
        <v>25.971</v>
      </c>
      <c r="G44" s="21" t="n">
        <v>45.636</v>
      </c>
      <c r="H44" s="21" t="n">
        <v>17.015</v>
      </c>
      <c r="I44" s="21" t="n">
        <v>32.515</v>
      </c>
      <c r="J44" s="21" t="n">
        <v>35.525</v>
      </c>
      <c r="K44" s="21" t="n">
        <v>54.459</v>
      </c>
      <c r="L44" s="21" t="n">
        <v>26.032</v>
      </c>
      <c r="M44" s="21" t="n">
        <v>45.387</v>
      </c>
      <c r="N44" s="22" t="n">
        <f aca="false">H44+I44</f>
        <v>49.53</v>
      </c>
      <c r="O44" s="22" t="n">
        <f aca="false">J44+K44</f>
        <v>89.984</v>
      </c>
      <c r="P44" s="22" t="n">
        <f aca="false">L44+M44</f>
        <v>71.419</v>
      </c>
      <c r="Q44" s="22" t="n">
        <f aca="false">J44+K44+L44+M44</f>
        <v>161.403</v>
      </c>
      <c r="R44" s="8" t="s">
        <v>28</v>
      </c>
      <c r="S44" s="8" t="s">
        <v>516</v>
      </c>
    </row>
    <row r="45" customFormat="false" ht="17.15" hidden="false" customHeight="false" outlineLevel="0" collapsed="false">
      <c r="A45" s="5" t="s">
        <v>517</v>
      </c>
      <c r="B45" s="0" t="s">
        <v>73</v>
      </c>
      <c r="C45" s="21" t="n">
        <v>52.729</v>
      </c>
      <c r="D45" s="21" t="n">
        <v>82.999</v>
      </c>
      <c r="E45" s="21" t="n">
        <v>131.819</v>
      </c>
      <c r="F45" s="21" t="n">
        <v>22.62</v>
      </c>
      <c r="G45" s="21" t="n">
        <v>27.834</v>
      </c>
      <c r="H45" s="21" t="n">
        <v>25.019</v>
      </c>
      <c r="I45" s="21" t="n">
        <v>32.183</v>
      </c>
      <c r="J45" s="21" t="n">
        <v>35.095</v>
      </c>
      <c r="K45" s="21" t="n">
        <v>39.522</v>
      </c>
      <c r="L45" s="21" t="n">
        <v>44.203</v>
      </c>
      <c r="M45" s="21" t="n">
        <v>54.208</v>
      </c>
      <c r="N45" s="22" t="n">
        <f aca="false">H45+I45</f>
        <v>57.202</v>
      </c>
      <c r="O45" s="22" t="n">
        <f aca="false">J45+K45</f>
        <v>74.617</v>
      </c>
      <c r="P45" s="22" t="n">
        <f aca="false">L45+M45</f>
        <v>98.411</v>
      </c>
      <c r="Q45" s="22" t="n">
        <f aca="false">J45+K45+L45+M45</f>
        <v>173.028</v>
      </c>
      <c r="R45" s="8" t="s">
        <v>28</v>
      </c>
      <c r="S45" s="8" t="s">
        <v>505</v>
      </c>
    </row>
    <row r="46" customFormat="false" ht="15" hidden="false" customHeight="false" outlineLevel="0" collapsed="false">
      <c r="A46" s="5" t="s">
        <v>518</v>
      </c>
      <c r="B46" s="0" t="s">
        <v>73</v>
      </c>
      <c r="C46" s="21" t="n">
        <v>48.133</v>
      </c>
      <c r="D46" s="21" t="n">
        <v>77.658</v>
      </c>
      <c r="E46" s="21" t="n">
        <v>128.32</v>
      </c>
      <c r="F46" s="21" t="n">
        <v>21.278</v>
      </c>
      <c r="G46" s="21" t="n">
        <v>26.052</v>
      </c>
      <c r="H46" s="21" t="n">
        <v>24.255</v>
      </c>
      <c r="I46" s="21" t="n">
        <v>31.368</v>
      </c>
      <c r="J46" s="21" t="n">
        <v>34.228</v>
      </c>
      <c r="K46" s="21" t="n">
        <v>38.469</v>
      </c>
      <c r="L46" s="21" t="n">
        <v>43.234</v>
      </c>
      <c r="M46" s="21" t="n">
        <v>53.076</v>
      </c>
      <c r="N46" s="22" t="n">
        <f aca="false">H46+I46</f>
        <v>55.623</v>
      </c>
      <c r="O46" s="22" t="n">
        <f aca="false">J46+K46</f>
        <v>72.697</v>
      </c>
      <c r="P46" s="22" t="n">
        <f aca="false">L46+M46</f>
        <v>96.31</v>
      </c>
      <c r="Q46" s="22" t="n">
        <f aca="false">J46+K46+L46+M46</f>
        <v>169.007</v>
      </c>
      <c r="R46" s="8" t="s">
        <v>41</v>
      </c>
      <c r="S46" s="5" t="s">
        <v>519</v>
      </c>
    </row>
    <row r="47" customFormat="false" ht="17.15" hidden="false" customHeight="false" outlineLevel="0" collapsed="false">
      <c r="A47" s="5" t="s">
        <v>520</v>
      </c>
      <c r="B47" s="0" t="s">
        <v>73</v>
      </c>
      <c r="C47" s="21" t="n">
        <v>48.663</v>
      </c>
      <c r="D47" s="21" t="n">
        <v>52.795</v>
      </c>
      <c r="E47" s="21" t="n">
        <v>65.756</v>
      </c>
      <c r="F47" s="21" t="n">
        <v>13.442</v>
      </c>
      <c r="G47" s="21" t="n">
        <v>15.631</v>
      </c>
      <c r="H47" s="21" t="n">
        <v>14.262</v>
      </c>
      <c r="I47" s="21" t="n">
        <v>15.227</v>
      </c>
      <c r="J47" s="21" t="n">
        <v>16.796</v>
      </c>
      <c r="K47" s="21" t="n">
        <v>19.471</v>
      </c>
      <c r="L47" s="21" t="n">
        <v>18.945</v>
      </c>
      <c r="M47" s="21" t="n">
        <v>19.988</v>
      </c>
      <c r="N47" s="22" t="n">
        <f aca="false">H47+I47</f>
        <v>29.489</v>
      </c>
      <c r="O47" s="22" t="n">
        <f aca="false">J47+K47</f>
        <v>36.267</v>
      </c>
      <c r="P47" s="22" t="n">
        <f aca="false">L47+M47</f>
        <v>38.933</v>
      </c>
      <c r="Q47" s="22" t="n">
        <f aca="false">J47+K47+L47+M47</f>
        <v>75.2</v>
      </c>
      <c r="R47" s="8" t="s">
        <v>28</v>
      </c>
      <c r="S47" s="8" t="s">
        <v>505</v>
      </c>
    </row>
    <row r="48" customFormat="false" ht="17.15" hidden="false" customHeight="false" outlineLevel="0" collapsed="false">
      <c r="A48" s="5" t="s">
        <v>521</v>
      </c>
      <c r="B48" s="0" t="s">
        <v>73</v>
      </c>
      <c r="C48" s="21" t="n">
        <v>24.023</v>
      </c>
      <c r="D48" s="21" t="n">
        <v>22.011</v>
      </c>
      <c r="E48" s="21" t="n">
        <v>19.467</v>
      </c>
      <c r="F48" s="21" t="n">
        <v>5.333</v>
      </c>
      <c r="G48" s="21" t="n">
        <v>4.995</v>
      </c>
      <c r="H48" s="21" t="n">
        <v>3.689</v>
      </c>
      <c r="I48" s="21" t="n">
        <v>6.534</v>
      </c>
      <c r="J48" s="21" t="n">
        <v>4.847</v>
      </c>
      <c r="K48" s="21" t="n">
        <v>4.397</v>
      </c>
      <c r="L48" s="21" t="n">
        <v>4.032</v>
      </c>
      <c r="M48" s="21" t="n">
        <v>6.038</v>
      </c>
      <c r="N48" s="22" t="n">
        <f aca="false">H48+I48</f>
        <v>10.223</v>
      </c>
      <c r="O48" s="22" t="n">
        <f aca="false">J48+K48</f>
        <v>9.244</v>
      </c>
      <c r="P48" s="22" t="n">
        <f aca="false">L48+M48</f>
        <v>10.07</v>
      </c>
      <c r="Q48" s="22" t="n">
        <f aca="false">J48+K48+L48+M48</f>
        <v>19.314</v>
      </c>
      <c r="R48" s="8" t="s">
        <v>28</v>
      </c>
      <c r="S48" s="8" t="s">
        <v>505</v>
      </c>
    </row>
    <row r="49" customFormat="false" ht="15" hidden="false" customHeight="false" outlineLevel="0" collapsed="false">
      <c r="A49" s="5" t="s">
        <v>522</v>
      </c>
      <c r="B49" s="0" t="s">
        <v>73</v>
      </c>
      <c r="C49" s="23" t="n">
        <f aca="false">C44-C46</f>
        <v>36.813</v>
      </c>
      <c r="D49" s="23" t="n">
        <f aca="false">D44-D46</f>
        <v>38.219</v>
      </c>
      <c r="E49" s="23" t="n">
        <f aca="false">E44-E46</f>
        <v>11.194</v>
      </c>
      <c r="F49" s="23" t="n">
        <f aca="false">F44-F46</f>
        <v>4.693</v>
      </c>
      <c r="G49" s="23" t="n">
        <f aca="false">G44-G46</f>
        <v>19.584</v>
      </c>
      <c r="H49" s="23" t="n">
        <f aca="false">H44-H46</f>
        <v>-7.24</v>
      </c>
      <c r="I49" s="23" t="n">
        <f aca="false">I44-I46</f>
        <v>1.147</v>
      </c>
      <c r="J49" s="23" t="n">
        <f aca="false">J44-J46</f>
        <v>1.297</v>
      </c>
      <c r="K49" s="23" t="n">
        <f aca="false">K44-K46</f>
        <v>15.99</v>
      </c>
      <c r="L49" s="23" t="n">
        <f aca="false">L44-L46</f>
        <v>-17.202</v>
      </c>
      <c r="M49" s="23" t="n">
        <f aca="false">M44-M46</f>
        <v>-7.689</v>
      </c>
      <c r="N49" s="23" t="n">
        <f aca="false">N44-N46</f>
        <v>-6.093</v>
      </c>
      <c r="O49" s="23" t="n">
        <f aca="false">O44-O46</f>
        <v>17.287</v>
      </c>
      <c r="P49" s="23" t="n">
        <f aca="false">P44-P46</f>
        <v>-24.891</v>
      </c>
      <c r="Q49" s="23" t="n">
        <f aca="false">Q44-Q46</f>
        <v>-7.60399999999999</v>
      </c>
      <c r="R49" s="8" t="s">
        <v>41</v>
      </c>
    </row>
    <row r="50" customFormat="false" ht="15" hidden="false" customHeight="false" outlineLevel="0" collapsed="false">
      <c r="A50" s="5" t="s">
        <v>523</v>
      </c>
      <c r="B50" s="0" t="s">
        <v>73</v>
      </c>
      <c r="C50" s="21" t="n">
        <v>4.384</v>
      </c>
      <c r="D50" s="21" t="n">
        <v>2.043</v>
      </c>
      <c r="E50" s="21" t="n">
        <v>1.557</v>
      </c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8" t="s">
        <v>28</v>
      </c>
      <c r="S50" s="8" t="s">
        <v>69</v>
      </c>
    </row>
    <row r="51" customFormat="false" ht="15" hidden="false" customHeight="false" outlineLevel="0" collapsed="false">
      <c r="A51" s="5" t="s">
        <v>524</v>
      </c>
      <c r="B51" s="0" t="s">
        <v>73</v>
      </c>
      <c r="C51" s="21" t="n">
        <v>0</v>
      </c>
      <c r="D51" s="21" t="n">
        <v>0</v>
      </c>
      <c r="E51" s="21" t="n">
        <v>0</v>
      </c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1" t="n">
        <v>0</v>
      </c>
      <c r="Q51" s="22"/>
      <c r="R51" s="8" t="s">
        <v>28</v>
      </c>
      <c r="S51" s="8" t="s">
        <v>69</v>
      </c>
    </row>
    <row r="52" customFormat="false" ht="15" hidden="false" customHeight="false" outlineLevel="0" collapsed="false">
      <c r="A52" s="5" t="s">
        <v>525</v>
      </c>
      <c r="B52" s="0" t="s">
        <v>73</v>
      </c>
      <c r="C52" s="21" t="n">
        <v>0</v>
      </c>
      <c r="D52" s="21" t="n">
        <v>0</v>
      </c>
      <c r="E52" s="21" t="n">
        <v>0</v>
      </c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1" t="n">
        <v>0</v>
      </c>
      <c r="Q52" s="22"/>
      <c r="R52" s="8" t="s">
        <v>28</v>
      </c>
      <c r="S52" s="8" t="s">
        <v>69</v>
      </c>
    </row>
    <row r="53" customFormat="false" ht="17.15" hidden="false" customHeight="false" outlineLevel="0" collapsed="false">
      <c r="A53" s="5" t="s">
        <v>526</v>
      </c>
      <c r="B53" s="0" t="s">
        <v>73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1" t="n">
        <v>39.767</v>
      </c>
      <c r="Q53" s="22"/>
      <c r="R53" s="8" t="s">
        <v>28</v>
      </c>
      <c r="S53" s="8" t="s">
        <v>34</v>
      </c>
    </row>
    <row r="54" customFormat="false" ht="17.15" hidden="false" customHeight="false" outlineLevel="0" collapsed="false">
      <c r="A54" s="1" t="s">
        <v>527</v>
      </c>
    </row>
    <row r="55" customFormat="false" ht="17.15" hidden="false" customHeight="false" outlineLevel="0" collapsed="false">
      <c r="A55" s="0" t="s">
        <v>528</v>
      </c>
      <c r="B55" s="0" t="s">
        <v>73</v>
      </c>
      <c r="C55" s="21" t="n">
        <v>17.529</v>
      </c>
      <c r="D55" s="21" t="n">
        <v>24.348</v>
      </c>
      <c r="E55" s="21" t="n">
        <v>35.919</v>
      </c>
      <c r="F55" s="22"/>
      <c r="G55" s="22"/>
      <c r="H55" s="22"/>
      <c r="I55" s="22"/>
      <c r="J55" s="22"/>
      <c r="K55" s="22"/>
      <c r="L55" s="22"/>
      <c r="M55" s="21"/>
      <c r="N55" s="22"/>
      <c r="O55" s="22"/>
      <c r="P55" s="21" t="n">
        <v>23.265</v>
      </c>
      <c r="Q55" s="22"/>
      <c r="R55" s="8" t="s">
        <v>28</v>
      </c>
      <c r="S55" s="8" t="s">
        <v>529</v>
      </c>
    </row>
    <row r="56" customFormat="false" ht="17.15" hidden="false" customHeight="false" outlineLevel="0" collapsed="false">
      <c r="A56" s="0" t="s">
        <v>530</v>
      </c>
      <c r="B56" s="0" t="s">
        <v>73</v>
      </c>
      <c r="C56" s="21" t="n">
        <v>4.144</v>
      </c>
      <c r="D56" s="21" t="n">
        <v>6.643</v>
      </c>
      <c r="E56" s="21" t="n">
        <v>7.617</v>
      </c>
      <c r="F56" s="22"/>
      <c r="G56" s="22"/>
      <c r="H56" s="22"/>
      <c r="I56" s="22"/>
      <c r="J56" s="22"/>
      <c r="K56" s="22"/>
      <c r="L56" s="22"/>
      <c r="M56" s="21"/>
      <c r="N56" s="22"/>
      <c r="O56" s="22"/>
      <c r="P56" s="21" t="n">
        <v>4.267</v>
      </c>
      <c r="Q56" s="22"/>
      <c r="R56" s="8" t="s">
        <v>28</v>
      </c>
      <c r="S56" s="8" t="s">
        <v>529</v>
      </c>
    </row>
    <row r="57" customFormat="false" ht="17.15" hidden="false" customHeight="false" outlineLevel="0" collapsed="false">
      <c r="A57" s="0" t="s">
        <v>531</v>
      </c>
      <c r="B57" s="0" t="s">
        <v>73</v>
      </c>
      <c r="C57" s="21" t="n">
        <v>24.843</v>
      </c>
      <c r="D57" s="21" t="n">
        <v>53.267</v>
      </c>
      <c r="E57" s="21" t="n">
        <v>96.496</v>
      </c>
      <c r="F57" s="22"/>
      <c r="G57" s="22"/>
      <c r="H57" s="22"/>
      <c r="I57" s="22"/>
      <c r="J57" s="22"/>
      <c r="K57" s="22"/>
      <c r="L57" s="22"/>
      <c r="M57" s="21"/>
      <c r="N57" s="22"/>
      <c r="O57" s="22"/>
      <c r="P57" s="21" t="n">
        <v>90.12</v>
      </c>
      <c r="Q57" s="22"/>
      <c r="R57" s="8" t="s">
        <v>28</v>
      </c>
      <c r="S57" s="8" t="s">
        <v>529</v>
      </c>
    </row>
    <row r="58" customFormat="false" ht="17.15" hidden="false" customHeight="false" outlineLevel="0" collapsed="false">
      <c r="A58" s="5" t="s">
        <v>532</v>
      </c>
      <c r="B58" s="0" t="s">
        <v>73</v>
      </c>
      <c r="C58" s="21" t="n">
        <v>1.828</v>
      </c>
      <c r="D58" s="21" t="n">
        <v>1.494</v>
      </c>
      <c r="E58" s="21" t="n">
        <v>2.32</v>
      </c>
      <c r="F58" s="22"/>
      <c r="G58" s="22"/>
      <c r="H58" s="22"/>
      <c r="I58" s="22"/>
      <c r="J58" s="22"/>
      <c r="K58" s="22"/>
      <c r="L58" s="22"/>
      <c r="M58" s="21"/>
      <c r="N58" s="22"/>
      <c r="O58" s="22"/>
      <c r="P58" s="21" t="n">
        <v>0.996</v>
      </c>
      <c r="Q58" s="22"/>
      <c r="R58" s="8" t="s">
        <v>28</v>
      </c>
      <c r="S58" s="8" t="s">
        <v>529</v>
      </c>
    </row>
    <row r="59" customFormat="false" ht="17.15" hidden="false" customHeight="false" outlineLevel="0" collapsed="false">
      <c r="A59" s="0" t="s">
        <v>533</v>
      </c>
      <c r="B59" s="0" t="s">
        <v>73</v>
      </c>
      <c r="C59" s="21" t="n">
        <v>48.344</v>
      </c>
      <c r="D59" s="21" t="n">
        <v>85.752</v>
      </c>
      <c r="E59" s="21" t="n">
        <v>142.352</v>
      </c>
      <c r="F59" s="22"/>
      <c r="G59" s="22"/>
      <c r="H59" s="22"/>
      <c r="I59" s="22"/>
      <c r="J59" s="22"/>
      <c r="K59" s="22"/>
      <c r="L59" s="22"/>
      <c r="M59" s="21"/>
      <c r="N59" s="22"/>
      <c r="O59" s="22"/>
      <c r="P59" s="21" t="n">
        <v>118.648</v>
      </c>
      <c r="Q59" s="22"/>
      <c r="R59" s="8" t="s">
        <v>28</v>
      </c>
      <c r="S59" s="8" t="s">
        <v>529</v>
      </c>
    </row>
    <row r="60" customFormat="false" ht="17.15" hidden="false" customHeight="false" outlineLevel="0" collapsed="false">
      <c r="A60" s="1" t="s">
        <v>534</v>
      </c>
    </row>
    <row r="61" customFormat="false" ht="17.15" hidden="false" customHeight="false" outlineLevel="0" collapsed="false">
      <c r="A61" s="5" t="s">
        <v>535</v>
      </c>
      <c r="B61" s="0" t="s">
        <v>73</v>
      </c>
      <c r="C61" s="22"/>
      <c r="D61" s="22"/>
      <c r="E61" s="21" t="n">
        <v>123.029</v>
      </c>
      <c r="F61" s="22"/>
      <c r="G61" s="22"/>
      <c r="H61" s="22"/>
      <c r="I61" s="22"/>
      <c r="J61" s="22"/>
      <c r="K61" s="22"/>
      <c r="L61" s="22"/>
      <c r="M61" s="21" t="n">
        <v>122.988</v>
      </c>
      <c r="N61" s="22"/>
      <c r="O61" s="22"/>
      <c r="P61" s="22"/>
      <c r="Q61" s="22"/>
      <c r="R61" s="8" t="s">
        <v>28</v>
      </c>
      <c r="S61" s="8" t="s">
        <v>529</v>
      </c>
    </row>
    <row r="62" customFormat="false" ht="17.15" hidden="false" customHeight="false" outlineLevel="0" collapsed="false">
      <c r="A62" s="5" t="s">
        <v>536</v>
      </c>
      <c r="B62" s="0" t="s">
        <v>73</v>
      </c>
      <c r="C62" s="22"/>
      <c r="D62" s="22"/>
      <c r="E62" s="21" t="n">
        <v>68.836</v>
      </c>
      <c r="F62" s="22"/>
      <c r="G62" s="22"/>
      <c r="H62" s="22"/>
      <c r="I62" s="22"/>
      <c r="J62" s="22"/>
      <c r="K62" s="22"/>
      <c r="L62" s="22"/>
      <c r="M62" s="21" t="n">
        <v>132.995</v>
      </c>
      <c r="N62" s="22"/>
      <c r="O62" s="22"/>
      <c r="P62" s="22"/>
      <c r="Q62" s="22"/>
      <c r="R62" s="8" t="s">
        <v>28</v>
      </c>
      <c r="S62" s="8" t="s">
        <v>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537</v>
      </c>
    </row>
    <row r="2" customFormat="false" ht="17.15" hidden="false" customHeight="false" outlineLevel="0" collapsed="false">
      <c r="A2" s="5" t="s">
        <v>538</v>
      </c>
    </row>
    <row r="4" customFormat="false" ht="19.4" hidden="false" customHeight="false" outlineLevel="0" collapsed="false">
      <c r="A4" s="31" t="s">
        <v>539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0" t="s">
        <v>457</v>
      </c>
      <c r="D5" s="20" t="s">
        <v>458</v>
      </c>
      <c r="E5" s="20" t="s">
        <v>540</v>
      </c>
      <c r="F5" s="20" t="s">
        <v>541</v>
      </c>
      <c r="G5" s="20" t="s">
        <v>542</v>
      </c>
      <c r="H5" s="20" t="s">
        <v>543</v>
      </c>
      <c r="I5" s="20" t="s">
        <v>544</v>
      </c>
      <c r="J5" s="20" t="s">
        <v>545</v>
      </c>
      <c r="K5" s="20" t="s">
        <v>546</v>
      </c>
      <c r="L5" s="20" t="s">
        <v>547</v>
      </c>
      <c r="M5" s="20" t="s">
        <v>548</v>
      </c>
      <c r="N5" s="20" t="s">
        <v>549</v>
      </c>
      <c r="O5" s="20" t="s">
        <v>550</v>
      </c>
      <c r="P5" s="6" t="s">
        <v>23</v>
      </c>
      <c r="R5" s="20" t="n">
        <v>2023</v>
      </c>
      <c r="S5" s="20" t="n">
        <v>2024</v>
      </c>
      <c r="T5" s="20" t="n">
        <v>2025</v>
      </c>
      <c r="U5" s="20" t="n">
        <v>2026</v>
      </c>
      <c r="V5" s="20" t="n">
        <v>2027</v>
      </c>
      <c r="W5" s="20" t="n">
        <v>2028</v>
      </c>
      <c r="X5" s="20" t="n">
        <v>2029</v>
      </c>
      <c r="Y5" s="20" t="n">
        <v>2030</v>
      </c>
      <c r="Z5" s="20" t="n">
        <v>2031</v>
      </c>
      <c r="AA5" s="20" t="n">
        <v>2032</v>
      </c>
    </row>
    <row r="6" customFormat="false" ht="17.15" hidden="false" customHeight="false" outlineLevel="0" collapsed="false">
      <c r="A6" s="1" t="s">
        <v>551</v>
      </c>
    </row>
    <row r="7" customFormat="false" ht="17.15" hidden="false" customHeight="false" outlineLevel="0" collapsed="false">
      <c r="A7" s="14" t="s">
        <v>552</v>
      </c>
      <c r="B7" s="13" t="s">
        <v>108</v>
      </c>
      <c r="C7" s="32" t="n">
        <f aca="false">mw_ye24</f>
        <v>360</v>
      </c>
      <c r="D7" s="32" t="n">
        <f aca="false">mw_ye25</f>
        <v>1440</v>
      </c>
      <c r="E7" s="32" t="n">
        <f aca="false">mw_open</f>
        <v>2080</v>
      </c>
      <c r="F7" s="32" t="n">
        <f aca="false">Thesis!$E$7+pace_A*0.5</f>
        <v>3946.5</v>
      </c>
      <c r="G7" s="32" t="n">
        <f aca="false">Thesis!$F$7</f>
        <v>3946.5</v>
      </c>
      <c r="H7" s="32" t="n">
        <f aca="false">Thesis!$G$7+pace_A</f>
        <v>7679.5</v>
      </c>
      <c r="I7" s="32" t="n">
        <f aca="false">Thesis!$H$7+pace_A</f>
        <v>11412.5</v>
      </c>
      <c r="J7" s="32" t="n">
        <f aca="false">Thesis!$I$7+pace_A</f>
        <v>15145.5</v>
      </c>
      <c r="K7" s="32" t="n">
        <f aca="false">Thesis!$J$7+pace_A</f>
        <v>18878.5</v>
      </c>
      <c r="L7" s="32" t="n">
        <f aca="false">Thesis!$K$7+pace_A</f>
        <v>22611.5</v>
      </c>
      <c r="M7" s="32" t="n">
        <f aca="false">Thesis!$L$7+pace_A</f>
        <v>26344.5</v>
      </c>
      <c r="N7" s="32" t="n">
        <f aca="false">(mw_ye24+mw_ye25)/2</f>
        <v>900</v>
      </c>
      <c r="O7" s="32" t="n">
        <f aca="false">mw_ye25</f>
        <v>1440</v>
      </c>
      <c r="P7" s="5" t="s">
        <v>553</v>
      </c>
    </row>
    <row r="8" customFormat="false" ht="17.15" hidden="false" customHeight="false" outlineLevel="0" collapsed="false">
      <c r="A8" s="5" t="s">
        <v>554</v>
      </c>
      <c r="B8" s="0" t="s">
        <v>108</v>
      </c>
      <c r="C8" s="33" t="n">
        <f aca="false">(mw_ye23+mw_ye24)/2</f>
        <v>240</v>
      </c>
      <c r="D8" s="33" t="n">
        <f aca="false">(Thesis!$C$7+Thesis!$D$7)/2</f>
        <v>900</v>
      </c>
      <c r="E8" s="33" t="n">
        <f aca="false">(Thesis!$D$7+Thesis!$E$7)/2</f>
        <v>1760</v>
      </c>
      <c r="F8" s="33" t="n">
        <f aca="false">(Thesis!$E$7+Thesis!$F$7)/2</f>
        <v>3013.25</v>
      </c>
      <c r="G8" s="33" t="n">
        <f aca="false">(Thesis!$E$8+Thesis!$F$8)/2</f>
        <v>2386.625</v>
      </c>
      <c r="H8" s="33" t="n">
        <f aca="false">(Thesis!$G$7+Thesis!$H$7)/2</f>
        <v>5813</v>
      </c>
      <c r="I8" s="33" t="n">
        <f aca="false">(Thesis!$H$7+Thesis!$I$7)/2</f>
        <v>9546</v>
      </c>
      <c r="J8" s="33" t="n">
        <f aca="false">(Thesis!$I$7+Thesis!$J$7)/2</f>
        <v>13279</v>
      </c>
      <c r="K8" s="33" t="n">
        <f aca="false">(Thesis!$J$7+Thesis!$K$7)/2</f>
        <v>17012</v>
      </c>
      <c r="L8" s="33" t="n">
        <f aca="false">(Thesis!$K$7+Thesis!$L$7)/2</f>
        <v>20745</v>
      </c>
      <c r="M8" s="33" t="n">
        <f aca="false">(Thesis!$L$7+Thesis!$M$7)/2</f>
        <v>24478</v>
      </c>
      <c r="N8" s="33" t="n">
        <f aca="false">(Thesis!$C$7+Thesis!$N$7)/2</f>
        <v>630</v>
      </c>
      <c r="O8" s="33" t="n">
        <f aca="false">(Thesis!$N$7+Thesis!$O$7)/2</f>
        <v>1170</v>
      </c>
    </row>
    <row r="9" customFormat="false" ht="15" hidden="false" customHeight="false" outlineLevel="0" collapsed="false">
      <c r="A9" s="5" t="s">
        <v>555</v>
      </c>
      <c r="B9" s="5" t="s">
        <v>102</v>
      </c>
      <c r="C9" s="34" t="n">
        <v>1</v>
      </c>
      <c r="D9" s="34" t="n">
        <v>1</v>
      </c>
      <c r="E9" s="34" t="n">
        <v>0.5</v>
      </c>
      <c r="F9" s="34" t="n">
        <v>0.5</v>
      </c>
      <c r="G9" s="34" t="n">
        <v>1</v>
      </c>
      <c r="H9" s="34" t="n">
        <v>1</v>
      </c>
      <c r="I9" s="34" t="n">
        <v>1</v>
      </c>
      <c r="J9" s="34" t="n">
        <v>1</v>
      </c>
      <c r="K9" s="34" t="n">
        <v>1</v>
      </c>
      <c r="L9" s="34" t="n">
        <v>1</v>
      </c>
      <c r="M9" s="34" t="n">
        <v>1</v>
      </c>
      <c r="N9" s="34" t="n">
        <v>0.5</v>
      </c>
      <c r="O9" s="34" t="n">
        <v>0.5</v>
      </c>
    </row>
    <row r="10" customFormat="false" ht="17.15" hidden="false" customHeight="false" outlineLevel="0" collapsed="false">
      <c r="A10" s="5" t="s">
        <v>556</v>
      </c>
      <c r="B10" s="0" t="s">
        <v>108</v>
      </c>
      <c r="C10" s="33" t="n">
        <f aca="false">Thesis!$C$7-mw_ye23</f>
        <v>240</v>
      </c>
      <c r="D10" s="33" t="n">
        <f aca="false">Thesis!$D$7-Thesis!$C$7</f>
        <v>1080</v>
      </c>
      <c r="E10" s="33" t="n">
        <f aca="false">Thesis!$E$7-Thesis!$D$7</f>
        <v>640</v>
      </c>
      <c r="F10" s="33" t="n">
        <f aca="false">Thesis!$F$7-Thesis!$E$7</f>
        <v>1866.5</v>
      </c>
      <c r="G10" s="33" t="n">
        <f aca="false">Thesis!$E$10+Thesis!$F$10</f>
        <v>2506.5</v>
      </c>
      <c r="H10" s="33" t="n">
        <f aca="false">Thesis!$H$7-Thesis!$G$7</f>
        <v>3733</v>
      </c>
      <c r="I10" s="33" t="n">
        <f aca="false">Thesis!$I$7-Thesis!$H$7</f>
        <v>3733</v>
      </c>
      <c r="J10" s="33" t="n">
        <f aca="false">Thesis!$J$7-Thesis!$I$7</f>
        <v>3733</v>
      </c>
      <c r="K10" s="33" t="n">
        <f aca="false">Thesis!$K$7-Thesis!$J$7</f>
        <v>3733</v>
      </c>
      <c r="L10" s="33" t="n">
        <f aca="false">Thesis!$L$7-Thesis!$K$7</f>
        <v>3733</v>
      </c>
      <c r="M10" s="33" t="n">
        <f aca="false">Thesis!$M$7-Thesis!$L$7</f>
        <v>3733</v>
      </c>
      <c r="N10" s="33" t="n">
        <f aca="false">Thesis!$N$7-Thesis!$C$7</f>
        <v>540</v>
      </c>
      <c r="O10" s="33" t="n">
        <f aca="false">Thesis!$O$7-Thesis!$N$7</f>
        <v>540</v>
      </c>
    </row>
    <row r="11" customFormat="false" ht="17.15" hidden="false" customHeight="false" outlineLevel="0" collapsed="false">
      <c r="A11" s="5" t="s">
        <v>557</v>
      </c>
      <c r="B11" s="0" t="s">
        <v>108</v>
      </c>
      <c r="C11" s="33" t="n">
        <f aca="false">Thesis!$C$10/ext_sh</f>
        <v>300</v>
      </c>
      <c r="D11" s="33" t="n">
        <f aca="false">Thesis!$D$10/ext_sh</f>
        <v>1350</v>
      </c>
      <c r="E11" s="33" t="n">
        <f aca="false">Thesis!$E$10/ext_sh</f>
        <v>800</v>
      </c>
      <c r="F11" s="33" t="n">
        <f aca="false">Thesis!$F$10/ext_sh</f>
        <v>2333.125</v>
      </c>
      <c r="G11" s="33" t="n">
        <f aca="false">Thesis!$G$10/ext_sh</f>
        <v>3133.125</v>
      </c>
      <c r="H11" s="33" t="n">
        <f aca="false">Thesis!$H$10/ext_sh</f>
        <v>4666.25</v>
      </c>
      <c r="I11" s="33" t="n">
        <f aca="false">Thesis!$I$10/ext_sh</f>
        <v>4666.25</v>
      </c>
      <c r="J11" s="33" t="n">
        <f aca="false">Thesis!$J$10/ext_sh</f>
        <v>4666.25</v>
      </c>
      <c r="K11" s="33" t="n">
        <f aca="false">Thesis!$K$10/ext_sh</f>
        <v>4666.25</v>
      </c>
      <c r="L11" s="33" t="n">
        <f aca="false">Thesis!$L$10/ext_sh</f>
        <v>4666.25</v>
      </c>
      <c r="M11" s="33" t="n">
        <f aca="false">Thesis!$M$10/ext_sh</f>
        <v>4666.25</v>
      </c>
      <c r="N11" s="33" t="n">
        <f aca="false">Thesis!$N$10/ext_sh</f>
        <v>675</v>
      </c>
      <c r="O11" s="33" t="n">
        <f aca="false">Thesis!$O$10/ext_sh</f>
        <v>675</v>
      </c>
      <c r="P11" s="8" t="s">
        <v>558</v>
      </c>
      <c r="R11" s="33" t="n">
        <f aca="false">mw_ye23/ext_sh</f>
        <v>150</v>
      </c>
      <c r="S11" s="33" t="n">
        <f aca="false">Thesis!$C$11</f>
        <v>300</v>
      </c>
      <c r="T11" s="33" t="n">
        <f aca="false">Thesis!$D$11</f>
        <v>1350</v>
      </c>
      <c r="U11" s="33" t="n">
        <f aca="false">Thesis!$G$11</f>
        <v>3133.125</v>
      </c>
      <c r="V11" s="33" t="n">
        <f aca="false">Thesis!$H$11</f>
        <v>4666.25</v>
      </c>
      <c r="W11" s="33" t="n">
        <f aca="false">Thesis!$I$11</f>
        <v>4666.25</v>
      </c>
      <c r="X11" s="33" t="n">
        <f aca="false">Thesis!$J$11</f>
        <v>4666.25</v>
      </c>
      <c r="Y11" s="33" t="n">
        <f aca="false">Thesis!$K$11</f>
        <v>4666.25</v>
      </c>
      <c r="Z11" s="33" t="n">
        <f aca="false">Thesis!$L$11</f>
        <v>4666.25</v>
      </c>
      <c r="AA11" s="33" t="n">
        <f aca="false">Thesis!$M$11</f>
        <v>4666.25</v>
      </c>
    </row>
    <row r="12" customFormat="false" ht="17.15" hidden="false" customHeight="false" outlineLevel="0" collapsed="false">
      <c r="A12" s="1" t="s">
        <v>559</v>
      </c>
    </row>
    <row r="13" customFormat="false" ht="17.15" hidden="false" customHeight="false" outlineLevel="0" collapsed="false">
      <c r="A13" s="0" t="s">
        <v>560</v>
      </c>
      <c r="B13" s="0" t="s">
        <v>52</v>
      </c>
      <c r="F13" s="35" t="n">
        <f aca="false">na_vr26</f>
        <v>0</v>
      </c>
      <c r="G13" s="35" t="n">
        <f aca="false">na_vr26</f>
        <v>0</v>
      </c>
      <c r="H13" s="35" t="n">
        <f aca="false">na_vr27</f>
        <v>0.5</v>
      </c>
      <c r="I13" s="35" t="n">
        <f aca="false">na_vr28</f>
        <v>1</v>
      </c>
      <c r="J13" s="35" t="n">
        <f aca="false">na_vr28</f>
        <v>1</v>
      </c>
      <c r="K13" s="35" t="n">
        <f aca="false">na_vr28</f>
        <v>1</v>
      </c>
      <c r="L13" s="35" t="n">
        <f aca="false">na_vr28</f>
        <v>1</v>
      </c>
      <c r="M13" s="35" t="n">
        <f aca="false">na_vr28</f>
        <v>1</v>
      </c>
    </row>
    <row r="14" customFormat="false" ht="17.15" hidden="false" customHeight="false" outlineLevel="0" collapsed="false">
      <c r="A14" s="5" t="s">
        <v>561</v>
      </c>
      <c r="B14" s="0" t="s">
        <v>151</v>
      </c>
      <c r="F14" s="36" t="n">
        <f aca="false">cust_sh*tk_he_gb300*cf_chip+(1-cust_sh)*((1-Thesis!$F$13)*tk_he_gb300+Thesis!$F$13*tk_he_vr200)</f>
        <v>10.8864110021101</v>
      </c>
      <c r="G14" s="36" t="n">
        <f aca="false">cust_sh*tk_he_gb300*cf_chip+(1-cust_sh)*((1-Thesis!$G$13)*tk_he_gb300+Thesis!$G$13*tk_he_vr200)</f>
        <v>10.8864110021101</v>
      </c>
      <c r="H14" s="36" t="n">
        <f aca="false">cust_sh*tk_he_gb300*cf_chip+(1-cust_sh)*((1-Thesis!$H$13)*tk_he_gb300+Thesis!$H$13*tk_he_vr200)</f>
        <v>11.2211760027286</v>
      </c>
      <c r="I14" s="36" t="n">
        <f aca="false">cust_sh*tk_he_gb300*cf_chip+(1-cust_sh)*((1-Thesis!$I$13)*tk_he_gb300+Thesis!$I$13*tk_he_vr200)</f>
        <v>11.5559410033471</v>
      </c>
      <c r="J14" s="36" t="n">
        <f aca="false">cust_sh*tk_he_gb300*cf_chip+(1-cust_sh)*((1-Thesis!$J$13)*tk_he_gb300+Thesis!$J$13*tk_he_vr200)</f>
        <v>11.5559410033471</v>
      </c>
      <c r="K14" s="36" t="n">
        <f aca="false">cust_sh*tk_he_gb300*cf_chip+(1-cust_sh)*((1-Thesis!$K$13)*tk_he_gb300+Thesis!$K$13*tk_he_vr200)</f>
        <v>11.5559410033471</v>
      </c>
      <c r="L14" s="36" t="n">
        <f aca="false">cust_sh*tk_he_gb300*cf_chip+(1-cust_sh)*((1-Thesis!$L$13)*tk_he_gb300+Thesis!$L$13*tk_he_vr200)</f>
        <v>11.5559410033471</v>
      </c>
      <c r="M14" s="36" t="n">
        <f aca="false">cust_sh*tk_he_gb300*cf_chip+(1-cust_sh)*((1-Thesis!$M$13)*tk_he_gb300+Thesis!$M$13*tk_he_vr200)</f>
        <v>11.5559410033471</v>
      </c>
    </row>
    <row r="15" customFormat="false" ht="17.15" hidden="false" customHeight="false" outlineLevel="0" collapsed="false">
      <c r="A15" s="5" t="s">
        <v>562</v>
      </c>
      <c r="B15" s="0" t="s">
        <v>151</v>
      </c>
      <c r="F15" s="36" t="n">
        <f aca="false">cust_sh*tk_ox_gb300+(1-cust_sh)*((1-Thesis!$F$13)*tk_ox_gb300+Thesis!$F$13*tk_ox_vr200)</f>
        <v>1.98263481314457</v>
      </c>
      <c r="G15" s="36" t="n">
        <f aca="false">cust_sh*tk_ox_gb300+(1-cust_sh)*((1-Thesis!$G$13)*tk_ox_gb300+Thesis!$G$13*tk_ox_vr200)</f>
        <v>1.98263481314457</v>
      </c>
      <c r="H15" s="36" t="n">
        <f aca="false">cust_sh*tk_ox_gb300+(1-cust_sh)*((1-Thesis!$H$13)*tk_ox_gb300+Thesis!$H$13*tk_ox_vr200)</f>
        <v>2.01034999693694</v>
      </c>
      <c r="I15" s="36" t="n">
        <f aca="false">cust_sh*tk_ox_gb300+(1-cust_sh)*((1-Thesis!$I$13)*tk_ox_gb300+Thesis!$I$13*tk_ox_vr200)</f>
        <v>2.0380651807293</v>
      </c>
      <c r="J15" s="36" t="n">
        <f aca="false">cust_sh*tk_ox_gb300+(1-cust_sh)*((1-Thesis!$J$13)*tk_ox_gb300+Thesis!$J$13*tk_ox_vr200)</f>
        <v>2.0380651807293</v>
      </c>
      <c r="K15" s="36" t="n">
        <f aca="false">cust_sh*tk_ox_gb300+(1-cust_sh)*((1-Thesis!$K$13)*tk_ox_gb300+Thesis!$K$13*tk_ox_vr200)</f>
        <v>2.0380651807293</v>
      </c>
      <c r="L15" s="36" t="n">
        <f aca="false">cust_sh*tk_ox_gb300+(1-cust_sh)*((1-Thesis!$L$13)*tk_ox_gb300+Thesis!$L$13*tk_ox_vr200)</f>
        <v>2.0380651807293</v>
      </c>
      <c r="M15" s="36" t="n">
        <f aca="false">cust_sh*tk_ox_gb300+(1-cust_sh)*((1-Thesis!$M$13)*tk_ox_gb300+Thesis!$M$13*tk_ox_vr200)</f>
        <v>2.0380651807293</v>
      </c>
    </row>
    <row r="16" customFormat="false" ht="17.15" hidden="false" customHeight="false" outlineLevel="0" collapsed="false">
      <c r="A16" s="5" t="s">
        <v>563</v>
      </c>
      <c r="B16" s="0" t="s">
        <v>170</v>
      </c>
      <c r="F16" s="36" t="n">
        <f aca="false">cust_sh*tk_cx_gb300*cf_cx+(1-cust_sh)*((1-Thesis!$F$13)*tk_cx_gb300+Thesis!$F$13*tk_cx_vr200)</f>
        <v>32.237224</v>
      </c>
      <c r="G16" s="36" t="n">
        <f aca="false">cust_sh*tk_cx_gb300*cf_cx+(1-cust_sh)*((1-Thesis!$G$13)*tk_cx_gb300+Thesis!$G$13*tk_cx_vr200)</f>
        <v>32.237224</v>
      </c>
      <c r="H16" s="36" t="n">
        <f aca="false">cust_sh*tk_cx_gb300*cf_cx+(1-cust_sh)*((1-Thesis!$H$13)*tk_cx_gb300+Thesis!$H$13*tk_cx_vr200)</f>
        <v>33.574506</v>
      </c>
      <c r="I16" s="36" t="n">
        <f aca="false">cust_sh*tk_cx_gb300*cf_cx+(1-cust_sh)*((1-Thesis!$I$13)*tk_cx_gb300+Thesis!$I$13*tk_cx_vr200)</f>
        <v>34.911788</v>
      </c>
      <c r="J16" s="36" t="n">
        <f aca="false">cust_sh*tk_cx_gb300*cf_cx+(1-cust_sh)*((1-Thesis!$J$13)*tk_cx_gb300+Thesis!$J$13*tk_cx_vr200)</f>
        <v>34.911788</v>
      </c>
      <c r="K16" s="36" t="n">
        <f aca="false">cust_sh*tk_cx_gb300*cf_cx+(1-cust_sh)*((1-Thesis!$K$13)*tk_cx_gb300+Thesis!$K$13*tk_cx_vr200)</f>
        <v>34.911788</v>
      </c>
      <c r="L16" s="36" t="n">
        <f aca="false">cust_sh*tk_cx_gb300*cf_cx+(1-cust_sh)*((1-Thesis!$L$13)*tk_cx_gb300+Thesis!$L$13*tk_cx_vr200)</f>
        <v>34.911788</v>
      </c>
      <c r="M16" s="36" t="n">
        <f aca="false">cust_sh*tk_cx_gb300*cf_cx+(1-cust_sh)*((1-Thesis!$M$13)*tk_cx_gb300+Thesis!$M$13*tk_cx_vr200)</f>
        <v>34.911788</v>
      </c>
    </row>
    <row r="17" customFormat="false" ht="17.15" hidden="false" customHeight="false" outlineLevel="0" collapsed="false">
      <c r="A17" s="5" t="s">
        <v>564</v>
      </c>
      <c r="B17" s="0" t="s">
        <v>108</v>
      </c>
      <c r="F17" s="33" t="n">
        <f aca="false">Thesis!$F$7-mw_open</f>
        <v>1866.5</v>
      </c>
      <c r="G17" s="33" t="n">
        <f aca="false">Thesis!$F$17</f>
        <v>1866.5</v>
      </c>
      <c r="H17" s="33" t="n">
        <f aca="false">Thesis!$H$7-mw_open</f>
        <v>5599.5</v>
      </c>
      <c r="I17" s="33" t="n">
        <f aca="false">Thesis!$I$7-mw_open</f>
        <v>9332.5</v>
      </c>
      <c r="J17" s="33" t="n">
        <f aca="false">Thesis!$J$7-mw_open</f>
        <v>13065.5</v>
      </c>
      <c r="K17" s="33" t="n">
        <f aca="false">Thesis!$K$7-mw_open</f>
        <v>16798.5</v>
      </c>
      <c r="L17" s="33" t="n">
        <f aca="false">Thesis!$L$7-mw_open</f>
        <v>20531.5</v>
      </c>
      <c r="M17" s="33" t="n">
        <f aca="false">Thesis!$M$7-mw_open</f>
        <v>24264.5</v>
      </c>
    </row>
    <row r="18" customFormat="false" ht="17.15" hidden="false" customHeight="false" outlineLevel="0" collapsed="false">
      <c r="A18" s="0" t="s">
        <v>565</v>
      </c>
      <c r="B18" s="0" t="s">
        <v>566</v>
      </c>
      <c r="F18" s="33" t="n">
        <f aca="false">Thesis!$F$10*Thesis!$F$14</f>
        <v>20319.4861354385</v>
      </c>
      <c r="G18" s="33" t="n">
        <f aca="false">Thesis!$F$18</f>
        <v>20319.4861354385</v>
      </c>
      <c r="H18" s="33" t="n">
        <f aca="false">Thesis!$G$18+Thesis!$H$10*Thesis!$H$14</f>
        <v>62208.1361536244</v>
      </c>
      <c r="I18" s="33" t="n">
        <f aca="false">Thesis!$H$18+Thesis!$I$10*Thesis!$I$14</f>
        <v>105346.463919119</v>
      </c>
      <c r="J18" s="33" t="n">
        <f aca="false">Thesis!$I$18+Thesis!$J$10*Thesis!$J$14</f>
        <v>148484.791684614</v>
      </c>
      <c r="K18" s="33" t="n">
        <f aca="false">Thesis!$J$18+Thesis!$K$10*Thesis!$K$14</f>
        <v>191623.119450109</v>
      </c>
      <c r="L18" s="33" t="n">
        <f aca="false">Thesis!$K$18+Thesis!$L$10*Thesis!$L$14</f>
        <v>234761.447215603</v>
      </c>
      <c r="M18" s="33" t="n">
        <f aca="false">Thesis!$L$18+Thesis!$M$10*Thesis!$M$14</f>
        <v>277899.774981098</v>
      </c>
    </row>
    <row r="19" customFormat="false" ht="17.15" hidden="false" customHeight="false" outlineLevel="0" collapsed="false">
      <c r="A19" s="0" t="s">
        <v>567</v>
      </c>
      <c r="B19" s="0" t="s">
        <v>566</v>
      </c>
      <c r="F19" s="33" t="n">
        <f aca="false">Thesis!$F$10*Thesis!$F$15</f>
        <v>3700.58787873434</v>
      </c>
      <c r="G19" s="33" t="n">
        <f aca="false">Thesis!$F$19</f>
        <v>3700.58787873434</v>
      </c>
      <c r="H19" s="33" t="n">
        <f aca="false">Thesis!$G$19+Thesis!$H$10*Thesis!$H$15</f>
        <v>11205.2244172999</v>
      </c>
      <c r="I19" s="33" t="n">
        <f aca="false">Thesis!$H$19+Thesis!$I$10*Thesis!$I$15</f>
        <v>18813.3217369624</v>
      </c>
      <c r="J19" s="33" t="n">
        <f aca="false">Thesis!$I$19+Thesis!$J$10*Thesis!$J$15</f>
        <v>26421.4190566249</v>
      </c>
      <c r="K19" s="33" t="n">
        <f aca="false">Thesis!$J$19+Thesis!$K$10*Thesis!$K$15</f>
        <v>34029.5163762874</v>
      </c>
      <c r="L19" s="33" t="n">
        <f aca="false">Thesis!$K$19+Thesis!$L$10*Thesis!$L$15</f>
        <v>41637.6136959498</v>
      </c>
      <c r="M19" s="33" t="n">
        <f aca="false">Thesis!$L$19+Thesis!$M$10*Thesis!$M$15</f>
        <v>49245.7110156123</v>
      </c>
    </row>
    <row r="20" customFormat="false" ht="17.15" hidden="false" customHeight="false" outlineLevel="0" collapsed="false">
      <c r="A20" s="5" t="s">
        <v>568</v>
      </c>
      <c r="B20" s="0" t="s">
        <v>151</v>
      </c>
      <c r="F20" s="36" t="n">
        <f aca="false">IF(Thesis!$F$17&gt;0,Thesis!$F$18/Thesis!$F$17,Thesis!$F$14)</f>
        <v>10.8864110021101</v>
      </c>
      <c r="G20" s="36" t="n">
        <f aca="false">IF(Thesis!$G$17&gt;0,Thesis!$G$18/Thesis!$G$17,Thesis!$G$14)</f>
        <v>10.8864110021101</v>
      </c>
      <c r="H20" s="36" t="n">
        <f aca="false">IF(Thesis!$H$17&gt;0,Thesis!$H$18/Thesis!$H$17,Thesis!$H$14)</f>
        <v>11.1095876691891</v>
      </c>
      <c r="I20" s="36" t="n">
        <f aca="false">IF(Thesis!$I$17&gt;0,Thesis!$I$18/Thesis!$I$17,Thesis!$I$14)</f>
        <v>11.2881290028523</v>
      </c>
      <c r="J20" s="36" t="n">
        <f aca="false">IF(Thesis!$J$17&gt;0,Thesis!$J$18/Thesis!$J$17,Thesis!$J$14)</f>
        <v>11.3646467172794</v>
      </c>
      <c r="K20" s="36" t="n">
        <f aca="false">IF(Thesis!$K$17&gt;0,Thesis!$K$18/Thesis!$K$17,Thesis!$K$14)</f>
        <v>11.4071565586278</v>
      </c>
      <c r="L20" s="36" t="n">
        <f aca="false">IF(Thesis!$L$17&gt;0,Thesis!$L$18/Thesis!$L$17,Thesis!$L$14)</f>
        <v>11.4342082758495</v>
      </c>
      <c r="M20" s="36" t="n">
        <f aca="false">IF(Thesis!$M$17&gt;0,Thesis!$M$18/Thesis!$M$17,Thesis!$M$14)</f>
        <v>11.4529363877722</v>
      </c>
    </row>
    <row r="21" customFormat="false" ht="17.15" hidden="false" customHeight="false" outlineLevel="0" collapsed="false">
      <c r="A21" s="5" t="s">
        <v>569</v>
      </c>
      <c r="B21" s="0" t="s">
        <v>151</v>
      </c>
      <c r="F21" s="36" t="n">
        <f aca="false">IF(Thesis!$F$17&gt;0,Thesis!$F$19/Thesis!$F$17,Thesis!$F$15)</f>
        <v>1.98263481314457</v>
      </c>
      <c r="G21" s="36" t="n">
        <f aca="false">IF(Thesis!$G$17&gt;0,Thesis!$G$19/Thesis!$G$17,Thesis!$G$15)</f>
        <v>1.98263481314457</v>
      </c>
      <c r="H21" s="36" t="n">
        <f aca="false">IF(Thesis!$H$17&gt;0,Thesis!$H$19/Thesis!$H$17,Thesis!$H$15)</f>
        <v>2.00111160233948</v>
      </c>
      <c r="I21" s="36" t="n">
        <f aca="false">IF(Thesis!$I$17&gt;0,Thesis!$I$19/Thesis!$I$17,Thesis!$I$15)</f>
        <v>2.01589303369541</v>
      </c>
      <c r="J21" s="36" t="n">
        <f aca="false">IF(Thesis!$J$17&gt;0,Thesis!$J$19/Thesis!$J$17,Thesis!$J$15)</f>
        <v>2.02222793284795</v>
      </c>
      <c r="K21" s="36" t="n">
        <f aca="false">IF(Thesis!$K$17&gt;0,Thesis!$K$19/Thesis!$K$17,Thesis!$K$15)</f>
        <v>2.02574732126603</v>
      </c>
      <c r="L21" s="36" t="n">
        <f aca="false">IF(Thesis!$L$17&gt;0,Thesis!$L$19/Thesis!$L$17,Thesis!$L$15)</f>
        <v>2.02798693207753</v>
      </c>
      <c r="M21" s="36" t="n">
        <f aca="false">IF(Thesis!$M$17&gt;0,Thesis!$M$19/Thesis!$M$17,Thesis!$M$15)</f>
        <v>2.02953743187011</v>
      </c>
    </row>
    <row r="22" customFormat="false" ht="17.15" hidden="false" customHeight="false" outlineLevel="0" collapsed="false">
      <c r="A22" s="14" t="s">
        <v>570</v>
      </c>
      <c r="B22" s="13" t="s">
        <v>151</v>
      </c>
      <c r="C22" s="13"/>
      <c r="D22" s="13"/>
      <c r="E22" s="13"/>
      <c r="F22" s="37" t="n">
        <f aca="false">Thesis!$F$20*k_A</f>
        <v>16.5292102673303</v>
      </c>
      <c r="G22" s="37" t="n">
        <f aca="false">Thesis!$G$20*k_A</f>
        <v>16.5292102673303</v>
      </c>
      <c r="H22" s="37" t="n">
        <f aca="false">Thesis!$H$20*k_A</f>
        <v>16.8680670362136</v>
      </c>
      <c r="I22" s="37" t="n">
        <f aca="false">Thesis!$I$20*k_A</f>
        <v>17.1391524513203</v>
      </c>
      <c r="J22" s="37" t="n">
        <f aca="false">Thesis!$J$20*k_A</f>
        <v>17.2553319149374</v>
      </c>
      <c r="K22" s="37" t="n">
        <f aca="false">Thesis!$K$20*k_A</f>
        <v>17.3198760613914</v>
      </c>
      <c r="L22" s="37" t="n">
        <f aca="false">Thesis!$L$20*k_A</f>
        <v>17.3609496091348</v>
      </c>
      <c r="M22" s="37" t="n">
        <f aca="false">Thesis!$M$20*k_A</f>
        <v>17.3893851421879</v>
      </c>
      <c r="N22" s="13"/>
      <c r="O22" s="13"/>
      <c r="P22" s="5" t="s">
        <v>571</v>
      </c>
    </row>
    <row r="23" customFormat="false" ht="17.15" hidden="false" customHeight="false" outlineLevel="0" collapsed="false">
      <c r="A23" s="5" t="s">
        <v>572</v>
      </c>
      <c r="B23" s="0" t="s">
        <v>108</v>
      </c>
      <c r="F23" s="33" t="n">
        <f aca="false">Thesis!$F$17/2</f>
        <v>933.25</v>
      </c>
      <c r="H23" s="33" t="n">
        <f aca="false">(Thesis!$G$17+Thesis!$H$17)/2</f>
        <v>3733</v>
      </c>
      <c r="I23" s="33" t="n">
        <f aca="false">(Thesis!$H$17+Thesis!$I$17)/2</f>
        <v>7466</v>
      </c>
      <c r="J23" s="33" t="n">
        <f aca="false">(Thesis!$I$17+Thesis!$J$17)/2</f>
        <v>11199</v>
      </c>
      <c r="K23" s="33" t="n">
        <f aca="false">(Thesis!$J$17+Thesis!$K$17)/2</f>
        <v>14932</v>
      </c>
      <c r="L23" s="33" t="n">
        <f aca="false">(Thesis!$K$17+Thesis!$L$17)/2</f>
        <v>18665</v>
      </c>
      <c r="M23" s="33" t="n">
        <f aca="false">(Thesis!$L$17+Thesis!$M$17)/2</f>
        <v>22398</v>
      </c>
    </row>
    <row r="24" customFormat="false" ht="17.15" hidden="false" customHeight="false" outlineLevel="0" collapsed="false">
      <c r="A24" s="1" t="s">
        <v>573</v>
      </c>
    </row>
    <row r="25" customFormat="false" ht="17.15" hidden="false" customHeight="false" outlineLevel="0" collapsed="false">
      <c r="A25" s="1" t="s">
        <v>574</v>
      </c>
      <c r="B25" s="8" t="s">
        <v>73</v>
      </c>
      <c r="C25" s="38" t="n">
        <f aca="false">Thesis!$C$8*rpm_open*Thesis!$C$9/1000</f>
        <v>2.32100535697364</v>
      </c>
      <c r="D25" s="38" t="n">
        <f aca="false">Thesis!$D$8*rpm_open*Thesis!$D$9/1000</f>
        <v>8.70377008865116</v>
      </c>
      <c r="E25" s="38" t="n">
        <f aca="false">Thesis!$E$8*rpm_open*Thesis!$E$9/1000</f>
        <v>8.51035297557002</v>
      </c>
      <c r="F25" s="38" t="n">
        <f aca="false">(mw_open*rpm_open+Thesis!$F$23*Thesis!$F$22)*Thesis!$F$9/1000</f>
        <v>17.7706326212121</v>
      </c>
      <c r="G25" s="38" t="n">
        <f aca="false">Thesis!$E$25+Thesis!$F$25</f>
        <v>26.2809855967821</v>
      </c>
      <c r="H25" s="38" t="n">
        <f aca="false">(mw_open*rpm_open+Thesis!$H$23*Thesis!$H$22)/1000</f>
        <v>83.0838740066237</v>
      </c>
      <c r="I25" s="38" t="n">
        <f aca="false">(mw_open*rpm_open+Thesis!$I$23*Thesis!$I$22)/1000</f>
        <v>148.076291961995</v>
      </c>
      <c r="J25" s="38" t="n">
        <f aca="false">(mw_open*rpm_open+Thesis!$J$23*Thesis!$J$22)/1000</f>
        <v>213.357841875822</v>
      </c>
      <c r="K25" s="38" t="n">
        <f aca="false">(mw_open*rpm_open+Thesis!$K$23*Thesis!$K$22)/1000</f>
        <v>278.735769109134</v>
      </c>
      <c r="L25" s="38" t="n">
        <f aca="false">(mw_open*rpm_open+Thesis!$L$23*Thesis!$L$22)/1000</f>
        <v>344.157504214939</v>
      </c>
      <c r="M25" s="38" t="n">
        <f aca="false">(mw_open*rpm_open+Thesis!$M$23*Thesis!$M$22)/1000</f>
        <v>409.602828175164</v>
      </c>
      <c r="N25" s="38" t="n">
        <f aca="false">Thesis!$N$8*rpm_open*Thesis!$N$9/1000</f>
        <v>3.04631953102791</v>
      </c>
      <c r="O25" s="38" t="n">
        <f aca="false">Thesis!$O$8*rpm_open*Thesis!$O$9/1000</f>
        <v>5.65745055762326</v>
      </c>
      <c r="P25" s="5" t="s">
        <v>575</v>
      </c>
    </row>
    <row r="26" customFormat="false" ht="17.15" hidden="false" customHeight="false" outlineLevel="0" collapsed="false">
      <c r="A26" s="5" t="s">
        <v>576</v>
      </c>
      <c r="B26" s="0" t="s">
        <v>151</v>
      </c>
      <c r="C26" s="36" t="n">
        <f aca="false">Thesis!$C$25*1000/(Thesis!$C$8*Thesis!$C$9)</f>
        <v>9.67085565405685</v>
      </c>
      <c r="D26" s="36" t="n">
        <f aca="false">Thesis!$D$25*1000/(Thesis!$D$8*Thesis!$D$9)</f>
        <v>9.67085565405685</v>
      </c>
      <c r="E26" s="36" t="n">
        <f aca="false">Thesis!$E$25*1000/(Thesis!$E$8*Thesis!$E$9)</f>
        <v>9.67085565405685</v>
      </c>
      <c r="F26" s="36" t="n">
        <f aca="false">Thesis!$F$25*1000/(Thesis!$F$8*Thesis!$F$9)</f>
        <v>11.7949938579355</v>
      </c>
      <c r="G26" s="36" t="n">
        <f aca="false">Thesis!$G$25*1000/(Thesis!$G$8*Thesis!$G$9)</f>
        <v>11.0117783886376</v>
      </c>
      <c r="H26" s="36" t="n">
        <f aca="false">Thesis!$H$25*1000/(Thesis!$H$8*Thesis!$H$9)</f>
        <v>14.2927703434756</v>
      </c>
      <c r="I26" s="36" t="n">
        <f aca="false">Thesis!$I$25*1000/(Thesis!$I$8*Thesis!$I$9)</f>
        <v>15.5118680035612</v>
      </c>
      <c r="J26" s="36" t="n">
        <f aca="false">Thesis!$J$25*1000/(Thesis!$J$8*Thesis!$J$9)</f>
        <v>16.0673124388751</v>
      </c>
      <c r="K26" s="36" t="n">
        <f aca="false">Thesis!$K$25*1000/(Thesis!$K$8*Thesis!$K$9)</f>
        <v>16.3846560727213</v>
      </c>
      <c r="L26" s="36" t="n">
        <f aca="false">Thesis!$L$25*1000/(Thesis!$L$8*Thesis!$L$9)</f>
        <v>16.589901384186</v>
      </c>
      <c r="M26" s="36" t="n">
        <f aca="false">Thesis!$M$25*1000/(Thesis!$M$8*Thesis!$M$9)</f>
        <v>16.7335087905533</v>
      </c>
      <c r="N26" s="36" t="n">
        <f aca="false">Thesis!$N$25*1000/(Thesis!$N$8*Thesis!$N$9)</f>
        <v>9.67085565405685</v>
      </c>
      <c r="O26" s="36" t="n">
        <f aca="false">Thesis!$O$25*1000/(Thesis!$O$8*Thesis!$O$9)</f>
        <v>9.67085565405685</v>
      </c>
    </row>
    <row r="27" customFormat="false" ht="17.15" hidden="false" customHeight="false" outlineLevel="0" collapsed="false">
      <c r="A27" s="0" t="s">
        <v>577</v>
      </c>
      <c r="B27" s="0" t="s">
        <v>73</v>
      </c>
      <c r="C27" s="38" t="n">
        <f aca="false">Thesis!$C$8/ext_sh*(ox_open+rent_mw)*Thesis!$C$9/1000</f>
        <v>0.642569210675032</v>
      </c>
      <c r="D27" s="38" t="n">
        <f aca="false">Thesis!$D$8/ext_sh*(ox_open+rent_mw)*Thesis!$D$9/1000</f>
        <v>2.40963454003137</v>
      </c>
      <c r="E27" s="38" t="n">
        <f aca="false">Thesis!$E$8/ext_sh*(ox_open+rent_mw)*Thesis!$E$9/1000</f>
        <v>2.35608710580845</v>
      </c>
      <c r="F27" s="38" t="n">
        <f aca="false">((mw_open*ox_open+Thesis!$F$23*Thesis!$F$21)/ext_sh+Thesis!$F$8/ext_sh*rent_mw)*Thesis!$F$9/1000</f>
        <v>4.08870376044629</v>
      </c>
      <c r="G27" s="38" t="n">
        <f aca="false">Thesis!$E$27+Thesis!$F$27</f>
        <v>6.44479086625474</v>
      </c>
      <c r="H27" s="38" t="n">
        <f aca="false">((mw_open*ox_open+Thesis!$H$23*Thesis!$H$21)/ext_sh+Thesis!$H$8/ext_sh*rent_mw)*Thesis!$H$9/1000</f>
        <v>16.0890479236002</v>
      </c>
      <c r="I27" s="38" t="n">
        <f aca="false">((mw_open*ox_open+Thesis!$I$23*Thesis!$I$21)/ext_sh+Thesis!$I$8/ext_sh*rent_mw)*Thesis!$I$9/1000</f>
        <v>26.747110396146</v>
      </c>
      <c r="J27" s="38" t="n">
        <f aca="false">((mw_open*ox_open+Thesis!$J$23*Thesis!$J$21)/ext_sh+Thesis!$J$8/ext_sh*rent_mw)*Thesis!$J$9/1000</f>
        <v>37.4248796841388</v>
      </c>
      <c r="K27" s="38" t="n">
        <f aca="false">((mw_open*ox_open+Thesis!$K$23*Thesis!$K$21)/ext_sh+Thesis!$K$8/ext_sh*rent_mw)*Thesis!$K$9/1000</f>
        <v>48.109217910614</v>
      </c>
      <c r="L27" s="38" t="n">
        <f aca="false">((mw_open*ox_open+Thesis!$L$23*Thesis!$L$21)/ext_sh+Thesis!$L$8/ext_sh*rent_mw)*Thesis!$L$9/1000</f>
        <v>58.7965420182175</v>
      </c>
      <c r="M27" s="38" t="n">
        <f aca="false">((mw_open*ox_open+Thesis!$M$23*Thesis!$M$21)/ext_sh+Thesis!$M$8/ext_sh*rent_mw)*Thesis!$M$9/1000</f>
        <v>69.485473907967</v>
      </c>
      <c r="N27" s="38" t="n">
        <f aca="false">Thesis!$N$8/ext_sh*(ox_open+rent_mw)*Thesis!$N$9/1000</f>
        <v>0.84337208901098</v>
      </c>
      <c r="O27" s="38" t="n">
        <f aca="false">Thesis!$O$8/ext_sh*(ox_open+rent_mw)*Thesis!$O$9/1000</f>
        <v>1.56626245102039</v>
      </c>
    </row>
    <row r="28" customFormat="false" ht="17.15" hidden="false" customHeight="false" outlineLevel="0" collapsed="false">
      <c r="A28" s="0" t="s">
        <v>578</v>
      </c>
      <c r="B28" s="0" t="s">
        <v>73</v>
      </c>
      <c r="C28" s="38" t="n">
        <f aca="false">Q!$D$7</f>
        <v>107.556</v>
      </c>
      <c r="D28" s="38" t="n">
        <f aca="false">Q!$E$7</f>
        <v>128.725</v>
      </c>
      <c r="E28" s="38" t="n">
        <f aca="false">Q!$P$7</f>
        <v>79.819</v>
      </c>
      <c r="N28" s="38" t="n">
        <f aca="false">Q!$N$7</f>
        <v>60.14</v>
      </c>
      <c r="O28" s="38" t="n">
        <f aca="false">Q!$O$7</f>
        <v>68.585</v>
      </c>
    </row>
    <row r="29" customFormat="false" ht="17.15" hidden="false" customHeight="false" outlineLevel="0" collapsed="false">
      <c r="A29" s="1" t="s">
        <v>579</v>
      </c>
      <c r="B29" s="8" t="s">
        <v>73</v>
      </c>
      <c r="C29" s="38" t="n">
        <f aca="false">Thesis!$C$28-Thesis!$C$25</f>
        <v>105.234994643026</v>
      </c>
      <c r="D29" s="38" t="n">
        <f aca="false">Thesis!$D$28-Thesis!$D$25</f>
        <v>120.021229911349</v>
      </c>
      <c r="E29" s="38" t="n">
        <f aca="false">Thesis!$E$28-Thesis!$E$25</f>
        <v>71.30864702443</v>
      </c>
      <c r="F29" s="38" t="n">
        <f aca="false">Thesis!$O$29*(1+Thesis!$F$30)</f>
        <v>78.5950104186653</v>
      </c>
      <c r="G29" s="38" t="n">
        <f aca="false">Thesis!$E$29+Thesis!$F$29</f>
        <v>149.903657443095</v>
      </c>
      <c r="H29" s="38" t="n">
        <f aca="false">Thesis!$G$29*(1+Thesis!$H$30)</f>
        <v>180.893560768142</v>
      </c>
      <c r="I29" s="38" t="n">
        <f aca="false">Thesis!$H$29*(1+Thesis!$I$30)</f>
        <v>210.64839721501</v>
      </c>
      <c r="J29" s="38" t="n">
        <f aca="false">Thesis!$I$29*(1+Thesis!$J$30)</f>
        <v>236.398909446495</v>
      </c>
      <c r="K29" s="38" t="n">
        <f aca="false">Thesis!$J$29*(1+Thesis!$K$30)</f>
        <v>255.310822202215</v>
      </c>
      <c r="L29" s="38" t="n">
        <f aca="false">Thesis!$K$29*(1+Thesis!$L$30)</f>
        <v>275.735687978392</v>
      </c>
      <c r="M29" s="38" t="n">
        <f aca="false">Thesis!$L$29*(1+Thesis!$M$30)</f>
        <v>297.794543016663</v>
      </c>
      <c r="N29" s="38" t="n">
        <f aca="false">Thesis!$N$28-Thesis!$N$25</f>
        <v>57.0936804689721</v>
      </c>
      <c r="O29" s="38" t="n">
        <f aca="false">Thesis!$O$28-Thesis!$O$25</f>
        <v>62.9275494423768</v>
      </c>
      <c r="P29" s="5" t="s">
        <v>580</v>
      </c>
    </row>
    <row r="30" customFormat="false" ht="17.15" hidden="false" customHeight="false" outlineLevel="0" collapsed="false">
      <c r="A30" s="0" t="s">
        <v>581</v>
      </c>
      <c r="B30" s="0" t="s">
        <v>52</v>
      </c>
      <c r="E30" s="12" t="n">
        <f aca="false">Thesis!$E$29/Thesis!$N$29-1</f>
        <v>0.248976181579029</v>
      </c>
      <c r="F30" s="12" t="n">
        <f aca="false">Thesis!$E$30</f>
        <v>0.248976181579029</v>
      </c>
      <c r="G30" s="12" t="n">
        <f aca="false">Thesis!$G$29/Thesis!$D$29-1</f>
        <v>0.248976181579029</v>
      </c>
      <c r="H30" s="12" t="n">
        <f aca="false">Thesis!$E$30+(g_awso_lt-Thesis!$E$30)*1/4</f>
        <v>0.206732136184272</v>
      </c>
      <c r="I30" s="12" t="n">
        <f aca="false">Thesis!$E$30+(g_awso_lt-Thesis!$E$30)*2/4</f>
        <v>0.164488090789515</v>
      </c>
      <c r="J30" s="12" t="n">
        <f aca="false">Thesis!$E$30+(g_awso_lt-Thesis!$E$30)*3/4</f>
        <v>0.122244045394757</v>
      </c>
      <c r="K30" s="12" t="n">
        <f aca="false">Thesis!$E$30+(g_awso_lt-Thesis!$E$30)*4/4</f>
        <v>0.08</v>
      </c>
      <c r="L30" s="12" t="n">
        <f aca="false">g_awso_lt</f>
        <v>0.08</v>
      </c>
      <c r="M30" s="12" t="n">
        <f aca="false">g_awso_lt</f>
        <v>0.08</v>
      </c>
      <c r="P30" s="8" t="s">
        <v>582</v>
      </c>
    </row>
    <row r="31" customFormat="false" ht="17.15" hidden="false" customHeight="false" outlineLevel="0" collapsed="false">
      <c r="A31" s="1" t="s">
        <v>583</v>
      </c>
    </row>
    <row r="32" customFormat="false" ht="17.15" hidden="false" customHeight="false" outlineLevel="0" collapsed="false">
      <c r="A32" s="0" t="s">
        <v>584</v>
      </c>
      <c r="B32" s="0" t="s">
        <v>73</v>
      </c>
      <c r="F32" s="38" t="n">
        <f aca="false">cx_rt*Seg!$F$19+cx_awso*Thesis!$F$29</f>
        <v>36.8045765066526</v>
      </c>
    </row>
    <row r="33" customFormat="false" ht="17.15" hidden="false" customHeight="false" outlineLevel="0" collapsed="false">
      <c r="A33" s="0" t="s">
        <v>585</v>
      </c>
      <c r="B33" s="0" t="s">
        <v>52</v>
      </c>
      <c r="C33" s="12" t="n">
        <f aca="false">tk_cx_h100/(tk_cx_h100+tk_fac*(1-colo_sh))</f>
        <v>0.730756458006641</v>
      </c>
      <c r="D33" s="12" t="n">
        <f aca="false">tk_cx_h100/(tk_cx_h100+tk_fac*(1-colo_sh))</f>
        <v>0.730756458006641</v>
      </c>
      <c r="E33" s="12" t="n">
        <f aca="false">Thesis!$F$33</f>
        <v>0.760792334328868</v>
      </c>
      <c r="F33" s="12" t="n">
        <f aca="false">Thesis!$F$16/(Thesis!$F$16+tk_fac*(1-colo_sh))</f>
        <v>0.760792334328868</v>
      </c>
      <c r="G33" s="12" t="n">
        <f aca="false">Thesis!$G$16/(Thesis!$G$16+tk_fac*(1-colo_sh))</f>
        <v>0.760792334328868</v>
      </c>
      <c r="H33" s="12" t="n">
        <f aca="false">Thesis!$H$16/(Thesis!$H$16+tk_fac*(1-colo_sh))</f>
        <v>0.768110668862996</v>
      </c>
      <c r="I33" s="12" t="n">
        <f aca="false">Thesis!$I$16/(Thesis!$I$16+tk_fac*(1-colo_sh))</f>
        <v>0.77499450139483</v>
      </c>
      <c r="J33" s="12" t="n">
        <f aca="false">Thesis!$J$16/(Thesis!$J$16+tk_fac*(1-colo_sh))</f>
        <v>0.77499450139483</v>
      </c>
      <c r="K33" s="12" t="n">
        <f aca="false">Thesis!$K$16/(Thesis!$K$16+tk_fac*(1-colo_sh))</f>
        <v>0.77499450139483</v>
      </c>
      <c r="L33" s="12" t="n">
        <f aca="false">Thesis!$L$16/(Thesis!$L$16+tk_fac*(1-colo_sh))</f>
        <v>0.77499450139483</v>
      </c>
      <c r="M33" s="12" t="n">
        <f aca="false">Thesis!$M$16/(Thesis!$M$16+tk_fac*(1-colo_sh))</f>
        <v>0.77499450139483</v>
      </c>
    </row>
    <row r="34" customFormat="false" ht="17.15" hidden="false" customHeight="false" outlineLevel="0" collapsed="false">
      <c r="A34" s="1" t="s">
        <v>586</v>
      </c>
      <c r="B34" s="8" t="s">
        <v>73</v>
      </c>
      <c r="C34" s="38" t="n">
        <f aca="false">Q!$D$46-cx_rt*Q!$D$16-cx_awso*Thesis!$C$29</f>
        <v>25.2781053077374</v>
      </c>
      <c r="D34" s="38" t="n">
        <f aca="false">Q!$E$46-cx_rt*Q!$E$16-cx_awso*Thesis!$D$29</f>
        <v>69.5686316310026</v>
      </c>
      <c r="E34" s="38" t="n">
        <f aca="false">Q!$P$46-cx_rt*Q!$P$16-cx_awso*Thesis!$E$29</f>
        <v>64.1899206485108</v>
      </c>
      <c r="F34" s="38" t="n">
        <f aca="false">MAX(Thesis!$F$11*(Thesis!$F$16+tk_fac*(1-colo_sh))/1000,capex_g26-Q!$P$46-Thesis!$F$32)</f>
        <v>98.862028245</v>
      </c>
      <c r="G34" s="38" t="n">
        <f aca="false">Thesis!$E$34+Thesis!$F$34</f>
        <v>163.051948893511</v>
      </c>
      <c r="H34" s="38" t="n">
        <f aca="false">Thesis!$H$11*(Thesis!$H$16+tk_fac*(1-colo_sh))/1000+Thesis!$H$35</f>
        <v>203.9641486225</v>
      </c>
      <c r="I34" s="38" t="n">
        <f aca="false">Thesis!$I$11*(Thesis!$I$16+tk_fac*(1-colo_sh))/1000+Thesis!$I$35</f>
        <v>210.204240755</v>
      </c>
      <c r="J34" s="38" t="n">
        <f aca="false">Thesis!$J$11*(Thesis!$J$16+tk_fac*(1-colo_sh))/1000+Thesis!$J$35</f>
        <v>215.441008955</v>
      </c>
      <c r="K34" s="38" t="n">
        <f aca="false">Thesis!$K$11*(Thesis!$K$16+tk_fac*(1-colo_sh))/1000+Thesis!$K$35</f>
        <v>220.677777155</v>
      </c>
      <c r="L34" s="38" t="n">
        <f aca="false">Thesis!$L$11*(Thesis!$L$16+tk_fac*(1-colo_sh))/1000+Thesis!$L$35</f>
        <v>257.335154555</v>
      </c>
      <c r="M34" s="38" t="n">
        <f aca="false">Thesis!$M$11*(Thesis!$M$16+tk_fac*(1-colo_sh))/1000+Thesis!$M$35</f>
        <v>319.5872365325</v>
      </c>
      <c r="P34" s="5" t="s">
        <v>587</v>
      </c>
      <c r="R34" s="38" t="n">
        <f aca="false">Q!$C$46-cx_rt*Q!$C$16-cx_awso*(Q!$C$7-mw_ye23/2*rpm_open/1000)</f>
        <v>1.50429979529945</v>
      </c>
      <c r="S34" s="38" t="n">
        <f aca="false">Thesis!$C$34</f>
        <v>25.2781053077374</v>
      </c>
      <c r="T34" s="38" t="n">
        <f aca="false">Thesis!$D$34</f>
        <v>69.5686316310026</v>
      </c>
      <c r="U34" s="38" t="n">
        <f aca="false">Thesis!$G$34</f>
        <v>163.051948893511</v>
      </c>
      <c r="V34" s="38" t="n">
        <f aca="false">Thesis!$H$34</f>
        <v>203.9641486225</v>
      </c>
      <c r="W34" s="38" t="n">
        <f aca="false">Thesis!$I$34</f>
        <v>210.204240755</v>
      </c>
      <c r="X34" s="38" t="n">
        <f aca="false">Thesis!$J$34</f>
        <v>215.441008955</v>
      </c>
      <c r="Y34" s="38" t="n">
        <f aca="false">Thesis!$K$34</f>
        <v>220.677777155</v>
      </c>
      <c r="Z34" s="38" t="n">
        <f aca="false">Thesis!$L$34</f>
        <v>257.335154555</v>
      </c>
      <c r="AA34" s="38" t="n">
        <f aca="false">Thesis!$M$34</f>
        <v>319.5872365325</v>
      </c>
    </row>
    <row r="35" customFormat="false" ht="17.15" hidden="false" customHeight="false" outlineLevel="0" collapsed="false">
      <c r="A35" s="0" t="s">
        <v>588</v>
      </c>
      <c r="B35" s="0" t="s">
        <v>73</v>
      </c>
      <c r="H35" s="38" t="n">
        <f aca="false">SUMPRODUCT(--(Thesis!$R$5:$AA$5=2027-tk_life),Thesis!$R$11:$AA$11)*Thesis!$H$16/1000</f>
        <v>0</v>
      </c>
      <c r="I35" s="38" t="n">
        <f aca="false">SUMPRODUCT(--(Thesis!$R$5:$AA$5=2028-tk_life),Thesis!$R$11:$AA$11)*Thesis!$I$16/1000</f>
        <v>0</v>
      </c>
      <c r="J35" s="38" t="n">
        <f aca="false">SUMPRODUCT(--(Thesis!$R$5:$AA$5=2029-tk_life),Thesis!$R$11:$AA$11)*Thesis!$J$16/1000</f>
        <v>5.2367682</v>
      </c>
      <c r="K35" s="38" t="n">
        <f aca="false">SUMPRODUCT(--(Thesis!$R$5:$AA$5=2030-tk_life),Thesis!$R$11:$AA$11)*Thesis!$K$16/1000</f>
        <v>10.4735364</v>
      </c>
      <c r="L35" s="38" t="n">
        <f aca="false">SUMPRODUCT(--(Thesis!$R$5:$AA$5=2031-tk_life),Thesis!$R$11:$AA$11)*Thesis!$L$16/1000</f>
        <v>47.1309138</v>
      </c>
      <c r="M35" s="38" t="n">
        <f aca="false">SUMPRODUCT(--(Thesis!$R$5:$AA$5=2032-tk_life),Thesis!$R$11:$AA$11)*Thesis!$M$16/1000</f>
        <v>109.3829957775</v>
      </c>
    </row>
    <row r="36" customFormat="false" ht="17.15" hidden="false" customHeight="false" outlineLevel="0" collapsed="false">
      <c r="A36" s="5" t="s">
        <v>589</v>
      </c>
      <c r="B36" s="0" t="s">
        <v>73</v>
      </c>
      <c r="C36" s="38" t="n">
        <f aca="false">Thesis!$C$34*Thesis!$C$33</f>
        <v>18.472138699801</v>
      </c>
      <c r="D36" s="38" t="n">
        <f aca="false">Thesis!$D$34*Thesis!$D$33</f>
        <v>50.8377268390402</v>
      </c>
      <c r="E36" s="38" t="n">
        <f aca="false">Thesis!$E$34*Thesis!$E$33</f>
        <v>48.8351995705653</v>
      </c>
      <c r="F36" s="38" t="n">
        <f aca="false">Thesis!$F$34*Thesis!$F$33</f>
        <v>75.213473245</v>
      </c>
      <c r="G36" s="38" t="n">
        <f aca="false">Thesis!$E$36+Thesis!$F$36</f>
        <v>124.048672815565</v>
      </c>
      <c r="H36" s="38" t="n">
        <f aca="false">(Thesis!$H$34-Thesis!$H$35)*Thesis!$H$33+Thesis!$H$35</f>
        <v>156.6670386225</v>
      </c>
      <c r="I36" s="38" t="n">
        <f aca="false">(Thesis!$I$34-Thesis!$I$35)*Thesis!$I$33+Thesis!$I$35</f>
        <v>162.907130755</v>
      </c>
      <c r="J36" s="38" t="n">
        <f aca="false">(Thesis!$J$34-Thesis!$J$35)*Thesis!$J$33+Thesis!$J$35</f>
        <v>168.143898955</v>
      </c>
      <c r="K36" s="38" t="n">
        <f aca="false">(Thesis!$K$34-Thesis!$K$35)*Thesis!$K$33+Thesis!$K$35</f>
        <v>173.380667155</v>
      </c>
      <c r="L36" s="38" t="n">
        <f aca="false">(Thesis!$L$34-Thesis!$L$35)*Thesis!$L$33+Thesis!$L$35</f>
        <v>210.038044555</v>
      </c>
      <c r="M36" s="38" t="n">
        <f aca="false">(Thesis!$M$34-Thesis!$M$35)*Thesis!$M$33+Thesis!$M$35</f>
        <v>272.2901265325</v>
      </c>
      <c r="R36" s="38" t="n">
        <f aca="false">Thesis!$R$34*Thesis!$C$33</f>
        <v>1.09927679019314</v>
      </c>
      <c r="S36" s="38" t="n">
        <f aca="false">Thesis!$C$36</f>
        <v>18.472138699801</v>
      </c>
      <c r="T36" s="38" t="n">
        <f aca="false">Thesis!$D$36</f>
        <v>50.8377268390402</v>
      </c>
      <c r="U36" s="38" t="n">
        <f aca="false">Thesis!$G$36</f>
        <v>124.048672815565</v>
      </c>
      <c r="V36" s="38" t="n">
        <f aca="false">Thesis!$H$36</f>
        <v>156.6670386225</v>
      </c>
      <c r="W36" s="38" t="n">
        <f aca="false">Thesis!$I$36</f>
        <v>162.907130755</v>
      </c>
      <c r="X36" s="38" t="n">
        <f aca="false">Thesis!$J$36</f>
        <v>168.143898955</v>
      </c>
      <c r="Y36" s="38" t="n">
        <f aca="false">Thesis!$K$36</f>
        <v>173.380667155</v>
      </c>
      <c r="Z36" s="38" t="n">
        <f aca="false">Thesis!$L$36</f>
        <v>210.038044555</v>
      </c>
      <c r="AA36" s="38" t="n">
        <f aca="false">Thesis!$M$36</f>
        <v>272.2901265325</v>
      </c>
    </row>
    <row r="37" customFormat="false" ht="15" hidden="false" customHeight="false" outlineLevel="0" collapsed="false">
      <c r="A37" s="5" t="s">
        <v>590</v>
      </c>
      <c r="B37" s="0" t="s">
        <v>73</v>
      </c>
      <c r="R37" s="38" t="n">
        <f aca="false">Thesis!$R$34-Thesis!$R$36</f>
        <v>0.405023005106309</v>
      </c>
      <c r="S37" s="38" t="n">
        <f aca="false">Thesis!$S$34-Thesis!$S$36</f>
        <v>6.80596660793636</v>
      </c>
      <c r="T37" s="38" t="n">
        <f aca="false">Thesis!$T$34-Thesis!$T$36</f>
        <v>18.7309047919624</v>
      </c>
      <c r="U37" s="38" t="n">
        <f aca="false">Thesis!$U$34-Thesis!$U$36</f>
        <v>39.0032760779455</v>
      </c>
      <c r="V37" s="38" t="n">
        <f aca="false">Thesis!$V$34-Thesis!$V$36</f>
        <v>47.29711</v>
      </c>
      <c r="W37" s="38" t="n">
        <f aca="false">Thesis!$W$34-Thesis!$W$36</f>
        <v>47.29711</v>
      </c>
      <c r="X37" s="38" t="n">
        <f aca="false">Thesis!$X$34-Thesis!$X$36</f>
        <v>47.29711</v>
      </c>
      <c r="Y37" s="38" t="n">
        <f aca="false">Thesis!$Y$34-Thesis!$Y$36</f>
        <v>47.29711</v>
      </c>
      <c r="Z37" s="38" t="n">
        <f aca="false">Thesis!$Z$34-Thesis!$Z$36</f>
        <v>47.29711</v>
      </c>
      <c r="AA37" s="38" t="n">
        <f aca="false">Thesis!$AA$34-Thesis!$AA$36</f>
        <v>47.29711</v>
      </c>
    </row>
    <row r="38" customFormat="false" ht="17.15" hidden="false" customHeight="false" outlineLevel="0" collapsed="false">
      <c r="A38" s="0" t="s">
        <v>591</v>
      </c>
      <c r="B38" s="0" t="s">
        <v>73</v>
      </c>
      <c r="C38" s="38" t="n">
        <f aca="false">Thesis!$S$38</f>
        <v>0.183212798365523</v>
      </c>
      <c r="D38" s="38" t="n">
        <f aca="false">Thesis!$T$38</f>
        <v>3.2619025816657</v>
      </c>
      <c r="E38" s="38" t="n">
        <f aca="false">Thesis!$G$38/2</f>
        <v>5.86742852741953</v>
      </c>
      <c r="F38" s="38" t="n">
        <f aca="false">Thesis!$G$38/2</f>
        <v>5.86742852741953</v>
      </c>
      <c r="G38" s="38" t="n">
        <f aca="false">Thesis!$U$38</f>
        <v>11.7348570548391</v>
      </c>
      <c r="H38" s="38" t="n">
        <f aca="false">Thesis!$V$38</f>
        <v>32.4096358574333</v>
      </c>
      <c r="I38" s="38" t="n">
        <f aca="false">Thesis!$W$38</f>
        <v>58.5208089611833</v>
      </c>
      <c r="J38" s="38" t="n">
        <f aca="false">Thesis!$X$38</f>
        <v>85.67199742035</v>
      </c>
      <c r="K38" s="38" t="n">
        <f aca="false">Thesis!$Y$38</f>
        <v>113.512767781151</v>
      </c>
      <c r="L38" s="38" t="n">
        <f aca="false">Thesis!$Z$38</f>
        <v>139.330855857018</v>
      </c>
      <c r="M38" s="38" t="n">
        <f aca="false">Thesis!$AA$38</f>
        <v>165.864242143011</v>
      </c>
      <c r="N38" s="38" t="n">
        <f aca="false">Thesis!$D$38/2</f>
        <v>1.63095129083285</v>
      </c>
      <c r="O38" s="38" t="n">
        <f aca="false">Thesis!$D$38/2</f>
        <v>1.63095129083285</v>
      </c>
      <c r="R38" s="38" t="n">
        <f aca="false">SUMPRODUCT(--(Thesis!$R$5:$AA$5&lt;Thesis!R$5),--(Thesis!$R$5:$AA$5&gt;=Thesis!R$5-tk_life),Thesis!$R$36:$AA$36)/tk_life</f>
        <v>0</v>
      </c>
      <c r="S38" s="38" t="n">
        <f aca="false">SUMPRODUCT(--(Thesis!$R$5:$AA$5&lt;Thesis!S$5),--(Thesis!$R$5:$AA$5&gt;=Thesis!S$5-tk_life),Thesis!$R$36:$AA$36)/tk_life</f>
        <v>0.183212798365523</v>
      </c>
      <c r="T38" s="38" t="n">
        <f aca="false">SUMPRODUCT(--(Thesis!$R$5:$AA$5&lt;Thesis!T$5),--(Thesis!$R$5:$AA$5&gt;=Thesis!T$5-tk_life),Thesis!$R$36:$AA$36)/tk_life</f>
        <v>3.2619025816657</v>
      </c>
      <c r="U38" s="38" t="n">
        <f aca="false">SUMPRODUCT(--(Thesis!$R$5:$AA$5&lt;Thesis!U$5),--(Thesis!$R$5:$AA$5&gt;=Thesis!U$5-tk_life),Thesis!$R$36:$AA$36)/tk_life</f>
        <v>11.7348570548391</v>
      </c>
      <c r="V38" s="38" t="n">
        <f aca="false">SUMPRODUCT(--(Thesis!$R$5:$AA$5&lt;Thesis!V$5),--(Thesis!$R$5:$AA$5&gt;=Thesis!V$5-tk_life),Thesis!$R$36:$AA$36)/tk_life</f>
        <v>32.4096358574333</v>
      </c>
      <c r="W38" s="38" t="n">
        <f aca="false">SUMPRODUCT(--(Thesis!$R$5:$AA$5&lt;Thesis!W$5),--(Thesis!$R$5:$AA$5&gt;=Thesis!W$5-tk_life),Thesis!$R$36:$AA$36)/tk_life</f>
        <v>58.5208089611833</v>
      </c>
      <c r="X38" s="38" t="n">
        <f aca="false">SUMPRODUCT(--(Thesis!$R$5:$AA$5&lt;Thesis!X$5),--(Thesis!$R$5:$AA$5&gt;=Thesis!X$5-tk_life),Thesis!$R$36:$AA$36)/tk_life</f>
        <v>85.67199742035</v>
      </c>
      <c r="Y38" s="38" t="n">
        <f aca="false">SUMPRODUCT(--(Thesis!$R$5:$AA$5&lt;Thesis!Y$5),--(Thesis!$R$5:$AA$5&gt;=Thesis!Y$5-tk_life),Thesis!$R$36:$AA$36)/tk_life</f>
        <v>113.512767781151</v>
      </c>
      <c r="Z38" s="38" t="n">
        <f aca="false">SUMPRODUCT(--(Thesis!$R$5:$AA$5&lt;Thesis!Z$5),--(Thesis!$R$5:$AA$5&gt;=Thesis!Z$5-tk_life),Thesis!$R$36:$AA$36)/tk_life</f>
        <v>139.330855857018</v>
      </c>
      <c r="AA38" s="38" t="n">
        <f aca="false">SUMPRODUCT(--(Thesis!$R$5:$AA$5&lt;Thesis!AA$5),--(Thesis!$R$5:$AA$5&gt;=Thesis!AA$5-tk_life),Thesis!$R$36:$AA$36)/tk_life</f>
        <v>165.864242143011</v>
      </c>
    </row>
    <row r="39" customFormat="false" ht="17.15" hidden="false" customHeight="false" outlineLevel="0" collapsed="false">
      <c r="A39" s="0" t="s">
        <v>592</v>
      </c>
      <c r="B39" s="0" t="s">
        <v>73</v>
      </c>
      <c r="C39" s="38" t="n">
        <f aca="false">Thesis!$S$39</f>
        <v>0.0202511502553155</v>
      </c>
      <c r="D39" s="38" t="n">
        <f aca="false">Thesis!$T$39</f>
        <v>0.360549480652134</v>
      </c>
      <c r="E39" s="38" t="n">
        <f aca="false">Thesis!$G$39/2</f>
        <v>0.648547360125127</v>
      </c>
      <c r="F39" s="38" t="n">
        <f aca="false">Thesis!$G$39/2</f>
        <v>0.648547360125127</v>
      </c>
      <c r="G39" s="38" t="n">
        <f aca="false">Thesis!$U$39</f>
        <v>1.29709472025025</v>
      </c>
      <c r="H39" s="38" t="n">
        <f aca="false">Thesis!$V$39</f>
        <v>3.24725852414753</v>
      </c>
      <c r="I39" s="38" t="n">
        <f aca="false">Thesis!$W$39</f>
        <v>5.61211402414753</v>
      </c>
      <c r="J39" s="38" t="n">
        <f aca="false">Thesis!$X$39</f>
        <v>7.97696952414753</v>
      </c>
      <c r="K39" s="38" t="n">
        <f aca="false">Thesis!$Y$39</f>
        <v>10.3418250241475</v>
      </c>
      <c r="L39" s="38" t="n">
        <f aca="false">Thesis!$Z$39</f>
        <v>12.7066805241475</v>
      </c>
      <c r="M39" s="38" t="n">
        <f aca="false">Thesis!$AA$39</f>
        <v>15.0715360241475</v>
      </c>
      <c r="N39" s="38" t="n">
        <f aca="false">Thesis!$D$39/2</f>
        <v>0.180274740326067</v>
      </c>
      <c r="O39" s="38" t="n">
        <f aca="false">Thesis!$D$39/2</f>
        <v>0.180274740326067</v>
      </c>
      <c r="R39" s="38" t="n">
        <f aca="false">SUMPRODUCT(--(Thesis!$R$5:$AA$5&lt;Thesis!R$5),Thesis!$R$37:$AA$37)/fac_life</f>
        <v>0</v>
      </c>
      <c r="S39" s="38" t="n">
        <f aca="false">SUMPRODUCT(--(Thesis!$R$5:$AA$5&lt;Thesis!S$5),Thesis!$R$37:$AA$37)/fac_life</f>
        <v>0.0202511502553155</v>
      </c>
      <c r="T39" s="38" t="n">
        <f aca="false">SUMPRODUCT(--(Thesis!$R$5:$AA$5&lt;Thesis!T$5),Thesis!$R$37:$AA$37)/fac_life</f>
        <v>0.360549480652134</v>
      </c>
      <c r="U39" s="38" t="n">
        <f aca="false">SUMPRODUCT(--(Thesis!$R$5:$AA$5&lt;Thesis!U$5),Thesis!$R$37:$AA$37)/fac_life</f>
        <v>1.29709472025025</v>
      </c>
      <c r="V39" s="38" t="n">
        <f aca="false">SUMPRODUCT(--(Thesis!$R$5:$AA$5&lt;Thesis!V$5),Thesis!$R$37:$AA$37)/fac_life</f>
        <v>3.24725852414753</v>
      </c>
      <c r="W39" s="38" t="n">
        <f aca="false">SUMPRODUCT(--(Thesis!$R$5:$AA$5&lt;Thesis!W$5),Thesis!$R$37:$AA$37)/fac_life</f>
        <v>5.61211402414753</v>
      </c>
      <c r="X39" s="38" t="n">
        <f aca="false">SUMPRODUCT(--(Thesis!$R$5:$AA$5&lt;Thesis!X$5),Thesis!$R$37:$AA$37)/fac_life</f>
        <v>7.97696952414753</v>
      </c>
      <c r="Y39" s="38" t="n">
        <f aca="false">SUMPRODUCT(--(Thesis!$R$5:$AA$5&lt;Thesis!Y$5),Thesis!$R$37:$AA$37)/fac_life</f>
        <v>10.3418250241475</v>
      </c>
      <c r="Z39" s="38" t="n">
        <f aca="false">SUMPRODUCT(--(Thesis!$R$5:$AA$5&lt;Thesis!Z$5),Thesis!$R$37:$AA$37)/fac_life</f>
        <v>12.7066805241475</v>
      </c>
      <c r="AA39" s="38" t="n">
        <f aca="false">SUMPRODUCT(--(Thesis!$R$5:$AA$5&lt;Thesis!AA$5),Thesis!$R$37:$AA$37)/fac_life</f>
        <v>15.0715360241475</v>
      </c>
    </row>
    <row r="40" customFormat="false" ht="17.15" hidden="false" customHeight="false" outlineLevel="0" collapsed="false">
      <c r="A40" s="1" t="s">
        <v>593</v>
      </c>
      <c r="B40" s="8" t="s">
        <v>73</v>
      </c>
      <c r="C40" s="38" t="n">
        <f aca="false">Thesis!$C$38+Thesis!$C$39</f>
        <v>0.203463948620839</v>
      </c>
      <c r="D40" s="38" t="n">
        <f aca="false">Thesis!$D$38+Thesis!$D$39</f>
        <v>3.62245206231783</v>
      </c>
      <c r="E40" s="38" t="n">
        <f aca="false">Thesis!$E$38+Thesis!$E$39</f>
        <v>6.51597588754466</v>
      </c>
      <c r="F40" s="38" t="n">
        <f aca="false">Thesis!$F$38+Thesis!$F$39</f>
        <v>6.51597588754466</v>
      </c>
      <c r="G40" s="38" t="n">
        <f aca="false">Thesis!$G$38+Thesis!$G$39</f>
        <v>13.0319517750893</v>
      </c>
      <c r="H40" s="38" t="n">
        <f aca="false">Thesis!$H$38+Thesis!$H$39</f>
        <v>35.6568943815808</v>
      </c>
      <c r="I40" s="38" t="n">
        <f aca="false">Thesis!$I$38+Thesis!$I$39</f>
        <v>64.1329229853308</v>
      </c>
      <c r="J40" s="38" t="n">
        <f aca="false">Thesis!$J$38+Thesis!$J$39</f>
        <v>93.6489669444975</v>
      </c>
      <c r="K40" s="38" t="n">
        <f aca="false">Thesis!$K$38+Thesis!$K$39</f>
        <v>123.854592805299</v>
      </c>
      <c r="L40" s="38" t="n">
        <f aca="false">Thesis!$L$38+Thesis!$L$39</f>
        <v>152.037536381165</v>
      </c>
      <c r="M40" s="38" t="n">
        <f aca="false">Thesis!$M$38+Thesis!$M$39</f>
        <v>180.935778167158</v>
      </c>
      <c r="N40" s="38" t="n">
        <f aca="false">Thesis!$N$38+Thesis!$N$39</f>
        <v>1.81122603115892</v>
      </c>
      <c r="O40" s="38" t="n">
        <f aca="false">Thesis!$O$38+Thesis!$O$39</f>
        <v>1.81122603115892</v>
      </c>
      <c r="R40" s="38" t="n">
        <f aca="false">Thesis!$R$38+Thesis!$R$39</f>
        <v>0</v>
      </c>
      <c r="S40" s="38" t="n">
        <f aca="false">Thesis!$S$38+Thesis!$S$39</f>
        <v>0.203463948620839</v>
      </c>
      <c r="T40" s="38" t="n">
        <f aca="false">Thesis!$T$38+Thesis!$T$39</f>
        <v>3.62245206231783</v>
      </c>
      <c r="U40" s="38" t="n">
        <f aca="false">Thesis!$U$38+Thesis!$U$39</f>
        <v>13.0319517750893</v>
      </c>
      <c r="V40" s="38" t="n">
        <f aca="false">Thesis!$V$38+Thesis!$V$39</f>
        <v>35.6568943815808</v>
      </c>
      <c r="W40" s="38" t="n">
        <f aca="false">Thesis!$W$38+Thesis!$W$39</f>
        <v>64.1329229853308</v>
      </c>
      <c r="X40" s="38" t="n">
        <f aca="false">Thesis!$X$38+Thesis!$X$39</f>
        <v>93.6489669444975</v>
      </c>
      <c r="Y40" s="38" t="n">
        <f aca="false">Thesis!$Y$38+Thesis!$Y$39</f>
        <v>123.854592805299</v>
      </c>
      <c r="Z40" s="38" t="n">
        <f aca="false">Thesis!$Z$38+Thesis!$Z$39</f>
        <v>152.037536381165</v>
      </c>
      <c r="AA40" s="38" t="n">
        <f aca="false">Thesis!$AA$38+Thesis!$AA$39</f>
        <v>180.935778167158</v>
      </c>
    </row>
    <row r="41" customFormat="false" ht="17.15" hidden="false" customHeight="false" outlineLevel="0" collapsed="false">
      <c r="A41" s="0" t="s">
        <v>594</v>
      </c>
      <c r="B41" s="0" t="s">
        <v>73</v>
      </c>
      <c r="C41" s="38" t="n">
        <f aca="false">Thesis!$S$41</f>
        <v>26.578941154416</v>
      </c>
      <c r="D41" s="38" t="n">
        <f aca="false">Thesis!$T$41</f>
        <v>92.5251207231008</v>
      </c>
      <c r="G41" s="38" t="n">
        <f aca="false">Thesis!$U$41</f>
        <v>242.545117841522</v>
      </c>
      <c r="H41" s="38" t="n">
        <f aca="false">Thesis!$V$41</f>
        <v>410.852372082442</v>
      </c>
      <c r="I41" s="38" t="n">
        <f aca="false">Thesis!$W$41</f>
        <v>556.923689852111</v>
      </c>
      <c r="J41" s="38" t="n">
        <f aca="false">Thesis!$X$41</f>
        <v>678.715731862613</v>
      </c>
      <c r="K41" s="38" t="n">
        <f aca="false">Thesis!$Y$41</f>
        <v>775.538916212315</v>
      </c>
      <c r="L41" s="38" t="n">
        <f aca="false">Thesis!$Z$41</f>
        <v>880.836534386149</v>
      </c>
      <c r="M41" s="38" t="n">
        <f aca="false">Thesis!$AA$41</f>
        <v>1019.48799275149</v>
      </c>
      <c r="R41" s="38" t="n">
        <f aca="false">SUM(Thesis!$R$34:$R$34)-SUM(Thesis!$R$40:$R$40)</f>
        <v>1.50429979529945</v>
      </c>
      <c r="S41" s="38" t="n">
        <f aca="false">SUM(Thesis!$R$34:$S$34)-SUM(Thesis!$R$40:$S$40)</f>
        <v>26.578941154416</v>
      </c>
      <c r="T41" s="38" t="n">
        <f aca="false">SUM(Thesis!$R$34:$T$34)-SUM(Thesis!$R$40:$T$40)</f>
        <v>92.5251207231008</v>
      </c>
      <c r="U41" s="38" t="n">
        <f aca="false">SUM(Thesis!$R$34:$U$34)-SUM(Thesis!$R$40:$U$40)</f>
        <v>242.545117841522</v>
      </c>
      <c r="V41" s="38" t="n">
        <f aca="false">SUM(Thesis!$R$34:$V$34)-SUM(Thesis!$R$40:$V$40)</f>
        <v>410.852372082442</v>
      </c>
      <c r="W41" s="38" t="n">
        <f aca="false">SUM(Thesis!$R$34:$W$34)-SUM(Thesis!$R$40:$W$40)</f>
        <v>556.923689852111</v>
      </c>
      <c r="X41" s="38" t="n">
        <f aca="false">SUM(Thesis!$R$34:$X$34)-SUM(Thesis!$R$40:$X$40)</f>
        <v>678.715731862613</v>
      </c>
      <c r="Y41" s="38" t="n">
        <f aca="false">SUM(Thesis!$R$34:$Y$34)-SUM(Thesis!$R$40:$Y$40)</f>
        <v>775.538916212315</v>
      </c>
      <c r="Z41" s="38" t="n">
        <f aca="false">SUM(Thesis!$R$34:$Z$34)-SUM(Thesis!$R$40:$Z$40)</f>
        <v>880.836534386149</v>
      </c>
      <c r="AA41" s="38" t="n">
        <f aca="false">SUM(Thesis!$R$34:$AA$34)-SUM(Thesis!$R$40:$AA$40)</f>
        <v>1019.48799275149</v>
      </c>
    </row>
    <row r="42" customFormat="false" ht="17.15" hidden="false" customHeight="false" outlineLevel="0" collapsed="false">
      <c r="A42" s="1" t="s">
        <v>595</v>
      </c>
    </row>
    <row r="43" customFormat="false" ht="17.15" hidden="false" customHeight="false" outlineLevel="0" collapsed="false">
      <c r="A43" s="0" t="s">
        <v>596</v>
      </c>
      <c r="B43" s="0" t="s">
        <v>73</v>
      </c>
      <c r="C43" s="38" t="n">
        <f aca="false">Thesis!$C$25-ext_sh*Thesis!$C$27</f>
        <v>1.80694998843362</v>
      </c>
      <c r="D43" s="38" t="n">
        <f aca="false">Thesis!$D$25-ext_sh*Thesis!$D$27</f>
        <v>6.77606245662607</v>
      </c>
      <c r="E43" s="38" t="n">
        <f aca="false">Thesis!$E$25-ext_sh*Thesis!$E$27</f>
        <v>6.62548329092326</v>
      </c>
      <c r="F43" s="38" t="n">
        <f aca="false">Thesis!$F$25-ext_sh*Thesis!$F$27</f>
        <v>14.4996696128551</v>
      </c>
      <c r="G43" s="38" t="n">
        <f aca="false">Thesis!$G$25-ext_sh*Thesis!$G$27</f>
        <v>21.1251529037784</v>
      </c>
      <c r="H43" s="38" t="n">
        <f aca="false">Thesis!$H$25-ext_sh*Thesis!$H$27</f>
        <v>70.2126356677435</v>
      </c>
      <c r="I43" s="38" t="n">
        <f aca="false">Thesis!$I$25-ext_sh*Thesis!$I$27</f>
        <v>126.678603645079</v>
      </c>
      <c r="J43" s="38" t="n">
        <f aca="false">Thesis!$J$25-ext_sh*Thesis!$J$27</f>
        <v>183.417938128511</v>
      </c>
      <c r="K43" s="38" t="n">
        <f aca="false">Thesis!$K$25-ext_sh*Thesis!$K$27</f>
        <v>240.248394780643</v>
      </c>
      <c r="L43" s="38" t="n">
        <f aca="false">Thesis!$L$25-ext_sh*Thesis!$L$27</f>
        <v>297.120270600365</v>
      </c>
      <c r="M43" s="38" t="n">
        <f aca="false">Thesis!$M$25-ext_sh*Thesis!$M$27</f>
        <v>354.01444904879</v>
      </c>
      <c r="N43" s="38" t="n">
        <f aca="false">Thesis!$N$25-ext_sh*Thesis!$N$27</f>
        <v>2.37162185981912</v>
      </c>
      <c r="O43" s="38" t="n">
        <f aca="false">Thesis!$O$25-ext_sh*Thesis!$O$27</f>
        <v>4.40444059680694</v>
      </c>
    </row>
    <row r="44" customFormat="false" ht="17.15" hidden="false" customHeight="false" outlineLevel="0" collapsed="false">
      <c r="A44" s="1" t="s">
        <v>597</v>
      </c>
      <c r="B44" s="8" t="s">
        <v>73</v>
      </c>
      <c r="C44" s="38" t="n">
        <f aca="false">Thesis!$C$43-ext_sh*Thesis!$C$40</f>
        <v>1.64417882953695</v>
      </c>
      <c r="D44" s="38" t="n">
        <f aca="false">Thesis!$D$43-ext_sh*Thesis!$D$40</f>
        <v>3.8781008067718</v>
      </c>
      <c r="E44" s="38" t="n">
        <f aca="false">Thesis!$E$43-ext_sh*Thesis!$E$40</f>
        <v>1.41270258088753</v>
      </c>
      <c r="F44" s="38" t="n">
        <f aca="false">Thesis!$F$43-ext_sh*Thesis!$F$40</f>
        <v>9.28688890281936</v>
      </c>
      <c r="G44" s="38" t="n">
        <f aca="false">Thesis!$G$43-ext_sh*Thesis!$G$40</f>
        <v>10.6995914837069</v>
      </c>
      <c r="H44" s="38" t="n">
        <f aca="false">Thesis!$H$43-ext_sh*Thesis!$H$40</f>
        <v>41.6871201624788</v>
      </c>
      <c r="I44" s="38" t="n">
        <f aca="false">Thesis!$I$43-ext_sh*Thesis!$I$40</f>
        <v>75.3722652568139</v>
      </c>
      <c r="J44" s="38" t="n">
        <f aca="false">Thesis!$J$43-ext_sh*Thesis!$J$40</f>
        <v>108.498764572913</v>
      </c>
      <c r="K44" s="38" t="n">
        <f aca="false">Thesis!$K$43-ext_sh*Thesis!$K$40</f>
        <v>141.164720536404</v>
      </c>
      <c r="L44" s="38" t="n">
        <f aca="false">Thesis!$L$43-ext_sh*Thesis!$L$40</f>
        <v>175.490241495433</v>
      </c>
      <c r="M44" s="38" t="n">
        <f aca="false">Thesis!$M$43-ext_sh*Thesis!$M$40</f>
        <v>209.265826515063</v>
      </c>
      <c r="N44" s="38" t="n">
        <f aca="false">Thesis!$N$43-ext_sh*Thesis!$N$40</f>
        <v>0.92264103489199</v>
      </c>
      <c r="O44" s="38" t="n">
        <f aca="false">Thesis!$O$43-ext_sh*Thesis!$O$40</f>
        <v>2.95545977187981</v>
      </c>
    </row>
    <row r="45" customFormat="false" ht="17.15" hidden="false" customHeight="false" outlineLevel="0" collapsed="false">
      <c r="A45" s="0" t="s">
        <v>598</v>
      </c>
      <c r="B45" s="0" t="s">
        <v>52</v>
      </c>
      <c r="C45" s="12" t="n">
        <f aca="false">Thesis!$C$44/Thesis!$C$25</f>
        <v>0.708390794789371</v>
      </c>
      <c r="D45" s="12" t="n">
        <f aca="false">Thesis!$D$44/Thesis!$D$25</f>
        <v>0.445565630441968</v>
      </c>
      <c r="E45" s="12" t="n">
        <f aca="false">Thesis!$E$44/Thesis!$E$25</f>
        <v>0.165998118402711</v>
      </c>
      <c r="F45" s="12" t="n">
        <f aca="false">Thesis!$F$44/Thesis!$F$25</f>
        <v>0.522597540603814</v>
      </c>
      <c r="G45" s="12" t="n">
        <f aca="false">Thesis!$G$44/Thesis!$G$25</f>
        <v>0.407122915702863</v>
      </c>
      <c r="H45" s="12" t="n">
        <f aca="false">Thesis!$H$44/Thesis!$H$25</f>
        <v>0.501747428859124</v>
      </c>
      <c r="I45" s="12" t="n">
        <f aca="false">Thesis!$I$44/Thesis!$I$25</f>
        <v>0.509009675067759</v>
      </c>
      <c r="J45" s="12" t="n">
        <f aca="false">Thesis!$J$44/Thesis!$J$25</f>
        <v>0.508529537133494</v>
      </c>
      <c r="K45" s="12" t="n">
        <f aca="false">Thesis!$K$44/Thesis!$K$25</f>
        <v>0.50644637746917</v>
      </c>
      <c r="L45" s="12" t="n">
        <f aca="false">Thesis!$L$44/Thesis!$L$25</f>
        <v>0.509912581728373</v>
      </c>
      <c r="M45" s="12" t="n">
        <f aca="false">Thesis!$M$44/Thesis!$M$25</f>
        <v>0.51089936914589</v>
      </c>
      <c r="N45" s="12" t="n">
        <f aca="false">Thesis!$N$44/Thesis!$N$25</f>
        <v>0.302870734830849</v>
      </c>
      <c r="O45" s="12" t="n">
        <f aca="false">Thesis!$O$44/Thesis!$O$25</f>
        <v>0.52240134346334</v>
      </c>
    </row>
    <row r="46" customFormat="false" ht="17.15" hidden="false" customHeight="false" outlineLevel="0" collapsed="false">
      <c r="A46" s="5" t="s">
        <v>599</v>
      </c>
      <c r="B46" s="0" t="s">
        <v>73</v>
      </c>
      <c r="C46" s="38" t="n">
        <f aca="false">rd2*(1-ext_sh)/ext_sh*Thesis!$C$8*he_open*Thesis!$C$9/1000</f>
        <v>0</v>
      </c>
      <c r="D46" s="38" t="n">
        <f aca="false">rd2*(1-ext_sh)/ext_sh*Thesis!$D$8*he_open*Thesis!$D$9/1000</f>
        <v>0</v>
      </c>
      <c r="E46" s="38" t="n">
        <f aca="false">rd2*(1-ext_sh)/ext_sh*Thesis!$E$8*he_open*Thesis!$E$9/1000</f>
        <v>0</v>
      </c>
      <c r="F46" s="38" t="n">
        <f aca="false">rd2*(1-ext_sh)/ext_sh*(mw_open*he_open+Thesis!$F$23*Thesis!$F$20)*Thesis!$F$9/1000</f>
        <v>0</v>
      </c>
      <c r="G46" s="38" t="n">
        <f aca="false">Thesis!$E$46+Thesis!$F$46</f>
        <v>0</v>
      </c>
      <c r="H46" s="38" t="n">
        <f aca="false">rd2*(1-ext_sh)/ext_sh*(mw_open*he_open+Thesis!$H$23*Thesis!$H$20)*Thesis!$H$9/1000</f>
        <v>0</v>
      </c>
      <c r="I46" s="38" t="n">
        <f aca="false">rd2*(1-ext_sh)/ext_sh*(mw_open*he_open+Thesis!$I$23*Thesis!$I$20)*Thesis!$I$9/1000</f>
        <v>0</v>
      </c>
      <c r="J46" s="38" t="n">
        <f aca="false">rd2*(1-ext_sh)/ext_sh*(mw_open*he_open+Thesis!$J$23*Thesis!$J$20)*Thesis!$J$9/1000</f>
        <v>0</v>
      </c>
      <c r="K46" s="38" t="n">
        <f aca="false">rd2*(1-ext_sh)/ext_sh*(mw_open*he_open+Thesis!$K$23*Thesis!$K$20)*Thesis!$K$9/1000</f>
        <v>0</v>
      </c>
      <c r="L46" s="38" t="n">
        <f aca="false">rd2*(1-ext_sh)/ext_sh*(mw_open*he_open+Thesis!$L$23*Thesis!$L$20)*Thesis!$L$9/1000</f>
        <v>0</v>
      </c>
      <c r="M46" s="38" t="n">
        <f aca="false">rd2*(1-ext_sh)/ext_sh*(mw_open*he_open+Thesis!$M$23*Thesis!$M$20)*Thesis!$M$9/1000</f>
        <v>0</v>
      </c>
      <c r="N46" s="38" t="n">
        <f aca="false">rd2*(1-ext_sh)/ext_sh*Thesis!$N$8*he_open*Thesis!$N$9/1000</f>
        <v>0</v>
      </c>
      <c r="O46" s="38" t="n">
        <f aca="false">rd2*(1-ext_sh)/ext_sh*Thesis!$O$8*he_open*Thesis!$O$9/1000</f>
        <v>0</v>
      </c>
      <c r="P46" s="8" t="s">
        <v>600</v>
      </c>
    </row>
    <row r="47" customFormat="false" ht="17.15" hidden="false" customHeight="false" outlineLevel="0" collapsed="false">
      <c r="A47" s="5" t="s">
        <v>601</v>
      </c>
      <c r="B47" s="0" t="s">
        <v>73</v>
      </c>
      <c r="C47" s="38" t="n">
        <f aca="false">(1-ext_sh)*(Thesis!$C$27+Thesis!$C$40)-Thesis!$C$46</f>
        <v>0.169206631859174</v>
      </c>
      <c r="D47" s="38" t="n">
        <f aca="false">(1-ext_sh)*(Thesis!$D$27+Thesis!$D$40)-Thesis!$D$46</f>
        <v>1.20641732046984</v>
      </c>
      <c r="E47" s="38" t="n">
        <f aca="false">(1-ext_sh)*(Thesis!$E$27+Thesis!$E$40)-Thesis!$E$46</f>
        <v>1.77441259867062</v>
      </c>
      <c r="F47" s="38" t="n">
        <f aca="false">(1-ext_sh)*(Thesis!$F$27+Thesis!$F$40)-Thesis!$F$46</f>
        <v>2.12093592959819</v>
      </c>
      <c r="G47" s="38" t="n">
        <f aca="false">(1-ext_sh)*(Thesis!$G$27+Thesis!$G$40)-Thesis!$G$46</f>
        <v>3.89534852826881</v>
      </c>
      <c r="H47" s="38" t="n">
        <f aca="false">(1-ext_sh)*(Thesis!$H$27+Thesis!$H$40)-Thesis!$H$46</f>
        <v>10.3491884610362</v>
      </c>
      <c r="I47" s="38" t="n">
        <f aca="false">(1-ext_sh)*(Thesis!$I$27+Thesis!$I$40)-Thesis!$I$46</f>
        <v>18.1760066762954</v>
      </c>
      <c r="J47" s="38" t="n">
        <f aca="false">(1-ext_sh)*(Thesis!$J$27+Thesis!$J$40)-Thesis!$J$46</f>
        <v>26.2147693257273</v>
      </c>
      <c r="K47" s="38" t="n">
        <f aca="false">(1-ext_sh)*(Thesis!$K$27+Thesis!$K$40)-Thesis!$K$46</f>
        <v>34.3927621431825</v>
      </c>
      <c r="L47" s="38" t="n">
        <f aca="false">(1-ext_sh)*(Thesis!$L$27+Thesis!$L$40)-Thesis!$L$46</f>
        <v>42.1668156798765</v>
      </c>
      <c r="M47" s="38" t="n">
        <f aca="false">(1-ext_sh)*(Thesis!$M$27+Thesis!$M$40)-Thesis!$M$46</f>
        <v>50.0842504150251</v>
      </c>
      <c r="N47" s="38" t="n">
        <f aca="false">(1-ext_sh)*(Thesis!$N$27+Thesis!$N$40)-Thesis!$N$46</f>
        <v>0.530919624033979</v>
      </c>
      <c r="O47" s="38" t="n">
        <f aca="false">(1-ext_sh)*(Thesis!$O$27+Thesis!$O$40)-Thesis!$O$46</f>
        <v>0.675497696435861</v>
      </c>
    </row>
    <row r="48" customFormat="false" ht="17.15" hidden="false" customHeight="false" outlineLevel="0" collapsed="false">
      <c r="A48" s="0" t="s">
        <v>602</v>
      </c>
      <c r="B48" s="0" t="s">
        <v>73</v>
      </c>
      <c r="C48" s="38" t="n">
        <f aca="false">Q!$D$24</f>
        <v>39.834</v>
      </c>
      <c r="D48" s="38" t="n">
        <f aca="false">Q!$E$24</f>
        <v>45.606</v>
      </c>
      <c r="E48" s="38" t="n">
        <f aca="false">Q!$P$24</f>
        <v>30.782</v>
      </c>
      <c r="N48" s="38" t="n">
        <f aca="false">Q!$N$24</f>
        <v>21.707</v>
      </c>
      <c r="O48" s="38" t="n">
        <f aca="false">Q!$O$24</f>
        <v>23.899</v>
      </c>
    </row>
    <row r="49" customFormat="false" ht="17.15" hidden="false" customHeight="false" outlineLevel="0" collapsed="false">
      <c r="A49" s="0" t="s">
        <v>603</v>
      </c>
      <c r="B49" s="0" t="s">
        <v>73</v>
      </c>
      <c r="C49" s="38" t="n">
        <f aca="false">Thesis!$C$48-Thesis!$C$44</f>
        <v>38.1898211704631</v>
      </c>
      <c r="D49" s="38" t="n">
        <f aca="false">Thesis!$D$48-Thesis!$D$44</f>
        <v>41.7278991932282</v>
      </c>
      <c r="E49" s="38" t="n">
        <f aca="false">Thesis!$E$48-Thesis!$E$44</f>
        <v>29.3692974191125</v>
      </c>
      <c r="F49" s="38" t="n">
        <f aca="false">Thesis!$F$29*Thesis!$F$50</f>
        <v>29.458060516894</v>
      </c>
      <c r="G49" s="38" t="n">
        <f aca="false">Thesis!$E$49+Thesis!$F$49</f>
        <v>58.8273579360065</v>
      </c>
      <c r="H49" s="38" t="n">
        <f aca="false">Thesis!$H$29*Thesis!$H$50</f>
        <v>67.8004040185081</v>
      </c>
      <c r="I49" s="38" t="n">
        <f aca="false">Thesis!$I$29*Thesis!$I$50</f>
        <v>78.9527630302702</v>
      </c>
      <c r="J49" s="38" t="n">
        <f aca="false">Thesis!$J$29*Thesis!$J$50</f>
        <v>88.6042681781841</v>
      </c>
      <c r="K49" s="38" t="n">
        <f aca="false">Thesis!$K$29*Thesis!$K$50</f>
        <v>95.6926096324389</v>
      </c>
      <c r="L49" s="38" t="n">
        <f aca="false">Thesis!$L$29*Thesis!$L$50</f>
        <v>103.348018403034</v>
      </c>
      <c r="M49" s="38" t="n">
        <f aca="false">Thesis!$M$29*Thesis!$M$50</f>
        <v>111.615859875277</v>
      </c>
      <c r="N49" s="38" t="n">
        <f aca="false">Thesis!$N$48-Thesis!$N$44</f>
        <v>20.784358965108</v>
      </c>
      <c r="O49" s="38" t="n">
        <f aca="false">Thesis!$O$48-Thesis!$O$44</f>
        <v>20.9435402281202</v>
      </c>
      <c r="P49" s="5" t="s">
        <v>604</v>
      </c>
    </row>
    <row r="50" customFormat="false" ht="17.15" hidden="false" customHeight="false" outlineLevel="0" collapsed="false">
      <c r="A50" s="0" t="s">
        <v>605</v>
      </c>
      <c r="B50" s="0" t="s">
        <v>52</v>
      </c>
      <c r="C50" s="12" t="n">
        <f aca="false">Thesis!$C$49/Thesis!$C$29</f>
        <v>0.362900395443635</v>
      </c>
      <c r="D50" s="12" t="n">
        <f aca="false">Thesis!$D$49/Thesis!$D$29</f>
        <v>0.34767098474203</v>
      </c>
      <c r="E50" s="12" t="n">
        <f aca="false">Thesis!$E$49/Thesis!$E$29</f>
        <v>0.411861655558416</v>
      </c>
      <c r="F50" s="12" t="n">
        <f aca="false">(Thesis!$O$49+Thesis!$E$49)/(Thesis!$O$29+Thesis!$E$29)</f>
        <v>0.37480827803158</v>
      </c>
      <c r="G50" s="12" t="n">
        <f aca="false">Thesis!$G$49/Thesis!$G$29</f>
        <v>0.392434440489471</v>
      </c>
      <c r="H50" s="12" t="n">
        <f aca="false">Thesis!$F$50</f>
        <v>0.37480827803158</v>
      </c>
      <c r="I50" s="12" t="n">
        <f aca="false">Thesis!$F$50</f>
        <v>0.37480827803158</v>
      </c>
      <c r="J50" s="12" t="n">
        <f aca="false">Thesis!$F$50</f>
        <v>0.37480827803158</v>
      </c>
      <c r="K50" s="12" t="n">
        <f aca="false">Thesis!$F$50</f>
        <v>0.37480827803158</v>
      </c>
      <c r="L50" s="12" t="n">
        <f aca="false">Thesis!$F$50</f>
        <v>0.37480827803158</v>
      </c>
      <c r="M50" s="12" t="n">
        <f aca="false">Thesis!$F$50</f>
        <v>0.37480827803158</v>
      </c>
      <c r="N50" s="12" t="n">
        <f aca="false">Thesis!$N$49/Thesis!$N$29</f>
        <v>0.364039571356823</v>
      </c>
      <c r="O50" s="12" t="n">
        <f aca="false">Thesis!$O$49/Thesis!$O$29</f>
        <v>0.332819892300086</v>
      </c>
      <c r="P50" s="8" t="s">
        <v>606</v>
      </c>
    </row>
    <row r="51" customFormat="false" ht="17.15" hidden="false" customHeight="false" outlineLevel="0" collapsed="false">
      <c r="A51" s="0" t="s">
        <v>607</v>
      </c>
      <c r="B51" s="0" t="s">
        <v>52</v>
      </c>
      <c r="D51" s="12" t="n">
        <f aca="false">(Q!$E$31-ext_sh*Thesis!$D$40)/Thesis!$D$29</f>
        <v>0.154572973163571</v>
      </c>
    </row>
    <row r="52" customFormat="false" ht="17.15" hidden="false" customHeight="false" outlineLevel="0" collapsed="false">
      <c r="A52" s="0" t="s">
        <v>608</v>
      </c>
      <c r="B52" s="0" t="s">
        <v>73</v>
      </c>
      <c r="C52" s="38" t="n">
        <f aca="false">Q!$D$31</f>
        <v>13.32</v>
      </c>
      <c r="D52" s="38" t="n">
        <f aca="false">Q!$E$31</f>
        <v>21.45</v>
      </c>
      <c r="E52" s="38" t="n">
        <f aca="false">Q!$P$31</f>
        <v>15.353</v>
      </c>
      <c r="F52" s="38" t="n">
        <f aca="false">ext_sh*Thesis!$F$40+Thesis!$D$51*Thesis!$F$29</f>
        <v>17.3614451462707</v>
      </c>
      <c r="G52" s="38" t="n">
        <f aca="false">Thesis!$E$52+Thesis!$F$52</f>
        <v>32.7144451462707</v>
      </c>
      <c r="H52" s="38" t="n">
        <f aca="false">ext_sh*Thesis!$H$40+Thesis!$D$51*Thesis!$H$29</f>
        <v>56.4867710193415</v>
      </c>
      <c r="I52" s="38" t="n">
        <f aca="false">ext_sh*Thesis!$I$40+Thesis!$D$51*Thesis!$I$29</f>
        <v>83.8668874379297</v>
      </c>
      <c r="J52" s="38" t="n">
        <f aca="false">ext_sh*Thesis!$J$40+Thesis!$D$51*Thesis!$J$29</f>
        <v>111.460055841369</v>
      </c>
      <c r="K52" s="38" t="n">
        <f aca="false">ext_sh*Thesis!$K$40+Thesis!$D$51*Thesis!$K$29</f>
        <v>138.547827112871</v>
      </c>
      <c r="L52" s="38" t="n">
        <f aca="false">ext_sh*Thesis!$L$40+Thesis!$D$51*Thesis!$L$29</f>
        <v>164.251314203055</v>
      </c>
      <c r="M52" s="38" t="n">
        <f aca="false">ext_sh*Thesis!$M$40+Thesis!$D$51*Thesis!$M$29</f>
        <v>190.779610439699</v>
      </c>
      <c r="N52" s="38" t="n">
        <f aca="false">Q!$N$31</f>
        <v>9.234</v>
      </c>
      <c r="O52" s="38" t="n">
        <f aca="false">Q!$O$31</f>
        <v>12.216</v>
      </c>
    </row>
    <row r="53" customFormat="false" ht="17.15" hidden="false" customHeight="false" outlineLevel="0" collapsed="false">
      <c r="A53" s="1" t="s">
        <v>609</v>
      </c>
    </row>
    <row r="54" customFormat="false" ht="17.15" hidden="false" customHeight="false" outlineLevel="0" collapsed="false">
      <c r="A54" s="14" t="s">
        <v>610</v>
      </c>
      <c r="B54" s="13" t="s">
        <v>52</v>
      </c>
      <c r="C54" s="13"/>
      <c r="D54" s="13"/>
      <c r="E54" s="13"/>
      <c r="F54" s="13"/>
      <c r="G54" s="16" t="n">
        <f aca="false">Thesis!$G$44*(1-tax)/(ext_sh*(Thesis!$D$41+Thesis!$G$41)/2)</f>
        <v>0.0659735403452127</v>
      </c>
      <c r="H54" s="16" t="n">
        <f aca="false">Thesis!$H$44*(1-tax)/(ext_sh*(Thesis!$G$41+Thesis!$H$41)/2)</f>
        <v>0.131814407287095</v>
      </c>
      <c r="I54" s="16" t="n">
        <f aca="false">Thesis!$I$44*(1-tax)/(ext_sh*(Thesis!$H$41+Thesis!$I$41)/2)</f>
        <v>0.160907075308678</v>
      </c>
      <c r="J54" s="16" t="n">
        <f aca="false">Thesis!$J$44*(1-tax)/(ext_sh*(Thesis!$I$41+Thesis!$J$41)/2)</f>
        <v>0.181414287027861</v>
      </c>
      <c r="K54" s="16" t="n">
        <f aca="false">Thesis!$K$44*(1-tax)/(ext_sh*(Thesis!$J$41+Thesis!$K$41)/2)</f>
        <v>0.200550690178183</v>
      </c>
      <c r="L54" s="16" t="n">
        <f aca="false">Thesis!$L$44*(1-tax)/(ext_sh*(Thesis!$K$41+Thesis!$L$41)/2)</f>
        <v>0.218893383964425</v>
      </c>
      <c r="M54" s="16" t="n">
        <f aca="false">Thesis!$M$44*(1-tax)/(ext_sh*(Thesis!$L$41+Thesis!$M$41)/2)</f>
        <v>0.227514451626296</v>
      </c>
      <c r="N54" s="13"/>
      <c r="O54" s="13"/>
      <c r="P54" s="8" t="s">
        <v>611</v>
      </c>
    </row>
    <row r="55" customFormat="false" ht="17.15" hidden="false" customHeight="false" outlineLevel="0" collapsed="false">
      <c r="A55" s="5" t="s">
        <v>612</v>
      </c>
      <c r="B55" s="0" t="s">
        <v>57</v>
      </c>
      <c r="H55" s="36" t="n">
        <f aca="false">Thesis!$H$25*1000/(mw_open*he_open+Thesis!$H$23*Thesis!$H$20)</f>
        <v>1.34547185053953</v>
      </c>
      <c r="I55" s="36" t="n">
        <f aca="false">Thesis!$I$25*1000/(mw_open*he_open+Thesis!$I$23*Thesis!$I$20)</f>
        <v>1.41624158558789</v>
      </c>
      <c r="J55" s="36" t="n">
        <f aca="false">Thesis!$J$25*1000/(mw_open*he_open+Thesis!$J$23*Thesis!$J$20)</f>
        <v>1.44599072114959</v>
      </c>
      <c r="K55" s="36" t="n">
        <f aca="false">Thesis!$K$25*1000/(mw_open*he_open+Thesis!$K$23*Thesis!$K$20)</f>
        <v>1.46233315943426</v>
      </c>
      <c r="L55" s="36" t="n">
        <f aca="false">Thesis!$L$25*1000/(mw_open*he_open+Thesis!$L$23*Thesis!$L$20)</f>
        <v>1.47265829140668</v>
      </c>
      <c r="M55" s="36" t="n">
        <f aca="false">Thesis!$M$25*1000/(mw_open*he_open+Thesis!$M$23*Thesis!$M$20)</f>
        <v>1.47977091935941</v>
      </c>
    </row>
    <row r="56" customFormat="false" ht="17.15" hidden="false" customHeight="false" outlineLevel="0" collapsed="false">
      <c r="A56" s="5" t="s">
        <v>613</v>
      </c>
      <c r="B56" s="0" t="s">
        <v>57</v>
      </c>
      <c r="H56" s="36" t="n">
        <f aca="false">Thesis!$H$55*(Thesis!$H$25+wacc*ext_sh*(Thesis!$G$41+Thesis!$H$41)/2/(1-tax)-Thesis!$H$44)/Thesis!$H$25</f>
        <v>1.30997137400526</v>
      </c>
      <c r="I56" s="36" t="n">
        <f aca="false">Thesis!$I$55*(Thesis!$I$25+wacc*ext_sh*(Thesis!$H$41+Thesis!$I$41)/2/(1-tax)-Thesis!$I$44)/Thesis!$I$25</f>
        <v>1.25484879347815</v>
      </c>
      <c r="J56" s="36" t="n">
        <f aca="false">Thesis!$J$55*(Thesis!$J$25+wacc*ext_sh*(Thesis!$I$41+Thesis!$J$41)/2/(1-tax)-Thesis!$J$44)/Thesis!$J$25</f>
        <v>1.21685066117854</v>
      </c>
      <c r="K56" s="36" t="n">
        <f aca="false">Thesis!$K$55*(Thesis!$K$25+wacc*ext_sh*(Thesis!$J$41+Thesis!$K$41)/2/(1-tax)-Thesis!$K$44)/Thesis!$K$25</f>
        <v>1.1829066747072</v>
      </c>
      <c r="L56" s="36" t="n">
        <f aca="false">Thesis!$L$55*(Thesis!$L$25+wacc*ext_sh*(Thesis!$K$41+Thesis!$L$41)/2/(1-tax)-Thesis!$L$44)/Thesis!$L$25</f>
        <v>1.15014911476094</v>
      </c>
      <c r="M56" s="36" t="n">
        <f aca="false">Thesis!$M$55*(Thesis!$M$25+wacc*ext_sh*(Thesis!$L$41+Thesis!$M$41)/2/(1-tax)-Thesis!$M$44)/Thesis!$M$25</f>
        <v>1.13873320397016</v>
      </c>
    </row>
    <row r="57" customFormat="false" ht="17.15" hidden="false" customHeight="false" outlineLevel="0" collapsed="false">
      <c r="A57" s="5" t="s">
        <v>614</v>
      </c>
      <c r="B57" s="0" t="s">
        <v>52</v>
      </c>
      <c r="C57" s="12" t="n">
        <f aca="false">Thesis!$C$26/tk_pq</f>
        <v>0.195316432429398</v>
      </c>
      <c r="D57" s="12" t="n">
        <f aca="false">Thesis!$D$26/tk_pq</f>
        <v>0.195316432429398</v>
      </c>
      <c r="E57" s="12" t="n">
        <f aca="false">Thesis!$E$26/tk_pq</f>
        <v>0.195316432429398</v>
      </c>
      <c r="F57" s="12" t="n">
        <f aca="false">Thesis!$F$26/tk_pq</f>
        <v>0.238216369188823</v>
      </c>
      <c r="G57" s="12" t="n">
        <f aca="false">Thesis!$G$26/tk_pq</f>
        <v>0.222398239257102</v>
      </c>
      <c r="H57" s="12" t="n">
        <f aca="false">Thesis!$H$26/tk_pq</f>
        <v>0.288662452721988</v>
      </c>
      <c r="I57" s="12" t="n">
        <f aca="false">Thesis!$I$26/tk_pq</f>
        <v>0.313283832077501</v>
      </c>
      <c r="J57" s="12" t="n">
        <f aca="false">Thesis!$J$26/tk_pq</f>
        <v>0.324501807962888</v>
      </c>
      <c r="K57" s="12" t="n">
        <f aca="false">Thesis!$K$26/tk_pq</f>
        <v>0.330911005725137</v>
      </c>
      <c r="L57" s="12" t="n">
        <f aca="false">Thesis!$L$26/tk_pq</f>
        <v>0.335056221354671</v>
      </c>
      <c r="M57" s="12" t="n">
        <f aca="false">Thesis!$M$26/tk_pq</f>
        <v>0.337956573431617</v>
      </c>
      <c r="N57" s="12" t="n">
        <f aca="false">Thesis!$N$26/tk_pq</f>
        <v>0.195316432429398</v>
      </c>
      <c r="O57" s="12" t="n">
        <f aca="false">Thesis!$O$26/tk_pq</f>
        <v>0.195316432429398</v>
      </c>
      <c r="P57" s="5" t="s">
        <v>615</v>
      </c>
    </row>
    <row r="60" customFormat="false" ht="19.4" hidden="false" customHeight="false" outlineLevel="0" collapsed="false">
      <c r="A60" s="31" t="s">
        <v>616</v>
      </c>
    </row>
    <row r="61" customFormat="false" ht="17.15" hidden="false" customHeight="false" outlineLevel="0" collapsed="false">
      <c r="A61" s="6" t="s">
        <v>16</v>
      </c>
      <c r="B61" s="6" t="s">
        <v>17</v>
      </c>
      <c r="C61" s="20" t="s">
        <v>457</v>
      </c>
      <c r="D61" s="20" t="s">
        <v>458</v>
      </c>
      <c r="E61" s="20" t="s">
        <v>540</v>
      </c>
      <c r="F61" s="20" t="s">
        <v>541</v>
      </c>
      <c r="G61" s="20" t="s">
        <v>542</v>
      </c>
      <c r="H61" s="20" t="s">
        <v>543</v>
      </c>
      <c r="I61" s="20" t="s">
        <v>544</v>
      </c>
      <c r="J61" s="20" t="s">
        <v>545</v>
      </c>
      <c r="K61" s="20" t="s">
        <v>546</v>
      </c>
      <c r="L61" s="20" t="s">
        <v>547</v>
      </c>
      <c r="M61" s="20" t="s">
        <v>548</v>
      </c>
      <c r="N61" s="20" t="s">
        <v>549</v>
      </c>
      <c r="O61" s="20" t="s">
        <v>550</v>
      </c>
      <c r="P61" s="6" t="s">
        <v>23</v>
      </c>
      <c r="R61" s="20" t="n">
        <v>2023</v>
      </c>
      <c r="S61" s="20" t="n">
        <v>2024</v>
      </c>
      <c r="T61" s="20" t="n">
        <v>2025</v>
      </c>
      <c r="U61" s="20" t="n">
        <v>2026</v>
      </c>
      <c r="V61" s="20" t="n">
        <v>2027</v>
      </c>
      <c r="W61" s="20" t="n">
        <v>2028</v>
      </c>
      <c r="X61" s="20" t="n">
        <v>2029</v>
      </c>
      <c r="Y61" s="20" t="n">
        <v>2030</v>
      </c>
      <c r="Z61" s="20" t="n">
        <v>2031</v>
      </c>
      <c r="AA61" s="20" t="n">
        <v>2032</v>
      </c>
    </row>
    <row r="62" customFormat="false" ht="17.15" hidden="false" customHeight="false" outlineLevel="0" collapsed="false">
      <c r="A62" s="1" t="s">
        <v>551</v>
      </c>
    </row>
    <row r="63" customFormat="false" ht="17.15" hidden="false" customHeight="false" outlineLevel="0" collapsed="false">
      <c r="A63" s="14" t="s">
        <v>552</v>
      </c>
      <c r="B63" s="13" t="s">
        <v>108</v>
      </c>
      <c r="C63" s="32" t="n">
        <f aca="false">mw_ye24</f>
        <v>360</v>
      </c>
      <c r="D63" s="32" t="n">
        <f aca="false">mw_ye25</f>
        <v>1440</v>
      </c>
      <c r="E63" s="32" t="n">
        <f aca="false">mw_open</f>
        <v>2080</v>
      </c>
      <c r="F63" s="32" t="n">
        <f aca="false">Thesis!$E$63+pace_B*0.5</f>
        <v>3897.15</v>
      </c>
      <c r="G63" s="32" t="n">
        <f aca="false">Thesis!$F$63</f>
        <v>3897.15</v>
      </c>
      <c r="H63" s="32" t="n">
        <f aca="false">Thesis!$G$63+pace_B</f>
        <v>7531.45</v>
      </c>
      <c r="I63" s="32" t="n">
        <f aca="false">Thesis!$H$63+pace_B</f>
        <v>11165.75</v>
      </c>
      <c r="J63" s="32" t="n">
        <f aca="false">Thesis!$I$63+pace_B</f>
        <v>14800.05</v>
      </c>
      <c r="K63" s="32" t="n">
        <f aca="false">Thesis!$J$63+pace_B</f>
        <v>18434.35</v>
      </c>
      <c r="L63" s="32" t="n">
        <f aca="false">Thesis!$K$63+pace_B</f>
        <v>22068.65</v>
      </c>
      <c r="M63" s="32" t="n">
        <f aca="false">Thesis!$L$63+pace_B</f>
        <v>25702.95</v>
      </c>
      <c r="N63" s="32" t="n">
        <f aca="false">(mw_ye24+mw_ye25)/2</f>
        <v>900</v>
      </c>
      <c r="O63" s="32" t="n">
        <f aca="false">mw_ye25</f>
        <v>1440</v>
      </c>
      <c r="P63" s="5" t="s">
        <v>553</v>
      </c>
    </row>
    <row r="64" customFormat="false" ht="17.15" hidden="false" customHeight="false" outlineLevel="0" collapsed="false">
      <c r="A64" s="5" t="s">
        <v>554</v>
      </c>
      <c r="B64" s="0" t="s">
        <v>108</v>
      </c>
      <c r="C64" s="33" t="n">
        <f aca="false">(mw_ye23+mw_ye24)/2</f>
        <v>240</v>
      </c>
      <c r="D64" s="33" t="n">
        <f aca="false">(Thesis!$C$63+Thesis!$D$63)/2</f>
        <v>900</v>
      </c>
      <c r="E64" s="33" t="n">
        <f aca="false">(Thesis!$D$63+Thesis!$E$63)/2</f>
        <v>1760</v>
      </c>
      <c r="F64" s="33" t="n">
        <f aca="false">(Thesis!$E$63+Thesis!$F$63)/2</f>
        <v>2988.575</v>
      </c>
      <c r="G64" s="33" t="n">
        <f aca="false">(Thesis!$E$64+Thesis!$F$64)/2</f>
        <v>2374.2875</v>
      </c>
      <c r="H64" s="33" t="n">
        <f aca="false">(Thesis!$G$63+Thesis!$H$63)/2</f>
        <v>5714.3</v>
      </c>
      <c r="I64" s="33" t="n">
        <f aca="false">(Thesis!$H$63+Thesis!$I$63)/2</f>
        <v>9348.6</v>
      </c>
      <c r="J64" s="33" t="n">
        <f aca="false">(Thesis!$I$63+Thesis!$J$63)/2</f>
        <v>12982.9</v>
      </c>
      <c r="K64" s="33" t="n">
        <f aca="false">(Thesis!$J$63+Thesis!$K$63)/2</f>
        <v>16617.2</v>
      </c>
      <c r="L64" s="33" t="n">
        <f aca="false">(Thesis!$K$63+Thesis!$L$63)/2</f>
        <v>20251.5</v>
      </c>
      <c r="M64" s="33" t="n">
        <f aca="false">(Thesis!$L$63+Thesis!$M$63)/2</f>
        <v>23885.8</v>
      </c>
      <c r="N64" s="33" t="n">
        <f aca="false">(Thesis!$C$63+Thesis!$N$63)/2</f>
        <v>630</v>
      </c>
      <c r="O64" s="33" t="n">
        <f aca="false">(Thesis!$N$63+Thesis!$O$63)/2</f>
        <v>1170</v>
      </c>
    </row>
    <row r="65" customFormat="false" ht="15" hidden="false" customHeight="false" outlineLevel="0" collapsed="false">
      <c r="A65" s="5" t="s">
        <v>555</v>
      </c>
      <c r="B65" s="5" t="s">
        <v>102</v>
      </c>
      <c r="C65" s="34" t="n">
        <v>1</v>
      </c>
      <c r="D65" s="34" t="n">
        <v>1</v>
      </c>
      <c r="E65" s="34" t="n">
        <v>0.5</v>
      </c>
      <c r="F65" s="34" t="n">
        <v>0.5</v>
      </c>
      <c r="G65" s="34" t="n">
        <v>1</v>
      </c>
      <c r="H65" s="34" t="n">
        <v>1</v>
      </c>
      <c r="I65" s="34" t="n">
        <v>1</v>
      </c>
      <c r="J65" s="34" t="n">
        <v>1</v>
      </c>
      <c r="K65" s="34" t="n">
        <v>1</v>
      </c>
      <c r="L65" s="34" t="n">
        <v>1</v>
      </c>
      <c r="M65" s="34" t="n">
        <v>1</v>
      </c>
      <c r="N65" s="34" t="n">
        <v>0.5</v>
      </c>
      <c r="O65" s="34" t="n">
        <v>0.5</v>
      </c>
    </row>
    <row r="66" customFormat="false" ht="17.15" hidden="false" customHeight="false" outlineLevel="0" collapsed="false">
      <c r="A66" s="5" t="s">
        <v>556</v>
      </c>
      <c r="B66" s="0" t="s">
        <v>108</v>
      </c>
      <c r="C66" s="33" t="n">
        <f aca="false">Thesis!$C$63-mw_ye23</f>
        <v>240</v>
      </c>
      <c r="D66" s="33" t="n">
        <f aca="false">Thesis!$D$63-Thesis!$C$63</f>
        <v>1080</v>
      </c>
      <c r="E66" s="33" t="n">
        <f aca="false">Thesis!$E$63-Thesis!$D$63</f>
        <v>640</v>
      </c>
      <c r="F66" s="33" t="n">
        <f aca="false">Thesis!$F$63-Thesis!$E$63</f>
        <v>1817.15</v>
      </c>
      <c r="G66" s="33" t="n">
        <f aca="false">Thesis!$E$66+Thesis!$F$66</f>
        <v>2457.15</v>
      </c>
      <c r="H66" s="33" t="n">
        <f aca="false">Thesis!$H$63-Thesis!$G$63</f>
        <v>3634.3</v>
      </c>
      <c r="I66" s="33" t="n">
        <f aca="false">Thesis!$I$63-Thesis!$H$63</f>
        <v>3634.3</v>
      </c>
      <c r="J66" s="33" t="n">
        <f aca="false">Thesis!$J$63-Thesis!$I$63</f>
        <v>3634.3</v>
      </c>
      <c r="K66" s="33" t="n">
        <f aca="false">Thesis!$K$63-Thesis!$J$63</f>
        <v>3634.3</v>
      </c>
      <c r="L66" s="33" t="n">
        <f aca="false">Thesis!$L$63-Thesis!$K$63</f>
        <v>3634.3</v>
      </c>
      <c r="M66" s="33" t="n">
        <f aca="false">Thesis!$M$63-Thesis!$L$63</f>
        <v>3634.3</v>
      </c>
      <c r="N66" s="33" t="n">
        <f aca="false">Thesis!$N$63-Thesis!$C$63</f>
        <v>540</v>
      </c>
      <c r="O66" s="33" t="n">
        <f aca="false">Thesis!$O$63-Thesis!$N$63</f>
        <v>540</v>
      </c>
    </row>
    <row r="67" customFormat="false" ht="17.15" hidden="false" customHeight="false" outlineLevel="0" collapsed="false">
      <c r="A67" s="5" t="s">
        <v>557</v>
      </c>
      <c r="B67" s="0" t="s">
        <v>108</v>
      </c>
      <c r="C67" s="33" t="n">
        <f aca="false">Thesis!$C$66/ext_sh</f>
        <v>300</v>
      </c>
      <c r="D67" s="33" t="n">
        <f aca="false">Thesis!$D$66/ext_sh</f>
        <v>1350</v>
      </c>
      <c r="E67" s="33" t="n">
        <f aca="false">Thesis!$E$66/ext_sh</f>
        <v>800</v>
      </c>
      <c r="F67" s="33" t="n">
        <f aca="false">Thesis!$F$66/ext_sh</f>
        <v>2271.4375</v>
      </c>
      <c r="G67" s="33" t="n">
        <f aca="false">Thesis!$G$66/ext_sh</f>
        <v>3071.4375</v>
      </c>
      <c r="H67" s="33" t="n">
        <f aca="false">Thesis!$H$66/ext_sh</f>
        <v>4542.875</v>
      </c>
      <c r="I67" s="33" t="n">
        <f aca="false">Thesis!$I$66/ext_sh</f>
        <v>4542.875</v>
      </c>
      <c r="J67" s="33" t="n">
        <f aca="false">Thesis!$J$66/ext_sh</f>
        <v>4542.875</v>
      </c>
      <c r="K67" s="33" t="n">
        <f aca="false">Thesis!$K$66/ext_sh</f>
        <v>4542.875</v>
      </c>
      <c r="L67" s="33" t="n">
        <f aca="false">Thesis!$L$66/ext_sh</f>
        <v>4542.875</v>
      </c>
      <c r="M67" s="33" t="n">
        <f aca="false">Thesis!$M$66/ext_sh</f>
        <v>4542.875</v>
      </c>
      <c r="N67" s="33" t="n">
        <f aca="false">Thesis!$N$66/ext_sh</f>
        <v>675</v>
      </c>
      <c r="O67" s="33" t="n">
        <f aca="false">Thesis!$O$66/ext_sh</f>
        <v>675</v>
      </c>
      <c r="P67" s="8" t="s">
        <v>558</v>
      </c>
      <c r="R67" s="33" t="n">
        <f aca="false">mw_ye23/ext_sh</f>
        <v>150</v>
      </c>
      <c r="S67" s="33" t="n">
        <f aca="false">Thesis!$C$67</f>
        <v>300</v>
      </c>
      <c r="T67" s="33" t="n">
        <f aca="false">Thesis!$D$67</f>
        <v>1350</v>
      </c>
      <c r="U67" s="33" t="n">
        <f aca="false">Thesis!$G$67</f>
        <v>3071.4375</v>
      </c>
      <c r="V67" s="33" t="n">
        <f aca="false">Thesis!$H$67</f>
        <v>4542.875</v>
      </c>
      <c r="W67" s="33" t="n">
        <f aca="false">Thesis!$I$67</f>
        <v>4542.875</v>
      </c>
      <c r="X67" s="33" t="n">
        <f aca="false">Thesis!$J$67</f>
        <v>4542.875</v>
      </c>
      <c r="Y67" s="33" t="n">
        <f aca="false">Thesis!$K$67</f>
        <v>4542.875</v>
      </c>
      <c r="Z67" s="33" t="n">
        <f aca="false">Thesis!$L$67</f>
        <v>4542.875</v>
      </c>
      <c r="AA67" s="33" t="n">
        <f aca="false">Thesis!$M$67</f>
        <v>4542.875</v>
      </c>
    </row>
    <row r="68" customFormat="false" ht="17.15" hidden="false" customHeight="false" outlineLevel="0" collapsed="false">
      <c r="A68" s="1" t="s">
        <v>559</v>
      </c>
    </row>
    <row r="69" customFormat="false" ht="17.15" hidden="false" customHeight="false" outlineLevel="0" collapsed="false">
      <c r="A69" s="0" t="s">
        <v>560</v>
      </c>
      <c r="B69" s="0" t="s">
        <v>52</v>
      </c>
      <c r="F69" s="35" t="n">
        <f aca="false">na_vr26</f>
        <v>0</v>
      </c>
      <c r="G69" s="35" t="n">
        <f aca="false">na_vr26</f>
        <v>0</v>
      </c>
      <c r="H69" s="35" t="n">
        <f aca="false">na_vr27</f>
        <v>0.5</v>
      </c>
      <c r="I69" s="35" t="n">
        <f aca="false">na_vr28</f>
        <v>1</v>
      </c>
      <c r="J69" s="35" t="n">
        <f aca="false">na_vr28</f>
        <v>1</v>
      </c>
      <c r="K69" s="35" t="n">
        <f aca="false">na_vr28</f>
        <v>1</v>
      </c>
      <c r="L69" s="35" t="n">
        <f aca="false">na_vr28</f>
        <v>1</v>
      </c>
      <c r="M69" s="35" t="n">
        <f aca="false">na_vr28</f>
        <v>1</v>
      </c>
    </row>
    <row r="70" customFormat="false" ht="17.15" hidden="false" customHeight="false" outlineLevel="0" collapsed="false">
      <c r="A70" s="5" t="s">
        <v>561</v>
      </c>
      <c r="B70" s="0" t="s">
        <v>151</v>
      </c>
      <c r="F70" s="36" t="n">
        <f aca="false">cust_sh*tk_he_gb300*cf_chip+(1-cust_sh)*((1-Thesis!$F$69)*tk_he_gb300+Thesis!$F$69*tk_he_vr200)</f>
        <v>10.8864110021101</v>
      </c>
      <c r="G70" s="36" t="n">
        <f aca="false">cust_sh*tk_he_gb300*cf_chip+(1-cust_sh)*((1-Thesis!$G$69)*tk_he_gb300+Thesis!$G$69*tk_he_vr200)</f>
        <v>10.8864110021101</v>
      </c>
      <c r="H70" s="36" t="n">
        <f aca="false">cust_sh*tk_he_gb300*cf_chip+(1-cust_sh)*((1-Thesis!$H$69)*tk_he_gb300+Thesis!$H$69*tk_he_vr200)</f>
        <v>11.2211760027286</v>
      </c>
      <c r="I70" s="36" t="n">
        <f aca="false">cust_sh*tk_he_gb300*cf_chip+(1-cust_sh)*((1-Thesis!$I$69)*tk_he_gb300+Thesis!$I$69*tk_he_vr200)</f>
        <v>11.5559410033471</v>
      </c>
      <c r="J70" s="36" t="n">
        <f aca="false">cust_sh*tk_he_gb300*cf_chip+(1-cust_sh)*((1-Thesis!$J$69)*tk_he_gb300+Thesis!$J$69*tk_he_vr200)</f>
        <v>11.5559410033471</v>
      </c>
      <c r="K70" s="36" t="n">
        <f aca="false">cust_sh*tk_he_gb300*cf_chip+(1-cust_sh)*((1-Thesis!$K$69)*tk_he_gb300+Thesis!$K$69*tk_he_vr200)</f>
        <v>11.5559410033471</v>
      </c>
      <c r="L70" s="36" t="n">
        <f aca="false">cust_sh*tk_he_gb300*cf_chip+(1-cust_sh)*((1-Thesis!$L$69)*tk_he_gb300+Thesis!$L$69*tk_he_vr200)</f>
        <v>11.5559410033471</v>
      </c>
      <c r="M70" s="36" t="n">
        <f aca="false">cust_sh*tk_he_gb300*cf_chip+(1-cust_sh)*((1-Thesis!$M$69)*tk_he_gb300+Thesis!$M$69*tk_he_vr200)</f>
        <v>11.5559410033471</v>
      </c>
    </row>
    <row r="71" customFormat="false" ht="17.15" hidden="false" customHeight="false" outlineLevel="0" collapsed="false">
      <c r="A71" s="5" t="s">
        <v>562</v>
      </c>
      <c r="B71" s="0" t="s">
        <v>151</v>
      </c>
      <c r="F71" s="36" t="n">
        <f aca="false">cust_sh*tk_ox_gb300+(1-cust_sh)*((1-Thesis!$F$69)*tk_ox_gb300+Thesis!$F$69*tk_ox_vr200)</f>
        <v>1.98263481314457</v>
      </c>
      <c r="G71" s="36" t="n">
        <f aca="false">cust_sh*tk_ox_gb300+(1-cust_sh)*((1-Thesis!$G$69)*tk_ox_gb300+Thesis!$G$69*tk_ox_vr200)</f>
        <v>1.98263481314457</v>
      </c>
      <c r="H71" s="36" t="n">
        <f aca="false">cust_sh*tk_ox_gb300+(1-cust_sh)*((1-Thesis!$H$69)*tk_ox_gb300+Thesis!$H$69*tk_ox_vr200)</f>
        <v>2.01034999693694</v>
      </c>
      <c r="I71" s="36" t="n">
        <f aca="false">cust_sh*tk_ox_gb300+(1-cust_sh)*((1-Thesis!$I$69)*tk_ox_gb300+Thesis!$I$69*tk_ox_vr200)</f>
        <v>2.0380651807293</v>
      </c>
      <c r="J71" s="36" t="n">
        <f aca="false">cust_sh*tk_ox_gb300+(1-cust_sh)*((1-Thesis!$J$69)*tk_ox_gb300+Thesis!$J$69*tk_ox_vr200)</f>
        <v>2.0380651807293</v>
      </c>
      <c r="K71" s="36" t="n">
        <f aca="false">cust_sh*tk_ox_gb300+(1-cust_sh)*((1-Thesis!$K$69)*tk_ox_gb300+Thesis!$K$69*tk_ox_vr200)</f>
        <v>2.0380651807293</v>
      </c>
      <c r="L71" s="36" t="n">
        <f aca="false">cust_sh*tk_ox_gb300+(1-cust_sh)*((1-Thesis!$L$69)*tk_ox_gb300+Thesis!$L$69*tk_ox_vr200)</f>
        <v>2.0380651807293</v>
      </c>
      <c r="M71" s="36" t="n">
        <f aca="false">cust_sh*tk_ox_gb300+(1-cust_sh)*((1-Thesis!$M$69)*tk_ox_gb300+Thesis!$M$69*tk_ox_vr200)</f>
        <v>2.0380651807293</v>
      </c>
    </row>
    <row r="72" customFormat="false" ht="17.15" hidden="false" customHeight="false" outlineLevel="0" collapsed="false">
      <c r="A72" s="5" t="s">
        <v>563</v>
      </c>
      <c r="B72" s="0" t="s">
        <v>170</v>
      </c>
      <c r="F72" s="36" t="n">
        <f aca="false">cust_sh*tk_cx_gb300*cf_cx+(1-cust_sh)*((1-Thesis!$F$69)*tk_cx_gb300+Thesis!$F$69*tk_cx_vr200)</f>
        <v>32.237224</v>
      </c>
      <c r="G72" s="36" t="n">
        <f aca="false">cust_sh*tk_cx_gb300*cf_cx+(1-cust_sh)*((1-Thesis!$G$69)*tk_cx_gb300+Thesis!$G$69*tk_cx_vr200)</f>
        <v>32.237224</v>
      </c>
      <c r="H72" s="36" t="n">
        <f aca="false">cust_sh*tk_cx_gb300*cf_cx+(1-cust_sh)*((1-Thesis!$H$69)*tk_cx_gb300+Thesis!$H$69*tk_cx_vr200)</f>
        <v>33.574506</v>
      </c>
      <c r="I72" s="36" t="n">
        <f aca="false">cust_sh*tk_cx_gb300*cf_cx+(1-cust_sh)*((1-Thesis!$I$69)*tk_cx_gb300+Thesis!$I$69*tk_cx_vr200)</f>
        <v>34.911788</v>
      </c>
      <c r="J72" s="36" t="n">
        <f aca="false">cust_sh*tk_cx_gb300*cf_cx+(1-cust_sh)*((1-Thesis!$J$69)*tk_cx_gb300+Thesis!$J$69*tk_cx_vr200)</f>
        <v>34.911788</v>
      </c>
      <c r="K72" s="36" t="n">
        <f aca="false">cust_sh*tk_cx_gb300*cf_cx+(1-cust_sh)*((1-Thesis!$K$69)*tk_cx_gb300+Thesis!$K$69*tk_cx_vr200)</f>
        <v>34.911788</v>
      </c>
      <c r="L72" s="36" t="n">
        <f aca="false">cust_sh*tk_cx_gb300*cf_cx+(1-cust_sh)*((1-Thesis!$L$69)*tk_cx_gb300+Thesis!$L$69*tk_cx_vr200)</f>
        <v>34.911788</v>
      </c>
      <c r="M72" s="36" t="n">
        <f aca="false">cust_sh*tk_cx_gb300*cf_cx+(1-cust_sh)*((1-Thesis!$M$69)*tk_cx_gb300+Thesis!$M$69*tk_cx_vr200)</f>
        <v>34.911788</v>
      </c>
    </row>
    <row r="73" customFormat="false" ht="17.15" hidden="false" customHeight="false" outlineLevel="0" collapsed="false">
      <c r="A73" s="5" t="s">
        <v>564</v>
      </c>
      <c r="B73" s="0" t="s">
        <v>108</v>
      </c>
      <c r="F73" s="33" t="n">
        <f aca="false">Thesis!$F$63-mw_open</f>
        <v>1817.15</v>
      </c>
      <c r="G73" s="33" t="n">
        <f aca="false">Thesis!$F$73</f>
        <v>1817.15</v>
      </c>
      <c r="H73" s="33" t="n">
        <f aca="false">Thesis!$H$63-mw_open</f>
        <v>5451.45</v>
      </c>
      <c r="I73" s="33" t="n">
        <f aca="false">Thesis!$I$63-mw_open</f>
        <v>9085.75</v>
      </c>
      <c r="J73" s="33" t="n">
        <f aca="false">Thesis!$J$63-mw_open</f>
        <v>12720.05</v>
      </c>
      <c r="K73" s="33" t="n">
        <f aca="false">Thesis!$K$63-mw_open</f>
        <v>16354.35</v>
      </c>
      <c r="L73" s="33" t="n">
        <f aca="false">Thesis!$L$63-mw_open</f>
        <v>19988.65</v>
      </c>
      <c r="M73" s="33" t="n">
        <f aca="false">Thesis!$M$63-mw_open</f>
        <v>23622.95</v>
      </c>
    </row>
    <row r="74" customFormat="false" ht="17.15" hidden="false" customHeight="false" outlineLevel="0" collapsed="false">
      <c r="A74" s="0" t="s">
        <v>565</v>
      </c>
      <c r="B74" s="0" t="s">
        <v>566</v>
      </c>
      <c r="F74" s="33" t="n">
        <f aca="false">Thesis!$F$66*Thesis!$F$70</f>
        <v>19782.2417524844</v>
      </c>
      <c r="G74" s="33" t="n">
        <f aca="false">Thesis!$F$74</f>
        <v>19782.2417524844</v>
      </c>
      <c r="H74" s="33" t="n">
        <f aca="false">Thesis!$G$74+Thesis!$H$66*Thesis!$H$70</f>
        <v>60563.3616992009</v>
      </c>
      <c r="I74" s="33" t="n">
        <f aca="false">Thesis!$H$74+Thesis!$I$66*Thesis!$I$70</f>
        <v>102561.118087665</v>
      </c>
      <c r="J74" s="33" t="n">
        <f aca="false">Thesis!$I$74+Thesis!$J$66*Thesis!$J$70</f>
        <v>144558.87447613</v>
      </c>
      <c r="K74" s="33" t="n">
        <f aca="false">Thesis!$J$74+Thesis!$K$66*Thesis!$K$70</f>
        <v>186556.630864594</v>
      </c>
      <c r="L74" s="33" t="n">
        <f aca="false">Thesis!$K$74+Thesis!$L$66*Thesis!$L$70</f>
        <v>228554.387253058</v>
      </c>
      <c r="M74" s="33" t="n">
        <f aca="false">Thesis!$L$74+Thesis!$M$66*Thesis!$M$70</f>
        <v>270552.143641523</v>
      </c>
    </row>
    <row r="75" customFormat="false" ht="17.15" hidden="false" customHeight="false" outlineLevel="0" collapsed="false">
      <c r="A75" s="0" t="s">
        <v>567</v>
      </c>
      <c r="B75" s="0" t="s">
        <v>566</v>
      </c>
      <c r="F75" s="33" t="n">
        <f aca="false">Thesis!$F$66*Thesis!$F$71</f>
        <v>3602.74485070566</v>
      </c>
      <c r="G75" s="33" t="n">
        <f aca="false">Thesis!$F$75</f>
        <v>3602.74485070566</v>
      </c>
      <c r="H75" s="33" t="n">
        <f aca="false">Thesis!$G$75+Thesis!$H$66*Thesis!$H$71</f>
        <v>10908.9598445736</v>
      </c>
      <c r="I75" s="33" t="n">
        <f aca="false">Thesis!$H$75+Thesis!$I$66*Thesis!$I$71</f>
        <v>18315.9001308981</v>
      </c>
      <c r="J75" s="33" t="n">
        <f aca="false">Thesis!$I$75+Thesis!$J$66*Thesis!$J$71</f>
        <v>25722.8404172225</v>
      </c>
      <c r="K75" s="33" t="n">
        <f aca="false">Thesis!$J$75+Thesis!$K$66*Thesis!$K$71</f>
        <v>33129.780703547</v>
      </c>
      <c r="L75" s="33" t="n">
        <f aca="false">Thesis!$K$75+Thesis!$L$66*Thesis!$L$71</f>
        <v>40536.7209898715</v>
      </c>
      <c r="M75" s="33" t="n">
        <f aca="false">Thesis!$L$75+Thesis!$M$66*Thesis!$M$71</f>
        <v>47943.661276196</v>
      </c>
    </row>
    <row r="76" customFormat="false" ht="17.15" hidden="false" customHeight="false" outlineLevel="0" collapsed="false">
      <c r="A76" s="5" t="s">
        <v>568</v>
      </c>
      <c r="B76" s="0" t="s">
        <v>151</v>
      </c>
      <c r="F76" s="36" t="n">
        <f aca="false">IF(Thesis!$F$73&gt;0,Thesis!$F$74/Thesis!$F$73,Thesis!$F$70)</f>
        <v>10.8864110021101</v>
      </c>
      <c r="G76" s="36" t="n">
        <f aca="false">IF(Thesis!$G$73&gt;0,Thesis!$G$74/Thesis!$G$73,Thesis!$G$70)</f>
        <v>10.8864110021101</v>
      </c>
      <c r="H76" s="36" t="n">
        <f aca="false">IF(Thesis!$H$73&gt;0,Thesis!$H$74/Thesis!$H$73,Thesis!$H$70)</f>
        <v>11.1095876691891</v>
      </c>
      <c r="I76" s="36" t="n">
        <f aca="false">IF(Thesis!$I$73&gt;0,Thesis!$I$74/Thesis!$I$73,Thesis!$I$70)</f>
        <v>11.2881290028523</v>
      </c>
      <c r="J76" s="36" t="n">
        <f aca="false">IF(Thesis!$J$73&gt;0,Thesis!$J$74/Thesis!$J$73,Thesis!$J$70)</f>
        <v>11.3646467172794</v>
      </c>
      <c r="K76" s="36" t="n">
        <f aca="false">IF(Thesis!$K$73&gt;0,Thesis!$K$74/Thesis!$K$73,Thesis!$K$70)</f>
        <v>11.4071565586278</v>
      </c>
      <c r="L76" s="36" t="n">
        <f aca="false">IF(Thesis!$L$73&gt;0,Thesis!$L$74/Thesis!$L$73,Thesis!$L$70)</f>
        <v>11.4342082758495</v>
      </c>
      <c r="M76" s="36" t="n">
        <f aca="false">IF(Thesis!$M$73&gt;0,Thesis!$M$74/Thesis!$M$73,Thesis!$M$70)</f>
        <v>11.4529363877722</v>
      </c>
    </row>
    <row r="77" customFormat="false" ht="17.15" hidden="false" customHeight="false" outlineLevel="0" collapsed="false">
      <c r="A77" s="5" t="s">
        <v>569</v>
      </c>
      <c r="B77" s="0" t="s">
        <v>151</v>
      </c>
      <c r="F77" s="36" t="n">
        <f aca="false">IF(Thesis!$F$73&gt;0,Thesis!$F$75/Thesis!$F$73,Thesis!$F$71)</f>
        <v>1.98263481314457</v>
      </c>
      <c r="G77" s="36" t="n">
        <f aca="false">IF(Thesis!$G$73&gt;0,Thesis!$G$75/Thesis!$G$73,Thesis!$G$71)</f>
        <v>1.98263481314457</v>
      </c>
      <c r="H77" s="36" t="n">
        <f aca="false">IF(Thesis!$H$73&gt;0,Thesis!$H$75/Thesis!$H$73,Thesis!$H$71)</f>
        <v>2.00111160233948</v>
      </c>
      <c r="I77" s="36" t="n">
        <f aca="false">IF(Thesis!$I$73&gt;0,Thesis!$I$75/Thesis!$I$73,Thesis!$I$71)</f>
        <v>2.01589303369541</v>
      </c>
      <c r="J77" s="36" t="n">
        <f aca="false">IF(Thesis!$J$73&gt;0,Thesis!$J$75/Thesis!$J$73,Thesis!$J$71)</f>
        <v>2.02222793284795</v>
      </c>
      <c r="K77" s="36" t="n">
        <f aca="false">IF(Thesis!$K$73&gt;0,Thesis!$K$75/Thesis!$K$73,Thesis!$K$71)</f>
        <v>2.02574732126603</v>
      </c>
      <c r="L77" s="36" t="n">
        <f aca="false">IF(Thesis!$L$73&gt;0,Thesis!$L$75/Thesis!$L$73,Thesis!$L$71)</f>
        <v>2.02798693207753</v>
      </c>
      <c r="M77" s="36" t="n">
        <f aca="false">IF(Thesis!$M$73&gt;0,Thesis!$M$75/Thesis!$M$73,Thesis!$M$71)</f>
        <v>2.02953743187011</v>
      </c>
    </row>
    <row r="78" customFormat="false" ht="17.15" hidden="false" customHeight="false" outlineLevel="0" collapsed="false">
      <c r="A78" s="14" t="s">
        <v>570</v>
      </c>
      <c r="B78" s="13" t="s">
        <v>151</v>
      </c>
      <c r="C78" s="13"/>
      <c r="D78" s="13"/>
      <c r="E78" s="13"/>
      <c r="F78" s="37" t="n">
        <f aca="false">Thesis!$F$76*k_B</f>
        <v>10.7987645808025</v>
      </c>
      <c r="G78" s="37" t="n">
        <f aca="false">Thesis!$G$76*k_B</f>
        <v>10.7987645808025</v>
      </c>
      <c r="H78" s="37" t="n">
        <f aca="false">Thesis!$H$76*k_B</f>
        <v>11.0201444540452</v>
      </c>
      <c r="I78" s="37" t="n">
        <f aca="false">Thesis!$I$76*k_B</f>
        <v>11.1972483526393</v>
      </c>
      <c r="J78" s="37" t="n">
        <f aca="false">Thesis!$J$76*k_B</f>
        <v>11.2731500234653</v>
      </c>
      <c r="K78" s="37" t="n">
        <f aca="false">Thesis!$K$76*k_B</f>
        <v>11.3153176183687</v>
      </c>
      <c r="L78" s="37" t="n">
        <f aca="false">Thesis!$L$76*k_B</f>
        <v>11.3421515423981</v>
      </c>
      <c r="M78" s="37" t="n">
        <f aca="false">Thesis!$M$76*k_B</f>
        <v>11.3607288744184</v>
      </c>
      <c r="N78" s="13"/>
      <c r="O78" s="13"/>
      <c r="P78" s="5" t="s">
        <v>571</v>
      </c>
    </row>
    <row r="79" customFormat="false" ht="17.15" hidden="false" customHeight="false" outlineLevel="0" collapsed="false">
      <c r="A79" s="5" t="s">
        <v>572</v>
      </c>
      <c r="B79" s="0" t="s">
        <v>108</v>
      </c>
      <c r="F79" s="33" t="n">
        <f aca="false">Thesis!$F$73/2</f>
        <v>908.575</v>
      </c>
      <c r="H79" s="33" t="n">
        <f aca="false">(Thesis!$G$73+Thesis!$H$73)/2</f>
        <v>3634.3</v>
      </c>
      <c r="I79" s="33" t="n">
        <f aca="false">(Thesis!$H$73+Thesis!$I$73)/2</f>
        <v>7268.6</v>
      </c>
      <c r="J79" s="33" t="n">
        <f aca="false">(Thesis!$I$73+Thesis!$J$73)/2</f>
        <v>10902.9</v>
      </c>
      <c r="K79" s="33" t="n">
        <f aca="false">(Thesis!$J$73+Thesis!$K$73)/2</f>
        <v>14537.2</v>
      </c>
      <c r="L79" s="33" t="n">
        <f aca="false">(Thesis!$K$73+Thesis!$L$73)/2</f>
        <v>18171.5</v>
      </c>
      <c r="M79" s="33" t="n">
        <f aca="false">(Thesis!$L$73+Thesis!$M$73)/2</f>
        <v>21805.8</v>
      </c>
    </row>
    <row r="80" customFormat="false" ht="17.15" hidden="false" customHeight="false" outlineLevel="0" collapsed="false">
      <c r="A80" s="1" t="s">
        <v>573</v>
      </c>
    </row>
    <row r="81" customFormat="false" ht="17.15" hidden="false" customHeight="false" outlineLevel="0" collapsed="false">
      <c r="A81" s="1" t="s">
        <v>574</v>
      </c>
      <c r="B81" s="8" t="s">
        <v>73</v>
      </c>
      <c r="C81" s="38" t="n">
        <f aca="false">Thesis!$C$64*rpm_open*Thesis!$C$65/1000</f>
        <v>2.32100535697364</v>
      </c>
      <c r="D81" s="38" t="n">
        <f aca="false">Thesis!$D$64*rpm_open*Thesis!$D$65/1000</f>
        <v>8.70377008865116</v>
      </c>
      <c r="E81" s="38" t="n">
        <f aca="false">Thesis!$E$64*rpm_open*Thesis!$E$65/1000</f>
        <v>8.51035297557002</v>
      </c>
      <c r="F81" s="38" t="n">
        <f aca="false">(mw_open*rpm_open+Thesis!$F$79*Thesis!$F$78)*Thesis!$F$65/1000</f>
        <v>14.9634336447205</v>
      </c>
      <c r="G81" s="38" t="n">
        <f aca="false">Thesis!$E$81+Thesis!$F$81</f>
        <v>23.4737866202905</v>
      </c>
      <c r="H81" s="38" t="n">
        <f aca="false">(mw_open*rpm_open+Thesis!$H$79*Thesis!$H$78)/1000</f>
        <v>60.1658907497746</v>
      </c>
      <c r="I81" s="38" t="n">
        <f aca="false">(mw_open*rpm_open+Thesis!$I$79*Thesis!$I$78)/1000</f>
        <v>101.503699136432</v>
      </c>
      <c r="J81" s="38" t="n">
        <f aca="false">(mw_open*rpm_open+Thesis!$J$79*Thesis!$J$78)/1000</f>
        <v>143.025407151278</v>
      </c>
      <c r="K81" s="38" t="n">
        <f aca="false">(mw_open*rpm_open+Thesis!$K$79*Thesis!$K$78)/1000</f>
        <v>184.608415042187</v>
      </c>
      <c r="L81" s="38" t="n">
        <f aca="false">(mw_open*rpm_open+Thesis!$L$79*Thesis!$L$78)/1000</f>
        <v>226.219286513125</v>
      </c>
      <c r="M81" s="38" t="n">
        <f aca="false">(mw_open*rpm_open+Thesis!$M$79*Thesis!$M$78)/1000</f>
        <v>267.845161450232</v>
      </c>
      <c r="N81" s="38" t="n">
        <f aca="false">Thesis!$N$64*rpm_open*Thesis!$N$65/1000</f>
        <v>3.04631953102791</v>
      </c>
      <c r="O81" s="38" t="n">
        <f aca="false">Thesis!$O$64*rpm_open*Thesis!$O$65/1000</f>
        <v>5.65745055762326</v>
      </c>
      <c r="P81" s="5" t="s">
        <v>575</v>
      </c>
    </row>
    <row r="82" customFormat="false" ht="17.15" hidden="false" customHeight="false" outlineLevel="0" collapsed="false">
      <c r="A82" s="5" t="s">
        <v>576</v>
      </c>
      <c r="B82" s="0" t="s">
        <v>151</v>
      </c>
      <c r="C82" s="36" t="n">
        <f aca="false">Thesis!$C$81*1000/(Thesis!$C$64*Thesis!$C$65)</f>
        <v>9.67085565405685</v>
      </c>
      <c r="D82" s="36" t="n">
        <f aca="false">Thesis!$D$81*1000/(Thesis!$D$64*Thesis!$D$65)</f>
        <v>9.67085565405685</v>
      </c>
      <c r="E82" s="36" t="n">
        <f aca="false">Thesis!$E$81*1000/(Thesis!$E$64*Thesis!$E$65)</f>
        <v>9.67085565405685</v>
      </c>
      <c r="F82" s="36" t="n">
        <f aca="false">Thesis!$F$81*1000/(Thesis!$F$64*Thesis!$F$65)</f>
        <v>10.0137581588017</v>
      </c>
      <c r="G82" s="36" t="n">
        <f aca="false">Thesis!$G$81*1000/(Thesis!$G$64*Thesis!$G$65)</f>
        <v>9.88666562928478</v>
      </c>
      <c r="H82" s="36" t="n">
        <f aca="false">Thesis!$H$81*1000/(Thesis!$H$64*Thesis!$H$65)</f>
        <v>10.5290045586992</v>
      </c>
      <c r="I82" s="36" t="n">
        <f aca="false">Thesis!$I$81*1000/(Thesis!$I$64*Thesis!$I$65)</f>
        <v>10.8576363451674</v>
      </c>
      <c r="J82" s="36" t="n">
        <f aca="false">Thesis!$J$81*1000/(Thesis!$J$64*Thesis!$J$65)</f>
        <v>11.0164452588619</v>
      </c>
      <c r="K82" s="36" t="n">
        <f aca="false">Thesis!$K$81*1000/(Thesis!$K$64*Thesis!$K$65)</f>
        <v>11.1094778327388</v>
      </c>
      <c r="L82" s="36" t="n">
        <f aca="false">Thesis!$L$81*1000/(Thesis!$L$64*Thesis!$L$65)</f>
        <v>11.1704953466718</v>
      </c>
      <c r="M82" s="36" t="n">
        <f aca="false">Thesis!$M$81*1000/(Thesis!$M$64*Thesis!$M$65)</f>
        <v>11.2135729785158</v>
      </c>
      <c r="N82" s="36" t="n">
        <f aca="false">Thesis!$N$81*1000/(Thesis!$N$64*Thesis!$N$65)</f>
        <v>9.67085565405685</v>
      </c>
      <c r="O82" s="36" t="n">
        <f aca="false">Thesis!$O$81*1000/(Thesis!$O$64*Thesis!$O$65)</f>
        <v>9.67085565405685</v>
      </c>
    </row>
    <row r="83" customFormat="false" ht="17.15" hidden="false" customHeight="false" outlineLevel="0" collapsed="false">
      <c r="A83" s="0" t="s">
        <v>577</v>
      </c>
      <c r="B83" s="0" t="s">
        <v>73</v>
      </c>
      <c r="C83" s="38" t="n">
        <f aca="false">Thesis!$C$64/ext_sh*(ox_open+rent_mw)*Thesis!$C$65/1000</f>
        <v>0.642569210675032</v>
      </c>
      <c r="D83" s="38" t="n">
        <f aca="false">Thesis!$D$64/ext_sh*(ox_open+rent_mw)*Thesis!$D$65/1000</f>
        <v>2.40963454003137</v>
      </c>
      <c r="E83" s="38" t="n">
        <f aca="false">Thesis!$E$64/ext_sh*(ox_open+rent_mw)*Thesis!$E$65/1000</f>
        <v>2.35608710580845</v>
      </c>
      <c r="F83" s="38" t="n">
        <f aca="false">((mw_open*ox_open+Thesis!$F$79*Thesis!$F$77)/ext_sh+Thesis!$F$64/ext_sh*rent_mw)*Thesis!$F$65/1000</f>
        <v>4.05421991106232</v>
      </c>
      <c r="G83" s="38" t="n">
        <f aca="false">Thesis!$E$83+Thesis!$F$83</f>
        <v>6.41030701687077</v>
      </c>
      <c r="H83" s="38" t="n">
        <f aca="false">((mw_open*ox_open+Thesis!$H$79*Thesis!$H$77)/ext_sh+Thesis!$H$64/ext_sh*rent_mw)*Thesis!$H$65/1000</f>
        <v>15.8108975546616</v>
      </c>
      <c r="I83" s="38" t="n">
        <f aca="false">((mw_open*ox_open+Thesis!$I$79*Thesis!$I$77)/ext_sh+Thesis!$I$64/ext_sh*rent_mw)*Thesis!$I$65/1000</f>
        <v>26.1871623400817</v>
      </c>
      <c r="J83" s="38" t="n">
        <f aca="false">((mw_open*ox_open+Thesis!$J$79*Thesis!$J$77)/ext_sh+Thesis!$J$64/ext_sh*rent_mw)*Thesis!$J$65/1000</f>
        <v>36.5826128954935</v>
      </c>
      <c r="K83" s="38" t="n">
        <f aca="false">((mw_open*ox_open+Thesis!$K$79*Thesis!$K$77)/ext_sh+Thesis!$K$64/ext_sh*rent_mw)*Thesis!$K$65/1000</f>
        <v>46.9844587075692</v>
      </c>
      <c r="L83" s="38" t="n">
        <f aca="false">((mw_open*ox_open+Thesis!$L$79*Thesis!$L$77)/ext_sh+Thesis!$L$64/ext_sh*rent_mw)*Thesis!$L$65/1000</f>
        <v>57.3892114544922</v>
      </c>
      <c r="M83" s="38" t="n">
        <f aca="false">((mw_open*ox_open+Thesis!$M$79*Thesis!$M$77)/ext_sh+Thesis!$M$64/ext_sh*rent_mw)*Thesis!$M$65/1000</f>
        <v>67.7955294740252</v>
      </c>
      <c r="N83" s="38" t="n">
        <f aca="false">Thesis!$N$64/ext_sh*(ox_open+rent_mw)*Thesis!$N$65/1000</f>
        <v>0.84337208901098</v>
      </c>
      <c r="O83" s="38" t="n">
        <f aca="false">Thesis!$O$64/ext_sh*(ox_open+rent_mw)*Thesis!$O$65/1000</f>
        <v>1.56626245102039</v>
      </c>
    </row>
    <row r="84" customFormat="false" ht="17.15" hidden="false" customHeight="false" outlineLevel="0" collapsed="false">
      <c r="A84" s="0" t="s">
        <v>578</v>
      </c>
      <c r="B84" s="0" t="s">
        <v>73</v>
      </c>
      <c r="C84" s="38" t="n">
        <f aca="false">Q!$D$7</f>
        <v>107.556</v>
      </c>
      <c r="D84" s="38" t="n">
        <f aca="false">Q!$E$7</f>
        <v>128.725</v>
      </c>
      <c r="E84" s="38" t="n">
        <f aca="false">Q!$P$7</f>
        <v>79.819</v>
      </c>
      <c r="N84" s="38" t="n">
        <f aca="false">Q!$N$7</f>
        <v>60.14</v>
      </c>
      <c r="O84" s="38" t="n">
        <f aca="false">Q!$O$7</f>
        <v>68.585</v>
      </c>
    </row>
    <row r="85" customFormat="false" ht="17.15" hidden="false" customHeight="false" outlineLevel="0" collapsed="false">
      <c r="A85" s="1" t="s">
        <v>579</v>
      </c>
      <c r="B85" s="8" t="s">
        <v>73</v>
      </c>
      <c r="C85" s="38" t="n">
        <f aca="false">Thesis!$C$84-Thesis!$C$81</f>
        <v>105.234994643026</v>
      </c>
      <c r="D85" s="38" t="n">
        <f aca="false">Thesis!$D$84-Thesis!$D$81</f>
        <v>120.021229911349</v>
      </c>
      <c r="E85" s="38" t="n">
        <f aca="false">Thesis!$E$84-Thesis!$E$81</f>
        <v>71.30864702443</v>
      </c>
      <c r="F85" s="38" t="n">
        <f aca="false">Thesis!$O$85*(1+Thesis!$F$86)</f>
        <v>78.5950104186653</v>
      </c>
      <c r="G85" s="38" t="n">
        <f aca="false">Thesis!$E$85+Thesis!$F$85</f>
        <v>149.903657443095</v>
      </c>
      <c r="H85" s="38" t="n">
        <f aca="false">Thesis!$G$85*(1+Thesis!$H$86)</f>
        <v>180.893560768142</v>
      </c>
      <c r="I85" s="38" t="n">
        <f aca="false">Thesis!$H$85*(1+Thesis!$I$86)</f>
        <v>210.64839721501</v>
      </c>
      <c r="J85" s="38" t="n">
        <f aca="false">Thesis!$I$85*(1+Thesis!$J$86)</f>
        <v>236.398909446495</v>
      </c>
      <c r="K85" s="38" t="n">
        <f aca="false">Thesis!$J$85*(1+Thesis!$K$86)</f>
        <v>255.310822202215</v>
      </c>
      <c r="L85" s="38" t="n">
        <f aca="false">Thesis!$K$85*(1+Thesis!$L$86)</f>
        <v>275.735687978392</v>
      </c>
      <c r="M85" s="38" t="n">
        <f aca="false">Thesis!$L$85*(1+Thesis!$M$86)</f>
        <v>297.794543016663</v>
      </c>
      <c r="N85" s="38" t="n">
        <f aca="false">Thesis!$N$84-Thesis!$N$81</f>
        <v>57.0936804689721</v>
      </c>
      <c r="O85" s="38" t="n">
        <f aca="false">Thesis!$O$84-Thesis!$O$81</f>
        <v>62.9275494423768</v>
      </c>
      <c r="P85" s="5" t="s">
        <v>580</v>
      </c>
    </row>
    <row r="86" customFormat="false" ht="17.15" hidden="false" customHeight="false" outlineLevel="0" collapsed="false">
      <c r="A86" s="0" t="s">
        <v>581</v>
      </c>
      <c r="B86" s="0" t="s">
        <v>52</v>
      </c>
      <c r="E86" s="12" t="n">
        <f aca="false">Thesis!$E$85/Thesis!$N$85-1</f>
        <v>0.248976181579029</v>
      </c>
      <c r="F86" s="12" t="n">
        <f aca="false">Thesis!$E$86</f>
        <v>0.248976181579029</v>
      </c>
      <c r="G86" s="12" t="n">
        <f aca="false">Thesis!$G$85/Thesis!$D$85-1</f>
        <v>0.248976181579029</v>
      </c>
      <c r="H86" s="12" t="n">
        <f aca="false">Thesis!$E$86+(g_awso_lt-Thesis!$E$86)*1/4</f>
        <v>0.206732136184272</v>
      </c>
      <c r="I86" s="12" t="n">
        <f aca="false">Thesis!$E$86+(g_awso_lt-Thesis!$E$86)*2/4</f>
        <v>0.164488090789515</v>
      </c>
      <c r="J86" s="12" t="n">
        <f aca="false">Thesis!$E$86+(g_awso_lt-Thesis!$E$86)*3/4</f>
        <v>0.122244045394757</v>
      </c>
      <c r="K86" s="12" t="n">
        <f aca="false">Thesis!$E$86+(g_awso_lt-Thesis!$E$86)*4/4</f>
        <v>0.08</v>
      </c>
      <c r="L86" s="12" t="n">
        <f aca="false">g_awso_lt</f>
        <v>0.08</v>
      </c>
      <c r="M86" s="12" t="n">
        <f aca="false">g_awso_lt</f>
        <v>0.08</v>
      </c>
      <c r="P86" s="8" t="s">
        <v>582</v>
      </c>
    </row>
    <row r="87" customFormat="false" ht="17.15" hidden="false" customHeight="false" outlineLevel="0" collapsed="false">
      <c r="A87" s="1" t="s">
        <v>583</v>
      </c>
    </row>
    <row r="88" customFormat="false" ht="17.15" hidden="false" customHeight="false" outlineLevel="0" collapsed="false">
      <c r="A88" s="0" t="s">
        <v>584</v>
      </c>
      <c r="B88" s="0" t="s">
        <v>73</v>
      </c>
      <c r="F88" s="38" t="n">
        <f aca="false">cx_rt*Seg!$F$53+cx_awso*Thesis!$F$85</f>
        <v>36.8045765066526</v>
      </c>
    </row>
    <row r="89" customFormat="false" ht="17.15" hidden="false" customHeight="false" outlineLevel="0" collapsed="false">
      <c r="A89" s="0" t="s">
        <v>585</v>
      </c>
      <c r="B89" s="0" t="s">
        <v>52</v>
      </c>
      <c r="C89" s="12" t="n">
        <f aca="false">tk_cx_h100/(tk_cx_h100+tk_fac*(1-colo_sh))</f>
        <v>0.730756458006641</v>
      </c>
      <c r="D89" s="12" t="n">
        <f aca="false">tk_cx_h100/(tk_cx_h100+tk_fac*(1-colo_sh))</f>
        <v>0.730756458006641</v>
      </c>
      <c r="E89" s="12" t="n">
        <f aca="false">Thesis!$F$89</f>
        <v>0.760792334328868</v>
      </c>
      <c r="F89" s="12" t="n">
        <f aca="false">Thesis!$F$72/(Thesis!$F$72+tk_fac*(1-colo_sh))</f>
        <v>0.760792334328868</v>
      </c>
      <c r="G89" s="12" t="n">
        <f aca="false">Thesis!$G$72/(Thesis!$G$72+tk_fac*(1-colo_sh))</f>
        <v>0.760792334328868</v>
      </c>
      <c r="H89" s="12" t="n">
        <f aca="false">Thesis!$H$72/(Thesis!$H$72+tk_fac*(1-colo_sh))</f>
        <v>0.768110668862996</v>
      </c>
      <c r="I89" s="12" t="n">
        <f aca="false">Thesis!$I$72/(Thesis!$I$72+tk_fac*(1-colo_sh))</f>
        <v>0.77499450139483</v>
      </c>
      <c r="J89" s="12" t="n">
        <f aca="false">Thesis!$J$72/(Thesis!$J$72+tk_fac*(1-colo_sh))</f>
        <v>0.77499450139483</v>
      </c>
      <c r="K89" s="12" t="n">
        <f aca="false">Thesis!$K$72/(Thesis!$K$72+tk_fac*(1-colo_sh))</f>
        <v>0.77499450139483</v>
      </c>
      <c r="L89" s="12" t="n">
        <f aca="false">Thesis!$L$72/(Thesis!$L$72+tk_fac*(1-colo_sh))</f>
        <v>0.77499450139483</v>
      </c>
      <c r="M89" s="12" t="n">
        <f aca="false">Thesis!$M$72/(Thesis!$M$72+tk_fac*(1-colo_sh))</f>
        <v>0.77499450139483</v>
      </c>
    </row>
    <row r="90" customFormat="false" ht="17.15" hidden="false" customHeight="false" outlineLevel="0" collapsed="false">
      <c r="A90" s="1" t="s">
        <v>586</v>
      </c>
      <c r="B90" s="8" t="s">
        <v>73</v>
      </c>
      <c r="C90" s="38" t="n">
        <f aca="false">Q!$D$46-cx_rt*Q!$D$16-cx_awso*Thesis!$C$85</f>
        <v>25.2781053077374</v>
      </c>
      <c r="D90" s="38" t="n">
        <f aca="false">Q!$E$46-cx_rt*Q!$E$16-cx_awso*Thesis!$D$85</f>
        <v>69.5686316310026</v>
      </c>
      <c r="E90" s="38" t="n">
        <f aca="false">Q!$P$46-cx_rt*Q!$P$16-cx_awso*Thesis!$E$85</f>
        <v>64.1899206485108</v>
      </c>
      <c r="F90" s="38" t="n">
        <f aca="false">MAX(Thesis!$F$67*(Thesis!$F$72+tk_fac*(1-colo_sh))/1000,capex_g26-Q!$P$46-Thesis!$F$88)</f>
        <v>96.2481299895</v>
      </c>
      <c r="G90" s="38" t="n">
        <f aca="false">Thesis!$E$90+Thesis!$F$90</f>
        <v>160.438050638011</v>
      </c>
      <c r="H90" s="38" t="n">
        <f aca="false">Thesis!$H$67*(Thesis!$H$72+tk_fac*(1-colo_sh))/1000+Thesis!$H$91</f>
        <v>198.57136494475</v>
      </c>
      <c r="I90" s="38" t="n">
        <f aca="false">Thesis!$I$67*(Thesis!$I$72+tk_fac*(1-colo_sh))/1000+Thesis!$I$91</f>
        <v>204.6464699105</v>
      </c>
      <c r="J90" s="38" t="n">
        <f aca="false">Thesis!$J$67*(Thesis!$J$72+tk_fac*(1-colo_sh))/1000+Thesis!$J$91</f>
        <v>209.8832381105</v>
      </c>
      <c r="K90" s="38" t="n">
        <f aca="false">Thesis!$K$67*(Thesis!$K$72+tk_fac*(1-colo_sh))/1000+Thesis!$K$91</f>
        <v>215.1200063105</v>
      </c>
      <c r="L90" s="38" t="n">
        <f aca="false">Thesis!$L$67*(Thesis!$L$72+tk_fac*(1-colo_sh))/1000+Thesis!$L$91</f>
        <v>251.7773837105</v>
      </c>
      <c r="M90" s="38" t="n">
        <f aca="false">Thesis!$M$67*(Thesis!$M$72+tk_fac*(1-colo_sh))/1000+Thesis!$M$91</f>
        <v>311.87584476575</v>
      </c>
      <c r="P90" s="5" t="s">
        <v>587</v>
      </c>
      <c r="R90" s="38" t="n">
        <f aca="false">Q!$C$46-cx_rt*Q!$C$16-cx_awso*(Q!$C$7-mw_ye23/2*rpm_open/1000)</f>
        <v>1.50429979529945</v>
      </c>
      <c r="S90" s="38" t="n">
        <f aca="false">Thesis!$C$90</f>
        <v>25.2781053077374</v>
      </c>
      <c r="T90" s="38" t="n">
        <f aca="false">Thesis!$D$90</f>
        <v>69.5686316310026</v>
      </c>
      <c r="U90" s="38" t="n">
        <f aca="false">Thesis!$G$90</f>
        <v>160.438050638011</v>
      </c>
      <c r="V90" s="38" t="n">
        <f aca="false">Thesis!$H$90</f>
        <v>198.57136494475</v>
      </c>
      <c r="W90" s="38" t="n">
        <f aca="false">Thesis!$I$90</f>
        <v>204.6464699105</v>
      </c>
      <c r="X90" s="38" t="n">
        <f aca="false">Thesis!$J$90</f>
        <v>209.8832381105</v>
      </c>
      <c r="Y90" s="38" t="n">
        <f aca="false">Thesis!$K$90</f>
        <v>215.1200063105</v>
      </c>
      <c r="Z90" s="38" t="n">
        <f aca="false">Thesis!$L$90</f>
        <v>251.7773837105</v>
      </c>
      <c r="AA90" s="38" t="n">
        <f aca="false">Thesis!$M$90</f>
        <v>311.87584476575</v>
      </c>
    </row>
    <row r="91" customFormat="false" ht="17.15" hidden="false" customHeight="false" outlineLevel="0" collapsed="false">
      <c r="A91" s="0" t="s">
        <v>588</v>
      </c>
      <c r="B91" s="0" t="s">
        <v>73</v>
      </c>
      <c r="H91" s="38" t="n">
        <f aca="false">SUMPRODUCT(--(Thesis!$R$61:$AA$61=2027-tk_life),Thesis!$R$67:$AA$67)*Thesis!$H$72/1000</f>
        <v>0</v>
      </c>
      <c r="I91" s="38" t="n">
        <f aca="false">SUMPRODUCT(--(Thesis!$R$61:$AA$61=2028-tk_life),Thesis!$R$67:$AA$67)*Thesis!$I$72/1000</f>
        <v>0</v>
      </c>
      <c r="J91" s="38" t="n">
        <f aca="false">SUMPRODUCT(--(Thesis!$R$61:$AA$61=2029-tk_life),Thesis!$R$67:$AA$67)*Thesis!$J$72/1000</f>
        <v>5.2367682</v>
      </c>
      <c r="K91" s="38" t="n">
        <f aca="false">SUMPRODUCT(--(Thesis!$R$61:$AA$61=2030-tk_life),Thesis!$R$67:$AA$67)*Thesis!$K$72/1000</f>
        <v>10.4735364</v>
      </c>
      <c r="L91" s="38" t="n">
        <f aca="false">SUMPRODUCT(--(Thesis!$R$61:$AA$61=2031-tk_life),Thesis!$R$67:$AA$67)*Thesis!$L$72/1000</f>
        <v>47.1309138</v>
      </c>
      <c r="M91" s="38" t="n">
        <f aca="false">SUMPRODUCT(--(Thesis!$R$61:$AA$61=2032-tk_life),Thesis!$R$67:$AA$67)*Thesis!$M$72/1000</f>
        <v>107.22937485525</v>
      </c>
    </row>
    <row r="92" customFormat="false" ht="17.15" hidden="false" customHeight="false" outlineLevel="0" collapsed="false">
      <c r="A92" s="5" t="s">
        <v>589</v>
      </c>
      <c r="B92" s="0" t="s">
        <v>73</v>
      </c>
      <c r="C92" s="38" t="n">
        <f aca="false">Thesis!$C$90*Thesis!$C$89</f>
        <v>18.472138699801</v>
      </c>
      <c r="D92" s="38" t="n">
        <f aca="false">Thesis!$D$90*Thesis!$D$89</f>
        <v>50.8377268390402</v>
      </c>
      <c r="E92" s="38" t="n">
        <f aca="false">Thesis!$E$90*Thesis!$E$89</f>
        <v>48.8351995705653</v>
      </c>
      <c r="F92" s="38" t="n">
        <f aca="false">Thesis!$F$90*Thesis!$F$89</f>
        <v>73.2248394895</v>
      </c>
      <c r="G92" s="38" t="n">
        <f aca="false">Thesis!$E$92+Thesis!$F$92</f>
        <v>122.060039060065</v>
      </c>
      <c r="H92" s="38" t="n">
        <f aca="false">(Thesis!$H$90-Thesis!$H$91)*Thesis!$H$89+Thesis!$H$91</f>
        <v>152.52478394475</v>
      </c>
      <c r="I92" s="38" t="n">
        <f aca="false">(Thesis!$I$90-Thesis!$I$91)*Thesis!$I$89+Thesis!$I$91</f>
        <v>158.5998889105</v>
      </c>
      <c r="J92" s="38" t="n">
        <f aca="false">(Thesis!$J$90-Thesis!$J$91)*Thesis!$J$89+Thesis!$J$91</f>
        <v>163.8366571105</v>
      </c>
      <c r="K92" s="38" t="n">
        <f aca="false">(Thesis!$K$90-Thesis!$K$91)*Thesis!$K$89+Thesis!$K$91</f>
        <v>169.0734253105</v>
      </c>
      <c r="L92" s="38" t="n">
        <f aca="false">(Thesis!$L$90-Thesis!$L$91)*Thesis!$L$89+Thesis!$L$91</f>
        <v>205.7308027105</v>
      </c>
      <c r="M92" s="38" t="n">
        <f aca="false">(Thesis!$M$90-Thesis!$M$91)*Thesis!$M$89+Thesis!$M$91</f>
        <v>265.82926376575</v>
      </c>
      <c r="R92" s="38" t="n">
        <f aca="false">Thesis!$R$90*Thesis!$C$89</f>
        <v>1.09927679019314</v>
      </c>
      <c r="S92" s="38" t="n">
        <f aca="false">Thesis!$C$92</f>
        <v>18.472138699801</v>
      </c>
      <c r="T92" s="38" t="n">
        <f aca="false">Thesis!$D$92</f>
        <v>50.8377268390402</v>
      </c>
      <c r="U92" s="38" t="n">
        <f aca="false">Thesis!$G$92</f>
        <v>122.060039060065</v>
      </c>
      <c r="V92" s="38" t="n">
        <f aca="false">Thesis!$H$92</f>
        <v>152.52478394475</v>
      </c>
      <c r="W92" s="38" t="n">
        <f aca="false">Thesis!$I$92</f>
        <v>158.5998889105</v>
      </c>
      <c r="X92" s="38" t="n">
        <f aca="false">Thesis!$J$92</f>
        <v>163.8366571105</v>
      </c>
      <c r="Y92" s="38" t="n">
        <f aca="false">Thesis!$K$92</f>
        <v>169.0734253105</v>
      </c>
      <c r="Z92" s="38" t="n">
        <f aca="false">Thesis!$L$92</f>
        <v>205.7308027105</v>
      </c>
      <c r="AA92" s="38" t="n">
        <f aca="false">Thesis!$M$92</f>
        <v>265.82926376575</v>
      </c>
    </row>
    <row r="93" customFormat="false" ht="15" hidden="false" customHeight="false" outlineLevel="0" collapsed="false">
      <c r="A93" s="5" t="s">
        <v>590</v>
      </c>
      <c r="B93" s="0" t="s">
        <v>73</v>
      </c>
      <c r="R93" s="38" t="n">
        <f aca="false">Thesis!$R$90-Thesis!$R$92</f>
        <v>0.405023005106309</v>
      </c>
      <c r="S93" s="38" t="n">
        <f aca="false">Thesis!$S$90-Thesis!$S$92</f>
        <v>6.80596660793636</v>
      </c>
      <c r="T93" s="38" t="n">
        <f aca="false">Thesis!$T$90-Thesis!$T$92</f>
        <v>18.7309047919624</v>
      </c>
      <c r="U93" s="38" t="n">
        <f aca="false">Thesis!$U$90-Thesis!$U$92</f>
        <v>38.3780115779455</v>
      </c>
      <c r="V93" s="38" t="n">
        <f aca="false">Thesis!$V$90-Thesis!$V$92</f>
        <v>46.046581</v>
      </c>
      <c r="W93" s="38" t="n">
        <f aca="false">Thesis!$W$90-Thesis!$W$92</f>
        <v>46.046581</v>
      </c>
      <c r="X93" s="38" t="n">
        <f aca="false">Thesis!$X$90-Thesis!$X$92</f>
        <v>46.046581</v>
      </c>
      <c r="Y93" s="38" t="n">
        <f aca="false">Thesis!$Y$90-Thesis!$Y$92</f>
        <v>46.046581</v>
      </c>
      <c r="Z93" s="38" t="n">
        <f aca="false">Thesis!$Z$90-Thesis!$Z$92</f>
        <v>46.046581</v>
      </c>
      <c r="AA93" s="38" t="n">
        <f aca="false">Thesis!$AA$90-Thesis!$AA$92</f>
        <v>46.046581</v>
      </c>
    </row>
    <row r="94" customFormat="false" ht="17.15" hidden="false" customHeight="false" outlineLevel="0" collapsed="false">
      <c r="A94" s="0" t="s">
        <v>591</v>
      </c>
      <c r="B94" s="0" t="s">
        <v>73</v>
      </c>
      <c r="C94" s="38" t="n">
        <f aca="false">Thesis!$S$94</f>
        <v>0.183212798365523</v>
      </c>
      <c r="D94" s="38" t="n">
        <f aca="false">Thesis!$T$94</f>
        <v>3.2619025816657</v>
      </c>
      <c r="E94" s="38" t="n">
        <f aca="false">Thesis!$G$94/2</f>
        <v>5.86742852741953</v>
      </c>
      <c r="F94" s="38" t="n">
        <f aca="false">Thesis!$G$94/2</f>
        <v>5.86742852741953</v>
      </c>
      <c r="G94" s="38" t="n">
        <f aca="false">Thesis!$U$94</f>
        <v>11.7348570548391</v>
      </c>
      <c r="H94" s="38" t="n">
        <f aca="false">Thesis!$V$94</f>
        <v>32.0781968981833</v>
      </c>
      <c r="I94" s="38" t="n">
        <f aca="false">Thesis!$W$94</f>
        <v>57.4989942223083</v>
      </c>
      <c r="J94" s="38" t="n">
        <f aca="false">Thesis!$X$94</f>
        <v>83.932309040725</v>
      </c>
      <c r="K94" s="38" t="n">
        <f aca="false">Thesis!$Y$94</f>
        <v>111.055205760776</v>
      </c>
      <c r="L94" s="38" t="n">
        <f aca="false">Thesis!$Z$94</f>
        <v>136.155420195893</v>
      </c>
      <c r="M94" s="38" t="n">
        <f aca="false">Thesis!$AA$94</f>
        <v>161.970932841136</v>
      </c>
      <c r="N94" s="38" t="n">
        <f aca="false">Thesis!$D$94/2</f>
        <v>1.63095129083285</v>
      </c>
      <c r="O94" s="38" t="n">
        <f aca="false">Thesis!$D$94/2</f>
        <v>1.63095129083285</v>
      </c>
      <c r="R94" s="38" t="n">
        <f aca="false">SUMPRODUCT(--(Thesis!$R$61:$AA$61&lt;Thesis!R$61),--(Thesis!$R$61:$AA$61&gt;=Thesis!R$61-tk_life),Thesis!$R$92:$AA$92)/tk_life</f>
        <v>0</v>
      </c>
      <c r="S94" s="38" t="n">
        <f aca="false">SUMPRODUCT(--(Thesis!$R$61:$AA$61&lt;Thesis!S$61),--(Thesis!$R$61:$AA$61&gt;=Thesis!S$61-tk_life),Thesis!$R$92:$AA$92)/tk_life</f>
        <v>0.183212798365523</v>
      </c>
      <c r="T94" s="38" t="n">
        <f aca="false">SUMPRODUCT(--(Thesis!$R$61:$AA$61&lt;Thesis!T$61),--(Thesis!$R$61:$AA$61&gt;=Thesis!T$61-tk_life),Thesis!$R$92:$AA$92)/tk_life</f>
        <v>3.2619025816657</v>
      </c>
      <c r="U94" s="38" t="n">
        <f aca="false">SUMPRODUCT(--(Thesis!$R$61:$AA$61&lt;Thesis!U$61),--(Thesis!$R$61:$AA$61&gt;=Thesis!U$61-tk_life),Thesis!$R$92:$AA$92)/tk_life</f>
        <v>11.7348570548391</v>
      </c>
      <c r="V94" s="38" t="n">
        <f aca="false">SUMPRODUCT(--(Thesis!$R$61:$AA$61&lt;Thesis!V$61),--(Thesis!$R$61:$AA$61&gt;=Thesis!V$61-tk_life),Thesis!$R$92:$AA$92)/tk_life</f>
        <v>32.0781968981833</v>
      </c>
      <c r="W94" s="38" t="n">
        <f aca="false">SUMPRODUCT(--(Thesis!$R$61:$AA$61&lt;Thesis!W$61),--(Thesis!$R$61:$AA$61&gt;=Thesis!W$61-tk_life),Thesis!$R$92:$AA$92)/tk_life</f>
        <v>57.4989942223083</v>
      </c>
      <c r="X94" s="38" t="n">
        <f aca="false">SUMPRODUCT(--(Thesis!$R$61:$AA$61&lt;Thesis!X$61),--(Thesis!$R$61:$AA$61&gt;=Thesis!X$61-tk_life),Thesis!$R$92:$AA$92)/tk_life</f>
        <v>83.932309040725</v>
      </c>
      <c r="Y94" s="38" t="n">
        <f aca="false">SUMPRODUCT(--(Thesis!$R$61:$AA$61&lt;Thesis!Y$61),--(Thesis!$R$61:$AA$61&gt;=Thesis!Y$61-tk_life),Thesis!$R$92:$AA$92)/tk_life</f>
        <v>111.055205760776</v>
      </c>
      <c r="Z94" s="38" t="n">
        <f aca="false">SUMPRODUCT(--(Thesis!$R$61:$AA$61&lt;Thesis!Z$61),--(Thesis!$R$61:$AA$61&gt;=Thesis!Z$61-tk_life),Thesis!$R$92:$AA$92)/tk_life</f>
        <v>136.155420195893</v>
      </c>
      <c r="AA94" s="38" t="n">
        <f aca="false">SUMPRODUCT(--(Thesis!$R$61:$AA$61&lt;Thesis!AA$61),--(Thesis!$R$61:$AA$61&gt;=Thesis!AA$61-tk_life),Thesis!$R$92:$AA$92)/tk_life</f>
        <v>161.970932841136</v>
      </c>
    </row>
    <row r="95" customFormat="false" ht="17.15" hidden="false" customHeight="false" outlineLevel="0" collapsed="false">
      <c r="A95" s="0" t="s">
        <v>592</v>
      </c>
      <c r="B95" s="0" t="s">
        <v>73</v>
      </c>
      <c r="C95" s="38" t="n">
        <f aca="false">Thesis!$S$95</f>
        <v>0.0202511502553155</v>
      </c>
      <c r="D95" s="38" t="n">
        <f aca="false">Thesis!$T$95</f>
        <v>0.360549480652134</v>
      </c>
      <c r="E95" s="38" t="n">
        <f aca="false">Thesis!$G$95/2</f>
        <v>0.648547360125127</v>
      </c>
      <c r="F95" s="38" t="n">
        <f aca="false">Thesis!$G$95/2</f>
        <v>0.648547360125127</v>
      </c>
      <c r="G95" s="38" t="n">
        <f aca="false">Thesis!$U$95</f>
        <v>1.29709472025025</v>
      </c>
      <c r="H95" s="38" t="n">
        <f aca="false">Thesis!$V$95</f>
        <v>3.21599529914753</v>
      </c>
      <c r="I95" s="38" t="n">
        <f aca="false">Thesis!$W$95</f>
        <v>5.51832434914753</v>
      </c>
      <c r="J95" s="38" t="n">
        <f aca="false">Thesis!$X$95</f>
        <v>7.82065339914753</v>
      </c>
      <c r="K95" s="38" t="n">
        <f aca="false">Thesis!$Y$95</f>
        <v>10.1229824491475</v>
      </c>
      <c r="L95" s="38" t="n">
        <f aca="false">Thesis!$Z$95</f>
        <v>12.4253114991475</v>
      </c>
      <c r="M95" s="38" t="n">
        <f aca="false">Thesis!$AA$95</f>
        <v>14.7276405491475</v>
      </c>
      <c r="N95" s="38" t="n">
        <f aca="false">Thesis!$D$95/2</f>
        <v>0.180274740326067</v>
      </c>
      <c r="O95" s="38" t="n">
        <f aca="false">Thesis!$D$95/2</f>
        <v>0.180274740326067</v>
      </c>
      <c r="R95" s="38" t="n">
        <f aca="false">SUMPRODUCT(--(Thesis!$R$61:$AA$61&lt;Thesis!R$61),Thesis!$R$93:$AA$93)/fac_life</f>
        <v>0</v>
      </c>
      <c r="S95" s="38" t="n">
        <f aca="false">SUMPRODUCT(--(Thesis!$R$61:$AA$61&lt;Thesis!S$61),Thesis!$R$93:$AA$93)/fac_life</f>
        <v>0.0202511502553155</v>
      </c>
      <c r="T95" s="38" t="n">
        <f aca="false">SUMPRODUCT(--(Thesis!$R$61:$AA$61&lt;Thesis!T$61),Thesis!$R$93:$AA$93)/fac_life</f>
        <v>0.360549480652134</v>
      </c>
      <c r="U95" s="38" t="n">
        <f aca="false">SUMPRODUCT(--(Thesis!$R$61:$AA$61&lt;Thesis!U$61),Thesis!$R$93:$AA$93)/fac_life</f>
        <v>1.29709472025025</v>
      </c>
      <c r="V95" s="38" t="n">
        <f aca="false">SUMPRODUCT(--(Thesis!$R$61:$AA$61&lt;Thesis!V$61),Thesis!$R$93:$AA$93)/fac_life</f>
        <v>3.21599529914753</v>
      </c>
      <c r="W95" s="38" t="n">
        <f aca="false">SUMPRODUCT(--(Thesis!$R$61:$AA$61&lt;Thesis!W$61),Thesis!$R$93:$AA$93)/fac_life</f>
        <v>5.51832434914753</v>
      </c>
      <c r="X95" s="38" t="n">
        <f aca="false">SUMPRODUCT(--(Thesis!$R$61:$AA$61&lt;Thesis!X$61),Thesis!$R$93:$AA$93)/fac_life</f>
        <v>7.82065339914753</v>
      </c>
      <c r="Y95" s="38" t="n">
        <f aca="false">SUMPRODUCT(--(Thesis!$R$61:$AA$61&lt;Thesis!Y$61),Thesis!$R$93:$AA$93)/fac_life</f>
        <v>10.1229824491475</v>
      </c>
      <c r="Z95" s="38" t="n">
        <f aca="false">SUMPRODUCT(--(Thesis!$R$61:$AA$61&lt;Thesis!Z$61),Thesis!$R$93:$AA$93)/fac_life</f>
        <v>12.4253114991475</v>
      </c>
      <c r="AA95" s="38" t="n">
        <f aca="false">SUMPRODUCT(--(Thesis!$R$61:$AA$61&lt;Thesis!AA$61),Thesis!$R$93:$AA$93)/fac_life</f>
        <v>14.7276405491475</v>
      </c>
    </row>
    <row r="96" customFormat="false" ht="17.15" hidden="false" customHeight="false" outlineLevel="0" collapsed="false">
      <c r="A96" s="1" t="s">
        <v>593</v>
      </c>
      <c r="B96" s="8" t="s">
        <v>73</v>
      </c>
      <c r="C96" s="38" t="n">
        <f aca="false">Thesis!$C$94+Thesis!$C$95</f>
        <v>0.203463948620839</v>
      </c>
      <c r="D96" s="38" t="n">
        <f aca="false">Thesis!$D$94+Thesis!$D$95</f>
        <v>3.62245206231783</v>
      </c>
      <c r="E96" s="38" t="n">
        <f aca="false">Thesis!$E$94+Thesis!$E$95</f>
        <v>6.51597588754466</v>
      </c>
      <c r="F96" s="38" t="n">
        <f aca="false">Thesis!$F$94+Thesis!$F$95</f>
        <v>6.51597588754466</v>
      </c>
      <c r="G96" s="38" t="n">
        <f aca="false">Thesis!$G$94+Thesis!$G$95</f>
        <v>13.0319517750893</v>
      </c>
      <c r="H96" s="38" t="n">
        <f aca="false">Thesis!$H$94+Thesis!$H$95</f>
        <v>35.2941921973308</v>
      </c>
      <c r="I96" s="38" t="n">
        <f aca="false">Thesis!$I$94+Thesis!$I$95</f>
        <v>63.0173185714558</v>
      </c>
      <c r="J96" s="38" t="n">
        <f aca="false">Thesis!$J$94+Thesis!$J$95</f>
        <v>91.7529624398725</v>
      </c>
      <c r="K96" s="38" t="n">
        <f aca="false">Thesis!$K$94+Thesis!$K$95</f>
        <v>121.178188209924</v>
      </c>
      <c r="L96" s="38" t="n">
        <f aca="false">Thesis!$L$94+Thesis!$L$95</f>
        <v>148.58073169504</v>
      </c>
      <c r="M96" s="38" t="n">
        <f aca="false">Thesis!$M$94+Thesis!$M$95</f>
        <v>176.698573390283</v>
      </c>
      <c r="N96" s="38" t="n">
        <f aca="false">Thesis!$N$94+Thesis!$N$95</f>
        <v>1.81122603115892</v>
      </c>
      <c r="O96" s="38" t="n">
        <f aca="false">Thesis!$O$94+Thesis!$O$95</f>
        <v>1.81122603115892</v>
      </c>
      <c r="R96" s="38" t="n">
        <f aca="false">Thesis!$R$94+Thesis!$R$95</f>
        <v>0</v>
      </c>
      <c r="S96" s="38" t="n">
        <f aca="false">Thesis!$S$94+Thesis!$S$95</f>
        <v>0.203463948620839</v>
      </c>
      <c r="T96" s="38" t="n">
        <f aca="false">Thesis!$T$94+Thesis!$T$95</f>
        <v>3.62245206231783</v>
      </c>
      <c r="U96" s="38" t="n">
        <f aca="false">Thesis!$U$94+Thesis!$U$95</f>
        <v>13.0319517750893</v>
      </c>
      <c r="V96" s="38" t="n">
        <f aca="false">Thesis!$V$94+Thesis!$V$95</f>
        <v>35.2941921973308</v>
      </c>
      <c r="W96" s="38" t="n">
        <f aca="false">Thesis!$W$94+Thesis!$W$95</f>
        <v>63.0173185714558</v>
      </c>
      <c r="X96" s="38" t="n">
        <f aca="false">Thesis!$X$94+Thesis!$X$95</f>
        <v>91.7529624398725</v>
      </c>
      <c r="Y96" s="38" t="n">
        <f aca="false">Thesis!$Y$94+Thesis!$Y$95</f>
        <v>121.178188209924</v>
      </c>
      <c r="Z96" s="38" t="n">
        <f aca="false">Thesis!$Z$94+Thesis!$Z$95</f>
        <v>148.58073169504</v>
      </c>
      <c r="AA96" s="38" t="n">
        <f aca="false">Thesis!$AA$94+Thesis!$AA$95</f>
        <v>176.698573390283</v>
      </c>
    </row>
    <row r="97" customFormat="false" ht="17.15" hidden="false" customHeight="false" outlineLevel="0" collapsed="false">
      <c r="A97" s="0" t="s">
        <v>594</v>
      </c>
      <c r="B97" s="0" t="s">
        <v>73</v>
      </c>
      <c r="C97" s="38" t="n">
        <f aca="false">Thesis!$S$97</f>
        <v>26.578941154416</v>
      </c>
      <c r="D97" s="38" t="n">
        <f aca="false">Thesis!$T$97</f>
        <v>92.5251207231008</v>
      </c>
      <c r="G97" s="38" t="n">
        <f aca="false">Thesis!$U$97</f>
        <v>239.931219586022</v>
      </c>
      <c r="H97" s="38" t="n">
        <f aca="false">Thesis!$V$97</f>
        <v>403.208392333442</v>
      </c>
      <c r="I97" s="38" t="n">
        <f aca="false">Thesis!$W$97</f>
        <v>544.837543672486</v>
      </c>
      <c r="J97" s="38" t="n">
        <f aca="false">Thesis!$X$97</f>
        <v>662.967819343113</v>
      </c>
      <c r="K97" s="38" t="n">
        <f aca="false">Thesis!$Y$97</f>
        <v>756.90963744369</v>
      </c>
      <c r="L97" s="38" t="n">
        <f aca="false">Thesis!$Z$97</f>
        <v>860.10628945915</v>
      </c>
      <c r="M97" s="38" t="n">
        <f aca="false">Thesis!$AA$97</f>
        <v>995.283560834616</v>
      </c>
      <c r="R97" s="38" t="n">
        <f aca="false">SUM(Thesis!$R$90:$R$90)-SUM(Thesis!$R$96:$R$96)</f>
        <v>1.50429979529945</v>
      </c>
      <c r="S97" s="38" t="n">
        <f aca="false">SUM(Thesis!$R$90:$S$90)-SUM(Thesis!$R$96:$S$96)</f>
        <v>26.578941154416</v>
      </c>
      <c r="T97" s="38" t="n">
        <f aca="false">SUM(Thesis!$R$90:$T$90)-SUM(Thesis!$R$96:$T$96)</f>
        <v>92.5251207231008</v>
      </c>
      <c r="U97" s="38" t="n">
        <f aca="false">SUM(Thesis!$R$90:$U$90)-SUM(Thesis!$R$96:$U$96)</f>
        <v>239.931219586022</v>
      </c>
      <c r="V97" s="38" t="n">
        <f aca="false">SUM(Thesis!$R$90:$V$90)-SUM(Thesis!$R$96:$V$96)</f>
        <v>403.208392333442</v>
      </c>
      <c r="W97" s="38" t="n">
        <f aca="false">SUM(Thesis!$R$90:$W$90)-SUM(Thesis!$R$96:$W$96)</f>
        <v>544.837543672486</v>
      </c>
      <c r="X97" s="38" t="n">
        <f aca="false">SUM(Thesis!$R$90:$X$90)-SUM(Thesis!$R$96:$X$96)</f>
        <v>662.967819343113</v>
      </c>
      <c r="Y97" s="38" t="n">
        <f aca="false">SUM(Thesis!$R$90:$Y$90)-SUM(Thesis!$R$96:$Y$96)</f>
        <v>756.90963744369</v>
      </c>
      <c r="Z97" s="38" t="n">
        <f aca="false">SUM(Thesis!$R$90:$Z$90)-SUM(Thesis!$R$96:$Z$96)</f>
        <v>860.10628945915</v>
      </c>
      <c r="AA97" s="38" t="n">
        <f aca="false">SUM(Thesis!$R$90:$AA$90)-SUM(Thesis!$R$96:$AA$96)</f>
        <v>995.283560834616</v>
      </c>
    </row>
    <row r="98" customFormat="false" ht="17.15" hidden="false" customHeight="false" outlineLevel="0" collapsed="false">
      <c r="A98" s="1" t="s">
        <v>595</v>
      </c>
    </row>
    <row r="99" customFormat="false" ht="17.15" hidden="false" customHeight="false" outlineLevel="0" collapsed="false">
      <c r="A99" s="0" t="s">
        <v>596</v>
      </c>
      <c r="B99" s="0" t="s">
        <v>73</v>
      </c>
      <c r="C99" s="38" t="n">
        <f aca="false">Thesis!$C$81-ext_sh*Thesis!$C$83</f>
        <v>1.80694998843362</v>
      </c>
      <c r="D99" s="38" t="n">
        <f aca="false">Thesis!$D$81-ext_sh*Thesis!$D$83</f>
        <v>6.77606245662607</v>
      </c>
      <c r="E99" s="38" t="n">
        <f aca="false">Thesis!$E$81-ext_sh*Thesis!$E$83</f>
        <v>6.62548329092326</v>
      </c>
      <c r="F99" s="38" t="n">
        <f aca="false">Thesis!$F$81-ext_sh*Thesis!$F$83</f>
        <v>11.7200577158706</v>
      </c>
      <c r="G99" s="38" t="n">
        <f aca="false">Thesis!$G$81-ext_sh*Thesis!$G$83</f>
        <v>18.3455410067939</v>
      </c>
      <c r="H99" s="38" t="n">
        <f aca="false">Thesis!$H$81-ext_sh*Thesis!$H$83</f>
        <v>47.5171727060453</v>
      </c>
      <c r="I99" s="38" t="n">
        <f aca="false">Thesis!$I$81-ext_sh*Thesis!$I$83</f>
        <v>80.5539692643667</v>
      </c>
      <c r="J99" s="38" t="n">
        <f aca="false">Thesis!$J$81-ext_sh*Thesis!$J$83</f>
        <v>113.759316834883</v>
      </c>
      <c r="K99" s="38" t="n">
        <f aca="false">Thesis!$K$81-ext_sh*Thesis!$K$83</f>
        <v>147.020848076132</v>
      </c>
      <c r="L99" s="38" t="n">
        <f aca="false">Thesis!$L$81-ext_sh*Thesis!$L$83</f>
        <v>180.307917349531</v>
      </c>
      <c r="M99" s="38" t="n">
        <f aca="false">Thesis!$M$81-ext_sh*Thesis!$M$83</f>
        <v>213.608737871012</v>
      </c>
      <c r="N99" s="38" t="n">
        <f aca="false">Thesis!$N$81-ext_sh*Thesis!$N$83</f>
        <v>2.37162185981912</v>
      </c>
      <c r="O99" s="38" t="n">
        <f aca="false">Thesis!$O$81-ext_sh*Thesis!$O$83</f>
        <v>4.40444059680694</v>
      </c>
    </row>
    <row r="100" customFormat="false" ht="17.15" hidden="false" customHeight="false" outlineLevel="0" collapsed="false">
      <c r="A100" s="1" t="s">
        <v>597</v>
      </c>
      <c r="B100" s="8" t="s">
        <v>73</v>
      </c>
      <c r="C100" s="38" t="n">
        <f aca="false">Thesis!$C$99-ext_sh*Thesis!$C$96</f>
        <v>1.64417882953695</v>
      </c>
      <c r="D100" s="38" t="n">
        <f aca="false">Thesis!$D$99-ext_sh*Thesis!$D$96</f>
        <v>3.8781008067718</v>
      </c>
      <c r="E100" s="38" t="n">
        <f aca="false">Thesis!$E$99-ext_sh*Thesis!$E$96</f>
        <v>1.41270258088753</v>
      </c>
      <c r="F100" s="38" t="n">
        <f aca="false">Thesis!$F$99-ext_sh*Thesis!$F$96</f>
        <v>6.50727700583486</v>
      </c>
      <c r="G100" s="38" t="n">
        <f aca="false">Thesis!$G$99-ext_sh*Thesis!$G$96</f>
        <v>7.9199795867224</v>
      </c>
      <c r="H100" s="38" t="n">
        <f aca="false">Thesis!$H$99-ext_sh*Thesis!$H$96</f>
        <v>19.2818189481807</v>
      </c>
      <c r="I100" s="38" t="n">
        <f aca="false">Thesis!$I$99-ext_sh*Thesis!$I$96</f>
        <v>30.140114407202</v>
      </c>
      <c r="J100" s="38" t="n">
        <f aca="false">Thesis!$J$99-ext_sh*Thesis!$J$96</f>
        <v>40.3569468829854</v>
      </c>
      <c r="K100" s="38" t="n">
        <f aca="false">Thesis!$K$99-ext_sh*Thesis!$K$96</f>
        <v>50.0782975081929</v>
      </c>
      <c r="L100" s="38" t="n">
        <f aca="false">Thesis!$L$99-ext_sh*Thesis!$L$96</f>
        <v>61.443331993499</v>
      </c>
      <c r="M100" s="38" t="n">
        <f aca="false">Thesis!$M$99-ext_sh*Thesis!$M$96</f>
        <v>72.2498791587849</v>
      </c>
      <c r="N100" s="38" t="n">
        <f aca="false">Thesis!$N$99-ext_sh*Thesis!$N$96</f>
        <v>0.92264103489199</v>
      </c>
      <c r="O100" s="38" t="n">
        <f aca="false">Thesis!$O$99-ext_sh*Thesis!$O$96</f>
        <v>2.95545977187981</v>
      </c>
    </row>
    <row r="101" customFormat="false" ht="17.15" hidden="false" customHeight="false" outlineLevel="0" collapsed="false">
      <c r="A101" s="0" t="s">
        <v>598</v>
      </c>
      <c r="B101" s="0" t="s">
        <v>52</v>
      </c>
      <c r="C101" s="12" t="n">
        <f aca="false">Thesis!$C$100/Thesis!$C$81</f>
        <v>0.708390794789371</v>
      </c>
      <c r="D101" s="12" t="n">
        <f aca="false">Thesis!$D$100/Thesis!$D$81</f>
        <v>0.445565630441968</v>
      </c>
      <c r="E101" s="12" t="n">
        <f aca="false">Thesis!$E$100/Thesis!$E$81</f>
        <v>0.165998118402711</v>
      </c>
      <c r="F101" s="12" t="n">
        <f aca="false">Thesis!$F$100/Thesis!$F$81</f>
        <v>0.434878595403858</v>
      </c>
      <c r="G101" s="12" t="n">
        <f aca="false">Thesis!$G$100/Thesis!$G$81</f>
        <v>0.3373967615381</v>
      </c>
      <c r="H101" s="12" t="n">
        <f aca="false">Thesis!$H$100/Thesis!$H$81</f>
        <v>0.320477578041224</v>
      </c>
      <c r="I101" s="12" t="n">
        <f aca="false">Thesis!$I$100/Thesis!$I$81</f>
        <v>0.296936118226494</v>
      </c>
      <c r="J101" s="12" t="n">
        <f aca="false">Thesis!$J$100/Thesis!$J$81</f>
        <v>0.282166278613001</v>
      </c>
      <c r="K101" s="12" t="n">
        <f aca="false">Thesis!$K$100/Thesis!$K$81</f>
        <v>0.271267685694333</v>
      </c>
      <c r="L101" s="12" t="n">
        <f aca="false">Thesis!$L$100/Thesis!$L$81</f>
        <v>0.27160960915653</v>
      </c>
      <c r="M101" s="12" t="n">
        <f aca="false">Thesis!$M$100/Thesis!$M$81</f>
        <v>0.26974494804234</v>
      </c>
      <c r="N101" s="12" t="n">
        <f aca="false">Thesis!$N$100/Thesis!$N$81</f>
        <v>0.302870734830849</v>
      </c>
      <c r="O101" s="12" t="n">
        <f aca="false">Thesis!$O$100/Thesis!$O$81</f>
        <v>0.52240134346334</v>
      </c>
    </row>
    <row r="102" customFormat="false" ht="17.15" hidden="false" customHeight="false" outlineLevel="0" collapsed="false">
      <c r="A102" s="5" t="s">
        <v>599</v>
      </c>
      <c r="B102" s="0" t="s">
        <v>73</v>
      </c>
      <c r="C102" s="38" t="n">
        <f aca="false">rd2*(1-ext_sh)/ext_sh*Thesis!$C$64*he_open*Thesis!$C$65/1000</f>
        <v>0</v>
      </c>
      <c r="D102" s="38" t="n">
        <f aca="false">rd2*(1-ext_sh)/ext_sh*Thesis!$D$64*he_open*Thesis!$D$65/1000</f>
        <v>0</v>
      </c>
      <c r="E102" s="38" t="n">
        <f aca="false">rd2*(1-ext_sh)/ext_sh*Thesis!$E$64*he_open*Thesis!$E$65/1000</f>
        <v>0</v>
      </c>
      <c r="F102" s="38" t="n">
        <f aca="false">rd2*(1-ext_sh)/ext_sh*(mw_open*he_open+Thesis!$F$79*Thesis!$F$76)*Thesis!$F$65/1000</f>
        <v>0</v>
      </c>
      <c r="G102" s="38" t="n">
        <f aca="false">Thesis!$E$102+Thesis!$F$102</f>
        <v>0</v>
      </c>
      <c r="H102" s="38" t="n">
        <f aca="false">rd2*(1-ext_sh)/ext_sh*(mw_open*he_open+Thesis!$H$79*Thesis!$H$76)*Thesis!$H$65/1000</f>
        <v>0</v>
      </c>
      <c r="I102" s="38" t="n">
        <f aca="false">rd2*(1-ext_sh)/ext_sh*(mw_open*he_open+Thesis!$I$79*Thesis!$I$76)*Thesis!$I$65/1000</f>
        <v>0</v>
      </c>
      <c r="J102" s="38" t="n">
        <f aca="false">rd2*(1-ext_sh)/ext_sh*(mw_open*he_open+Thesis!$J$79*Thesis!$J$76)*Thesis!$J$65/1000</f>
        <v>0</v>
      </c>
      <c r="K102" s="38" t="n">
        <f aca="false">rd2*(1-ext_sh)/ext_sh*(mw_open*he_open+Thesis!$K$79*Thesis!$K$76)*Thesis!$K$65/1000</f>
        <v>0</v>
      </c>
      <c r="L102" s="38" t="n">
        <f aca="false">rd2*(1-ext_sh)/ext_sh*(mw_open*he_open+Thesis!$L$79*Thesis!$L$76)*Thesis!$L$65/1000</f>
        <v>0</v>
      </c>
      <c r="M102" s="38" t="n">
        <f aca="false">rd2*(1-ext_sh)/ext_sh*(mw_open*he_open+Thesis!$M$79*Thesis!$M$76)*Thesis!$M$65/1000</f>
        <v>0</v>
      </c>
      <c r="N102" s="38" t="n">
        <f aca="false">rd2*(1-ext_sh)/ext_sh*Thesis!$N$64*he_open*Thesis!$N$65/1000</f>
        <v>0</v>
      </c>
      <c r="O102" s="38" t="n">
        <f aca="false">rd2*(1-ext_sh)/ext_sh*Thesis!$O$64*he_open*Thesis!$O$65/1000</f>
        <v>0</v>
      </c>
      <c r="P102" s="8" t="s">
        <v>600</v>
      </c>
    </row>
    <row r="103" customFormat="false" ht="17.15" hidden="false" customHeight="false" outlineLevel="0" collapsed="false">
      <c r="A103" s="5" t="s">
        <v>601</v>
      </c>
      <c r="B103" s="0" t="s">
        <v>73</v>
      </c>
      <c r="C103" s="38" t="n">
        <f aca="false">(1-ext_sh)*(Thesis!$C$83+Thesis!$C$96)-Thesis!$C$102</f>
        <v>0.169206631859174</v>
      </c>
      <c r="D103" s="38" t="n">
        <f aca="false">(1-ext_sh)*(Thesis!$D$83+Thesis!$D$96)-Thesis!$D$102</f>
        <v>1.20641732046984</v>
      </c>
      <c r="E103" s="38" t="n">
        <f aca="false">(1-ext_sh)*(Thesis!$E$83+Thesis!$E$96)-Thesis!$E$102</f>
        <v>1.77441259867062</v>
      </c>
      <c r="F103" s="38" t="n">
        <f aca="false">(1-ext_sh)*(Thesis!$F$83+Thesis!$F$96)-Thesis!$F$102</f>
        <v>2.1140391597214</v>
      </c>
      <c r="G103" s="38" t="n">
        <f aca="false">(1-ext_sh)*(Thesis!$G$83+Thesis!$G$96)-Thesis!$G$102</f>
        <v>3.88845175839202</v>
      </c>
      <c r="H103" s="38" t="n">
        <f aca="false">(1-ext_sh)*(Thesis!$H$83+Thesis!$H$96)-Thesis!$H$102</f>
        <v>10.2210179503985</v>
      </c>
      <c r="I103" s="38" t="n">
        <f aca="false">(1-ext_sh)*(Thesis!$I$83+Thesis!$I$96)-Thesis!$I$102</f>
        <v>17.8408961823075</v>
      </c>
      <c r="J103" s="38" t="n">
        <f aca="false">(1-ext_sh)*(Thesis!$J$83+Thesis!$J$96)-Thesis!$J$102</f>
        <v>25.6671150670732</v>
      </c>
      <c r="K103" s="38" t="n">
        <f aca="false">(1-ext_sh)*(Thesis!$K$83+Thesis!$K$96)-Thesis!$K$102</f>
        <v>33.6325293834986</v>
      </c>
      <c r="L103" s="38" t="n">
        <f aca="false">(1-ext_sh)*(Thesis!$L$83+Thesis!$L$96)-Thesis!$L$102</f>
        <v>41.1939886299065</v>
      </c>
      <c r="M103" s="38" t="n">
        <f aca="false">(1-ext_sh)*(Thesis!$M$83+Thesis!$M$96)-Thesis!$M$102</f>
        <v>48.8988205728617</v>
      </c>
      <c r="N103" s="38" t="n">
        <f aca="false">(1-ext_sh)*(Thesis!$N$83+Thesis!$N$96)-Thesis!$N$102</f>
        <v>0.530919624033979</v>
      </c>
      <c r="O103" s="38" t="n">
        <f aca="false">(1-ext_sh)*(Thesis!$O$83+Thesis!$O$96)-Thesis!$O$102</f>
        <v>0.675497696435861</v>
      </c>
    </row>
    <row r="104" customFormat="false" ht="17.15" hidden="false" customHeight="false" outlineLevel="0" collapsed="false">
      <c r="A104" s="0" t="s">
        <v>602</v>
      </c>
      <c r="B104" s="0" t="s">
        <v>73</v>
      </c>
      <c r="C104" s="38" t="n">
        <f aca="false">Q!$D$24</f>
        <v>39.834</v>
      </c>
      <c r="D104" s="38" t="n">
        <f aca="false">Q!$E$24</f>
        <v>45.606</v>
      </c>
      <c r="E104" s="38" t="n">
        <f aca="false">Q!$P$24</f>
        <v>30.782</v>
      </c>
      <c r="N104" s="38" t="n">
        <f aca="false">Q!$N$24</f>
        <v>21.707</v>
      </c>
      <c r="O104" s="38" t="n">
        <f aca="false">Q!$O$24</f>
        <v>23.899</v>
      </c>
    </row>
    <row r="105" customFormat="false" ht="17.15" hidden="false" customHeight="false" outlineLevel="0" collapsed="false">
      <c r="A105" s="0" t="s">
        <v>603</v>
      </c>
      <c r="B105" s="0" t="s">
        <v>73</v>
      </c>
      <c r="C105" s="38" t="n">
        <f aca="false">Thesis!$C$104-Thesis!$C$100</f>
        <v>38.1898211704631</v>
      </c>
      <c r="D105" s="38" t="n">
        <f aca="false">Thesis!$D$104-Thesis!$D$100</f>
        <v>41.7278991932282</v>
      </c>
      <c r="E105" s="38" t="n">
        <f aca="false">Thesis!$E$104-Thesis!$E$100</f>
        <v>29.3692974191125</v>
      </c>
      <c r="F105" s="38" t="n">
        <f aca="false">Thesis!$F$85*Thesis!$F$106</f>
        <v>29.458060516894</v>
      </c>
      <c r="G105" s="38" t="n">
        <f aca="false">Thesis!$E$105+Thesis!$F$105</f>
        <v>58.8273579360065</v>
      </c>
      <c r="H105" s="38" t="n">
        <f aca="false">Thesis!$H$85*Thesis!$H$106</f>
        <v>67.8004040185081</v>
      </c>
      <c r="I105" s="38" t="n">
        <f aca="false">Thesis!$I$85*Thesis!$I$106</f>
        <v>78.9527630302702</v>
      </c>
      <c r="J105" s="38" t="n">
        <f aca="false">Thesis!$J$85*Thesis!$J$106</f>
        <v>88.6042681781841</v>
      </c>
      <c r="K105" s="38" t="n">
        <f aca="false">Thesis!$K$85*Thesis!$K$106</f>
        <v>95.6926096324389</v>
      </c>
      <c r="L105" s="38" t="n">
        <f aca="false">Thesis!$L$85*Thesis!$L$106</f>
        <v>103.348018403034</v>
      </c>
      <c r="M105" s="38" t="n">
        <f aca="false">Thesis!$M$85*Thesis!$M$106</f>
        <v>111.615859875277</v>
      </c>
      <c r="N105" s="38" t="n">
        <f aca="false">Thesis!$N$104-Thesis!$N$100</f>
        <v>20.784358965108</v>
      </c>
      <c r="O105" s="38" t="n">
        <f aca="false">Thesis!$O$104-Thesis!$O$100</f>
        <v>20.9435402281202</v>
      </c>
      <c r="P105" s="5" t="s">
        <v>604</v>
      </c>
    </row>
    <row r="106" customFormat="false" ht="17.15" hidden="false" customHeight="false" outlineLevel="0" collapsed="false">
      <c r="A106" s="0" t="s">
        <v>605</v>
      </c>
      <c r="B106" s="0" t="s">
        <v>52</v>
      </c>
      <c r="C106" s="12" t="n">
        <f aca="false">Thesis!$C$105/Thesis!$C$85</f>
        <v>0.362900395443635</v>
      </c>
      <c r="D106" s="12" t="n">
        <f aca="false">Thesis!$D$105/Thesis!$D$85</f>
        <v>0.34767098474203</v>
      </c>
      <c r="E106" s="12" t="n">
        <f aca="false">Thesis!$E$105/Thesis!$E$85</f>
        <v>0.411861655558416</v>
      </c>
      <c r="F106" s="12" t="n">
        <f aca="false">(Thesis!$O$105+Thesis!$E$105)/(Thesis!$O$85+Thesis!$E$85)</f>
        <v>0.37480827803158</v>
      </c>
      <c r="G106" s="12" t="n">
        <f aca="false">Thesis!$G$105/Thesis!$G$85</f>
        <v>0.392434440489471</v>
      </c>
      <c r="H106" s="12" t="n">
        <f aca="false">Thesis!$F$106</f>
        <v>0.37480827803158</v>
      </c>
      <c r="I106" s="12" t="n">
        <f aca="false">Thesis!$F$106</f>
        <v>0.37480827803158</v>
      </c>
      <c r="J106" s="12" t="n">
        <f aca="false">Thesis!$F$106</f>
        <v>0.37480827803158</v>
      </c>
      <c r="K106" s="12" t="n">
        <f aca="false">Thesis!$F$106</f>
        <v>0.37480827803158</v>
      </c>
      <c r="L106" s="12" t="n">
        <f aca="false">Thesis!$F$106</f>
        <v>0.37480827803158</v>
      </c>
      <c r="M106" s="12" t="n">
        <f aca="false">Thesis!$F$106</f>
        <v>0.37480827803158</v>
      </c>
      <c r="N106" s="12" t="n">
        <f aca="false">Thesis!$N$105/Thesis!$N$85</f>
        <v>0.364039571356823</v>
      </c>
      <c r="O106" s="12" t="n">
        <f aca="false">Thesis!$O$105/Thesis!$O$85</f>
        <v>0.332819892300086</v>
      </c>
      <c r="P106" s="8" t="s">
        <v>606</v>
      </c>
    </row>
    <row r="107" customFormat="false" ht="17.15" hidden="false" customHeight="false" outlineLevel="0" collapsed="false">
      <c r="A107" s="0" t="s">
        <v>607</v>
      </c>
      <c r="B107" s="0" t="s">
        <v>52</v>
      </c>
      <c r="D107" s="12" t="n">
        <f aca="false">(Q!$E$31-ext_sh*Thesis!$D$96)/Thesis!$D$85</f>
        <v>0.154572973163571</v>
      </c>
    </row>
    <row r="108" customFormat="false" ht="17.15" hidden="false" customHeight="false" outlineLevel="0" collapsed="false">
      <c r="A108" s="0" t="s">
        <v>608</v>
      </c>
      <c r="B108" s="0" t="s">
        <v>73</v>
      </c>
      <c r="C108" s="38" t="n">
        <f aca="false">Q!$D$31</f>
        <v>13.32</v>
      </c>
      <c r="D108" s="38" t="n">
        <f aca="false">Q!$E$31</f>
        <v>21.45</v>
      </c>
      <c r="E108" s="38" t="n">
        <f aca="false">Q!$P$31</f>
        <v>15.353</v>
      </c>
      <c r="F108" s="38" t="n">
        <f aca="false">ext_sh*Thesis!$F$96+Thesis!$D$107*Thesis!$F$85</f>
        <v>17.3614451462707</v>
      </c>
      <c r="G108" s="38" t="n">
        <f aca="false">Thesis!$E$108+Thesis!$F$108</f>
        <v>32.7144451462707</v>
      </c>
      <c r="H108" s="38" t="n">
        <f aca="false">ext_sh*Thesis!$H$96+Thesis!$D$107*Thesis!$H$85</f>
        <v>56.1966092719415</v>
      </c>
      <c r="I108" s="38" t="n">
        <f aca="false">ext_sh*Thesis!$I$96+Thesis!$D$107*Thesis!$I$85</f>
        <v>82.9744039068297</v>
      </c>
      <c r="J108" s="38" t="n">
        <f aca="false">ext_sh*Thesis!$J$96+Thesis!$D$107*Thesis!$J$85</f>
        <v>109.943252237669</v>
      </c>
      <c r="K108" s="38" t="n">
        <f aca="false">ext_sh*Thesis!$K$96+Thesis!$D$107*Thesis!$K$85</f>
        <v>136.406703436571</v>
      </c>
      <c r="L108" s="38" t="n">
        <f aca="false">ext_sh*Thesis!$L$96+Thesis!$D$107*Thesis!$L$85</f>
        <v>161.485870454155</v>
      </c>
      <c r="M108" s="38" t="n">
        <f aca="false">ext_sh*Thesis!$M$96+Thesis!$D$107*Thesis!$M$85</f>
        <v>187.389846618199</v>
      </c>
      <c r="N108" s="38" t="n">
        <f aca="false">Q!$N$31</f>
        <v>9.234</v>
      </c>
      <c r="O108" s="38" t="n">
        <f aca="false">Q!$O$31</f>
        <v>12.216</v>
      </c>
    </row>
    <row r="109" customFormat="false" ht="17.15" hidden="false" customHeight="false" outlineLevel="0" collapsed="false">
      <c r="A109" s="1" t="s">
        <v>609</v>
      </c>
    </row>
    <row r="110" customFormat="false" ht="17.15" hidden="false" customHeight="false" outlineLevel="0" collapsed="false">
      <c r="A110" s="14" t="s">
        <v>610</v>
      </c>
      <c r="B110" s="13" t="s">
        <v>52</v>
      </c>
      <c r="C110" s="13"/>
      <c r="D110" s="13"/>
      <c r="E110" s="13"/>
      <c r="F110" s="13"/>
      <c r="G110" s="16" t="n">
        <f aca="false">Thesis!$G$100*(1-tax)/(ext_sh*(Thesis!$D$97+Thesis!$G$97)/2)</f>
        <v>0.0492184452944045</v>
      </c>
      <c r="H110" s="16" t="n">
        <f aca="false">Thesis!$H$100*(1-tax)/(ext_sh*(Thesis!$G$97+Thesis!$H$97)/2)</f>
        <v>0.0619414246858107</v>
      </c>
      <c r="I110" s="16" t="n">
        <f aca="false">Thesis!$I$100*(1-tax)/(ext_sh*(Thesis!$H$97+Thesis!$I$97)/2)</f>
        <v>0.0656831488051666</v>
      </c>
      <c r="J110" s="16" t="n">
        <f aca="false">Thesis!$J$100*(1-tax)/(ext_sh*(Thesis!$I$97+Thesis!$J$97)/2)</f>
        <v>0.0690334849962116</v>
      </c>
      <c r="K110" s="16" t="n">
        <f aca="false">Thesis!$K$100*(1-tax)/(ext_sh*(Thesis!$J$97+Thesis!$K$97)/2)</f>
        <v>0.0728680488295485</v>
      </c>
      <c r="L110" s="16" t="n">
        <f aca="false">Thesis!$L$100*(1-tax)/(ext_sh*(Thesis!$K$97+Thesis!$L$97)/2)</f>
        <v>0.0785052878122331</v>
      </c>
      <c r="M110" s="16" t="n">
        <f aca="false">Thesis!$M$100*(1-tax)/(ext_sh*(Thesis!$L$97+Thesis!$M$97)/2)</f>
        <v>0.0804526580722741</v>
      </c>
      <c r="N110" s="13"/>
      <c r="O110" s="13"/>
      <c r="P110" s="8" t="s">
        <v>611</v>
      </c>
    </row>
    <row r="111" customFormat="false" ht="17.15" hidden="false" customHeight="false" outlineLevel="0" collapsed="false">
      <c r="A111" s="5" t="s">
        <v>612</v>
      </c>
      <c r="B111" s="0" t="s">
        <v>57</v>
      </c>
      <c r="H111" s="36" t="n">
        <f aca="false">Thesis!$H$81*1000/(mw_open*he_open+Thesis!$H$79*Thesis!$H$76)</f>
        <v>0.991949006767191</v>
      </c>
      <c r="I111" s="36" t="n">
        <f aca="false">Thesis!$I$81*1000/(mw_open*he_open+Thesis!$I$79*Thesis!$I$76)</f>
        <v>0.991949006767191</v>
      </c>
      <c r="J111" s="36" t="n">
        <f aca="false">Thesis!$J$81*1000/(mw_open*he_open+Thesis!$J$79*Thesis!$J$76)</f>
        <v>0.991949006767191</v>
      </c>
      <c r="K111" s="36" t="n">
        <f aca="false">Thesis!$K$81*1000/(mw_open*he_open+Thesis!$K$79*Thesis!$K$76)</f>
        <v>0.991949006767191</v>
      </c>
      <c r="L111" s="36" t="n">
        <f aca="false">Thesis!$L$81*1000/(mw_open*he_open+Thesis!$L$79*Thesis!$L$76)</f>
        <v>0.991949006767191</v>
      </c>
      <c r="M111" s="36" t="n">
        <f aca="false">Thesis!$M$81*1000/(mw_open*he_open+Thesis!$M$79*Thesis!$M$76)</f>
        <v>0.991949006767192</v>
      </c>
    </row>
    <row r="112" customFormat="false" ht="17.15" hidden="false" customHeight="false" outlineLevel="0" collapsed="false">
      <c r="A112" s="5" t="s">
        <v>613</v>
      </c>
      <c r="B112" s="0" t="s">
        <v>57</v>
      </c>
      <c r="H112" s="36" t="n">
        <f aca="false">Thesis!$H$111*(Thesis!$H$81+wacc*ext_sh*(Thesis!$G$97+Thesis!$H$97)/2/(1-tax)-Thesis!$H$100)/Thesis!$H$81</f>
        <v>1.3149781212103</v>
      </c>
      <c r="I112" s="36" t="n">
        <f aca="false">Thesis!$I$111*(Thesis!$I$81+wacc*ext_sh*(Thesis!$H$97+Thesis!$I$97)/2/(1-tax)-Thesis!$I$100)/Thesis!$I$81</f>
        <v>1.25742005569107</v>
      </c>
      <c r="J112" s="36" t="n">
        <f aca="false">Thesis!$J$111*(Thesis!$J$81+wacc*ext_sh*(Thesis!$I$97+Thesis!$J$97)/2/(1-tax)-Thesis!$J$100)/Thesis!$J$81</f>
        <v>1.21838845868559</v>
      </c>
      <c r="K112" s="36" t="n">
        <f aca="false">Thesis!$K$111*(Thesis!$K$81+wacc*ext_sh*(Thesis!$J$97+Thesis!$K$97)/2/(1-tax)-Thesis!$K$100)/Thesis!$K$81</f>
        <v>1.18402644209548</v>
      </c>
      <c r="L112" s="36" t="n">
        <f aca="false">Thesis!$L$111*(Thesis!$L$81+wacc*ext_sh*(Thesis!$K$97+Thesis!$L$97)/2/(1-tax)-Thesis!$L$100)/Thesis!$L$81</f>
        <v>1.15111215322059</v>
      </c>
      <c r="M112" s="36" t="n">
        <f aca="false">Thesis!$M$111*(Thesis!$M$81+wacc*ext_sh*(Thesis!$L$97+Thesis!$M$97)/2/(1-tax)-Thesis!$M$100)/Thesis!$M$81</f>
        <v>1.1397166845677</v>
      </c>
    </row>
    <row r="113" customFormat="false" ht="17.15" hidden="false" customHeight="false" outlineLevel="0" collapsed="false">
      <c r="A113" s="5" t="s">
        <v>614</v>
      </c>
      <c r="B113" s="0" t="s">
        <v>52</v>
      </c>
      <c r="C113" s="12" t="n">
        <f aca="false">Thesis!$C$82/tk_pq</f>
        <v>0.195316432429398</v>
      </c>
      <c r="D113" s="12" t="n">
        <f aca="false">Thesis!$D$82/tk_pq</f>
        <v>0.195316432429398</v>
      </c>
      <c r="E113" s="12" t="n">
        <f aca="false">Thesis!$E$82/tk_pq</f>
        <v>0.195316432429398</v>
      </c>
      <c r="F113" s="12" t="n">
        <f aca="false">Thesis!$F$82/tk_pq</f>
        <v>0.202241827274866</v>
      </c>
      <c r="G113" s="12" t="n">
        <f aca="false">Thesis!$G$82/tk_pq</f>
        <v>0.199675016194063</v>
      </c>
      <c r="H113" s="12" t="n">
        <f aca="false">Thesis!$H$82/tk_pq</f>
        <v>0.212647947710325</v>
      </c>
      <c r="I113" s="12" t="n">
        <f aca="false">Thesis!$I$82/tk_pq</f>
        <v>0.219285125475351</v>
      </c>
      <c r="J113" s="12" t="n">
        <f aca="false">Thesis!$J$82/tk_pq</f>
        <v>0.222492493217189</v>
      </c>
      <c r="K113" s="12" t="n">
        <f aca="false">Thesis!$K$82/tk_pq</f>
        <v>0.224371415939166</v>
      </c>
      <c r="L113" s="12" t="n">
        <f aca="false">Thesis!$L$82/tk_pq</f>
        <v>0.225603749825993</v>
      </c>
      <c r="M113" s="12" t="n">
        <f aca="false">Thesis!$M$82/tk_pq</f>
        <v>0.22647376274628</v>
      </c>
      <c r="N113" s="12" t="n">
        <f aca="false">Thesis!$N$82/tk_pq</f>
        <v>0.195316432429398</v>
      </c>
      <c r="O113" s="12" t="n">
        <f aca="false">Thesis!$O$82/tk_pq</f>
        <v>0.195316432429398</v>
      </c>
      <c r="P113" s="5" t="s">
        <v>615</v>
      </c>
    </row>
    <row r="116" customFormat="false" ht="19.4" hidden="false" customHeight="false" outlineLevel="0" collapsed="false">
      <c r="A116" s="31" t="s">
        <v>617</v>
      </c>
    </row>
    <row r="117" customFormat="false" ht="17.15" hidden="false" customHeight="false" outlineLevel="0" collapsed="false">
      <c r="A117" s="6" t="s">
        <v>16</v>
      </c>
      <c r="B117" s="6" t="s">
        <v>17</v>
      </c>
      <c r="C117" s="20" t="s">
        <v>457</v>
      </c>
      <c r="D117" s="20" t="s">
        <v>458</v>
      </c>
      <c r="E117" s="20" t="s">
        <v>540</v>
      </c>
      <c r="F117" s="20" t="s">
        <v>541</v>
      </c>
      <c r="G117" s="20" t="s">
        <v>542</v>
      </c>
      <c r="H117" s="20" t="s">
        <v>543</v>
      </c>
      <c r="I117" s="20" t="s">
        <v>544</v>
      </c>
      <c r="J117" s="20" t="s">
        <v>545</v>
      </c>
      <c r="K117" s="20" t="s">
        <v>546</v>
      </c>
      <c r="L117" s="20" t="s">
        <v>547</v>
      </c>
      <c r="M117" s="20" t="s">
        <v>548</v>
      </c>
      <c r="N117" s="20" t="s">
        <v>549</v>
      </c>
      <c r="O117" s="20" t="s">
        <v>550</v>
      </c>
      <c r="P117" s="6" t="s">
        <v>23</v>
      </c>
      <c r="R117" s="20" t="n">
        <v>2023</v>
      </c>
      <c r="S117" s="20" t="n">
        <v>2024</v>
      </c>
      <c r="T117" s="20" t="n">
        <v>2025</v>
      </c>
      <c r="U117" s="20" t="n">
        <v>2026</v>
      </c>
      <c r="V117" s="20" t="n">
        <v>2027</v>
      </c>
      <c r="W117" s="20" t="n">
        <v>2028</v>
      </c>
      <c r="X117" s="20" t="n">
        <v>2029</v>
      </c>
      <c r="Y117" s="20" t="n">
        <v>2030</v>
      </c>
      <c r="Z117" s="20" t="n">
        <v>2031</v>
      </c>
      <c r="AA117" s="20" t="n">
        <v>2032</v>
      </c>
    </row>
    <row r="118" customFormat="false" ht="17.15" hidden="false" customHeight="false" outlineLevel="0" collapsed="false">
      <c r="A118" s="1" t="s">
        <v>551</v>
      </c>
    </row>
    <row r="119" customFormat="false" ht="17.15" hidden="false" customHeight="false" outlineLevel="0" collapsed="false">
      <c r="A119" s="14" t="s">
        <v>552</v>
      </c>
      <c r="B119" s="13" t="s">
        <v>108</v>
      </c>
      <c r="C119" s="32" t="n">
        <f aca="false">mw_ye24</f>
        <v>360</v>
      </c>
      <c r="D119" s="32" t="n">
        <f aca="false">mw_ye25</f>
        <v>1440</v>
      </c>
      <c r="E119" s="32" t="n">
        <f aca="false">mw_open</f>
        <v>2080</v>
      </c>
      <c r="F119" s="32" t="n">
        <f aca="false">Thesis!$E$119+pace_C*0.5</f>
        <v>3897.15</v>
      </c>
      <c r="G119" s="32" t="n">
        <f aca="false">Thesis!$F$119</f>
        <v>3897.15</v>
      </c>
      <c r="H119" s="32" t="n">
        <f aca="false">Thesis!$G$119+pace_C</f>
        <v>7531.45</v>
      </c>
      <c r="I119" s="32" t="n">
        <f aca="false">Thesis!$H$119+pace_C</f>
        <v>11165.75</v>
      </c>
      <c r="J119" s="32" t="n">
        <f aca="false">Thesis!$I$119+pace_C</f>
        <v>14800.05</v>
      </c>
      <c r="K119" s="32" t="n">
        <f aca="false">Thesis!$J$119+pace_C</f>
        <v>18434.35</v>
      </c>
      <c r="L119" s="32" t="n">
        <f aca="false">Thesis!$K$119+pace_C</f>
        <v>22068.65</v>
      </c>
      <c r="M119" s="32" t="n">
        <f aca="false">Thesis!$L$119+pace_C</f>
        <v>25702.95</v>
      </c>
      <c r="N119" s="32" t="n">
        <f aca="false">(mw_ye24+mw_ye25)/2</f>
        <v>900</v>
      </c>
      <c r="O119" s="32" t="n">
        <f aca="false">mw_ye25</f>
        <v>1440</v>
      </c>
      <c r="P119" s="5" t="s">
        <v>553</v>
      </c>
    </row>
    <row r="120" customFormat="false" ht="17.15" hidden="false" customHeight="false" outlineLevel="0" collapsed="false">
      <c r="A120" s="5" t="s">
        <v>554</v>
      </c>
      <c r="B120" s="0" t="s">
        <v>108</v>
      </c>
      <c r="C120" s="33" t="n">
        <f aca="false">(mw_ye23+mw_ye24)/2</f>
        <v>240</v>
      </c>
      <c r="D120" s="33" t="n">
        <f aca="false">(Thesis!$C$119+Thesis!$D$119)/2</f>
        <v>900</v>
      </c>
      <c r="E120" s="33" t="n">
        <f aca="false">(Thesis!$D$119+Thesis!$E$119)/2</f>
        <v>1760</v>
      </c>
      <c r="F120" s="33" t="n">
        <f aca="false">(Thesis!$E$119+Thesis!$F$119)/2</f>
        <v>2988.575</v>
      </c>
      <c r="G120" s="33" t="n">
        <f aca="false">(Thesis!$E$120+Thesis!$F$120)/2</f>
        <v>2374.2875</v>
      </c>
      <c r="H120" s="33" t="n">
        <f aca="false">(Thesis!$G$119+Thesis!$H$119)/2</f>
        <v>5714.3</v>
      </c>
      <c r="I120" s="33" t="n">
        <f aca="false">(Thesis!$H$119+Thesis!$I$119)/2</f>
        <v>9348.6</v>
      </c>
      <c r="J120" s="33" t="n">
        <f aca="false">(Thesis!$I$119+Thesis!$J$119)/2</f>
        <v>12982.9</v>
      </c>
      <c r="K120" s="33" t="n">
        <f aca="false">(Thesis!$J$119+Thesis!$K$119)/2</f>
        <v>16617.2</v>
      </c>
      <c r="L120" s="33" t="n">
        <f aca="false">(Thesis!$K$119+Thesis!$L$119)/2</f>
        <v>20251.5</v>
      </c>
      <c r="M120" s="33" t="n">
        <f aca="false">(Thesis!$L$119+Thesis!$M$119)/2</f>
        <v>23885.8</v>
      </c>
      <c r="N120" s="33" t="n">
        <f aca="false">(Thesis!$C$119+Thesis!$N$119)/2</f>
        <v>630</v>
      </c>
      <c r="O120" s="33" t="n">
        <f aca="false">(Thesis!$N$119+Thesis!$O$119)/2</f>
        <v>1170</v>
      </c>
    </row>
    <row r="121" customFormat="false" ht="15" hidden="false" customHeight="false" outlineLevel="0" collapsed="false">
      <c r="A121" s="5" t="s">
        <v>555</v>
      </c>
      <c r="B121" s="5" t="s">
        <v>102</v>
      </c>
      <c r="C121" s="34" t="n">
        <v>1</v>
      </c>
      <c r="D121" s="34" t="n">
        <v>1</v>
      </c>
      <c r="E121" s="34" t="n">
        <v>0.5</v>
      </c>
      <c r="F121" s="34" t="n">
        <v>0.5</v>
      </c>
      <c r="G121" s="34" t="n">
        <v>1</v>
      </c>
      <c r="H121" s="34" t="n">
        <v>1</v>
      </c>
      <c r="I121" s="34" t="n">
        <v>1</v>
      </c>
      <c r="J121" s="34" t="n">
        <v>1</v>
      </c>
      <c r="K121" s="34" t="n">
        <v>1</v>
      </c>
      <c r="L121" s="34" t="n">
        <v>1</v>
      </c>
      <c r="M121" s="34" t="n">
        <v>1</v>
      </c>
      <c r="N121" s="34" t="n">
        <v>0.5</v>
      </c>
      <c r="O121" s="34" t="n">
        <v>0.5</v>
      </c>
    </row>
    <row r="122" customFormat="false" ht="17.15" hidden="false" customHeight="false" outlineLevel="0" collapsed="false">
      <c r="A122" s="5" t="s">
        <v>556</v>
      </c>
      <c r="B122" s="0" t="s">
        <v>108</v>
      </c>
      <c r="C122" s="33" t="n">
        <f aca="false">Thesis!$C$119-mw_ye23</f>
        <v>240</v>
      </c>
      <c r="D122" s="33" t="n">
        <f aca="false">Thesis!$D$119-Thesis!$C$119</f>
        <v>1080</v>
      </c>
      <c r="E122" s="33" t="n">
        <f aca="false">Thesis!$E$119-Thesis!$D$119</f>
        <v>640</v>
      </c>
      <c r="F122" s="33" t="n">
        <f aca="false">Thesis!$F$119-Thesis!$E$119</f>
        <v>1817.15</v>
      </c>
      <c r="G122" s="33" t="n">
        <f aca="false">Thesis!$E$122+Thesis!$F$122</f>
        <v>2457.15</v>
      </c>
      <c r="H122" s="33" t="n">
        <f aca="false">Thesis!$H$119-Thesis!$G$119</f>
        <v>3634.3</v>
      </c>
      <c r="I122" s="33" t="n">
        <f aca="false">Thesis!$I$119-Thesis!$H$119</f>
        <v>3634.3</v>
      </c>
      <c r="J122" s="33" t="n">
        <f aca="false">Thesis!$J$119-Thesis!$I$119</f>
        <v>3634.3</v>
      </c>
      <c r="K122" s="33" t="n">
        <f aca="false">Thesis!$K$119-Thesis!$J$119</f>
        <v>3634.3</v>
      </c>
      <c r="L122" s="33" t="n">
        <f aca="false">Thesis!$L$119-Thesis!$K$119</f>
        <v>3634.3</v>
      </c>
      <c r="M122" s="33" t="n">
        <f aca="false">Thesis!$M$119-Thesis!$L$119</f>
        <v>3634.3</v>
      </c>
      <c r="N122" s="33" t="n">
        <f aca="false">Thesis!$N$119-Thesis!$C$119</f>
        <v>540</v>
      </c>
      <c r="O122" s="33" t="n">
        <f aca="false">Thesis!$O$119-Thesis!$N$119</f>
        <v>540</v>
      </c>
    </row>
    <row r="123" customFormat="false" ht="17.15" hidden="false" customHeight="false" outlineLevel="0" collapsed="false">
      <c r="A123" s="5" t="s">
        <v>557</v>
      </c>
      <c r="B123" s="0" t="s">
        <v>108</v>
      </c>
      <c r="C123" s="33" t="n">
        <f aca="false">Thesis!$C$122/ext_sh</f>
        <v>300</v>
      </c>
      <c r="D123" s="33" t="n">
        <f aca="false">Thesis!$D$122/ext_sh</f>
        <v>1350</v>
      </c>
      <c r="E123" s="33" t="n">
        <f aca="false">Thesis!$E$122/ext_sh</f>
        <v>800</v>
      </c>
      <c r="F123" s="33" t="n">
        <f aca="false">Thesis!$F$122/ext_sh</f>
        <v>2271.4375</v>
      </c>
      <c r="G123" s="33" t="n">
        <f aca="false">Thesis!$G$122/ext_sh</f>
        <v>3071.4375</v>
      </c>
      <c r="H123" s="33" t="n">
        <f aca="false">Thesis!$H$122/ext_sh</f>
        <v>4542.875</v>
      </c>
      <c r="I123" s="33" t="n">
        <f aca="false">Thesis!$I$122/ext_sh</f>
        <v>4542.875</v>
      </c>
      <c r="J123" s="33" t="n">
        <f aca="false">Thesis!$J$122/ext_sh</f>
        <v>4542.875</v>
      </c>
      <c r="K123" s="33" t="n">
        <f aca="false">Thesis!$K$122/ext_sh</f>
        <v>4542.875</v>
      </c>
      <c r="L123" s="33" t="n">
        <f aca="false">Thesis!$L$122/ext_sh</f>
        <v>4542.875</v>
      </c>
      <c r="M123" s="33" t="n">
        <f aca="false">Thesis!$M$122/ext_sh</f>
        <v>4542.875</v>
      </c>
      <c r="N123" s="33" t="n">
        <f aca="false">Thesis!$N$122/ext_sh</f>
        <v>675</v>
      </c>
      <c r="O123" s="33" t="n">
        <f aca="false">Thesis!$O$122/ext_sh</f>
        <v>675</v>
      </c>
      <c r="P123" s="8" t="s">
        <v>558</v>
      </c>
      <c r="R123" s="33" t="n">
        <f aca="false">mw_ye23/ext_sh</f>
        <v>150</v>
      </c>
      <c r="S123" s="33" t="n">
        <f aca="false">Thesis!$C$123</f>
        <v>300</v>
      </c>
      <c r="T123" s="33" t="n">
        <f aca="false">Thesis!$D$123</f>
        <v>1350</v>
      </c>
      <c r="U123" s="33" t="n">
        <f aca="false">Thesis!$G$123</f>
        <v>3071.4375</v>
      </c>
      <c r="V123" s="33" t="n">
        <f aca="false">Thesis!$H$123</f>
        <v>4542.875</v>
      </c>
      <c r="W123" s="33" t="n">
        <f aca="false">Thesis!$I$123</f>
        <v>4542.875</v>
      </c>
      <c r="X123" s="33" t="n">
        <f aca="false">Thesis!$J$123</f>
        <v>4542.875</v>
      </c>
      <c r="Y123" s="33" t="n">
        <f aca="false">Thesis!$K$123</f>
        <v>4542.875</v>
      </c>
      <c r="Z123" s="33" t="n">
        <f aca="false">Thesis!$L$123</f>
        <v>4542.875</v>
      </c>
      <c r="AA123" s="33" t="n">
        <f aca="false">Thesis!$M$123</f>
        <v>4542.875</v>
      </c>
    </row>
    <row r="124" customFormat="false" ht="17.15" hidden="false" customHeight="false" outlineLevel="0" collapsed="false">
      <c r="A124" s="1" t="s">
        <v>559</v>
      </c>
    </row>
    <row r="125" customFormat="false" ht="17.15" hidden="false" customHeight="false" outlineLevel="0" collapsed="false">
      <c r="A125" s="0" t="s">
        <v>560</v>
      </c>
      <c r="B125" s="0" t="s">
        <v>52</v>
      </c>
      <c r="F125" s="35" t="n">
        <f aca="false">na_vr26</f>
        <v>0</v>
      </c>
      <c r="G125" s="35" t="n">
        <f aca="false">na_vr26</f>
        <v>0</v>
      </c>
      <c r="H125" s="35" t="n">
        <f aca="false">na_vr27</f>
        <v>0.5</v>
      </c>
      <c r="I125" s="35" t="n">
        <f aca="false">na_vr28</f>
        <v>1</v>
      </c>
      <c r="J125" s="35" t="n">
        <f aca="false">na_vr28</f>
        <v>1</v>
      </c>
      <c r="K125" s="35" t="n">
        <f aca="false">na_vr28</f>
        <v>1</v>
      </c>
      <c r="L125" s="35" t="n">
        <f aca="false">na_vr28</f>
        <v>1</v>
      </c>
      <c r="M125" s="35" t="n">
        <f aca="false">na_vr28</f>
        <v>1</v>
      </c>
    </row>
    <row r="126" customFormat="false" ht="17.15" hidden="false" customHeight="false" outlineLevel="0" collapsed="false">
      <c r="A126" s="5" t="s">
        <v>561</v>
      </c>
      <c r="B126" s="0" t="s">
        <v>151</v>
      </c>
      <c r="F126" s="36" t="n">
        <f aca="false">cust_sh*tk_he_gb300*cf_chip+(1-cust_sh)*((1-Thesis!$F$125)*tk_he_gb300+Thesis!$F$125*tk_he_vr200)</f>
        <v>10.8864110021101</v>
      </c>
      <c r="G126" s="36" t="n">
        <f aca="false">cust_sh*tk_he_gb300*cf_chip+(1-cust_sh)*((1-Thesis!$G$125)*tk_he_gb300+Thesis!$G$125*tk_he_vr200)</f>
        <v>10.8864110021101</v>
      </c>
      <c r="H126" s="36" t="n">
        <f aca="false">cust_sh*tk_he_gb300*cf_chip+(1-cust_sh)*((1-Thesis!$H$125)*tk_he_gb300+Thesis!$H$125*tk_he_vr200)</f>
        <v>11.2211760027286</v>
      </c>
      <c r="I126" s="36" t="n">
        <f aca="false">cust_sh*tk_he_gb300*cf_chip+(1-cust_sh)*((1-Thesis!$I$125)*tk_he_gb300+Thesis!$I$125*tk_he_vr200)</f>
        <v>11.5559410033471</v>
      </c>
      <c r="J126" s="36" t="n">
        <f aca="false">cust_sh*tk_he_gb300*cf_chip+(1-cust_sh)*((1-Thesis!$J$125)*tk_he_gb300+Thesis!$J$125*tk_he_vr200)</f>
        <v>11.5559410033471</v>
      </c>
      <c r="K126" s="36" t="n">
        <f aca="false">cust_sh*tk_he_gb300*cf_chip+(1-cust_sh)*((1-Thesis!$K$125)*tk_he_gb300+Thesis!$K$125*tk_he_vr200)</f>
        <v>11.5559410033471</v>
      </c>
      <c r="L126" s="36" t="n">
        <f aca="false">cust_sh*tk_he_gb300*cf_chip+(1-cust_sh)*((1-Thesis!$L$125)*tk_he_gb300+Thesis!$L$125*tk_he_vr200)</f>
        <v>11.5559410033471</v>
      </c>
      <c r="M126" s="36" t="n">
        <f aca="false">cust_sh*tk_he_gb300*cf_chip+(1-cust_sh)*((1-Thesis!$M$125)*tk_he_gb300+Thesis!$M$125*tk_he_vr200)</f>
        <v>11.5559410033471</v>
      </c>
    </row>
    <row r="127" customFormat="false" ht="17.15" hidden="false" customHeight="false" outlineLevel="0" collapsed="false">
      <c r="A127" s="5" t="s">
        <v>562</v>
      </c>
      <c r="B127" s="0" t="s">
        <v>151</v>
      </c>
      <c r="F127" s="36" t="n">
        <f aca="false">cust_sh*tk_ox_gb300+(1-cust_sh)*((1-Thesis!$F$125)*tk_ox_gb300+Thesis!$F$125*tk_ox_vr200)</f>
        <v>1.98263481314457</v>
      </c>
      <c r="G127" s="36" t="n">
        <f aca="false">cust_sh*tk_ox_gb300+(1-cust_sh)*((1-Thesis!$G$125)*tk_ox_gb300+Thesis!$G$125*tk_ox_vr200)</f>
        <v>1.98263481314457</v>
      </c>
      <c r="H127" s="36" t="n">
        <f aca="false">cust_sh*tk_ox_gb300+(1-cust_sh)*((1-Thesis!$H$125)*tk_ox_gb300+Thesis!$H$125*tk_ox_vr200)</f>
        <v>2.01034999693694</v>
      </c>
      <c r="I127" s="36" t="n">
        <f aca="false">cust_sh*tk_ox_gb300+(1-cust_sh)*((1-Thesis!$I$125)*tk_ox_gb300+Thesis!$I$125*tk_ox_vr200)</f>
        <v>2.0380651807293</v>
      </c>
      <c r="J127" s="36" t="n">
        <f aca="false">cust_sh*tk_ox_gb300+(1-cust_sh)*((1-Thesis!$J$125)*tk_ox_gb300+Thesis!$J$125*tk_ox_vr200)</f>
        <v>2.0380651807293</v>
      </c>
      <c r="K127" s="36" t="n">
        <f aca="false">cust_sh*tk_ox_gb300+(1-cust_sh)*((1-Thesis!$K$125)*tk_ox_gb300+Thesis!$K$125*tk_ox_vr200)</f>
        <v>2.0380651807293</v>
      </c>
      <c r="L127" s="36" t="n">
        <f aca="false">cust_sh*tk_ox_gb300+(1-cust_sh)*((1-Thesis!$L$125)*tk_ox_gb300+Thesis!$L$125*tk_ox_vr200)</f>
        <v>2.0380651807293</v>
      </c>
      <c r="M127" s="36" t="n">
        <f aca="false">cust_sh*tk_ox_gb300+(1-cust_sh)*((1-Thesis!$M$125)*tk_ox_gb300+Thesis!$M$125*tk_ox_vr200)</f>
        <v>2.0380651807293</v>
      </c>
    </row>
    <row r="128" customFormat="false" ht="17.15" hidden="false" customHeight="false" outlineLevel="0" collapsed="false">
      <c r="A128" s="5" t="s">
        <v>563</v>
      </c>
      <c r="B128" s="0" t="s">
        <v>170</v>
      </c>
      <c r="F128" s="36" t="n">
        <f aca="false">cust_sh*tk_cx_gb300*cf_cx+(1-cust_sh)*((1-Thesis!$F$125)*tk_cx_gb300+Thesis!$F$125*tk_cx_vr200)</f>
        <v>32.237224</v>
      </c>
      <c r="G128" s="36" t="n">
        <f aca="false">cust_sh*tk_cx_gb300*cf_cx+(1-cust_sh)*((1-Thesis!$G$125)*tk_cx_gb300+Thesis!$G$125*tk_cx_vr200)</f>
        <v>32.237224</v>
      </c>
      <c r="H128" s="36" t="n">
        <f aca="false">cust_sh*tk_cx_gb300*cf_cx+(1-cust_sh)*((1-Thesis!$H$125)*tk_cx_gb300+Thesis!$H$125*tk_cx_vr200)</f>
        <v>33.574506</v>
      </c>
      <c r="I128" s="36" t="n">
        <f aca="false">cust_sh*tk_cx_gb300*cf_cx+(1-cust_sh)*((1-Thesis!$I$125)*tk_cx_gb300+Thesis!$I$125*tk_cx_vr200)</f>
        <v>34.911788</v>
      </c>
      <c r="J128" s="36" t="n">
        <f aca="false">cust_sh*tk_cx_gb300*cf_cx+(1-cust_sh)*((1-Thesis!$J$125)*tk_cx_gb300+Thesis!$J$125*tk_cx_vr200)</f>
        <v>34.911788</v>
      </c>
      <c r="K128" s="36" t="n">
        <f aca="false">cust_sh*tk_cx_gb300*cf_cx+(1-cust_sh)*((1-Thesis!$K$125)*tk_cx_gb300+Thesis!$K$125*tk_cx_vr200)</f>
        <v>34.911788</v>
      </c>
      <c r="L128" s="36" t="n">
        <f aca="false">cust_sh*tk_cx_gb300*cf_cx+(1-cust_sh)*((1-Thesis!$L$125)*tk_cx_gb300+Thesis!$L$125*tk_cx_vr200)</f>
        <v>34.911788</v>
      </c>
      <c r="M128" s="36" t="n">
        <f aca="false">cust_sh*tk_cx_gb300*cf_cx+(1-cust_sh)*((1-Thesis!$M$125)*tk_cx_gb300+Thesis!$M$125*tk_cx_vr200)</f>
        <v>34.911788</v>
      </c>
    </row>
    <row r="129" customFormat="false" ht="17.15" hidden="false" customHeight="false" outlineLevel="0" collapsed="false">
      <c r="A129" s="5" t="s">
        <v>564</v>
      </c>
      <c r="B129" s="0" t="s">
        <v>108</v>
      </c>
      <c r="F129" s="33" t="n">
        <f aca="false">Thesis!$F$119-mw_open</f>
        <v>1817.15</v>
      </c>
      <c r="G129" s="33" t="n">
        <f aca="false">Thesis!$F$129</f>
        <v>1817.15</v>
      </c>
      <c r="H129" s="33" t="n">
        <f aca="false">Thesis!$H$119-mw_open</f>
        <v>5451.45</v>
      </c>
      <c r="I129" s="33" t="n">
        <f aca="false">Thesis!$I$119-mw_open</f>
        <v>9085.75</v>
      </c>
      <c r="J129" s="33" t="n">
        <f aca="false">Thesis!$J$119-mw_open</f>
        <v>12720.05</v>
      </c>
      <c r="K129" s="33" t="n">
        <f aca="false">Thesis!$K$119-mw_open</f>
        <v>16354.35</v>
      </c>
      <c r="L129" s="33" t="n">
        <f aca="false">Thesis!$L$119-mw_open</f>
        <v>19988.65</v>
      </c>
      <c r="M129" s="33" t="n">
        <f aca="false">Thesis!$M$119-mw_open</f>
        <v>23622.95</v>
      </c>
    </row>
    <row r="130" customFormat="false" ht="17.15" hidden="false" customHeight="false" outlineLevel="0" collapsed="false">
      <c r="A130" s="0" t="s">
        <v>565</v>
      </c>
      <c r="B130" s="0" t="s">
        <v>566</v>
      </c>
      <c r="F130" s="33" t="n">
        <f aca="false">Thesis!$F$122*Thesis!$F$126</f>
        <v>19782.2417524844</v>
      </c>
      <c r="G130" s="33" t="n">
        <f aca="false">Thesis!$F$130</f>
        <v>19782.2417524844</v>
      </c>
      <c r="H130" s="33" t="n">
        <f aca="false">Thesis!$G$130+Thesis!$H$122*Thesis!$H$126</f>
        <v>60563.3616992009</v>
      </c>
      <c r="I130" s="33" t="n">
        <f aca="false">Thesis!$H$130+Thesis!$I$122*Thesis!$I$126</f>
        <v>102561.118087665</v>
      </c>
      <c r="J130" s="33" t="n">
        <f aca="false">Thesis!$I$130+Thesis!$J$122*Thesis!$J$126</f>
        <v>144558.87447613</v>
      </c>
      <c r="K130" s="33" t="n">
        <f aca="false">Thesis!$J$130+Thesis!$K$122*Thesis!$K$126</f>
        <v>186556.630864594</v>
      </c>
      <c r="L130" s="33" t="n">
        <f aca="false">Thesis!$K$130+Thesis!$L$122*Thesis!$L$126</f>
        <v>228554.387253058</v>
      </c>
      <c r="M130" s="33" t="n">
        <f aca="false">Thesis!$L$130+Thesis!$M$122*Thesis!$M$126</f>
        <v>270552.143641523</v>
      </c>
    </row>
    <row r="131" customFormat="false" ht="17.15" hidden="false" customHeight="false" outlineLevel="0" collapsed="false">
      <c r="A131" s="0" t="s">
        <v>567</v>
      </c>
      <c r="B131" s="0" t="s">
        <v>566</v>
      </c>
      <c r="F131" s="33" t="n">
        <f aca="false">Thesis!$F$122*Thesis!$F$127</f>
        <v>3602.74485070566</v>
      </c>
      <c r="G131" s="33" t="n">
        <f aca="false">Thesis!$F$131</f>
        <v>3602.74485070566</v>
      </c>
      <c r="H131" s="33" t="n">
        <f aca="false">Thesis!$G$131+Thesis!$H$122*Thesis!$H$127</f>
        <v>10908.9598445736</v>
      </c>
      <c r="I131" s="33" t="n">
        <f aca="false">Thesis!$H$131+Thesis!$I$122*Thesis!$I$127</f>
        <v>18315.9001308981</v>
      </c>
      <c r="J131" s="33" t="n">
        <f aca="false">Thesis!$I$131+Thesis!$J$122*Thesis!$J$127</f>
        <v>25722.8404172225</v>
      </c>
      <c r="K131" s="33" t="n">
        <f aca="false">Thesis!$J$131+Thesis!$K$122*Thesis!$K$127</f>
        <v>33129.780703547</v>
      </c>
      <c r="L131" s="33" t="n">
        <f aca="false">Thesis!$K$131+Thesis!$L$122*Thesis!$L$127</f>
        <v>40536.7209898715</v>
      </c>
      <c r="M131" s="33" t="n">
        <f aca="false">Thesis!$L$131+Thesis!$M$122*Thesis!$M$127</f>
        <v>47943.661276196</v>
      </c>
    </row>
    <row r="132" customFormat="false" ht="17.15" hidden="false" customHeight="false" outlineLevel="0" collapsed="false">
      <c r="A132" s="5" t="s">
        <v>568</v>
      </c>
      <c r="B132" s="0" t="s">
        <v>151</v>
      </c>
      <c r="F132" s="36" t="n">
        <f aca="false">IF(Thesis!$F$129&gt;0,Thesis!$F$130/Thesis!$F$129,Thesis!$F$126)</f>
        <v>10.8864110021101</v>
      </c>
      <c r="G132" s="36" t="n">
        <f aca="false">IF(Thesis!$G$129&gt;0,Thesis!$G$130/Thesis!$G$129,Thesis!$G$126)</f>
        <v>10.8864110021101</v>
      </c>
      <c r="H132" s="36" t="n">
        <f aca="false">IF(Thesis!$H$129&gt;0,Thesis!$H$130/Thesis!$H$129,Thesis!$H$126)</f>
        <v>11.1095876691891</v>
      </c>
      <c r="I132" s="36" t="n">
        <f aca="false">IF(Thesis!$I$129&gt;0,Thesis!$I$130/Thesis!$I$129,Thesis!$I$126)</f>
        <v>11.2881290028523</v>
      </c>
      <c r="J132" s="36" t="n">
        <f aca="false">IF(Thesis!$J$129&gt;0,Thesis!$J$130/Thesis!$J$129,Thesis!$J$126)</f>
        <v>11.3646467172794</v>
      </c>
      <c r="K132" s="36" t="n">
        <f aca="false">IF(Thesis!$K$129&gt;0,Thesis!$K$130/Thesis!$K$129,Thesis!$K$126)</f>
        <v>11.4071565586278</v>
      </c>
      <c r="L132" s="36" t="n">
        <f aca="false">IF(Thesis!$L$129&gt;0,Thesis!$L$130/Thesis!$L$129,Thesis!$L$126)</f>
        <v>11.4342082758495</v>
      </c>
      <c r="M132" s="36" t="n">
        <f aca="false">IF(Thesis!$M$129&gt;0,Thesis!$M$130/Thesis!$M$129,Thesis!$M$126)</f>
        <v>11.4529363877722</v>
      </c>
    </row>
    <row r="133" customFormat="false" ht="17.15" hidden="false" customHeight="false" outlineLevel="0" collapsed="false">
      <c r="A133" s="5" t="s">
        <v>569</v>
      </c>
      <c r="B133" s="0" t="s">
        <v>151</v>
      </c>
      <c r="F133" s="36" t="n">
        <f aca="false">IF(Thesis!$F$129&gt;0,Thesis!$F$131/Thesis!$F$129,Thesis!$F$127)</f>
        <v>1.98263481314457</v>
      </c>
      <c r="G133" s="36" t="n">
        <f aca="false">IF(Thesis!$G$129&gt;0,Thesis!$G$131/Thesis!$G$129,Thesis!$G$127)</f>
        <v>1.98263481314457</v>
      </c>
      <c r="H133" s="36" t="n">
        <f aca="false">IF(Thesis!$H$129&gt;0,Thesis!$H$131/Thesis!$H$129,Thesis!$H$127)</f>
        <v>2.00111160233948</v>
      </c>
      <c r="I133" s="36" t="n">
        <f aca="false">IF(Thesis!$I$129&gt;0,Thesis!$I$131/Thesis!$I$129,Thesis!$I$127)</f>
        <v>2.01589303369541</v>
      </c>
      <c r="J133" s="36" t="n">
        <f aca="false">IF(Thesis!$J$129&gt;0,Thesis!$J$131/Thesis!$J$129,Thesis!$J$127)</f>
        <v>2.02222793284795</v>
      </c>
      <c r="K133" s="36" t="n">
        <f aca="false">IF(Thesis!$K$129&gt;0,Thesis!$K$131/Thesis!$K$129,Thesis!$K$127)</f>
        <v>2.02574732126603</v>
      </c>
      <c r="L133" s="36" t="n">
        <f aca="false">IF(Thesis!$L$129&gt;0,Thesis!$L$131/Thesis!$L$129,Thesis!$L$127)</f>
        <v>2.02798693207753</v>
      </c>
      <c r="M133" s="36" t="n">
        <f aca="false">IF(Thesis!$M$129&gt;0,Thesis!$M$131/Thesis!$M$129,Thesis!$M$127)</f>
        <v>2.02953743187011</v>
      </c>
    </row>
    <row r="134" customFormat="false" ht="17.15" hidden="false" customHeight="false" outlineLevel="0" collapsed="false">
      <c r="A134" s="14" t="s">
        <v>570</v>
      </c>
      <c r="B134" s="13" t="s">
        <v>151</v>
      </c>
      <c r="C134" s="13"/>
      <c r="D134" s="13"/>
      <c r="E134" s="13"/>
      <c r="F134" s="37" t="n">
        <f aca="false">Thesis!$F$132*k_C</f>
        <v>8.98049677377134</v>
      </c>
      <c r="G134" s="37" t="n">
        <f aca="false">Thesis!$G$132*k_C</f>
        <v>8.98049677377134</v>
      </c>
      <c r="H134" s="37" t="n">
        <f aca="false">Thesis!$H$132*k_C</f>
        <v>9.16460128151917</v>
      </c>
      <c r="I134" s="37" t="n">
        <f aca="false">Thesis!$I$132*k_C</f>
        <v>9.31188488771743</v>
      </c>
      <c r="J134" s="37" t="n">
        <f aca="false">Thesis!$J$132*k_C</f>
        <v>9.37500643323097</v>
      </c>
      <c r="K134" s="37" t="n">
        <f aca="false">Thesis!$K$132*k_C</f>
        <v>9.41007395851627</v>
      </c>
      <c r="L134" s="37" t="n">
        <f aca="false">Thesis!$L$132*k_C</f>
        <v>9.43238965642509</v>
      </c>
      <c r="M134" s="37" t="n">
        <f aca="false">Thesis!$M$132*k_C</f>
        <v>9.44783898574659</v>
      </c>
      <c r="N134" s="13"/>
      <c r="O134" s="13"/>
      <c r="P134" s="5" t="s">
        <v>571</v>
      </c>
    </row>
    <row r="135" customFormat="false" ht="17.15" hidden="false" customHeight="false" outlineLevel="0" collapsed="false">
      <c r="A135" s="5" t="s">
        <v>572</v>
      </c>
      <c r="B135" s="0" t="s">
        <v>108</v>
      </c>
      <c r="F135" s="33" t="n">
        <f aca="false">Thesis!$F$129/2</f>
        <v>908.575</v>
      </c>
      <c r="H135" s="33" t="n">
        <f aca="false">(Thesis!$G$129+Thesis!$H$129)/2</f>
        <v>3634.3</v>
      </c>
      <c r="I135" s="33" t="n">
        <f aca="false">(Thesis!$H$129+Thesis!$I$129)/2</f>
        <v>7268.6</v>
      </c>
      <c r="J135" s="33" t="n">
        <f aca="false">(Thesis!$I$129+Thesis!$J$129)/2</f>
        <v>10902.9</v>
      </c>
      <c r="K135" s="33" t="n">
        <f aca="false">(Thesis!$J$129+Thesis!$K$129)/2</f>
        <v>14537.2</v>
      </c>
      <c r="L135" s="33" t="n">
        <f aca="false">(Thesis!$K$129+Thesis!$L$129)/2</f>
        <v>18171.5</v>
      </c>
      <c r="M135" s="33" t="n">
        <f aca="false">(Thesis!$L$129+Thesis!$M$129)/2</f>
        <v>21805.8</v>
      </c>
    </row>
    <row r="136" customFormat="false" ht="17.15" hidden="false" customHeight="false" outlineLevel="0" collapsed="false">
      <c r="A136" s="1" t="s">
        <v>573</v>
      </c>
    </row>
    <row r="137" customFormat="false" ht="17.15" hidden="false" customHeight="false" outlineLevel="0" collapsed="false">
      <c r="A137" s="1" t="s">
        <v>574</v>
      </c>
      <c r="B137" s="8" t="s">
        <v>73</v>
      </c>
      <c r="C137" s="38" t="n">
        <f aca="false">Thesis!$C$120*rpm_open*Thesis!$C$121/1000</f>
        <v>2.32100535697364</v>
      </c>
      <c r="D137" s="38" t="n">
        <f aca="false">Thesis!$D$120*rpm_open*Thesis!$D$121/1000</f>
        <v>8.70377008865116</v>
      </c>
      <c r="E137" s="38" t="n">
        <f aca="false">Thesis!$E$120*rpm_open*Thesis!$E$121/1000</f>
        <v>8.51035297557002</v>
      </c>
      <c r="F137" s="38" t="n">
        <f aca="false">(mw_open*rpm_open+Thesis!$F$135*Thesis!$F$134)*Thesis!$F$121/1000</f>
        <v>14.1374173083338</v>
      </c>
      <c r="G137" s="38" t="n">
        <f aca="false">Thesis!$E$137+Thesis!$F$137</f>
        <v>22.6477702839038</v>
      </c>
      <c r="H137" s="38" t="n">
        <f aca="false">(mw_open*rpm_open+Thesis!$H$135*Thesis!$H$134)/1000</f>
        <v>53.4222901978634</v>
      </c>
      <c r="I137" s="38" t="n">
        <f aca="false">(mw_open*rpm_open+Thesis!$I$135*Thesis!$I$134)/1000</f>
        <v>87.7997462553011</v>
      </c>
      <c r="J137" s="38" t="n">
        <f aca="false">(mw_open*rpm_open+Thesis!$J$135*Thesis!$J$134)/1000</f>
        <v>122.330137401312</v>
      </c>
      <c r="K137" s="38" t="n">
        <f aca="false">(mw_open*rpm_open+Thesis!$K$135*Thesis!$K$134)/1000</f>
        <v>156.911506910181</v>
      </c>
      <c r="L137" s="38" t="n">
        <f aca="false">(mw_open*rpm_open+Thesis!$L$135*Thesis!$L$134)/1000</f>
        <v>191.516048402167</v>
      </c>
      <c r="M137" s="38" t="n">
        <f aca="false">(mw_open*rpm_open+Thesis!$M$135*Thesis!$M$134)/1000</f>
        <v>226.133067115831</v>
      </c>
      <c r="N137" s="38" t="n">
        <f aca="false">Thesis!$N$120*rpm_open*Thesis!$N$121/1000</f>
        <v>3.04631953102791</v>
      </c>
      <c r="O137" s="38" t="n">
        <f aca="false">Thesis!$O$120*rpm_open*Thesis!$O$121/1000</f>
        <v>5.65745055762326</v>
      </c>
      <c r="P137" s="5" t="s">
        <v>575</v>
      </c>
    </row>
    <row r="138" customFormat="false" ht="17.15" hidden="false" customHeight="false" outlineLevel="0" collapsed="false">
      <c r="A138" s="5" t="s">
        <v>576</v>
      </c>
      <c r="B138" s="0" t="s">
        <v>151</v>
      </c>
      <c r="C138" s="36" t="n">
        <f aca="false">Thesis!$C$137*1000/(Thesis!$C$120*Thesis!$C$121)</f>
        <v>9.67085565405685</v>
      </c>
      <c r="D138" s="36" t="n">
        <f aca="false">Thesis!$D$137*1000/(Thesis!$D$120*Thesis!$D$121)</f>
        <v>9.67085565405685</v>
      </c>
      <c r="E138" s="36" t="n">
        <f aca="false">Thesis!$E$137*1000/(Thesis!$E$120*Thesis!$E$121)</f>
        <v>9.67085565405685</v>
      </c>
      <c r="F138" s="36" t="n">
        <f aca="false">Thesis!$F$137*1000/(Thesis!$F$120*Thesis!$F$121)</f>
        <v>9.46097542028142</v>
      </c>
      <c r="G138" s="36" t="n">
        <f aca="false">Thesis!$G$137*1000/(Thesis!$G$120*Thesis!$G$121)</f>
        <v>9.53876490690525</v>
      </c>
      <c r="H138" s="36" t="n">
        <f aca="false">Thesis!$H$137*1000/(Thesis!$H$120*Thesis!$H$121)</f>
        <v>9.34887741243255</v>
      </c>
      <c r="I138" s="36" t="n">
        <f aca="false">Thesis!$I$137*1000/(Thesis!$I$120*Thesis!$I$121)</f>
        <v>9.39175344493305</v>
      </c>
      <c r="J138" s="36" t="n">
        <f aca="false">Thesis!$J$137*1000/(Thesis!$J$120*Thesis!$J$121)</f>
        <v>9.42240465545542</v>
      </c>
      <c r="K138" s="36" t="n">
        <f aca="false">Thesis!$K$137*1000/(Thesis!$K$120*Thesis!$K$121)</f>
        <v>9.44271639687679</v>
      </c>
      <c r="L138" s="36" t="n">
        <f aca="false">Thesis!$L$137*1000/(Thesis!$L$120*Thesis!$L$121)</f>
        <v>9.45688212735683</v>
      </c>
      <c r="M138" s="36" t="n">
        <f aca="false">Thesis!$M$137*1000/(Thesis!$M$120*Thesis!$M$121)</f>
        <v>9.4672595063105</v>
      </c>
      <c r="N138" s="36" t="n">
        <f aca="false">Thesis!$N$137*1000/(Thesis!$N$120*Thesis!$N$121)</f>
        <v>9.67085565405685</v>
      </c>
      <c r="O138" s="36" t="n">
        <f aca="false">Thesis!$O$137*1000/(Thesis!$O$120*Thesis!$O$121)</f>
        <v>9.67085565405685</v>
      </c>
    </row>
    <row r="139" customFormat="false" ht="17.15" hidden="false" customHeight="false" outlineLevel="0" collapsed="false">
      <c r="A139" s="0" t="s">
        <v>577</v>
      </c>
      <c r="B139" s="0" t="s">
        <v>73</v>
      </c>
      <c r="C139" s="38" t="n">
        <f aca="false">Thesis!$C$120/ext_sh*(ox_open+rent_mw)*Thesis!$C$121/1000</f>
        <v>0.642569210675032</v>
      </c>
      <c r="D139" s="38" t="n">
        <f aca="false">Thesis!$D$120/ext_sh*(ox_open+rent_mw)*Thesis!$D$121/1000</f>
        <v>2.40963454003137</v>
      </c>
      <c r="E139" s="38" t="n">
        <f aca="false">Thesis!$E$120/ext_sh*(ox_open+rent_mw)*Thesis!$E$121/1000</f>
        <v>2.35608710580845</v>
      </c>
      <c r="F139" s="38" t="n">
        <f aca="false">((mw_open*ox_open+Thesis!$F$135*Thesis!$F$133)/ext_sh+Thesis!$F$120/ext_sh*rent_mw)*Thesis!$F$121/1000</f>
        <v>4.05421991106232</v>
      </c>
      <c r="G139" s="38" t="n">
        <f aca="false">Thesis!$E$139+Thesis!$F$139</f>
        <v>6.41030701687077</v>
      </c>
      <c r="H139" s="38" t="n">
        <f aca="false">((mw_open*ox_open+Thesis!$H$135*Thesis!$H$133)/ext_sh+Thesis!$H$120/ext_sh*rent_mw)*Thesis!$H$121/1000</f>
        <v>15.8108975546616</v>
      </c>
      <c r="I139" s="38" t="n">
        <f aca="false">((mw_open*ox_open+Thesis!$I$135*Thesis!$I$133)/ext_sh+Thesis!$I$120/ext_sh*rent_mw)*Thesis!$I$121/1000</f>
        <v>26.1871623400817</v>
      </c>
      <c r="J139" s="38" t="n">
        <f aca="false">((mw_open*ox_open+Thesis!$J$135*Thesis!$J$133)/ext_sh+Thesis!$J$120/ext_sh*rent_mw)*Thesis!$J$121/1000</f>
        <v>36.5826128954935</v>
      </c>
      <c r="K139" s="38" t="n">
        <f aca="false">((mw_open*ox_open+Thesis!$K$135*Thesis!$K$133)/ext_sh+Thesis!$K$120/ext_sh*rent_mw)*Thesis!$K$121/1000</f>
        <v>46.9844587075692</v>
      </c>
      <c r="L139" s="38" t="n">
        <f aca="false">((mw_open*ox_open+Thesis!$L$135*Thesis!$L$133)/ext_sh+Thesis!$L$120/ext_sh*rent_mw)*Thesis!$L$121/1000</f>
        <v>57.3892114544922</v>
      </c>
      <c r="M139" s="38" t="n">
        <f aca="false">((mw_open*ox_open+Thesis!$M$135*Thesis!$M$133)/ext_sh+Thesis!$M$120/ext_sh*rent_mw)*Thesis!$M$121/1000</f>
        <v>67.7955294740252</v>
      </c>
      <c r="N139" s="38" t="n">
        <f aca="false">Thesis!$N$120/ext_sh*(ox_open+rent_mw)*Thesis!$N$121/1000</f>
        <v>0.84337208901098</v>
      </c>
      <c r="O139" s="38" t="n">
        <f aca="false">Thesis!$O$120/ext_sh*(ox_open+rent_mw)*Thesis!$O$121/1000</f>
        <v>1.56626245102039</v>
      </c>
    </row>
    <row r="140" customFormat="false" ht="17.15" hidden="false" customHeight="false" outlineLevel="0" collapsed="false">
      <c r="A140" s="0" t="s">
        <v>578</v>
      </c>
      <c r="B140" s="0" t="s">
        <v>73</v>
      </c>
      <c r="C140" s="38" t="n">
        <f aca="false">Q!$D$7</f>
        <v>107.556</v>
      </c>
      <c r="D140" s="38" t="n">
        <f aca="false">Q!$E$7</f>
        <v>128.725</v>
      </c>
      <c r="E140" s="38" t="n">
        <f aca="false">Q!$P$7</f>
        <v>79.819</v>
      </c>
      <c r="N140" s="38" t="n">
        <f aca="false">Q!$N$7</f>
        <v>60.14</v>
      </c>
      <c r="O140" s="38" t="n">
        <f aca="false">Q!$O$7</f>
        <v>68.585</v>
      </c>
    </row>
    <row r="141" customFormat="false" ht="17.15" hidden="false" customHeight="false" outlineLevel="0" collapsed="false">
      <c r="A141" s="1" t="s">
        <v>579</v>
      </c>
      <c r="B141" s="8" t="s">
        <v>73</v>
      </c>
      <c r="C141" s="38" t="n">
        <f aca="false">Thesis!$C$140-Thesis!$C$137</f>
        <v>105.234994643026</v>
      </c>
      <c r="D141" s="38" t="n">
        <f aca="false">Thesis!$D$140-Thesis!$D$137</f>
        <v>120.021229911349</v>
      </c>
      <c r="E141" s="38" t="n">
        <f aca="false">Thesis!$E$140-Thesis!$E$137</f>
        <v>71.30864702443</v>
      </c>
      <c r="F141" s="38" t="n">
        <f aca="false">Thesis!$O$141*(1+Thesis!$F$142)</f>
        <v>78.5950104186653</v>
      </c>
      <c r="G141" s="38" t="n">
        <f aca="false">Thesis!$E$141+Thesis!$F$141</f>
        <v>149.903657443095</v>
      </c>
      <c r="H141" s="38" t="n">
        <f aca="false">Thesis!$G$141*(1+Thesis!$H$142)</f>
        <v>180.893560768142</v>
      </c>
      <c r="I141" s="38" t="n">
        <f aca="false">Thesis!$H$141*(1+Thesis!$I$142)</f>
        <v>210.64839721501</v>
      </c>
      <c r="J141" s="38" t="n">
        <f aca="false">Thesis!$I$141*(1+Thesis!$J$142)</f>
        <v>236.398909446495</v>
      </c>
      <c r="K141" s="38" t="n">
        <f aca="false">Thesis!$J$141*(1+Thesis!$K$142)</f>
        <v>255.310822202215</v>
      </c>
      <c r="L141" s="38" t="n">
        <f aca="false">Thesis!$K$141*(1+Thesis!$L$142)</f>
        <v>275.735687978392</v>
      </c>
      <c r="M141" s="38" t="n">
        <f aca="false">Thesis!$L$141*(1+Thesis!$M$142)</f>
        <v>297.794543016663</v>
      </c>
      <c r="N141" s="38" t="n">
        <f aca="false">Thesis!$N$140-Thesis!$N$137</f>
        <v>57.0936804689721</v>
      </c>
      <c r="O141" s="38" t="n">
        <f aca="false">Thesis!$O$140-Thesis!$O$137</f>
        <v>62.9275494423768</v>
      </c>
      <c r="P141" s="5" t="s">
        <v>580</v>
      </c>
    </row>
    <row r="142" customFormat="false" ht="17.15" hidden="false" customHeight="false" outlineLevel="0" collapsed="false">
      <c r="A142" s="0" t="s">
        <v>581</v>
      </c>
      <c r="B142" s="0" t="s">
        <v>52</v>
      </c>
      <c r="E142" s="12" t="n">
        <f aca="false">Thesis!$E$141/Thesis!$N$141-1</f>
        <v>0.248976181579029</v>
      </c>
      <c r="F142" s="12" t="n">
        <f aca="false">Thesis!$E$142</f>
        <v>0.248976181579029</v>
      </c>
      <c r="G142" s="12" t="n">
        <f aca="false">Thesis!$G$141/Thesis!$D$141-1</f>
        <v>0.248976181579029</v>
      </c>
      <c r="H142" s="12" t="n">
        <f aca="false">Thesis!$E$142+(g_awso_lt-Thesis!$E$142)*1/4</f>
        <v>0.206732136184272</v>
      </c>
      <c r="I142" s="12" t="n">
        <f aca="false">Thesis!$E$142+(g_awso_lt-Thesis!$E$142)*2/4</f>
        <v>0.164488090789515</v>
      </c>
      <c r="J142" s="12" t="n">
        <f aca="false">Thesis!$E$142+(g_awso_lt-Thesis!$E$142)*3/4</f>
        <v>0.122244045394757</v>
      </c>
      <c r="K142" s="12" t="n">
        <f aca="false">Thesis!$E$142+(g_awso_lt-Thesis!$E$142)*4/4</f>
        <v>0.08</v>
      </c>
      <c r="L142" s="12" t="n">
        <f aca="false">g_awso_lt</f>
        <v>0.08</v>
      </c>
      <c r="M142" s="12" t="n">
        <f aca="false">g_awso_lt</f>
        <v>0.08</v>
      </c>
      <c r="P142" s="8" t="s">
        <v>582</v>
      </c>
    </row>
    <row r="143" customFormat="false" ht="17.15" hidden="false" customHeight="false" outlineLevel="0" collapsed="false">
      <c r="A143" s="1" t="s">
        <v>583</v>
      </c>
    </row>
    <row r="144" customFormat="false" ht="17.15" hidden="false" customHeight="false" outlineLevel="0" collapsed="false">
      <c r="A144" s="0" t="s">
        <v>584</v>
      </c>
      <c r="B144" s="0" t="s">
        <v>73</v>
      </c>
      <c r="F144" s="38" t="n">
        <f aca="false">cx_rt*Seg!$F$87+cx_awso*Thesis!$F$141</f>
        <v>36.8045765066526</v>
      </c>
    </row>
    <row r="145" customFormat="false" ht="17.15" hidden="false" customHeight="false" outlineLevel="0" collapsed="false">
      <c r="A145" s="0" t="s">
        <v>585</v>
      </c>
      <c r="B145" s="0" t="s">
        <v>52</v>
      </c>
      <c r="C145" s="12" t="n">
        <f aca="false">tk_cx_h100/(tk_cx_h100+tk_fac*(1-colo_sh))</f>
        <v>0.730756458006641</v>
      </c>
      <c r="D145" s="12" t="n">
        <f aca="false">tk_cx_h100/(tk_cx_h100+tk_fac*(1-colo_sh))</f>
        <v>0.730756458006641</v>
      </c>
      <c r="E145" s="12" t="n">
        <f aca="false">Thesis!$F$145</f>
        <v>0.760792334328868</v>
      </c>
      <c r="F145" s="12" t="n">
        <f aca="false">Thesis!$F$128/(Thesis!$F$128+tk_fac*(1-colo_sh))</f>
        <v>0.760792334328868</v>
      </c>
      <c r="G145" s="12" t="n">
        <f aca="false">Thesis!$G$128/(Thesis!$G$128+tk_fac*(1-colo_sh))</f>
        <v>0.760792334328868</v>
      </c>
      <c r="H145" s="12" t="n">
        <f aca="false">Thesis!$H$128/(Thesis!$H$128+tk_fac*(1-colo_sh))</f>
        <v>0.768110668862996</v>
      </c>
      <c r="I145" s="12" t="n">
        <f aca="false">Thesis!$I$128/(Thesis!$I$128+tk_fac*(1-colo_sh))</f>
        <v>0.77499450139483</v>
      </c>
      <c r="J145" s="12" t="n">
        <f aca="false">Thesis!$J$128/(Thesis!$J$128+tk_fac*(1-colo_sh))</f>
        <v>0.77499450139483</v>
      </c>
      <c r="K145" s="12" t="n">
        <f aca="false">Thesis!$K$128/(Thesis!$K$128+tk_fac*(1-colo_sh))</f>
        <v>0.77499450139483</v>
      </c>
      <c r="L145" s="12" t="n">
        <f aca="false">Thesis!$L$128/(Thesis!$L$128+tk_fac*(1-colo_sh))</f>
        <v>0.77499450139483</v>
      </c>
      <c r="M145" s="12" t="n">
        <f aca="false">Thesis!$M$128/(Thesis!$M$128+tk_fac*(1-colo_sh))</f>
        <v>0.77499450139483</v>
      </c>
    </row>
    <row r="146" customFormat="false" ht="17.15" hidden="false" customHeight="false" outlineLevel="0" collapsed="false">
      <c r="A146" s="1" t="s">
        <v>586</v>
      </c>
      <c r="B146" s="8" t="s">
        <v>73</v>
      </c>
      <c r="C146" s="38" t="n">
        <f aca="false">Q!$D$46-cx_rt*Q!$D$16-cx_awso*Thesis!$C$141</f>
        <v>25.2781053077374</v>
      </c>
      <c r="D146" s="38" t="n">
        <f aca="false">Q!$E$46-cx_rt*Q!$E$16-cx_awso*Thesis!$D$141</f>
        <v>69.5686316310026</v>
      </c>
      <c r="E146" s="38" t="n">
        <f aca="false">Q!$P$46-cx_rt*Q!$P$16-cx_awso*Thesis!$E$141</f>
        <v>64.1899206485108</v>
      </c>
      <c r="F146" s="38" t="n">
        <f aca="false">MAX(Thesis!$F$123*(Thesis!$F$128+tk_fac*(1-colo_sh))/1000,capex_g26-Q!$P$46-Thesis!$F$144)</f>
        <v>96.2481299895</v>
      </c>
      <c r="G146" s="38" t="n">
        <f aca="false">Thesis!$E$146+Thesis!$F$146</f>
        <v>160.438050638011</v>
      </c>
      <c r="H146" s="38" t="n">
        <f aca="false">Thesis!$H$123*(Thesis!$H$128+tk_fac*(1-colo_sh))/1000+Thesis!$H$147</f>
        <v>198.57136494475</v>
      </c>
      <c r="I146" s="38" t="n">
        <f aca="false">Thesis!$I$123*(Thesis!$I$128+tk_fac*(1-colo_sh))/1000+Thesis!$I$147</f>
        <v>204.6464699105</v>
      </c>
      <c r="J146" s="38" t="n">
        <f aca="false">Thesis!$J$123*(Thesis!$J$128+tk_fac*(1-colo_sh))/1000+Thesis!$J$147</f>
        <v>209.8832381105</v>
      </c>
      <c r="K146" s="38" t="n">
        <f aca="false">Thesis!$K$123*(Thesis!$K$128+tk_fac*(1-colo_sh))/1000+Thesis!$K$147</f>
        <v>215.1200063105</v>
      </c>
      <c r="L146" s="38" t="n">
        <f aca="false">Thesis!$L$123*(Thesis!$L$128+tk_fac*(1-colo_sh))/1000+Thesis!$L$147</f>
        <v>251.7773837105</v>
      </c>
      <c r="M146" s="38" t="n">
        <f aca="false">Thesis!$M$123*(Thesis!$M$128+tk_fac*(1-colo_sh))/1000+Thesis!$M$147</f>
        <v>311.87584476575</v>
      </c>
      <c r="P146" s="5" t="s">
        <v>587</v>
      </c>
      <c r="R146" s="38" t="n">
        <f aca="false">Q!$C$46-cx_rt*Q!$C$16-cx_awso*(Q!$C$7-mw_ye23/2*rpm_open/1000)</f>
        <v>1.50429979529945</v>
      </c>
      <c r="S146" s="38" t="n">
        <f aca="false">Thesis!$C$146</f>
        <v>25.2781053077374</v>
      </c>
      <c r="T146" s="38" t="n">
        <f aca="false">Thesis!$D$146</f>
        <v>69.5686316310026</v>
      </c>
      <c r="U146" s="38" t="n">
        <f aca="false">Thesis!$G$146</f>
        <v>160.438050638011</v>
      </c>
      <c r="V146" s="38" t="n">
        <f aca="false">Thesis!$H$146</f>
        <v>198.57136494475</v>
      </c>
      <c r="W146" s="38" t="n">
        <f aca="false">Thesis!$I$146</f>
        <v>204.6464699105</v>
      </c>
      <c r="X146" s="38" t="n">
        <f aca="false">Thesis!$J$146</f>
        <v>209.8832381105</v>
      </c>
      <c r="Y146" s="38" t="n">
        <f aca="false">Thesis!$K$146</f>
        <v>215.1200063105</v>
      </c>
      <c r="Z146" s="38" t="n">
        <f aca="false">Thesis!$L$146</f>
        <v>251.7773837105</v>
      </c>
      <c r="AA146" s="38" t="n">
        <f aca="false">Thesis!$M$146</f>
        <v>311.87584476575</v>
      </c>
    </row>
    <row r="147" customFormat="false" ht="17.15" hidden="false" customHeight="false" outlineLevel="0" collapsed="false">
      <c r="A147" s="0" t="s">
        <v>588</v>
      </c>
      <c r="B147" s="0" t="s">
        <v>73</v>
      </c>
      <c r="H147" s="38" t="n">
        <f aca="false">SUMPRODUCT(--(Thesis!$R$117:$AA$117=2027-tk_life),Thesis!$R$123:$AA$123)*Thesis!$H$128/1000</f>
        <v>0</v>
      </c>
      <c r="I147" s="38" t="n">
        <f aca="false">SUMPRODUCT(--(Thesis!$R$117:$AA$117=2028-tk_life),Thesis!$R$123:$AA$123)*Thesis!$I$128/1000</f>
        <v>0</v>
      </c>
      <c r="J147" s="38" t="n">
        <f aca="false">SUMPRODUCT(--(Thesis!$R$117:$AA$117=2029-tk_life),Thesis!$R$123:$AA$123)*Thesis!$J$128/1000</f>
        <v>5.2367682</v>
      </c>
      <c r="K147" s="38" t="n">
        <f aca="false">SUMPRODUCT(--(Thesis!$R$117:$AA$117=2030-tk_life),Thesis!$R$123:$AA$123)*Thesis!$K$128/1000</f>
        <v>10.4735364</v>
      </c>
      <c r="L147" s="38" t="n">
        <f aca="false">SUMPRODUCT(--(Thesis!$R$117:$AA$117=2031-tk_life),Thesis!$R$123:$AA$123)*Thesis!$L$128/1000</f>
        <v>47.1309138</v>
      </c>
      <c r="M147" s="38" t="n">
        <f aca="false">SUMPRODUCT(--(Thesis!$R$117:$AA$117=2032-tk_life),Thesis!$R$123:$AA$123)*Thesis!$M$128/1000</f>
        <v>107.22937485525</v>
      </c>
    </row>
    <row r="148" customFormat="false" ht="17.15" hidden="false" customHeight="false" outlineLevel="0" collapsed="false">
      <c r="A148" s="5" t="s">
        <v>589</v>
      </c>
      <c r="B148" s="0" t="s">
        <v>73</v>
      </c>
      <c r="C148" s="38" t="n">
        <f aca="false">Thesis!$C$146*Thesis!$C$145</f>
        <v>18.472138699801</v>
      </c>
      <c r="D148" s="38" t="n">
        <f aca="false">Thesis!$D$146*Thesis!$D$145</f>
        <v>50.8377268390402</v>
      </c>
      <c r="E148" s="38" t="n">
        <f aca="false">Thesis!$E$146*Thesis!$E$145</f>
        <v>48.8351995705653</v>
      </c>
      <c r="F148" s="38" t="n">
        <f aca="false">Thesis!$F$146*Thesis!$F$145</f>
        <v>73.2248394895</v>
      </c>
      <c r="G148" s="38" t="n">
        <f aca="false">Thesis!$E$148+Thesis!$F$148</f>
        <v>122.060039060065</v>
      </c>
      <c r="H148" s="38" t="n">
        <f aca="false">(Thesis!$H$146-Thesis!$H$147)*Thesis!$H$145+Thesis!$H$147</f>
        <v>152.52478394475</v>
      </c>
      <c r="I148" s="38" t="n">
        <f aca="false">(Thesis!$I$146-Thesis!$I$147)*Thesis!$I$145+Thesis!$I$147</f>
        <v>158.5998889105</v>
      </c>
      <c r="J148" s="38" t="n">
        <f aca="false">(Thesis!$J$146-Thesis!$J$147)*Thesis!$J$145+Thesis!$J$147</f>
        <v>163.8366571105</v>
      </c>
      <c r="K148" s="38" t="n">
        <f aca="false">(Thesis!$K$146-Thesis!$K$147)*Thesis!$K$145+Thesis!$K$147</f>
        <v>169.0734253105</v>
      </c>
      <c r="L148" s="38" t="n">
        <f aca="false">(Thesis!$L$146-Thesis!$L$147)*Thesis!$L$145+Thesis!$L$147</f>
        <v>205.7308027105</v>
      </c>
      <c r="M148" s="38" t="n">
        <f aca="false">(Thesis!$M$146-Thesis!$M$147)*Thesis!$M$145+Thesis!$M$147</f>
        <v>265.82926376575</v>
      </c>
      <c r="R148" s="38" t="n">
        <f aca="false">Thesis!$R$146*Thesis!$C$145</f>
        <v>1.09927679019314</v>
      </c>
      <c r="S148" s="38" t="n">
        <f aca="false">Thesis!$C$148</f>
        <v>18.472138699801</v>
      </c>
      <c r="T148" s="38" t="n">
        <f aca="false">Thesis!$D$148</f>
        <v>50.8377268390402</v>
      </c>
      <c r="U148" s="38" t="n">
        <f aca="false">Thesis!$G$148</f>
        <v>122.060039060065</v>
      </c>
      <c r="V148" s="38" t="n">
        <f aca="false">Thesis!$H$148</f>
        <v>152.52478394475</v>
      </c>
      <c r="W148" s="38" t="n">
        <f aca="false">Thesis!$I$148</f>
        <v>158.5998889105</v>
      </c>
      <c r="X148" s="38" t="n">
        <f aca="false">Thesis!$J$148</f>
        <v>163.8366571105</v>
      </c>
      <c r="Y148" s="38" t="n">
        <f aca="false">Thesis!$K$148</f>
        <v>169.0734253105</v>
      </c>
      <c r="Z148" s="38" t="n">
        <f aca="false">Thesis!$L$148</f>
        <v>205.7308027105</v>
      </c>
      <c r="AA148" s="38" t="n">
        <f aca="false">Thesis!$M$148</f>
        <v>265.82926376575</v>
      </c>
    </row>
    <row r="149" customFormat="false" ht="15" hidden="false" customHeight="false" outlineLevel="0" collapsed="false">
      <c r="A149" s="5" t="s">
        <v>590</v>
      </c>
      <c r="B149" s="0" t="s">
        <v>73</v>
      </c>
      <c r="R149" s="38" t="n">
        <f aca="false">Thesis!$R$146-Thesis!$R$148</f>
        <v>0.405023005106309</v>
      </c>
      <c r="S149" s="38" t="n">
        <f aca="false">Thesis!$S$146-Thesis!$S$148</f>
        <v>6.80596660793636</v>
      </c>
      <c r="T149" s="38" t="n">
        <f aca="false">Thesis!$T$146-Thesis!$T$148</f>
        <v>18.7309047919624</v>
      </c>
      <c r="U149" s="38" t="n">
        <f aca="false">Thesis!$U$146-Thesis!$U$148</f>
        <v>38.3780115779455</v>
      </c>
      <c r="V149" s="38" t="n">
        <f aca="false">Thesis!$V$146-Thesis!$V$148</f>
        <v>46.046581</v>
      </c>
      <c r="W149" s="38" t="n">
        <f aca="false">Thesis!$W$146-Thesis!$W$148</f>
        <v>46.046581</v>
      </c>
      <c r="X149" s="38" t="n">
        <f aca="false">Thesis!$X$146-Thesis!$X$148</f>
        <v>46.046581</v>
      </c>
      <c r="Y149" s="38" t="n">
        <f aca="false">Thesis!$Y$146-Thesis!$Y$148</f>
        <v>46.046581</v>
      </c>
      <c r="Z149" s="38" t="n">
        <f aca="false">Thesis!$Z$146-Thesis!$Z$148</f>
        <v>46.046581</v>
      </c>
      <c r="AA149" s="38" t="n">
        <f aca="false">Thesis!$AA$146-Thesis!$AA$148</f>
        <v>46.046581</v>
      </c>
    </row>
    <row r="150" customFormat="false" ht="17.15" hidden="false" customHeight="false" outlineLevel="0" collapsed="false">
      <c r="A150" s="0" t="s">
        <v>591</v>
      </c>
      <c r="B150" s="0" t="s">
        <v>73</v>
      </c>
      <c r="C150" s="38" t="n">
        <f aca="false">Thesis!$S$150</f>
        <v>0.183212798365523</v>
      </c>
      <c r="D150" s="38" t="n">
        <f aca="false">Thesis!$T$150</f>
        <v>3.2619025816657</v>
      </c>
      <c r="E150" s="38" t="n">
        <f aca="false">Thesis!$G$150/2</f>
        <v>5.86742852741953</v>
      </c>
      <c r="F150" s="38" t="n">
        <f aca="false">Thesis!$G$150/2</f>
        <v>5.86742852741953</v>
      </c>
      <c r="G150" s="38" t="n">
        <f aca="false">Thesis!$U$150</f>
        <v>11.7348570548391</v>
      </c>
      <c r="H150" s="38" t="n">
        <f aca="false">Thesis!$V$150</f>
        <v>32.0781968981833</v>
      </c>
      <c r="I150" s="38" t="n">
        <f aca="false">Thesis!$W$150</f>
        <v>57.4989942223083</v>
      </c>
      <c r="J150" s="38" t="n">
        <f aca="false">Thesis!$X$150</f>
        <v>83.932309040725</v>
      </c>
      <c r="K150" s="38" t="n">
        <f aca="false">Thesis!$Y$150</f>
        <v>111.055205760776</v>
      </c>
      <c r="L150" s="38" t="n">
        <f aca="false">Thesis!$Z$150</f>
        <v>136.155420195893</v>
      </c>
      <c r="M150" s="38" t="n">
        <f aca="false">Thesis!$AA$150</f>
        <v>161.970932841136</v>
      </c>
      <c r="N150" s="38" t="n">
        <f aca="false">Thesis!$D$150/2</f>
        <v>1.63095129083285</v>
      </c>
      <c r="O150" s="38" t="n">
        <f aca="false">Thesis!$D$150/2</f>
        <v>1.63095129083285</v>
      </c>
      <c r="R150" s="38" t="n">
        <f aca="false">SUMPRODUCT(--(Thesis!$R$117:$AA$117&lt;Thesis!R$117),--(Thesis!$R$117:$AA$117&gt;=Thesis!R$117-tk_life),Thesis!$R$148:$AA$148)/tk_life</f>
        <v>0</v>
      </c>
      <c r="S150" s="38" t="n">
        <f aca="false">SUMPRODUCT(--(Thesis!$R$117:$AA$117&lt;Thesis!S$117),--(Thesis!$R$117:$AA$117&gt;=Thesis!S$117-tk_life),Thesis!$R$148:$AA$148)/tk_life</f>
        <v>0.183212798365523</v>
      </c>
      <c r="T150" s="38" t="n">
        <f aca="false">SUMPRODUCT(--(Thesis!$R$117:$AA$117&lt;Thesis!T$117),--(Thesis!$R$117:$AA$117&gt;=Thesis!T$117-tk_life),Thesis!$R$148:$AA$148)/tk_life</f>
        <v>3.2619025816657</v>
      </c>
      <c r="U150" s="38" t="n">
        <f aca="false">SUMPRODUCT(--(Thesis!$R$117:$AA$117&lt;Thesis!U$117),--(Thesis!$R$117:$AA$117&gt;=Thesis!U$117-tk_life),Thesis!$R$148:$AA$148)/tk_life</f>
        <v>11.7348570548391</v>
      </c>
      <c r="V150" s="38" t="n">
        <f aca="false">SUMPRODUCT(--(Thesis!$R$117:$AA$117&lt;Thesis!V$117),--(Thesis!$R$117:$AA$117&gt;=Thesis!V$117-tk_life),Thesis!$R$148:$AA$148)/tk_life</f>
        <v>32.0781968981833</v>
      </c>
      <c r="W150" s="38" t="n">
        <f aca="false">SUMPRODUCT(--(Thesis!$R$117:$AA$117&lt;Thesis!W$117),--(Thesis!$R$117:$AA$117&gt;=Thesis!W$117-tk_life),Thesis!$R$148:$AA$148)/tk_life</f>
        <v>57.4989942223083</v>
      </c>
      <c r="X150" s="38" t="n">
        <f aca="false">SUMPRODUCT(--(Thesis!$R$117:$AA$117&lt;Thesis!X$117),--(Thesis!$R$117:$AA$117&gt;=Thesis!X$117-tk_life),Thesis!$R$148:$AA$148)/tk_life</f>
        <v>83.932309040725</v>
      </c>
      <c r="Y150" s="38" t="n">
        <f aca="false">SUMPRODUCT(--(Thesis!$R$117:$AA$117&lt;Thesis!Y$117),--(Thesis!$R$117:$AA$117&gt;=Thesis!Y$117-tk_life),Thesis!$R$148:$AA$148)/tk_life</f>
        <v>111.055205760776</v>
      </c>
      <c r="Z150" s="38" t="n">
        <f aca="false">SUMPRODUCT(--(Thesis!$R$117:$AA$117&lt;Thesis!Z$117),--(Thesis!$R$117:$AA$117&gt;=Thesis!Z$117-tk_life),Thesis!$R$148:$AA$148)/tk_life</f>
        <v>136.155420195893</v>
      </c>
      <c r="AA150" s="38" t="n">
        <f aca="false">SUMPRODUCT(--(Thesis!$R$117:$AA$117&lt;Thesis!AA$117),--(Thesis!$R$117:$AA$117&gt;=Thesis!AA$117-tk_life),Thesis!$R$148:$AA$148)/tk_life</f>
        <v>161.970932841136</v>
      </c>
    </row>
    <row r="151" customFormat="false" ht="17.15" hidden="false" customHeight="false" outlineLevel="0" collapsed="false">
      <c r="A151" s="0" t="s">
        <v>592</v>
      </c>
      <c r="B151" s="0" t="s">
        <v>73</v>
      </c>
      <c r="C151" s="38" t="n">
        <f aca="false">Thesis!$S$151</f>
        <v>0.0202511502553155</v>
      </c>
      <c r="D151" s="38" t="n">
        <f aca="false">Thesis!$T$151</f>
        <v>0.360549480652134</v>
      </c>
      <c r="E151" s="38" t="n">
        <f aca="false">Thesis!$G$151/2</f>
        <v>0.648547360125127</v>
      </c>
      <c r="F151" s="38" t="n">
        <f aca="false">Thesis!$G$151/2</f>
        <v>0.648547360125127</v>
      </c>
      <c r="G151" s="38" t="n">
        <f aca="false">Thesis!$U$151</f>
        <v>1.29709472025025</v>
      </c>
      <c r="H151" s="38" t="n">
        <f aca="false">Thesis!$V$151</f>
        <v>3.21599529914753</v>
      </c>
      <c r="I151" s="38" t="n">
        <f aca="false">Thesis!$W$151</f>
        <v>5.51832434914753</v>
      </c>
      <c r="J151" s="38" t="n">
        <f aca="false">Thesis!$X$151</f>
        <v>7.82065339914753</v>
      </c>
      <c r="K151" s="38" t="n">
        <f aca="false">Thesis!$Y$151</f>
        <v>10.1229824491475</v>
      </c>
      <c r="L151" s="38" t="n">
        <f aca="false">Thesis!$Z$151</f>
        <v>12.4253114991475</v>
      </c>
      <c r="M151" s="38" t="n">
        <f aca="false">Thesis!$AA$151</f>
        <v>14.7276405491475</v>
      </c>
      <c r="N151" s="38" t="n">
        <f aca="false">Thesis!$D$151/2</f>
        <v>0.180274740326067</v>
      </c>
      <c r="O151" s="38" t="n">
        <f aca="false">Thesis!$D$151/2</f>
        <v>0.180274740326067</v>
      </c>
      <c r="R151" s="38" t="n">
        <f aca="false">SUMPRODUCT(--(Thesis!$R$117:$AA$117&lt;Thesis!R$117),Thesis!$R$149:$AA$149)/fac_life</f>
        <v>0</v>
      </c>
      <c r="S151" s="38" t="n">
        <f aca="false">SUMPRODUCT(--(Thesis!$R$117:$AA$117&lt;Thesis!S$117),Thesis!$R$149:$AA$149)/fac_life</f>
        <v>0.0202511502553155</v>
      </c>
      <c r="T151" s="38" t="n">
        <f aca="false">SUMPRODUCT(--(Thesis!$R$117:$AA$117&lt;Thesis!T$117),Thesis!$R$149:$AA$149)/fac_life</f>
        <v>0.360549480652134</v>
      </c>
      <c r="U151" s="38" t="n">
        <f aca="false">SUMPRODUCT(--(Thesis!$R$117:$AA$117&lt;Thesis!U$117),Thesis!$R$149:$AA$149)/fac_life</f>
        <v>1.29709472025025</v>
      </c>
      <c r="V151" s="38" t="n">
        <f aca="false">SUMPRODUCT(--(Thesis!$R$117:$AA$117&lt;Thesis!V$117),Thesis!$R$149:$AA$149)/fac_life</f>
        <v>3.21599529914753</v>
      </c>
      <c r="W151" s="38" t="n">
        <f aca="false">SUMPRODUCT(--(Thesis!$R$117:$AA$117&lt;Thesis!W$117),Thesis!$R$149:$AA$149)/fac_life</f>
        <v>5.51832434914753</v>
      </c>
      <c r="X151" s="38" t="n">
        <f aca="false">SUMPRODUCT(--(Thesis!$R$117:$AA$117&lt;Thesis!X$117),Thesis!$R$149:$AA$149)/fac_life</f>
        <v>7.82065339914753</v>
      </c>
      <c r="Y151" s="38" t="n">
        <f aca="false">SUMPRODUCT(--(Thesis!$R$117:$AA$117&lt;Thesis!Y$117),Thesis!$R$149:$AA$149)/fac_life</f>
        <v>10.1229824491475</v>
      </c>
      <c r="Z151" s="38" t="n">
        <f aca="false">SUMPRODUCT(--(Thesis!$R$117:$AA$117&lt;Thesis!Z$117),Thesis!$R$149:$AA$149)/fac_life</f>
        <v>12.4253114991475</v>
      </c>
      <c r="AA151" s="38" t="n">
        <f aca="false">SUMPRODUCT(--(Thesis!$R$117:$AA$117&lt;Thesis!AA$117),Thesis!$R$149:$AA$149)/fac_life</f>
        <v>14.7276405491475</v>
      </c>
    </row>
    <row r="152" customFormat="false" ht="17.15" hidden="false" customHeight="false" outlineLevel="0" collapsed="false">
      <c r="A152" s="1" t="s">
        <v>593</v>
      </c>
      <c r="B152" s="8" t="s">
        <v>73</v>
      </c>
      <c r="C152" s="38" t="n">
        <f aca="false">Thesis!$C$150+Thesis!$C$151</f>
        <v>0.203463948620839</v>
      </c>
      <c r="D152" s="38" t="n">
        <f aca="false">Thesis!$D$150+Thesis!$D$151</f>
        <v>3.62245206231783</v>
      </c>
      <c r="E152" s="38" t="n">
        <f aca="false">Thesis!$E$150+Thesis!$E$151</f>
        <v>6.51597588754466</v>
      </c>
      <c r="F152" s="38" t="n">
        <f aca="false">Thesis!$F$150+Thesis!$F$151</f>
        <v>6.51597588754466</v>
      </c>
      <c r="G152" s="38" t="n">
        <f aca="false">Thesis!$G$150+Thesis!$G$151</f>
        <v>13.0319517750893</v>
      </c>
      <c r="H152" s="38" t="n">
        <f aca="false">Thesis!$H$150+Thesis!$H$151</f>
        <v>35.2941921973308</v>
      </c>
      <c r="I152" s="38" t="n">
        <f aca="false">Thesis!$I$150+Thesis!$I$151</f>
        <v>63.0173185714558</v>
      </c>
      <c r="J152" s="38" t="n">
        <f aca="false">Thesis!$J$150+Thesis!$J$151</f>
        <v>91.7529624398725</v>
      </c>
      <c r="K152" s="38" t="n">
        <f aca="false">Thesis!$K$150+Thesis!$K$151</f>
        <v>121.178188209924</v>
      </c>
      <c r="L152" s="38" t="n">
        <f aca="false">Thesis!$L$150+Thesis!$L$151</f>
        <v>148.58073169504</v>
      </c>
      <c r="M152" s="38" t="n">
        <f aca="false">Thesis!$M$150+Thesis!$M$151</f>
        <v>176.698573390283</v>
      </c>
      <c r="N152" s="38" t="n">
        <f aca="false">Thesis!$N$150+Thesis!$N$151</f>
        <v>1.81122603115892</v>
      </c>
      <c r="O152" s="38" t="n">
        <f aca="false">Thesis!$O$150+Thesis!$O$151</f>
        <v>1.81122603115892</v>
      </c>
      <c r="R152" s="38" t="n">
        <f aca="false">Thesis!$R$150+Thesis!$R$151</f>
        <v>0</v>
      </c>
      <c r="S152" s="38" t="n">
        <f aca="false">Thesis!$S$150+Thesis!$S$151</f>
        <v>0.203463948620839</v>
      </c>
      <c r="T152" s="38" t="n">
        <f aca="false">Thesis!$T$150+Thesis!$T$151</f>
        <v>3.62245206231783</v>
      </c>
      <c r="U152" s="38" t="n">
        <f aca="false">Thesis!$U$150+Thesis!$U$151</f>
        <v>13.0319517750893</v>
      </c>
      <c r="V152" s="38" t="n">
        <f aca="false">Thesis!$V$150+Thesis!$V$151</f>
        <v>35.2941921973308</v>
      </c>
      <c r="W152" s="38" t="n">
        <f aca="false">Thesis!$W$150+Thesis!$W$151</f>
        <v>63.0173185714558</v>
      </c>
      <c r="X152" s="38" t="n">
        <f aca="false">Thesis!$X$150+Thesis!$X$151</f>
        <v>91.7529624398725</v>
      </c>
      <c r="Y152" s="38" t="n">
        <f aca="false">Thesis!$Y$150+Thesis!$Y$151</f>
        <v>121.178188209924</v>
      </c>
      <c r="Z152" s="38" t="n">
        <f aca="false">Thesis!$Z$150+Thesis!$Z$151</f>
        <v>148.58073169504</v>
      </c>
      <c r="AA152" s="38" t="n">
        <f aca="false">Thesis!$AA$150+Thesis!$AA$151</f>
        <v>176.698573390283</v>
      </c>
    </row>
    <row r="153" customFormat="false" ht="17.15" hidden="false" customHeight="false" outlineLevel="0" collapsed="false">
      <c r="A153" s="0" t="s">
        <v>594</v>
      </c>
      <c r="B153" s="0" t="s">
        <v>73</v>
      </c>
      <c r="C153" s="38" t="n">
        <f aca="false">Thesis!$S$153</f>
        <v>26.578941154416</v>
      </c>
      <c r="D153" s="38" t="n">
        <f aca="false">Thesis!$T$153</f>
        <v>92.5251207231008</v>
      </c>
      <c r="G153" s="38" t="n">
        <f aca="false">Thesis!$U$153</f>
        <v>239.931219586022</v>
      </c>
      <c r="H153" s="38" t="n">
        <f aca="false">Thesis!$V$153</f>
        <v>403.208392333442</v>
      </c>
      <c r="I153" s="38" t="n">
        <f aca="false">Thesis!$W$153</f>
        <v>544.837543672486</v>
      </c>
      <c r="J153" s="38" t="n">
        <f aca="false">Thesis!$X$153</f>
        <v>662.967819343113</v>
      </c>
      <c r="K153" s="38" t="n">
        <f aca="false">Thesis!$Y$153</f>
        <v>756.90963744369</v>
      </c>
      <c r="L153" s="38" t="n">
        <f aca="false">Thesis!$Z$153</f>
        <v>860.10628945915</v>
      </c>
      <c r="M153" s="38" t="n">
        <f aca="false">Thesis!$AA$153</f>
        <v>995.283560834616</v>
      </c>
      <c r="R153" s="38" t="n">
        <f aca="false">SUM(Thesis!$R$146:$R$146)-SUM(Thesis!$R$152:$R$152)</f>
        <v>1.50429979529945</v>
      </c>
      <c r="S153" s="38" t="n">
        <f aca="false">SUM(Thesis!$R$146:$S$146)-SUM(Thesis!$R$152:$S$152)</f>
        <v>26.578941154416</v>
      </c>
      <c r="T153" s="38" t="n">
        <f aca="false">SUM(Thesis!$R$146:$T$146)-SUM(Thesis!$R$152:$T$152)</f>
        <v>92.5251207231008</v>
      </c>
      <c r="U153" s="38" t="n">
        <f aca="false">SUM(Thesis!$R$146:$U$146)-SUM(Thesis!$R$152:$U$152)</f>
        <v>239.931219586022</v>
      </c>
      <c r="V153" s="38" t="n">
        <f aca="false">SUM(Thesis!$R$146:$V$146)-SUM(Thesis!$R$152:$V$152)</f>
        <v>403.208392333442</v>
      </c>
      <c r="W153" s="38" t="n">
        <f aca="false">SUM(Thesis!$R$146:$W$146)-SUM(Thesis!$R$152:$W$152)</f>
        <v>544.837543672486</v>
      </c>
      <c r="X153" s="38" t="n">
        <f aca="false">SUM(Thesis!$R$146:$X$146)-SUM(Thesis!$R$152:$X$152)</f>
        <v>662.967819343113</v>
      </c>
      <c r="Y153" s="38" t="n">
        <f aca="false">SUM(Thesis!$R$146:$Y$146)-SUM(Thesis!$R$152:$Y$152)</f>
        <v>756.90963744369</v>
      </c>
      <c r="Z153" s="38" t="n">
        <f aca="false">SUM(Thesis!$R$146:$Z$146)-SUM(Thesis!$R$152:$Z$152)</f>
        <v>860.10628945915</v>
      </c>
      <c r="AA153" s="38" t="n">
        <f aca="false">SUM(Thesis!$R$146:$AA$146)-SUM(Thesis!$R$152:$AA$152)</f>
        <v>995.283560834616</v>
      </c>
    </row>
    <row r="154" customFormat="false" ht="17.15" hidden="false" customHeight="false" outlineLevel="0" collapsed="false">
      <c r="A154" s="1" t="s">
        <v>595</v>
      </c>
    </row>
    <row r="155" customFormat="false" ht="17.15" hidden="false" customHeight="false" outlineLevel="0" collapsed="false">
      <c r="A155" s="0" t="s">
        <v>596</v>
      </c>
      <c r="B155" s="0" t="s">
        <v>73</v>
      </c>
      <c r="C155" s="38" t="n">
        <f aca="false">Thesis!$C$137-ext_sh*Thesis!$C$139</f>
        <v>1.80694998843362</v>
      </c>
      <c r="D155" s="38" t="n">
        <f aca="false">Thesis!$D$137-ext_sh*Thesis!$D$139</f>
        <v>6.77606245662607</v>
      </c>
      <c r="E155" s="38" t="n">
        <f aca="false">Thesis!$E$137-ext_sh*Thesis!$E$139</f>
        <v>6.62548329092326</v>
      </c>
      <c r="F155" s="38" t="n">
        <f aca="false">Thesis!$F$137-ext_sh*Thesis!$F$139</f>
        <v>10.8940413794839</v>
      </c>
      <c r="G155" s="38" t="n">
        <f aca="false">Thesis!$G$137-ext_sh*Thesis!$G$139</f>
        <v>17.5195246704072</v>
      </c>
      <c r="H155" s="38" t="n">
        <f aca="false">Thesis!$H$137-ext_sh*Thesis!$H$139</f>
        <v>40.7735721541341</v>
      </c>
      <c r="I155" s="38" t="n">
        <f aca="false">Thesis!$I$137-ext_sh*Thesis!$I$139</f>
        <v>66.8500163832358</v>
      </c>
      <c r="J155" s="38" t="n">
        <f aca="false">Thesis!$J$137-ext_sh*Thesis!$J$139</f>
        <v>93.0640470849174</v>
      </c>
      <c r="K155" s="38" t="n">
        <f aca="false">Thesis!$K$137-ext_sh*Thesis!$K$139</f>
        <v>119.323939944126</v>
      </c>
      <c r="L155" s="38" t="n">
        <f aca="false">Thesis!$L$137-ext_sh*Thesis!$L$139</f>
        <v>145.604679238573</v>
      </c>
      <c r="M155" s="38" t="n">
        <f aca="false">Thesis!$M$137-ext_sh*Thesis!$M$139</f>
        <v>171.896643536611</v>
      </c>
      <c r="N155" s="38" t="n">
        <f aca="false">Thesis!$N$137-ext_sh*Thesis!$N$139</f>
        <v>2.37162185981912</v>
      </c>
      <c r="O155" s="38" t="n">
        <f aca="false">Thesis!$O$137-ext_sh*Thesis!$O$139</f>
        <v>4.40444059680694</v>
      </c>
    </row>
    <row r="156" customFormat="false" ht="17.15" hidden="false" customHeight="false" outlineLevel="0" collapsed="false">
      <c r="A156" s="1" t="s">
        <v>597</v>
      </c>
      <c r="B156" s="8" t="s">
        <v>73</v>
      </c>
      <c r="C156" s="38" t="n">
        <f aca="false">Thesis!$C$155-ext_sh*Thesis!$C$152</f>
        <v>1.64417882953695</v>
      </c>
      <c r="D156" s="38" t="n">
        <f aca="false">Thesis!$D$155-ext_sh*Thesis!$D$152</f>
        <v>3.8781008067718</v>
      </c>
      <c r="E156" s="38" t="n">
        <f aca="false">Thesis!$E$155-ext_sh*Thesis!$E$152</f>
        <v>1.41270258088753</v>
      </c>
      <c r="F156" s="38" t="n">
        <f aca="false">Thesis!$F$155-ext_sh*Thesis!$F$152</f>
        <v>5.68126066944818</v>
      </c>
      <c r="G156" s="38" t="n">
        <f aca="false">Thesis!$G$155-ext_sh*Thesis!$G$152</f>
        <v>7.09396325033571</v>
      </c>
      <c r="H156" s="38" t="n">
        <f aca="false">Thesis!$H$155-ext_sh*Thesis!$H$152</f>
        <v>12.5382183962694</v>
      </c>
      <c r="I156" s="38" t="n">
        <f aca="false">Thesis!$I$155-ext_sh*Thesis!$I$152</f>
        <v>16.4361615260712</v>
      </c>
      <c r="J156" s="38" t="n">
        <f aca="false">Thesis!$J$155-ext_sh*Thesis!$J$152</f>
        <v>19.6616771330194</v>
      </c>
      <c r="K156" s="38" t="n">
        <f aca="false">Thesis!$K$155-ext_sh*Thesis!$K$152</f>
        <v>22.3813893761866</v>
      </c>
      <c r="L156" s="38" t="n">
        <f aca="false">Thesis!$L$155-ext_sh*Thesis!$L$152</f>
        <v>26.740093882541</v>
      </c>
      <c r="M156" s="38" t="n">
        <f aca="false">Thesis!$M$155-ext_sh*Thesis!$M$152</f>
        <v>30.5377848243843</v>
      </c>
      <c r="N156" s="38" t="n">
        <f aca="false">Thesis!$N$155-ext_sh*Thesis!$N$152</f>
        <v>0.92264103489199</v>
      </c>
      <c r="O156" s="38" t="n">
        <f aca="false">Thesis!$O$155-ext_sh*Thesis!$O$152</f>
        <v>2.95545977187981</v>
      </c>
    </row>
    <row r="157" customFormat="false" ht="17.15" hidden="false" customHeight="false" outlineLevel="0" collapsed="false">
      <c r="A157" s="0" t="s">
        <v>598</v>
      </c>
      <c r="B157" s="0" t="s">
        <v>52</v>
      </c>
      <c r="C157" s="12" t="n">
        <f aca="false">Thesis!$C$156/Thesis!$C$137</f>
        <v>0.708390794789371</v>
      </c>
      <c r="D157" s="12" t="n">
        <f aca="false">Thesis!$D$156/Thesis!$D$137</f>
        <v>0.445565630441968</v>
      </c>
      <c r="E157" s="12" t="n">
        <f aca="false">Thesis!$E$156/Thesis!$E$137</f>
        <v>0.165998118402711</v>
      </c>
      <c r="F157" s="12" t="n">
        <f aca="false">Thesis!$F$156/Thesis!$F$137</f>
        <v>0.401859869136011</v>
      </c>
      <c r="G157" s="12" t="n">
        <f aca="false">Thesis!$G$156/Thesis!$G$137</f>
        <v>0.313230095563868</v>
      </c>
      <c r="H157" s="12" t="n">
        <f aca="false">Thesis!$H$156/Thesis!$H$137</f>
        <v>0.23470012891306</v>
      </c>
      <c r="I157" s="12" t="n">
        <f aca="false">Thesis!$I$156/Thesis!$I$137</f>
        <v>0.187200558396588</v>
      </c>
      <c r="J157" s="12" t="n">
        <f aca="false">Thesis!$J$156/Thesis!$J$137</f>
        <v>0.160726355342167</v>
      </c>
      <c r="K157" s="12" t="n">
        <f aca="false">Thesis!$K$156/Thesis!$K$137</f>
        <v>0.142637017621647</v>
      </c>
      <c r="L157" s="12" t="n">
        <f aca="false">Thesis!$L$156/Thesis!$L$137</f>
        <v>0.139623254059572</v>
      </c>
      <c r="M157" s="12" t="n">
        <f aca="false">Thesis!$M$156/Thesis!$M$137</f>
        <v>0.135043429136094</v>
      </c>
      <c r="N157" s="12" t="n">
        <f aca="false">Thesis!$N$156/Thesis!$N$137</f>
        <v>0.302870734830849</v>
      </c>
      <c r="O157" s="12" t="n">
        <f aca="false">Thesis!$O$156/Thesis!$O$137</f>
        <v>0.52240134346334</v>
      </c>
    </row>
    <row r="158" customFormat="false" ht="17.15" hidden="false" customHeight="false" outlineLevel="0" collapsed="false">
      <c r="A158" s="5" t="s">
        <v>599</v>
      </c>
      <c r="B158" s="0" t="s">
        <v>73</v>
      </c>
      <c r="C158" s="38" t="n">
        <f aca="false">rd2*(1-ext_sh)/ext_sh*Thesis!$C$120*he_open*Thesis!$C$121/1000</f>
        <v>0</v>
      </c>
      <c r="D158" s="38" t="n">
        <f aca="false">rd2*(1-ext_sh)/ext_sh*Thesis!$D$120*he_open*Thesis!$D$121/1000</f>
        <v>0</v>
      </c>
      <c r="E158" s="38" t="n">
        <f aca="false">rd2*(1-ext_sh)/ext_sh*Thesis!$E$120*he_open*Thesis!$E$121/1000</f>
        <v>0</v>
      </c>
      <c r="F158" s="38" t="n">
        <f aca="false">rd2*(1-ext_sh)/ext_sh*(mw_open*he_open+Thesis!$F$135*Thesis!$F$132)*Thesis!$F$121/1000</f>
        <v>0</v>
      </c>
      <c r="G158" s="38" t="n">
        <f aca="false">Thesis!$E$158+Thesis!$F$158</f>
        <v>0</v>
      </c>
      <c r="H158" s="38" t="n">
        <f aca="false">rd2*(1-ext_sh)/ext_sh*(mw_open*he_open+Thesis!$H$135*Thesis!$H$132)*Thesis!$H$121/1000</f>
        <v>0</v>
      </c>
      <c r="I158" s="38" t="n">
        <f aca="false">rd2*(1-ext_sh)/ext_sh*(mw_open*he_open+Thesis!$I$135*Thesis!$I$132)*Thesis!$I$121/1000</f>
        <v>0</v>
      </c>
      <c r="J158" s="38" t="n">
        <f aca="false">rd2*(1-ext_sh)/ext_sh*(mw_open*he_open+Thesis!$J$135*Thesis!$J$132)*Thesis!$J$121/1000</f>
        <v>0</v>
      </c>
      <c r="K158" s="38" t="n">
        <f aca="false">rd2*(1-ext_sh)/ext_sh*(mw_open*he_open+Thesis!$K$135*Thesis!$K$132)*Thesis!$K$121/1000</f>
        <v>0</v>
      </c>
      <c r="L158" s="38" t="n">
        <f aca="false">rd2*(1-ext_sh)/ext_sh*(mw_open*he_open+Thesis!$L$135*Thesis!$L$132)*Thesis!$L$121/1000</f>
        <v>0</v>
      </c>
      <c r="M158" s="38" t="n">
        <f aca="false">rd2*(1-ext_sh)/ext_sh*(mw_open*he_open+Thesis!$M$135*Thesis!$M$132)*Thesis!$M$121/1000</f>
        <v>0</v>
      </c>
      <c r="N158" s="38" t="n">
        <f aca="false">rd2*(1-ext_sh)/ext_sh*Thesis!$N$120*he_open*Thesis!$N$121/1000</f>
        <v>0</v>
      </c>
      <c r="O158" s="38" t="n">
        <f aca="false">rd2*(1-ext_sh)/ext_sh*Thesis!$O$120*he_open*Thesis!$O$121/1000</f>
        <v>0</v>
      </c>
      <c r="P158" s="8" t="s">
        <v>600</v>
      </c>
    </row>
    <row r="159" customFormat="false" ht="17.15" hidden="false" customHeight="false" outlineLevel="0" collapsed="false">
      <c r="A159" s="5" t="s">
        <v>601</v>
      </c>
      <c r="B159" s="0" t="s">
        <v>73</v>
      </c>
      <c r="C159" s="38" t="n">
        <f aca="false">(1-ext_sh)*(Thesis!$C$139+Thesis!$C$152)-Thesis!$C$158</f>
        <v>0.169206631859174</v>
      </c>
      <c r="D159" s="38" t="n">
        <f aca="false">(1-ext_sh)*(Thesis!$D$139+Thesis!$D$152)-Thesis!$D$158</f>
        <v>1.20641732046984</v>
      </c>
      <c r="E159" s="38" t="n">
        <f aca="false">(1-ext_sh)*(Thesis!$E$139+Thesis!$E$152)-Thesis!$E$158</f>
        <v>1.77441259867062</v>
      </c>
      <c r="F159" s="38" t="n">
        <f aca="false">(1-ext_sh)*(Thesis!$F$139+Thesis!$F$152)-Thesis!$F$158</f>
        <v>2.1140391597214</v>
      </c>
      <c r="G159" s="38" t="n">
        <f aca="false">(1-ext_sh)*(Thesis!$G$139+Thesis!$G$152)-Thesis!$G$158</f>
        <v>3.88845175839202</v>
      </c>
      <c r="H159" s="38" t="n">
        <f aca="false">(1-ext_sh)*(Thesis!$H$139+Thesis!$H$152)-Thesis!$H$158</f>
        <v>10.2210179503985</v>
      </c>
      <c r="I159" s="38" t="n">
        <f aca="false">(1-ext_sh)*(Thesis!$I$139+Thesis!$I$152)-Thesis!$I$158</f>
        <v>17.8408961823075</v>
      </c>
      <c r="J159" s="38" t="n">
        <f aca="false">(1-ext_sh)*(Thesis!$J$139+Thesis!$J$152)-Thesis!$J$158</f>
        <v>25.6671150670732</v>
      </c>
      <c r="K159" s="38" t="n">
        <f aca="false">(1-ext_sh)*(Thesis!$K$139+Thesis!$K$152)-Thesis!$K$158</f>
        <v>33.6325293834986</v>
      </c>
      <c r="L159" s="38" t="n">
        <f aca="false">(1-ext_sh)*(Thesis!$L$139+Thesis!$L$152)-Thesis!$L$158</f>
        <v>41.1939886299065</v>
      </c>
      <c r="M159" s="38" t="n">
        <f aca="false">(1-ext_sh)*(Thesis!$M$139+Thesis!$M$152)-Thesis!$M$158</f>
        <v>48.8988205728617</v>
      </c>
      <c r="N159" s="38" t="n">
        <f aca="false">(1-ext_sh)*(Thesis!$N$139+Thesis!$N$152)-Thesis!$N$158</f>
        <v>0.530919624033979</v>
      </c>
      <c r="O159" s="38" t="n">
        <f aca="false">(1-ext_sh)*(Thesis!$O$139+Thesis!$O$152)-Thesis!$O$158</f>
        <v>0.675497696435861</v>
      </c>
    </row>
    <row r="160" customFormat="false" ht="17.15" hidden="false" customHeight="false" outlineLevel="0" collapsed="false">
      <c r="A160" s="0" t="s">
        <v>602</v>
      </c>
      <c r="B160" s="0" t="s">
        <v>73</v>
      </c>
      <c r="C160" s="38" t="n">
        <f aca="false">Q!$D$24</f>
        <v>39.834</v>
      </c>
      <c r="D160" s="38" t="n">
        <f aca="false">Q!$E$24</f>
        <v>45.606</v>
      </c>
      <c r="E160" s="38" t="n">
        <f aca="false">Q!$P$24</f>
        <v>30.782</v>
      </c>
      <c r="N160" s="38" t="n">
        <f aca="false">Q!$N$24</f>
        <v>21.707</v>
      </c>
      <c r="O160" s="38" t="n">
        <f aca="false">Q!$O$24</f>
        <v>23.899</v>
      </c>
    </row>
    <row r="161" customFormat="false" ht="17.15" hidden="false" customHeight="false" outlineLevel="0" collapsed="false">
      <c r="A161" s="0" t="s">
        <v>603</v>
      </c>
      <c r="B161" s="0" t="s">
        <v>73</v>
      </c>
      <c r="C161" s="38" t="n">
        <f aca="false">Thesis!$C$160-Thesis!$C$156</f>
        <v>38.1898211704631</v>
      </c>
      <c r="D161" s="38" t="n">
        <f aca="false">Thesis!$D$160-Thesis!$D$156</f>
        <v>41.7278991932282</v>
      </c>
      <c r="E161" s="38" t="n">
        <f aca="false">Thesis!$E$160-Thesis!$E$156</f>
        <v>29.3692974191125</v>
      </c>
      <c r="F161" s="38" t="n">
        <f aca="false">Thesis!$F$141*Thesis!$F$162</f>
        <v>29.458060516894</v>
      </c>
      <c r="G161" s="38" t="n">
        <f aca="false">Thesis!$E$161+Thesis!$F$161</f>
        <v>58.8273579360065</v>
      </c>
      <c r="H161" s="38" t="n">
        <f aca="false">Thesis!$H$141*Thesis!$H$162</f>
        <v>67.8004040185081</v>
      </c>
      <c r="I161" s="38" t="n">
        <f aca="false">Thesis!$I$141*Thesis!$I$162</f>
        <v>78.9527630302702</v>
      </c>
      <c r="J161" s="38" t="n">
        <f aca="false">Thesis!$J$141*Thesis!$J$162</f>
        <v>88.6042681781841</v>
      </c>
      <c r="K161" s="38" t="n">
        <f aca="false">Thesis!$K$141*Thesis!$K$162</f>
        <v>95.6926096324389</v>
      </c>
      <c r="L161" s="38" t="n">
        <f aca="false">Thesis!$L$141*Thesis!$L$162</f>
        <v>103.348018403034</v>
      </c>
      <c r="M161" s="38" t="n">
        <f aca="false">Thesis!$M$141*Thesis!$M$162</f>
        <v>111.615859875277</v>
      </c>
      <c r="N161" s="38" t="n">
        <f aca="false">Thesis!$N$160-Thesis!$N$156</f>
        <v>20.784358965108</v>
      </c>
      <c r="O161" s="38" t="n">
        <f aca="false">Thesis!$O$160-Thesis!$O$156</f>
        <v>20.9435402281202</v>
      </c>
      <c r="P161" s="5" t="s">
        <v>604</v>
      </c>
    </row>
    <row r="162" customFormat="false" ht="17.15" hidden="false" customHeight="false" outlineLevel="0" collapsed="false">
      <c r="A162" s="0" t="s">
        <v>605</v>
      </c>
      <c r="B162" s="0" t="s">
        <v>52</v>
      </c>
      <c r="C162" s="12" t="n">
        <f aca="false">Thesis!$C$161/Thesis!$C$141</f>
        <v>0.362900395443635</v>
      </c>
      <c r="D162" s="12" t="n">
        <f aca="false">Thesis!$D$161/Thesis!$D$141</f>
        <v>0.34767098474203</v>
      </c>
      <c r="E162" s="12" t="n">
        <f aca="false">Thesis!$E$161/Thesis!$E$141</f>
        <v>0.411861655558416</v>
      </c>
      <c r="F162" s="12" t="n">
        <f aca="false">(Thesis!$O$161+Thesis!$E$161)/(Thesis!$O$141+Thesis!$E$141)</f>
        <v>0.37480827803158</v>
      </c>
      <c r="G162" s="12" t="n">
        <f aca="false">Thesis!$G$161/Thesis!$G$141</f>
        <v>0.392434440489471</v>
      </c>
      <c r="H162" s="12" t="n">
        <f aca="false">Thesis!$F$162</f>
        <v>0.37480827803158</v>
      </c>
      <c r="I162" s="12" t="n">
        <f aca="false">Thesis!$F$162</f>
        <v>0.37480827803158</v>
      </c>
      <c r="J162" s="12" t="n">
        <f aca="false">Thesis!$F$162</f>
        <v>0.37480827803158</v>
      </c>
      <c r="K162" s="12" t="n">
        <f aca="false">Thesis!$F$162</f>
        <v>0.37480827803158</v>
      </c>
      <c r="L162" s="12" t="n">
        <f aca="false">Thesis!$F$162</f>
        <v>0.37480827803158</v>
      </c>
      <c r="M162" s="12" t="n">
        <f aca="false">Thesis!$F$162</f>
        <v>0.37480827803158</v>
      </c>
      <c r="N162" s="12" t="n">
        <f aca="false">Thesis!$N$161/Thesis!$N$141</f>
        <v>0.364039571356823</v>
      </c>
      <c r="O162" s="12" t="n">
        <f aca="false">Thesis!$O$161/Thesis!$O$141</f>
        <v>0.332819892300086</v>
      </c>
      <c r="P162" s="8" t="s">
        <v>606</v>
      </c>
    </row>
    <row r="163" customFormat="false" ht="17.15" hidden="false" customHeight="false" outlineLevel="0" collapsed="false">
      <c r="A163" s="0" t="s">
        <v>607</v>
      </c>
      <c r="B163" s="0" t="s">
        <v>52</v>
      </c>
      <c r="D163" s="12" t="n">
        <f aca="false">(Q!$E$31-ext_sh*Thesis!$D$152)/Thesis!$D$141</f>
        <v>0.154572973163571</v>
      </c>
    </row>
    <row r="164" customFormat="false" ht="17.15" hidden="false" customHeight="false" outlineLevel="0" collapsed="false">
      <c r="A164" s="0" t="s">
        <v>608</v>
      </c>
      <c r="B164" s="0" t="s">
        <v>73</v>
      </c>
      <c r="C164" s="38" t="n">
        <f aca="false">Q!$D$31</f>
        <v>13.32</v>
      </c>
      <c r="D164" s="38" t="n">
        <f aca="false">Q!$E$31</f>
        <v>21.45</v>
      </c>
      <c r="E164" s="38" t="n">
        <f aca="false">Q!$P$31</f>
        <v>15.353</v>
      </c>
      <c r="F164" s="38" t="n">
        <f aca="false">ext_sh*Thesis!$F$152+Thesis!$D$163*Thesis!$F$141</f>
        <v>17.3614451462707</v>
      </c>
      <c r="G164" s="38" t="n">
        <f aca="false">Thesis!$E$164+Thesis!$F$164</f>
        <v>32.7144451462707</v>
      </c>
      <c r="H164" s="38" t="n">
        <f aca="false">ext_sh*Thesis!$H$152+Thesis!$D$163*Thesis!$H$141</f>
        <v>56.1966092719415</v>
      </c>
      <c r="I164" s="38" t="n">
        <f aca="false">ext_sh*Thesis!$I$152+Thesis!$D$163*Thesis!$I$141</f>
        <v>82.9744039068297</v>
      </c>
      <c r="J164" s="38" t="n">
        <f aca="false">ext_sh*Thesis!$J$152+Thesis!$D$163*Thesis!$J$141</f>
        <v>109.943252237669</v>
      </c>
      <c r="K164" s="38" t="n">
        <f aca="false">ext_sh*Thesis!$K$152+Thesis!$D$163*Thesis!$K$141</f>
        <v>136.406703436571</v>
      </c>
      <c r="L164" s="38" t="n">
        <f aca="false">ext_sh*Thesis!$L$152+Thesis!$D$163*Thesis!$L$141</f>
        <v>161.485870454155</v>
      </c>
      <c r="M164" s="38" t="n">
        <f aca="false">ext_sh*Thesis!$M$152+Thesis!$D$163*Thesis!$M$141</f>
        <v>187.389846618199</v>
      </c>
      <c r="N164" s="38" t="n">
        <f aca="false">Q!$N$31</f>
        <v>9.234</v>
      </c>
      <c r="O164" s="38" t="n">
        <f aca="false">Q!$O$31</f>
        <v>12.216</v>
      </c>
    </row>
    <row r="165" customFormat="false" ht="17.15" hidden="false" customHeight="false" outlineLevel="0" collapsed="false">
      <c r="A165" s="1" t="s">
        <v>609</v>
      </c>
    </row>
    <row r="166" customFormat="false" ht="17.15" hidden="false" customHeight="false" outlineLevel="0" collapsed="false">
      <c r="A166" s="14" t="s">
        <v>610</v>
      </c>
      <c r="B166" s="13" t="s">
        <v>52</v>
      </c>
      <c r="C166" s="13"/>
      <c r="D166" s="13"/>
      <c r="E166" s="13"/>
      <c r="F166" s="13"/>
      <c r="G166" s="16" t="n">
        <f aca="false">Thesis!$G$156*(1-tax)/(ext_sh*(Thesis!$D$153+Thesis!$G$153)/2)</f>
        <v>0.0440851947071316</v>
      </c>
      <c r="H166" s="16" t="n">
        <f aca="false">Thesis!$H$156*(1-tax)/(ext_sh*(Thesis!$G$153+Thesis!$H$153)/2)</f>
        <v>0.0402781040820865</v>
      </c>
      <c r="I166" s="16" t="n">
        <f aca="false">Thesis!$I$156*(1-tax)/(ext_sh*(Thesis!$H$153+Thesis!$I$153)/2)</f>
        <v>0.0358186710480674</v>
      </c>
      <c r="J166" s="16" t="n">
        <f aca="false">Thesis!$J$156*(1-tax)/(ext_sh*(Thesis!$I$153+Thesis!$J$153)/2)</f>
        <v>0.0336327249258515</v>
      </c>
      <c r="K166" s="16" t="n">
        <f aca="false">Thesis!$K$156*(1-tax)/(ext_sh*(Thesis!$J$153+Thesis!$K$153)/2)</f>
        <v>0.0325667655468976</v>
      </c>
      <c r="L166" s="16" t="n">
        <f aca="false">Thesis!$L$156*(1-tax)/(ext_sh*(Thesis!$K$153+Thesis!$L$153)/2)</f>
        <v>0.034165444780845</v>
      </c>
      <c r="M166" s="16" t="n">
        <f aca="false">Thesis!$M$156*(1-tax)/(ext_sh*(Thesis!$L$153+Thesis!$M$153)/2)</f>
        <v>0.0340048452587916</v>
      </c>
      <c r="N166" s="13"/>
      <c r="O166" s="13"/>
      <c r="P166" s="8" t="s">
        <v>611</v>
      </c>
    </row>
    <row r="167" customFormat="false" ht="17.15" hidden="false" customHeight="false" outlineLevel="0" collapsed="false">
      <c r="A167" s="5" t="s">
        <v>612</v>
      </c>
      <c r="B167" s="0" t="s">
        <v>57</v>
      </c>
      <c r="H167" s="36" t="n">
        <f aca="false">Thesis!$H$137*1000/(mw_open*he_open+Thesis!$H$135*Thesis!$H$132)</f>
        <v>0.880767940782091</v>
      </c>
      <c r="I167" s="36" t="n">
        <f aca="false">Thesis!$I$137*1000/(mw_open*he_open+Thesis!$I$135*Thesis!$I$132)</f>
        <v>0.858026572758645</v>
      </c>
      <c r="J167" s="36" t="n">
        <f aca="false">Thesis!$J$137*1000/(mw_open*he_open+Thesis!$J$135*Thesis!$J$132)</f>
        <v>0.848417499448742</v>
      </c>
      <c r="K167" s="36" t="n">
        <f aca="false">Thesis!$K$137*1000/(mw_open*he_open+Thesis!$K$135*Thesis!$K$132)</f>
        <v>0.843126318994332</v>
      </c>
      <c r="L167" s="36" t="n">
        <f aca="false">Thesis!$L$137*1000/(mw_open*he_open+Thesis!$L$135*Thesis!$L$132)</f>
        <v>0.839778769178837</v>
      </c>
      <c r="M167" s="36" t="n">
        <f aca="false">Thesis!$M$137*1000/(mw_open*he_open+Thesis!$M$135*Thesis!$M$132)</f>
        <v>0.837470686826078</v>
      </c>
    </row>
    <row r="168" customFormat="false" ht="17.15" hidden="false" customHeight="false" outlineLevel="0" collapsed="false">
      <c r="A168" s="5" t="s">
        <v>613</v>
      </c>
      <c r="B168" s="0" t="s">
        <v>57</v>
      </c>
      <c r="H168" s="36" t="n">
        <f aca="false">Thesis!$H$167*(Thesis!$H$137+wacc*ext_sh*(Thesis!$G$153+Thesis!$H$153)/2/(1-tax)-Thesis!$H$156)/Thesis!$H$137</f>
        <v>1.3149781212103</v>
      </c>
      <c r="I168" s="36" t="n">
        <f aca="false">Thesis!$I$167*(Thesis!$I$137+wacc*ext_sh*(Thesis!$H$153+Thesis!$I$153)/2/(1-tax)-Thesis!$I$156)/Thesis!$I$137</f>
        <v>1.25742005569107</v>
      </c>
      <c r="J168" s="36" t="n">
        <f aca="false">Thesis!$J$167*(Thesis!$J$137+wacc*ext_sh*(Thesis!$I$153+Thesis!$J$153)/2/(1-tax)-Thesis!$J$156)/Thesis!$J$137</f>
        <v>1.21838845868559</v>
      </c>
      <c r="K168" s="36" t="n">
        <f aca="false">Thesis!$K$167*(Thesis!$K$137+wacc*ext_sh*(Thesis!$J$153+Thesis!$K$153)/2/(1-tax)-Thesis!$K$156)/Thesis!$K$137</f>
        <v>1.18402644209548</v>
      </c>
      <c r="L168" s="36" t="n">
        <f aca="false">Thesis!$L$167*(Thesis!$L$137+wacc*ext_sh*(Thesis!$K$153+Thesis!$L$153)/2/(1-tax)-Thesis!$L$156)/Thesis!$L$137</f>
        <v>1.15111215322059</v>
      </c>
      <c r="M168" s="36" t="n">
        <f aca="false">Thesis!$M$167*(Thesis!$M$137+wacc*ext_sh*(Thesis!$L$153+Thesis!$M$153)/2/(1-tax)-Thesis!$M$156)/Thesis!$M$137</f>
        <v>1.1397166845677</v>
      </c>
    </row>
    <row r="169" customFormat="false" ht="17.15" hidden="false" customHeight="false" outlineLevel="0" collapsed="false">
      <c r="A169" s="5" t="s">
        <v>614</v>
      </c>
      <c r="B169" s="0" t="s">
        <v>52</v>
      </c>
      <c r="C169" s="12" t="n">
        <f aca="false">Thesis!$C$138/tk_pq</f>
        <v>0.195316432429398</v>
      </c>
      <c r="D169" s="12" t="n">
        <f aca="false">Thesis!$D$138/tk_pq</f>
        <v>0.195316432429398</v>
      </c>
      <c r="E169" s="12" t="n">
        <f aca="false">Thesis!$E$138/tk_pq</f>
        <v>0.195316432429398</v>
      </c>
      <c r="F169" s="12" t="n">
        <f aca="false">Thesis!$F$138/tk_pq</f>
        <v>0.191077608072499</v>
      </c>
      <c r="G169" s="12" t="n">
        <f aca="false">Thesis!$G$138/tk_pq</f>
        <v>0.192648675364927</v>
      </c>
      <c r="H169" s="12" t="n">
        <f aca="false">Thesis!$H$138/tk_pq</f>
        <v>0.188813632292207</v>
      </c>
      <c r="I169" s="12" t="n">
        <f aca="false">Thesis!$I$138/tk_pq</f>
        <v>0.18967957363228</v>
      </c>
      <c r="J169" s="12" t="n">
        <f aca="false">Thesis!$J$138/tk_pq</f>
        <v>0.190298617624149</v>
      </c>
      <c r="K169" s="12" t="n">
        <f aca="false">Thesis!$K$138/tk_pq</f>
        <v>0.190708841601505</v>
      </c>
      <c r="L169" s="12" t="n">
        <f aca="false">Thesis!$L$138/tk_pq</f>
        <v>0.190994938306812</v>
      </c>
      <c r="M169" s="12" t="n">
        <f aca="false">Thesis!$M$138/tk_pq</f>
        <v>0.191204523963728</v>
      </c>
      <c r="N169" s="12" t="n">
        <f aca="false">Thesis!$N$138/tk_pq</f>
        <v>0.195316432429398</v>
      </c>
      <c r="O169" s="12" t="n">
        <f aca="false">Thesis!$O$138/tk_pq</f>
        <v>0.195316432429398</v>
      </c>
      <c r="P169" s="5" t="s">
        <v>615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618</v>
      </c>
    </row>
    <row r="4" customFormat="false" ht="19.4" hidden="false" customHeight="false" outlineLevel="0" collapsed="false">
      <c r="A4" s="31" t="s">
        <v>619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0" t="s">
        <v>457</v>
      </c>
      <c r="D5" s="20" t="s">
        <v>458</v>
      </c>
      <c r="E5" s="20" t="s">
        <v>540</v>
      </c>
      <c r="F5" s="20" t="s">
        <v>541</v>
      </c>
      <c r="G5" s="20" t="s">
        <v>542</v>
      </c>
      <c r="H5" s="20" t="s">
        <v>543</v>
      </c>
      <c r="I5" s="20" t="s">
        <v>544</v>
      </c>
      <c r="J5" s="20" t="s">
        <v>545</v>
      </c>
      <c r="K5" s="20" t="s">
        <v>546</v>
      </c>
      <c r="L5" s="20" t="s">
        <v>547</v>
      </c>
      <c r="M5" s="20" t="s">
        <v>548</v>
      </c>
      <c r="N5" s="20" t="s">
        <v>549</v>
      </c>
      <c r="O5" s="20" t="s">
        <v>550</v>
      </c>
      <c r="P5" s="6" t="s">
        <v>23</v>
      </c>
      <c r="R5" s="20" t="n">
        <v>2023</v>
      </c>
      <c r="S5" s="20" t="n">
        <v>2024</v>
      </c>
      <c r="T5" s="20" t="n">
        <v>2025</v>
      </c>
      <c r="U5" s="20" t="n">
        <v>2026</v>
      </c>
      <c r="V5" s="20" t="n">
        <v>2027</v>
      </c>
      <c r="W5" s="20" t="n">
        <v>2028</v>
      </c>
      <c r="X5" s="20" t="n">
        <v>2029</v>
      </c>
      <c r="Y5" s="20" t="n">
        <v>2030</v>
      </c>
      <c r="Z5" s="20" t="n">
        <v>2031</v>
      </c>
      <c r="AA5" s="20" t="n">
        <v>2032</v>
      </c>
    </row>
    <row r="6" customFormat="false" ht="17.15" hidden="false" customHeight="false" outlineLevel="0" collapsed="false">
      <c r="A6" s="1" t="s">
        <v>620</v>
      </c>
    </row>
    <row r="7" customFormat="false" ht="17.15" hidden="false" customHeight="false" outlineLevel="0" collapsed="false">
      <c r="A7" s="0" t="s">
        <v>479</v>
      </c>
      <c r="B7" s="0" t="s">
        <v>73</v>
      </c>
      <c r="C7" s="38" t="n">
        <f aca="false">Q!$D$10</f>
        <v>247.029</v>
      </c>
      <c r="D7" s="38" t="n">
        <f aca="false">Q!$E$10</f>
        <v>269.287</v>
      </c>
      <c r="E7" s="38" t="n">
        <f aca="false">Q!$P$10</f>
        <v>134.686</v>
      </c>
      <c r="F7" s="38" t="n">
        <f aca="false">Seg!$O$7*(1+Seg!$F$8)-pd_amt*Q!$O$10/(Q!$O$10+Q!$O$12)</f>
        <v>160.728085930082</v>
      </c>
      <c r="G7" s="38" t="n">
        <f aca="false">Seg!$E$7+Seg!$F$7</f>
        <v>295.414085930082</v>
      </c>
      <c r="H7" s="38" t="n">
        <f aca="false">Seg!$G$7*(1+Seg!$H$8)</f>
        <v>320.828163943375</v>
      </c>
      <c r="I7" s="38" t="n">
        <f aca="false">Seg!$H$7*(1+Seg!$I$8)</f>
        <v>344.575578072228</v>
      </c>
      <c r="J7" s="38" t="n">
        <f aca="false">Seg!$I$7*(1+Seg!$J$8)</f>
        <v>365.942555779681</v>
      </c>
      <c r="K7" s="38" t="n">
        <f aca="false">Seg!$J$7*(1+Seg!$K$8)</f>
        <v>384.239683568665</v>
      </c>
      <c r="L7" s="38" t="n">
        <f aca="false">Seg!$K$7*(1+Seg!$L$8)</f>
        <v>403.451667747098</v>
      </c>
      <c r="M7" s="38" t="n">
        <f aca="false">Seg!$L$7*(1+Seg!$M$8)</f>
        <v>423.624251134453</v>
      </c>
      <c r="N7" s="38" t="n">
        <f aca="false">Q!$N$10</f>
        <v>118.892</v>
      </c>
      <c r="O7" s="38" t="n">
        <f aca="false">Q!$O$10</f>
        <v>150.395</v>
      </c>
      <c r="P7" s="8" t="s">
        <v>621</v>
      </c>
    </row>
    <row r="8" customFormat="false" ht="17.15" hidden="false" customHeight="false" outlineLevel="0" collapsed="false">
      <c r="A8" s="0" t="s">
        <v>622</v>
      </c>
      <c r="B8" s="0" t="s">
        <v>52</v>
      </c>
      <c r="E8" s="12" t="n">
        <f aca="false">Seg!$E$7/Seg!$N$7-1</f>
        <v>0.132843252699929</v>
      </c>
      <c r="F8" s="12" t="n">
        <f aca="false">Seg!$O$7/(Q!$F$10+Q!$G$10)-1</f>
        <v>0.0980382135842941</v>
      </c>
      <c r="G8" s="12" t="n">
        <f aca="false">Seg!$G$7/Seg!$D$7-1</f>
        <v>0.0970231980380869</v>
      </c>
      <c r="H8" s="12" t="n">
        <f aca="false">Seg!$F$8+(g_os-Seg!$F$8)*1/4</f>
        <v>0.0860286601882206</v>
      </c>
      <c r="I8" s="12" t="n">
        <f aca="false">Seg!$F$8+(g_os-Seg!$F$8)*2/4</f>
        <v>0.074019106792147</v>
      </c>
      <c r="J8" s="12" t="n">
        <f aca="false">Seg!$F$8+(g_os-Seg!$F$8)*3/4</f>
        <v>0.0620095533960735</v>
      </c>
      <c r="K8" s="12" t="n">
        <f aca="false">Seg!$F$8+(g_os-Seg!$F$8)*4/4</f>
        <v>0.05</v>
      </c>
      <c r="L8" s="12" t="n">
        <f aca="false">g_os</f>
        <v>0.05</v>
      </c>
      <c r="M8" s="12" t="n">
        <f aca="false">g_os</f>
        <v>0.05</v>
      </c>
      <c r="P8" s="8" t="s">
        <v>623</v>
      </c>
    </row>
    <row r="9" customFormat="false" ht="17.15" hidden="false" customHeight="false" outlineLevel="0" collapsed="false">
      <c r="A9" s="0" t="s">
        <v>480</v>
      </c>
      <c r="B9" s="0" t="s">
        <v>73</v>
      </c>
      <c r="C9" s="38" t="n">
        <f aca="false">Q!$D$11</f>
        <v>21.215</v>
      </c>
      <c r="D9" s="38" t="n">
        <f aca="false">Q!$E$11</f>
        <v>22.561</v>
      </c>
      <c r="E9" s="38" t="n">
        <f aca="false">Q!$P$11</f>
        <v>11.579</v>
      </c>
      <c r="F9" s="38" t="n">
        <f aca="false">Seg!$O$9*(1+Seg!$F$10)</f>
        <v>12.0952613121125</v>
      </c>
      <c r="G9" s="38" t="n">
        <f aca="false">Seg!$E$9+Seg!$F$9</f>
        <v>23.6742613121125</v>
      </c>
      <c r="H9" s="38" t="n">
        <f aca="false">Seg!$G$9*(1+Seg!$H$10)</f>
        <v>24.8803243963206</v>
      </c>
      <c r="I9" s="38" t="n">
        <f aca="false">Seg!$H$9*(1+Seg!$I$10)</f>
        <v>25.9741308664154</v>
      </c>
      <c r="J9" s="38" t="n">
        <f aca="false">Seg!$I$9*(1+Seg!$J$10)</f>
        <v>26.9346894124267</v>
      </c>
      <c r="K9" s="38" t="n">
        <f aca="false">Seg!$J$9*(1+Seg!$K$10)</f>
        <v>27.7427300947995</v>
      </c>
      <c r="L9" s="38" t="n">
        <f aca="false">Seg!$K$9*(1+Seg!$L$10)</f>
        <v>28.5750119976435</v>
      </c>
      <c r="M9" s="38" t="n">
        <f aca="false">Seg!$L$9*(1+Seg!$M$10)</f>
        <v>29.4322623575728</v>
      </c>
      <c r="N9" s="38" t="n">
        <f aca="false">Q!$N$11</f>
        <v>11.128</v>
      </c>
      <c r="O9" s="38" t="n">
        <f aca="false">Q!$O$11</f>
        <v>11.433</v>
      </c>
      <c r="P9" s="8" t="s">
        <v>621</v>
      </c>
    </row>
    <row r="10" customFormat="false" ht="17.15" hidden="false" customHeight="false" outlineLevel="0" collapsed="false">
      <c r="A10" s="0" t="s">
        <v>624</v>
      </c>
      <c r="B10" s="0" t="s">
        <v>52</v>
      </c>
      <c r="E10" s="12" t="n">
        <f aca="false">Seg!$E$9/Seg!$N$9-1</f>
        <v>0.0405283968368082</v>
      </c>
      <c r="F10" s="12" t="n">
        <f aca="false">Seg!$O$9/(Q!$F$11+Q!$G$11)-1</f>
        <v>0.0579254187100955</v>
      </c>
      <c r="G10" s="12" t="n">
        <f aca="false">Seg!$G$9/Seg!$D$9-1</f>
        <v>0.0493445021103904</v>
      </c>
      <c r="H10" s="12" t="n">
        <f aca="false">Seg!$F$10+(g_ps-Seg!$F$10)*1/4</f>
        <v>0.0509440640325716</v>
      </c>
      <c r="I10" s="12" t="n">
        <f aca="false">Seg!$F$10+(g_ps-Seg!$F$10)*2/4</f>
        <v>0.0439627093550477</v>
      </c>
      <c r="J10" s="12" t="n">
        <f aca="false">Seg!$F$10+(g_ps-Seg!$F$10)*3/4</f>
        <v>0.0369813546775239</v>
      </c>
      <c r="K10" s="12" t="n">
        <f aca="false">Seg!$F$10+(g_ps-Seg!$F$10)*4/4</f>
        <v>0.03</v>
      </c>
      <c r="L10" s="12" t="n">
        <f aca="false">g_ps</f>
        <v>0.03</v>
      </c>
      <c r="M10" s="12" t="n">
        <f aca="false">g_ps</f>
        <v>0.03</v>
      </c>
      <c r="P10" s="8" t="s">
        <v>625</v>
      </c>
    </row>
    <row r="11" customFormat="false" ht="17.15" hidden="false" customHeight="false" outlineLevel="0" collapsed="false">
      <c r="A11" s="0" t="s">
        <v>481</v>
      </c>
      <c r="B11" s="0" t="s">
        <v>73</v>
      </c>
      <c r="C11" s="38" t="n">
        <f aca="false">Q!$D$12</f>
        <v>156.146</v>
      </c>
      <c r="D11" s="38" t="n">
        <f aca="false">Q!$E$12</f>
        <v>172.162</v>
      </c>
      <c r="E11" s="38" t="n">
        <f aca="false">Q!$P$12</f>
        <v>88.358</v>
      </c>
      <c r="F11" s="38" t="n">
        <f aca="false">Seg!$O$11*(1+Seg!$F$12)-pd_amt*Q!$O$12/(Q!$O$10+Q!$O$12)</f>
        <v>103.62028337149</v>
      </c>
      <c r="G11" s="38" t="n">
        <f aca="false">Seg!$E$11+Seg!$F$11</f>
        <v>191.97828337149</v>
      </c>
      <c r="H11" s="38" t="n">
        <f aca="false">Seg!$G$11*(1+Seg!$H$12)</f>
        <v>212.128608444755</v>
      </c>
      <c r="I11" s="38" t="n">
        <f aca="false">Seg!$H$11*(1+Seg!$I$12)</f>
        <v>231.92183134134</v>
      </c>
      <c r="J11" s="38" t="n">
        <f aca="false">Seg!$I$11*(1+Seg!$J$12)</f>
        <v>250.859136487863</v>
      </c>
      <c r="K11" s="38" t="n">
        <f aca="false">Seg!$J$11*(1+Seg!$K$12)</f>
        <v>268.419276042014</v>
      </c>
      <c r="L11" s="38" t="n">
        <f aca="false">Seg!$K$11*(1+Seg!$L$12)</f>
        <v>287.208625364954</v>
      </c>
      <c r="M11" s="38" t="n">
        <f aca="false">Seg!$L$11*(1+Seg!$M$12)</f>
        <v>307.313229140501</v>
      </c>
      <c r="N11" s="38" t="n">
        <f aca="false">Q!$N$12</f>
        <v>76.86</v>
      </c>
      <c r="O11" s="38" t="n">
        <f aca="false">Q!$O$12</f>
        <v>95.302</v>
      </c>
      <c r="P11" s="8" t="s">
        <v>621</v>
      </c>
    </row>
    <row r="12" customFormat="false" ht="17.15" hidden="false" customHeight="false" outlineLevel="0" collapsed="false">
      <c r="A12" s="0" t="s">
        <v>626</v>
      </c>
      <c r="B12" s="0" t="s">
        <v>52</v>
      </c>
      <c r="E12" s="12" t="n">
        <f aca="false">Seg!$E$11/Seg!$N$11-1</f>
        <v>0.1495966692688</v>
      </c>
      <c r="F12" s="12" t="n">
        <f aca="false">Seg!$O$11/(Q!$F$12+Q!$G$12)-1</f>
        <v>0.11661530890813</v>
      </c>
      <c r="G12" s="12" t="n">
        <f aca="false">Seg!$G$11/Seg!$D$11-1</f>
        <v>0.115102539303041</v>
      </c>
      <c r="H12" s="12" t="n">
        <f aca="false">Seg!$F$12+(g_sp-Seg!$F$12)*1/4</f>
        <v>0.104961481681098</v>
      </c>
      <c r="I12" s="12" t="n">
        <f aca="false">Seg!$F$12+(g_sp-Seg!$F$12)*2/4</f>
        <v>0.0933076544540651</v>
      </c>
      <c r="J12" s="12" t="n">
        <f aca="false">Seg!$F$12+(g_sp-Seg!$F$12)*3/4</f>
        <v>0.0816538272270325</v>
      </c>
      <c r="K12" s="12" t="n">
        <f aca="false">Seg!$F$12+(g_sp-Seg!$F$12)*4/4</f>
        <v>0.07</v>
      </c>
      <c r="L12" s="12" t="n">
        <f aca="false">g_sp</f>
        <v>0.07</v>
      </c>
      <c r="M12" s="12" t="n">
        <f aca="false">g_sp</f>
        <v>0.07</v>
      </c>
      <c r="P12" s="8" t="s">
        <v>627</v>
      </c>
    </row>
    <row r="13" customFormat="false" ht="17.15" hidden="false" customHeight="false" outlineLevel="0" collapsed="false">
      <c r="A13" s="0" t="s">
        <v>482</v>
      </c>
      <c r="B13" s="0" t="s">
        <v>73</v>
      </c>
      <c r="C13" s="38" t="n">
        <f aca="false">Q!$D$13</f>
        <v>56.214</v>
      </c>
      <c r="D13" s="38" t="n">
        <f aca="false">Q!$E$13</f>
        <v>68.635</v>
      </c>
      <c r="E13" s="38" t="n">
        <f aca="false">Q!$P$13</f>
        <v>37.052</v>
      </c>
      <c r="F13" s="38" t="n">
        <f aca="false">Seg!$O$13*(1+Seg!$F$14)</f>
        <v>48.1533381827382</v>
      </c>
      <c r="G13" s="38" t="n">
        <f aca="false">Seg!$E$13+Seg!$F$13</f>
        <v>85.2053381827382</v>
      </c>
      <c r="H13" s="38" t="n">
        <f aca="false">Seg!$G$13*(1+Seg!$H$14)</f>
        <v>102.29336185894</v>
      </c>
      <c r="I13" s="38" t="n">
        <f aca="false">Seg!$H$13*(1+Seg!$I$14)</f>
        <v>119.379837585241</v>
      </c>
      <c r="J13" s="38" t="n">
        <f aca="false">Seg!$I$13*(1+Seg!$J$14)</f>
        <v>135.319079048844</v>
      </c>
      <c r="K13" s="38" t="n">
        <f aca="false">Seg!$J$13*(1+Seg!$K$14)</f>
        <v>148.850986953729</v>
      </c>
      <c r="L13" s="38" t="n">
        <f aca="false">Seg!$K$13*(1+Seg!$L$14)</f>
        <v>163.736085649102</v>
      </c>
      <c r="M13" s="38" t="n">
        <f aca="false">Seg!$L$13*(1+Seg!$M$14)</f>
        <v>180.109694214012</v>
      </c>
      <c r="N13" s="38" t="n">
        <f aca="false">Q!$N$13</f>
        <v>29.615</v>
      </c>
      <c r="O13" s="38" t="n">
        <f aca="false">Q!$O$13</f>
        <v>39.02</v>
      </c>
      <c r="P13" s="8" t="s">
        <v>621</v>
      </c>
    </row>
    <row r="14" customFormat="false" ht="17.15" hidden="false" customHeight="false" outlineLevel="0" collapsed="false">
      <c r="A14" s="0" t="s">
        <v>628</v>
      </c>
      <c r="B14" s="0" t="s">
        <v>52</v>
      </c>
      <c r="E14" s="12" t="n">
        <f aca="false">Seg!$E$13/Seg!$N$13-1</f>
        <v>0.25112274185379</v>
      </c>
      <c r="F14" s="12" t="n">
        <f aca="false">Seg!$O$13/(Q!$F$13+Q!$G$13)-1</f>
        <v>0.234068123596572</v>
      </c>
      <c r="G14" s="12" t="n">
        <f aca="false">Seg!$G$13/Seg!$D$13-1</f>
        <v>0.241426942270536</v>
      </c>
      <c r="H14" s="12" t="n">
        <f aca="false">Seg!$F$14+(g_ad-Seg!$F$14)*1/4</f>
        <v>0.200551092697429</v>
      </c>
      <c r="I14" s="12" t="n">
        <f aca="false">Seg!$F$14+(g_ad-Seg!$F$14)*2/4</f>
        <v>0.167034061798286</v>
      </c>
      <c r="J14" s="12" t="n">
        <f aca="false">Seg!$F$14+(g_ad-Seg!$F$14)*3/4</f>
        <v>0.133517030899143</v>
      </c>
      <c r="K14" s="12" t="n">
        <f aca="false">Seg!$F$14+(g_ad-Seg!$F$14)*4/4</f>
        <v>0.1</v>
      </c>
      <c r="L14" s="12" t="n">
        <f aca="false">g_ad</f>
        <v>0.1</v>
      </c>
      <c r="M14" s="12" t="n">
        <f aca="false">g_ad</f>
        <v>0.1</v>
      </c>
      <c r="P14" s="8" t="s">
        <v>629</v>
      </c>
    </row>
    <row r="15" customFormat="false" ht="17.15" hidden="false" customHeight="false" outlineLevel="0" collapsed="false">
      <c r="A15" s="0" t="s">
        <v>483</v>
      </c>
      <c r="B15" s="0" t="s">
        <v>73</v>
      </c>
      <c r="C15" s="38" t="n">
        <f aca="false">Q!$D$14</f>
        <v>44.374</v>
      </c>
      <c r="D15" s="38" t="n">
        <f aca="false">Q!$E$14</f>
        <v>49.619</v>
      </c>
      <c r="E15" s="38" t="n">
        <f aca="false">Q!$P$14</f>
        <v>27.157</v>
      </c>
      <c r="F15" s="38" t="n">
        <f aca="false">Seg!$O$15*(1+Seg!$F$16)</f>
        <v>28.9776360923374</v>
      </c>
      <c r="G15" s="38" t="n">
        <f aca="false">Seg!$E$15+Seg!$F$15</f>
        <v>56.1346360923374</v>
      </c>
      <c r="H15" s="38" t="n">
        <f aca="false">Seg!$G$15*(1+Seg!$H$16)</f>
        <v>62.4937078946075</v>
      </c>
      <c r="I15" s="38" t="n">
        <f aca="false">Seg!$H$15*(1+Seg!$I$16)</f>
        <v>68.6715233062498</v>
      </c>
      <c r="J15" s="38" t="n">
        <f aca="false">Seg!$I$15*(1+Seg!$J$16)</f>
        <v>74.4692882949818</v>
      </c>
      <c r="K15" s="38" t="n">
        <f aca="false">Seg!$J$15*(1+Seg!$K$16)</f>
        <v>79.6821384756306</v>
      </c>
      <c r="L15" s="38" t="n">
        <f aca="false">Seg!$K$15*(1+Seg!$L$16)</f>
        <v>85.2598881689247</v>
      </c>
      <c r="M15" s="38" t="n">
        <f aca="false">Seg!$L$15*(1+Seg!$M$16)</f>
        <v>91.2280803407494</v>
      </c>
      <c r="N15" s="38" t="n">
        <f aca="false">Q!$N$14</f>
        <v>23.923</v>
      </c>
      <c r="O15" s="38" t="n">
        <f aca="false">Q!$O$14</f>
        <v>25.696</v>
      </c>
      <c r="P15" s="8" t="s">
        <v>621</v>
      </c>
    </row>
    <row r="16" customFormat="false" ht="17.15" hidden="false" customHeight="false" outlineLevel="0" collapsed="false">
      <c r="A16" s="0" t="s">
        <v>630</v>
      </c>
      <c r="B16" s="0" t="s">
        <v>52</v>
      </c>
      <c r="E16" s="12" t="n">
        <f aca="false">Seg!$E$15/Seg!$N$15-1</f>
        <v>0.135183714417088</v>
      </c>
      <c r="F16" s="12" t="n">
        <f aca="false">Seg!$O$15/(Q!$F$14+Q!$G$14)-1</f>
        <v>0.127709997366804</v>
      </c>
      <c r="G16" s="12" t="n">
        <f aca="false">Seg!$G$15/Seg!$D$15-1</f>
        <v>0.131313329416905</v>
      </c>
      <c r="H16" s="12" t="n">
        <f aca="false">Seg!$F$16+(g_sub-Seg!$F$16)*1/4</f>
        <v>0.113282498025103</v>
      </c>
      <c r="I16" s="12" t="n">
        <f aca="false">Seg!$F$16+(g_sub-Seg!$F$16)*2/4</f>
        <v>0.0988549986834021</v>
      </c>
      <c r="J16" s="12" t="n">
        <f aca="false">Seg!$F$16+(g_sub-Seg!$F$16)*3/4</f>
        <v>0.084427499341701</v>
      </c>
      <c r="K16" s="12" t="n">
        <f aca="false">Seg!$F$16+(g_sub-Seg!$F$16)*4/4</f>
        <v>0.07</v>
      </c>
      <c r="L16" s="12" t="n">
        <f aca="false">g_sub</f>
        <v>0.07</v>
      </c>
      <c r="M16" s="12" t="n">
        <f aca="false">g_sub</f>
        <v>0.07</v>
      </c>
      <c r="P16" s="8" t="s">
        <v>631</v>
      </c>
    </row>
    <row r="17" customFormat="false" ht="17.15" hidden="false" customHeight="false" outlineLevel="0" collapsed="false">
      <c r="A17" s="0" t="s">
        <v>484</v>
      </c>
      <c r="B17" s="0" t="s">
        <v>73</v>
      </c>
      <c r="C17" s="38" t="n">
        <f aca="false">Q!$D$15</f>
        <v>5.425</v>
      </c>
      <c r="D17" s="38" t="n">
        <f aca="false">Q!$E$15</f>
        <v>5.935</v>
      </c>
      <c r="E17" s="38" t="n">
        <f aca="false">Q!$P$15</f>
        <v>3.474</v>
      </c>
      <c r="F17" s="38" t="n">
        <f aca="false">Seg!$O$17*(1+Seg!$F$18)</f>
        <v>3.36182431966931</v>
      </c>
      <c r="G17" s="38" t="n">
        <f aca="false">Seg!$E$17+Seg!$F$17</f>
        <v>6.83582431966931</v>
      </c>
      <c r="H17" s="38" t="n">
        <f aca="false">Seg!$G$17*(1+Seg!$H$18)</f>
        <v>7.31157108370141</v>
      </c>
      <c r="I17" s="38" t="n">
        <f aca="false">Seg!$H$17*(1+Seg!$I$18)</f>
        <v>7.77266852639815</v>
      </c>
      <c r="J17" s="38" t="n">
        <f aca="false">Seg!$I$17*(1+Seg!$J$18)</f>
        <v>8.2120733019884</v>
      </c>
      <c r="K17" s="38" t="n">
        <f aca="false">Seg!$J$17*(1+Seg!$K$18)</f>
        <v>8.62267696708783</v>
      </c>
      <c r="L17" s="38" t="n">
        <f aca="false">Seg!$K$17*(1+Seg!$L$18)</f>
        <v>9.05381081544222</v>
      </c>
      <c r="M17" s="38" t="n">
        <f aca="false">Seg!$L$17*(1+Seg!$M$18)</f>
        <v>9.50650135621433</v>
      </c>
      <c r="N17" s="38" t="n">
        <f aca="false">Q!$N$15</f>
        <v>2.811</v>
      </c>
      <c r="O17" s="38" t="n">
        <f aca="false">Q!$O$15</f>
        <v>3.124</v>
      </c>
      <c r="P17" s="8" t="s">
        <v>621</v>
      </c>
    </row>
    <row r="18" customFormat="false" ht="17.15" hidden="false" customHeight="false" outlineLevel="0" collapsed="false">
      <c r="A18" s="0" t="s">
        <v>632</v>
      </c>
      <c r="B18" s="0" t="s">
        <v>52</v>
      </c>
      <c r="E18" s="12" t="n">
        <f aca="false">Seg!$E$17/Seg!$N$17-1</f>
        <v>0.235859124866596</v>
      </c>
      <c r="F18" s="12" t="n">
        <f aca="false">Seg!$O$17/(Q!$F$15+Q!$G$15)-1</f>
        <v>0.0761281433000345</v>
      </c>
      <c r="G18" s="12" t="n">
        <f aca="false">Seg!$G$17/Seg!$D$17-1</f>
        <v>0.151781688234087</v>
      </c>
      <c r="H18" s="12" t="n">
        <f aca="false">Seg!$F$18+(g_ot-Seg!$F$18)*1/4</f>
        <v>0.0695961074750259</v>
      </c>
      <c r="I18" s="12" t="n">
        <f aca="false">Seg!$F$18+(g_ot-Seg!$F$18)*2/4</f>
        <v>0.0630640716500172</v>
      </c>
      <c r="J18" s="12" t="n">
        <f aca="false">Seg!$F$18+(g_ot-Seg!$F$18)*3/4</f>
        <v>0.0565320358250086</v>
      </c>
      <c r="K18" s="12" t="n">
        <f aca="false">Seg!$F$18+(g_ot-Seg!$F$18)*4/4</f>
        <v>0.05</v>
      </c>
      <c r="L18" s="12" t="n">
        <f aca="false">g_ot</f>
        <v>0.05</v>
      </c>
      <c r="M18" s="12" t="n">
        <f aca="false">g_ot</f>
        <v>0.05</v>
      </c>
      <c r="P18" s="8" t="s">
        <v>633</v>
      </c>
    </row>
    <row r="19" customFormat="false" ht="17.15" hidden="false" customHeight="false" outlineLevel="0" collapsed="false">
      <c r="A19" s="3" t="s">
        <v>634</v>
      </c>
      <c r="B19" s="8" t="s">
        <v>73</v>
      </c>
      <c r="C19" s="38" t="n">
        <f aca="false">Seg!$C$7+Seg!$C$9+Seg!$C$11+Seg!$C$13+Seg!$C$15+Seg!$C$17</f>
        <v>530.403</v>
      </c>
      <c r="D19" s="38" t="n">
        <f aca="false">Seg!$D$7+Seg!$D$9+Seg!$D$11+Seg!$D$13+Seg!$D$15+Seg!$D$17</f>
        <v>588.199</v>
      </c>
      <c r="E19" s="38" t="n">
        <f aca="false">Seg!$E$7+Seg!$E$9+Seg!$E$11+Seg!$E$13+Seg!$E$15+Seg!$E$17</f>
        <v>302.306</v>
      </c>
      <c r="F19" s="38" t="n">
        <f aca="false">Seg!$F$7+Seg!$F$9+Seg!$F$11+Seg!$F$13+Seg!$F$15+Seg!$F$17</f>
        <v>356.93642920843</v>
      </c>
      <c r="G19" s="38" t="n">
        <f aca="false">Seg!$G$7+Seg!$G$9+Seg!$G$11+Seg!$G$13+Seg!$G$15+Seg!$G$17</f>
        <v>659.24242920843</v>
      </c>
      <c r="H19" s="38" t="n">
        <f aca="false">Seg!$H$7+Seg!$H$9+Seg!$H$11+Seg!$H$13+Seg!$H$15+Seg!$H$17</f>
        <v>729.935737621701</v>
      </c>
      <c r="I19" s="38" t="n">
        <f aca="false">Seg!$I$7+Seg!$I$9+Seg!$I$11+Seg!$I$13+Seg!$I$15+Seg!$I$17</f>
        <v>798.295569697873</v>
      </c>
      <c r="J19" s="38" t="n">
        <f aca="false">Seg!$J$7+Seg!$J$9+Seg!$J$11+Seg!$J$13+Seg!$J$15+Seg!$J$17</f>
        <v>861.736822325785</v>
      </c>
      <c r="K19" s="38" t="n">
        <f aca="false">Seg!$K$7+Seg!$K$9+Seg!$K$11+Seg!$K$13+Seg!$K$15+Seg!$K$17</f>
        <v>917.557492101925</v>
      </c>
      <c r="L19" s="38" t="n">
        <f aca="false">Seg!$L$7+Seg!$L$9+Seg!$L$11+Seg!$L$13+Seg!$L$15+Seg!$L$17</f>
        <v>977.285089743165</v>
      </c>
      <c r="M19" s="38" t="n">
        <f aca="false">Seg!$M$7+Seg!$M$9+Seg!$M$11+Seg!$M$13+Seg!$M$15+Seg!$M$17</f>
        <v>1041.2140185435</v>
      </c>
      <c r="N19" s="38" t="n">
        <f aca="false">Seg!$N$7+Seg!$N$9+Seg!$N$11+Seg!$N$13+Seg!$N$15+Seg!$N$17</f>
        <v>263.229</v>
      </c>
      <c r="O19" s="38" t="n">
        <f aca="false">Seg!$O$7+Seg!$O$9+Seg!$O$11+Seg!$O$13+Seg!$O$15+Seg!$O$17</f>
        <v>324.97</v>
      </c>
    </row>
    <row r="20" customFormat="false" ht="17.15" hidden="false" customHeight="false" outlineLevel="0" collapsed="false">
      <c r="A20" s="5" t="s">
        <v>635</v>
      </c>
      <c r="B20" s="0" t="s">
        <v>52</v>
      </c>
      <c r="C20" s="12" t="n">
        <f aca="false">Q!$D$5/(Q!$D$5+Q!$D$6)</f>
        <v>0.730570905519011</v>
      </c>
      <c r="D20" s="12" t="n">
        <f aca="false">Q!$E$5/(Q!$E$5+Q!$E$6)</f>
        <v>0.724763217890544</v>
      </c>
      <c r="E20" s="12" t="n">
        <f aca="false">Q!$P$5/(Q!$P$5+Q!$P$6)</f>
        <v>0.728797972914861</v>
      </c>
      <c r="F20" s="12" t="n">
        <f aca="false">Seg!$O$20</f>
        <v>0.718066283041511</v>
      </c>
      <c r="G20" s="12" t="n">
        <f aca="false">Seg!$G$21/Seg!$G$19</f>
        <v>0.722987468473627</v>
      </c>
      <c r="H20" s="12" t="n">
        <f aca="false">Seg!$G$20</f>
        <v>0.722987468473627</v>
      </c>
      <c r="I20" s="12" t="n">
        <f aca="false">Seg!$G$20</f>
        <v>0.722987468473627</v>
      </c>
      <c r="J20" s="12" t="n">
        <f aca="false">Seg!$G$20</f>
        <v>0.722987468473627</v>
      </c>
      <c r="K20" s="12" t="n">
        <f aca="false">Seg!$G$20</f>
        <v>0.722987468473627</v>
      </c>
      <c r="L20" s="12" t="n">
        <f aca="false">Seg!$G$20</f>
        <v>0.722987468473627</v>
      </c>
      <c r="M20" s="12" t="n">
        <f aca="false">Seg!$G$20</f>
        <v>0.722987468473627</v>
      </c>
      <c r="N20" s="12" t="n">
        <f aca="false">Q!$N$5/(Q!$N$5+Q!$N$6)</f>
        <v>0.733030935041352</v>
      </c>
      <c r="O20" s="12" t="n">
        <f aca="false">Q!$O$5/(Q!$O$5+Q!$O$6)</f>
        <v>0.718066283041511</v>
      </c>
      <c r="P20" s="8" t="s">
        <v>636</v>
      </c>
    </row>
    <row r="21" customFormat="false" ht="17.15" hidden="false" customHeight="false" outlineLevel="0" collapsed="false">
      <c r="A21" s="1" t="s">
        <v>472</v>
      </c>
      <c r="B21" s="8" t="s">
        <v>73</v>
      </c>
      <c r="C21" s="38" t="n">
        <f aca="false">Q!$D$5</f>
        <v>387.497</v>
      </c>
      <c r="D21" s="38" t="n">
        <f aca="false">Q!$E$5</f>
        <v>426.305</v>
      </c>
      <c r="E21" s="38" t="n">
        <f aca="false">Q!$P$5</f>
        <v>220.32</v>
      </c>
      <c r="F21" s="38" t="n">
        <f aca="false">Seg!$F$19*Seg!$F$20</f>
        <v>256.304015003807</v>
      </c>
      <c r="G21" s="38" t="n">
        <f aca="false">Seg!$E$21+Seg!$F$21</f>
        <v>476.624015003807</v>
      </c>
      <c r="H21" s="38" t="n">
        <f aca="false">Seg!$H$19*Seg!$H$20</f>
        <v>527.734391091543</v>
      </c>
      <c r="I21" s="38" t="n">
        <f aca="false">Seg!$I$19*Seg!$I$20</f>
        <v>577.157693029577</v>
      </c>
      <c r="J21" s="38" t="n">
        <f aca="false">Seg!$J$19*Seg!$J$20</f>
        <v>623.024923663827</v>
      </c>
      <c r="K21" s="38" t="n">
        <f aca="false">Seg!$K$19*Seg!$K$20</f>
        <v>663.382568393781</v>
      </c>
      <c r="L21" s="38" t="n">
        <f aca="false">Seg!$L$19*Seg!$L$20</f>
        <v>706.564873010432</v>
      </c>
      <c r="M21" s="38" t="n">
        <f aca="false">Seg!$M$19*Seg!$M$20</f>
        <v>752.784687406019</v>
      </c>
      <c r="N21" s="38" t="n">
        <f aca="false">Q!$N$5</f>
        <v>192.955</v>
      </c>
      <c r="O21" s="38" t="n">
        <f aca="false">Q!$O$5</f>
        <v>233.35</v>
      </c>
      <c r="P21" s="5" t="s">
        <v>637</v>
      </c>
    </row>
    <row r="22" customFormat="false" ht="17.15" hidden="false" customHeight="false" outlineLevel="0" collapsed="false">
      <c r="A22" s="1" t="s">
        <v>475</v>
      </c>
      <c r="B22" s="8" t="s">
        <v>73</v>
      </c>
      <c r="C22" s="38" t="n">
        <f aca="false">Q!$D$6</f>
        <v>142.906</v>
      </c>
      <c r="D22" s="38" t="n">
        <f aca="false">Q!$E$6</f>
        <v>161.894</v>
      </c>
      <c r="E22" s="38" t="n">
        <f aca="false">Q!$P$6</f>
        <v>81.986</v>
      </c>
      <c r="F22" s="38" t="n">
        <f aca="false">Seg!$F$19*(1-Seg!$F$20)</f>
        <v>100.632414204623</v>
      </c>
      <c r="G22" s="38" t="n">
        <f aca="false">Seg!$E$22+Seg!$F$22</f>
        <v>182.618414204623</v>
      </c>
      <c r="H22" s="38" t="n">
        <f aca="false">Seg!$H$19*(1-Seg!$H$20)</f>
        <v>202.201346530158</v>
      </c>
      <c r="I22" s="38" t="n">
        <f aca="false">Seg!$I$19*(1-Seg!$I$20)</f>
        <v>221.137876668296</v>
      </c>
      <c r="J22" s="38" t="n">
        <f aca="false">Seg!$J$19*(1-Seg!$J$20)</f>
        <v>238.711898661958</v>
      </c>
      <c r="K22" s="38" t="n">
        <f aca="false">Seg!$K$19*(1-Seg!$K$20)</f>
        <v>254.174923708144</v>
      </c>
      <c r="L22" s="38" t="n">
        <f aca="false">Seg!$L$19*(1-Seg!$L$20)</f>
        <v>270.720216732733</v>
      </c>
      <c r="M22" s="38" t="n">
        <f aca="false">Seg!$M$19*(1-Seg!$M$20)</f>
        <v>288.429331137484</v>
      </c>
      <c r="N22" s="38" t="n">
        <f aca="false">Q!$N$6</f>
        <v>70.274</v>
      </c>
      <c r="O22" s="38" t="n">
        <f aca="false">Q!$O$6</f>
        <v>91.62</v>
      </c>
      <c r="P22" s="5" t="s">
        <v>638</v>
      </c>
    </row>
    <row r="23" customFormat="false" ht="17.15" hidden="false" customHeight="false" outlineLevel="0" collapsed="false">
      <c r="A23" s="5" t="s">
        <v>639</v>
      </c>
      <c r="B23" s="0" t="s">
        <v>73</v>
      </c>
      <c r="C23" s="38" t="n">
        <f aca="false">Seg!$C$13*Seg!$C$20</f>
        <v>41.0683128828457</v>
      </c>
      <c r="D23" s="38" t="n">
        <f aca="false">Seg!$D$13*Seg!$D$20</f>
        <v>49.7441234599175</v>
      </c>
      <c r="E23" s="38" t="n">
        <f aca="false">Seg!$E$13*Seg!$E$20</f>
        <v>27.0034224924414</v>
      </c>
      <c r="F23" s="38" t="n">
        <f aca="false">Seg!$F$13*Seg!$F$20</f>
        <v>34.5772885649197</v>
      </c>
      <c r="G23" s="38" t="n">
        <f aca="false">Seg!$G$13*Seg!$G$20</f>
        <v>61.6023917531772</v>
      </c>
      <c r="H23" s="38" t="n">
        <f aca="false">Seg!$H$13*Seg!$H$20</f>
        <v>73.9568187320519</v>
      </c>
      <c r="I23" s="38" t="n">
        <f aca="false">Seg!$I$13*Seg!$I$20</f>
        <v>86.3101265625461</v>
      </c>
      <c r="J23" s="38" t="n">
        <f aca="false">Seg!$J$13*Seg!$J$20</f>
        <v>97.8339983977065</v>
      </c>
      <c r="K23" s="38" t="n">
        <f aca="false">Seg!$K$13*Seg!$K$20</f>
        <v>107.617398237477</v>
      </c>
      <c r="L23" s="38" t="n">
        <f aca="false">Seg!$L$13*Seg!$L$20</f>
        <v>118.379138061225</v>
      </c>
      <c r="M23" s="38" t="n">
        <f aca="false">Seg!$M$13*Seg!$M$20</f>
        <v>130.217051867347</v>
      </c>
      <c r="N23" s="38" t="n">
        <f aca="false">Seg!$N$13*Seg!$N$20</f>
        <v>21.7087111412496</v>
      </c>
      <c r="O23" s="38" t="n">
        <f aca="false">Seg!$O$13*Seg!$O$20</f>
        <v>28.0189463642798</v>
      </c>
      <c r="P23" s="5" t="s">
        <v>640</v>
      </c>
    </row>
    <row r="24" customFormat="false" ht="15" hidden="false" customHeight="false" outlineLevel="0" collapsed="false">
      <c r="A24" s="5" t="s">
        <v>641</v>
      </c>
      <c r="B24" s="0" t="s">
        <v>73</v>
      </c>
      <c r="C24" s="38" t="n">
        <f aca="false">Seg!$C$13-Seg!$C$23</f>
        <v>15.1456871171543</v>
      </c>
      <c r="D24" s="38" t="n">
        <f aca="false">Seg!$D$13-Seg!$D$23</f>
        <v>18.8908765400825</v>
      </c>
      <c r="E24" s="38" t="n">
        <f aca="false">Seg!$E$13-Seg!$E$23</f>
        <v>10.0485775075586</v>
      </c>
      <c r="F24" s="38" t="n">
        <f aca="false">Seg!$F$13-Seg!$F$23</f>
        <v>13.5760496178185</v>
      </c>
      <c r="G24" s="38" t="n">
        <f aca="false">Seg!$G$13-Seg!$G$23</f>
        <v>23.6029464295611</v>
      </c>
      <c r="H24" s="38" t="n">
        <f aca="false">Seg!$H$13-Seg!$H$23</f>
        <v>28.3365431268884</v>
      </c>
      <c r="I24" s="38" t="n">
        <f aca="false">Seg!$I$13-Seg!$I$23</f>
        <v>33.0697110226949</v>
      </c>
      <c r="J24" s="38" t="n">
        <f aca="false">Seg!$J$13-Seg!$J$23</f>
        <v>37.4850806511378</v>
      </c>
      <c r="K24" s="38" t="n">
        <f aca="false">Seg!$K$13-Seg!$K$23</f>
        <v>41.2335887162515</v>
      </c>
      <c r="L24" s="38" t="n">
        <f aca="false">Seg!$L$13-Seg!$L$23</f>
        <v>45.3569475878767</v>
      </c>
      <c r="M24" s="38" t="n">
        <f aca="false">Seg!$M$13-Seg!$M$23</f>
        <v>49.8926423466644</v>
      </c>
      <c r="N24" s="38" t="n">
        <f aca="false">Seg!$N$13-Seg!$N$23</f>
        <v>7.90628885875037</v>
      </c>
      <c r="O24" s="38" t="n">
        <f aca="false">Seg!$O$13-Seg!$O$23</f>
        <v>11.0010536357202</v>
      </c>
    </row>
    <row r="25" customFormat="false" ht="17.15" hidden="false" customHeight="false" outlineLevel="0" collapsed="false">
      <c r="A25" s="1" t="s">
        <v>642</v>
      </c>
    </row>
    <row r="26" customFormat="false" ht="17.15" hidden="false" customHeight="false" outlineLevel="0" collapsed="false">
      <c r="A26" s="0" t="s">
        <v>643</v>
      </c>
      <c r="B26" s="0" t="s">
        <v>73</v>
      </c>
      <c r="C26" s="38" t="n">
        <f aca="false">Thesis!$C$25</f>
        <v>2.32100535697364</v>
      </c>
      <c r="D26" s="38" t="n">
        <f aca="false">Thesis!$D$25</f>
        <v>8.70377008865116</v>
      </c>
      <c r="E26" s="38" t="n">
        <f aca="false">Thesis!$E$25</f>
        <v>8.51035297557002</v>
      </c>
      <c r="F26" s="38" t="n">
        <f aca="false">Thesis!$F$25</f>
        <v>17.7706326212121</v>
      </c>
      <c r="G26" s="38" t="n">
        <f aca="false">Thesis!$G$25</f>
        <v>26.2809855967821</v>
      </c>
      <c r="H26" s="38" t="n">
        <f aca="false">Thesis!$H$25</f>
        <v>83.0838740066237</v>
      </c>
      <c r="I26" s="38" t="n">
        <f aca="false">Thesis!$I$25</f>
        <v>148.076291961995</v>
      </c>
      <c r="J26" s="38" t="n">
        <f aca="false">Thesis!$J$25</f>
        <v>213.357841875822</v>
      </c>
      <c r="K26" s="38" t="n">
        <f aca="false">Thesis!$K$25</f>
        <v>278.735769109134</v>
      </c>
      <c r="L26" s="38" t="n">
        <f aca="false">Thesis!$L$25</f>
        <v>344.157504214939</v>
      </c>
      <c r="M26" s="38" t="n">
        <f aca="false">Thesis!$M$25</f>
        <v>409.602828175164</v>
      </c>
      <c r="N26" s="38" t="n">
        <f aca="false">Thesis!$N$25</f>
        <v>3.04631953102791</v>
      </c>
      <c r="O26" s="38" t="n">
        <f aca="false">Thesis!$O$25</f>
        <v>5.65745055762326</v>
      </c>
      <c r="P26" s="8" t="s">
        <v>644</v>
      </c>
    </row>
    <row r="27" customFormat="false" ht="17.15" hidden="false" customHeight="false" outlineLevel="0" collapsed="false">
      <c r="A27" s="0" t="s">
        <v>645</v>
      </c>
      <c r="B27" s="0" t="s">
        <v>73</v>
      </c>
      <c r="C27" s="38" t="n">
        <f aca="false">Thesis!$C$29</f>
        <v>105.234994643026</v>
      </c>
      <c r="D27" s="38" t="n">
        <f aca="false">Thesis!$D$29</f>
        <v>120.021229911349</v>
      </c>
      <c r="E27" s="38" t="n">
        <f aca="false">Thesis!$E$29</f>
        <v>71.30864702443</v>
      </c>
      <c r="F27" s="38" t="n">
        <f aca="false">Thesis!$F$29</f>
        <v>78.5950104186653</v>
      </c>
      <c r="G27" s="38" t="n">
        <f aca="false">Thesis!$G$29</f>
        <v>149.903657443095</v>
      </c>
      <c r="H27" s="38" t="n">
        <f aca="false">Thesis!$H$29</f>
        <v>180.893560768142</v>
      </c>
      <c r="I27" s="38" t="n">
        <f aca="false">Thesis!$I$29</f>
        <v>210.64839721501</v>
      </c>
      <c r="J27" s="38" t="n">
        <f aca="false">Thesis!$J$29</f>
        <v>236.398909446495</v>
      </c>
      <c r="K27" s="38" t="n">
        <f aca="false">Thesis!$K$29</f>
        <v>255.310822202215</v>
      </c>
      <c r="L27" s="38" t="n">
        <f aca="false">Thesis!$L$29</f>
        <v>275.735687978392</v>
      </c>
      <c r="M27" s="38" t="n">
        <f aca="false">Thesis!$M$29</f>
        <v>297.794543016663</v>
      </c>
      <c r="N27" s="38" t="n">
        <f aca="false">Thesis!$N$29</f>
        <v>57.0936804689721</v>
      </c>
      <c r="O27" s="38" t="n">
        <f aca="false">Thesis!$O$29</f>
        <v>62.9275494423768</v>
      </c>
      <c r="P27" s="8" t="s">
        <v>644</v>
      </c>
    </row>
    <row r="28" customFormat="false" ht="17.15" hidden="false" customHeight="false" outlineLevel="0" collapsed="false">
      <c r="A28" s="1" t="s">
        <v>476</v>
      </c>
      <c r="B28" s="8" t="s">
        <v>73</v>
      </c>
      <c r="C28" s="38" t="n">
        <f aca="false">Q!$D$7</f>
        <v>107.556</v>
      </c>
      <c r="D28" s="38" t="n">
        <f aca="false">Q!$E$7</f>
        <v>128.725</v>
      </c>
      <c r="E28" s="38" t="n">
        <f aca="false">Q!$P$7</f>
        <v>79.819</v>
      </c>
      <c r="F28" s="38" t="n">
        <f aca="false">Seg!$F$26+Seg!$F$27</f>
        <v>96.3656430398774</v>
      </c>
      <c r="G28" s="38" t="n">
        <f aca="false">Seg!$G$26+Seg!$G$27</f>
        <v>176.184643039877</v>
      </c>
      <c r="H28" s="38" t="n">
        <f aca="false">Seg!$H$26+Seg!$H$27</f>
        <v>263.977434774765</v>
      </c>
      <c r="I28" s="38" t="n">
        <f aca="false">Seg!$I$26+Seg!$I$27</f>
        <v>358.724689177006</v>
      </c>
      <c r="J28" s="38" t="n">
        <f aca="false">Seg!$J$26+Seg!$J$27</f>
        <v>449.756751322317</v>
      </c>
      <c r="K28" s="38" t="n">
        <f aca="false">Seg!$K$26+Seg!$K$27</f>
        <v>534.046591311349</v>
      </c>
      <c r="L28" s="38" t="n">
        <f aca="false">Seg!$L$26+Seg!$L$27</f>
        <v>619.893192193331</v>
      </c>
      <c r="M28" s="38" t="n">
        <f aca="false">Seg!$M$26+Seg!$M$27</f>
        <v>707.397371191827</v>
      </c>
      <c r="N28" s="38" t="n">
        <f aca="false">Q!$N$7</f>
        <v>60.14</v>
      </c>
      <c r="O28" s="38" t="n">
        <f aca="false">Q!$O$7</f>
        <v>68.585</v>
      </c>
      <c r="P28" s="5" t="s">
        <v>646</v>
      </c>
    </row>
    <row r="29" customFormat="false" ht="15" hidden="false" customHeight="false" outlineLevel="0" collapsed="false">
      <c r="A29" s="3" t="s">
        <v>647</v>
      </c>
      <c r="B29" s="8" t="s">
        <v>73</v>
      </c>
      <c r="C29" s="38" t="n">
        <f aca="false">Q!$D$8</f>
        <v>637.959</v>
      </c>
      <c r="D29" s="38" t="n">
        <f aca="false">Q!$E$8</f>
        <v>716.924</v>
      </c>
      <c r="E29" s="38" t="n">
        <f aca="false">Q!$P$8</f>
        <v>382.125</v>
      </c>
      <c r="F29" s="38" t="n">
        <f aca="false">Seg!$F$19+Seg!$F$28</f>
        <v>453.302072248307</v>
      </c>
      <c r="G29" s="38" t="n">
        <f aca="false">Seg!$G$19+Seg!$G$28</f>
        <v>835.427072248307</v>
      </c>
      <c r="H29" s="38" t="n">
        <f aca="false">Seg!$H$19+Seg!$H$28</f>
        <v>993.913172396466</v>
      </c>
      <c r="I29" s="38" t="n">
        <f aca="false">Seg!$I$19+Seg!$I$28</f>
        <v>1157.02025887488</v>
      </c>
      <c r="J29" s="38" t="n">
        <f aca="false">Seg!$J$19+Seg!$J$28</f>
        <v>1311.4935736481</v>
      </c>
      <c r="K29" s="38" t="n">
        <f aca="false">Seg!$K$19+Seg!$K$28</f>
        <v>1451.60408341327</v>
      </c>
      <c r="L29" s="38" t="n">
        <f aca="false">Seg!$L$19+Seg!$L$28</f>
        <v>1597.1782819365</v>
      </c>
      <c r="M29" s="38" t="n">
        <f aca="false">Seg!$M$19+Seg!$M$28</f>
        <v>1748.61138973533</v>
      </c>
      <c r="N29" s="38" t="n">
        <f aca="false">Q!$N$8</f>
        <v>323.369</v>
      </c>
      <c r="O29" s="38" t="n">
        <f aca="false">Q!$O$8</f>
        <v>393.555</v>
      </c>
    </row>
    <row r="30" customFormat="false" ht="17.15" hidden="false" customHeight="false" outlineLevel="0" collapsed="false">
      <c r="A30" s="24" t="s">
        <v>648</v>
      </c>
      <c r="B30" s="25" t="s">
        <v>73</v>
      </c>
      <c r="C30" s="39" t="n">
        <f aca="false">Seg!$C$19-(Seg!$C$21+Seg!$C$22)</f>
        <v>0</v>
      </c>
      <c r="D30" s="39" t="n">
        <f aca="false">Seg!$D$19-(Seg!$D$21+Seg!$D$22)</f>
        <v>0</v>
      </c>
      <c r="E30" s="39" t="n">
        <f aca="false">Seg!$E$19-(Seg!$E$21+Seg!$E$22)</f>
        <v>0</v>
      </c>
      <c r="F30" s="39" t="n">
        <f aca="false">Seg!$F$19-(Seg!$F$21+Seg!$F$22)</f>
        <v>0</v>
      </c>
      <c r="G30" s="39" t="n">
        <f aca="false">Seg!$G$19-(Seg!$G$21+Seg!$G$22)</f>
        <v>0</v>
      </c>
      <c r="H30" s="39" t="n">
        <f aca="false">Seg!$H$19-(Seg!$H$21+Seg!$H$22)</f>
        <v>0</v>
      </c>
      <c r="I30" s="39" t="n">
        <f aca="false">Seg!$I$19-(Seg!$I$21+Seg!$I$22)</f>
        <v>0</v>
      </c>
      <c r="J30" s="39" t="n">
        <f aca="false">Seg!$J$19-(Seg!$J$21+Seg!$J$22)</f>
        <v>0</v>
      </c>
      <c r="K30" s="39" t="n">
        <f aca="false">Seg!$K$19-(Seg!$K$21+Seg!$K$22)</f>
        <v>0</v>
      </c>
      <c r="L30" s="39" t="n">
        <f aca="false">Seg!$L$19-(Seg!$L$21+Seg!$L$22)</f>
        <v>0</v>
      </c>
      <c r="M30" s="39" t="n">
        <f aca="false">Seg!$M$19-(Seg!$M$21+Seg!$M$22)</f>
        <v>0</v>
      </c>
      <c r="N30" s="39" t="n">
        <f aca="false">Seg!$N$19-(Seg!$N$21+Seg!$N$22)</f>
        <v>0</v>
      </c>
      <c r="O30" s="39" t="n">
        <f aca="false">Seg!$O$19-(Seg!$O$21+Seg!$O$22)</f>
        <v>0</v>
      </c>
    </row>
    <row r="31" customFormat="false" ht="17.15" hidden="false" customHeight="false" outlineLevel="0" collapsed="false">
      <c r="A31" s="24" t="s">
        <v>649</v>
      </c>
      <c r="B31" s="25" t="s">
        <v>73</v>
      </c>
      <c r="C31" s="39" t="n">
        <f aca="false">Seg!$C$26+Seg!$C$27-Seg!$C$28</f>
        <v>0</v>
      </c>
      <c r="D31" s="39" t="n">
        <f aca="false">Seg!$D$26+Seg!$D$27-Seg!$D$28</f>
        <v>0</v>
      </c>
      <c r="E31" s="39" t="n">
        <f aca="false">Seg!$E$26+Seg!$E$27-Seg!$E$28</f>
        <v>0</v>
      </c>
      <c r="F31" s="39" t="n">
        <f aca="false">Seg!$F$26+Seg!$F$27-Seg!$F$28</f>
        <v>0</v>
      </c>
      <c r="G31" s="39" t="n">
        <f aca="false">Seg!$G$26+Seg!$G$27-Seg!$G$28</f>
        <v>0</v>
      </c>
      <c r="H31" s="39" t="n">
        <f aca="false">Seg!$H$26+Seg!$H$27-Seg!$H$28</f>
        <v>0</v>
      </c>
      <c r="I31" s="39" t="n">
        <f aca="false">Seg!$I$26+Seg!$I$27-Seg!$I$28</f>
        <v>0</v>
      </c>
      <c r="J31" s="39" t="n">
        <f aca="false">Seg!$J$26+Seg!$J$27-Seg!$J$28</f>
        <v>0</v>
      </c>
      <c r="K31" s="39" t="n">
        <f aca="false">Seg!$K$26+Seg!$K$27-Seg!$K$28</f>
        <v>0</v>
      </c>
      <c r="L31" s="39" t="n">
        <f aca="false">Seg!$L$26+Seg!$L$27-Seg!$L$28</f>
        <v>0</v>
      </c>
      <c r="M31" s="39" t="n">
        <f aca="false">Seg!$M$26+Seg!$M$27-Seg!$M$28</f>
        <v>0</v>
      </c>
      <c r="N31" s="39" t="n">
        <f aca="false">Seg!$N$26+Seg!$N$27-Seg!$N$28</f>
        <v>0</v>
      </c>
      <c r="O31" s="39" t="n">
        <f aca="false">Seg!$O$26+Seg!$O$27-Seg!$O$28</f>
        <v>0</v>
      </c>
    </row>
    <row r="32" customFormat="false" ht="17.15" hidden="false" customHeight="false" outlineLevel="0" collapsed="false">
      <c r="A32" s="24" t="s">
        <v>650</v>
      </c>
      <c r="B32" s="25" t="s">
        <v>73</v>
      </c>
      <c r="C32" s="39" t="n">
        <f aca="false">Seg!$C$21+Seg!$C$22+Seg!$C$28-Seg!$C$29</f>
        <v>0</v>
      </c>
      <c r="D32" s="39" t="n">
        <f aca="false">Seg!$D$21+Seg!$D$22+Seg!$D$28-Seg!$D$29</f>
        <v>0</v>
      </c>
      <c r="E32" s="39" t="n">
        <f aca="false">Seg!$E$21+Seg!$E$22+Seg!$E$28-Seg!$E$29</f>
        <v>0</v>
      </c>
      <c r="F32" s="39" t="n">
        <f aca="false">Seg!$F$21+Seg!$F$22+Seg!$F$28-Seg!$F$29</f>
        <v>0</v>
      </c>
      <c r="G32" s="39" t="n">
        <f aca="false">Seg!$G$21+Seg!$G$22+Seg!$G$28-Seg!$G$29</f>
        <v>0</v>
      </c>
      <c r="H32" s="39" t="n">
        <f aca="false">Seg!$H$21+Seg!$H$22+Seg!$H$28-Seg!$H$29</f>
        <v>0</v>
      </c>
      <c r="I32" s="39" t="n">
        <f aca="false">Seg!$I$21+Seg!$I$22+Seg!$I$28-Seg!$I$29</f>
        <v>0</v>
      </c>
      <c r="J32" s="39" t="n">
        <f aca="false">Seg!$J$21+Seg!$J$22+Seg!$J$28-Seg!$J$29</f>
        <v>0</v>
      </c>
      <c r="K32" s="39" t="n">
        <f aca="false">Seg!$K$21+Seg!$K$22+Seg!$K$28-Seg!$K$29</f>
        <v>0</v>
      </c>
      <c r="L32" s="39" t="n">
        <f aca="false">Seg!$L$21+Seg!$L$22+Seg!$L$28-Seg!$L$29</f>
        <v>0</v>
      </c>
      <c r="M32" s="39" t="n">
        <f aca="false">Seg!$M$21+Seg!$M$22+Seg!$M$28-Seg!$M$29</f>
        <v>0</v>
      </c>
      <c r="N32" s="39" t="n">
        <f aca="false">Seg!$N$21+Seg!$N$22+Seg!$N$28-Seg!$N$29</f>
        <v>0</v>
      </c>
      <c r="O32" s="39" t="n">
        <f aca="false">Seg!$O$21+Seg!$O$22+Seg!$O$28-Seg!$O$29</f>
        <v>0</v>
      </c>
    </row>
    <row r="33" customFormat="false" ht="15" hidden="false" customHeight="false" outlineLevel="0" collapsed="false">
      <c r="A33" s="5" t="s">
        <v>651</v>
      </c>
      <c r="B33" s="0" t="s">
        <v>52</v>
      </c>
      <c r="G33" s="12" t="n">
        <f aca="false">Seg!$G$29/Seg!$D$29-1</f>
        <v>0.165293772071108</v>
      </c>
      <c r="H33" s="12" t="n">
        <f aca="false">Seg!$H$29/Seg!$G$29-1</f>
        <v>0.189706684656076</v>
      </c>
      <c r="I33" s="12" t="n">
        <f aca="false">Seg!$I$29/Seg!$H$29-1</f>
        <v>0.164105971234025</v>
      </c>
      <c r="J33" s="12" t="n">
        <f aca="false">Seg!$J$29/Seg!$I$29-1</f>
        <v>0.133509602436381</v>
      </c>
      <c r="K33" s="12" t="n">
        <f aca="false">Seg!$K$29/Seg!$J$29-1</f>
        <v>0.106832784071853</v>
      </c>
      <c r="L33" s="12" t="n">
        <f aca="false">Seg!$L$29/Seg!$K$29-1</f>
        <v>0.100285057190609</v>
      </c>
      <c r="M33" s="12" t="n">
        <f aca="false">Seg!$M$29/Seg!$L$29-1</f>
        <v>0.0948129019230271</v>
      </c>
    </row>
    <row r="34" customFormat="false" ht="17.15" hidden="false" customHeight="false" outlineLevel="0" collapsed="false">
      <c r="A34" s="0" t="s">
        <v>652</v>
      </c>
      <c r="B34" s="0" t="s">
        <v>52</v>
      </c>
      <c r="C34" s="12" t="n">
        <f aca="false">Seg!$C$28/Seg!$C$29</f>
        <v>0.168593906504964</v>
      </c>
      <c r="D34" s="12" t="n">
        <f aca="false">Seg!$D$28/Seg!$D$29</f>
        <v>0.179551807444025</v>
      </c>
      <c r="E34" s="12" t="n">
        <f aca="false">Seg!$E$28/Seg!$E$29</f>
        <v>0.208881910369643</v>
      </c>
      <c r="F34" s="12" t="n">
        <f aca="false">Seg!$F$28/Seg!$F$29</f>
        <v>0.212585930970752</v>
      </c>
      <c r="G34" s="12" t="n">
        <f aca="false">Seg!$G$28/Seg!$G$29</f>
        <v>0.210891709034193</v>
      </c>
      <c r="H34" s="12" t="n">
        <f aca="false">Seg!$H$28/Seg!$H$29</f>
        <v>0.265594060030695</v>
      </c>
      <c r="I34" s="12" t="n">
        <f aca="false">Seg!$I$28/Seg!$I$29</f>
        <v>0.31004183930698</v>
      </c>
      <c r="J34" s="12" t="n">
        <f aca="false">Seg!$J$28/Seg!$J$29</f>
        <v>0.34293477326866</v>
      </c>
      <c r="K34" s="12" t="n">
        <f aca="false">Seg!$K$28/Seg!$K$29</f>
        <v>0.367900998222326</v>
      </c>
      <c r="L34" s="12" t="n">
        <f aca="false">Seg!$L$28/Seg!$L$29</f>
        <v>0.388117719358006</v>
      </c>
      <c r="M34" s="12" t="n">
        <f aca="false">Seg!$M$28/Seg!$M$29</f>
        <v>0.40454807474341</v>
      </c>
      <c r="N34" s="12" t="n">
        <f aca="false">Seg!$N$28/Seg!$N$29</f>
        <v>0.185979484737251</v>
      </c>
      <c r="O34" s="12" t="n">
        <f aca="false">Seg!$O$28/Seg!$O$29</f>
        <v>0.174270432341096</v>
      </c>
    </row>
    <row r="35" customFormat="false" ht="17.15" hidden="false" customHeight="false" outlineLevel="0" collapsed="false">
      <c r="A35" s="0" t="s">
        <v>653</v>
      </c>
      <c r="B35" s="0" t="s">
        <v>52</v>
      </c>
      <c r="C35" s="12" t="n">
        <f aca="false">Seg!$C$26/Seg!$C$28</f>
        <v>0.0215795060896058</v>
      </c>
      <c r="D35" s="12" t="n">
        <f aca="false">Seg!$D$26/Seg!$D$28</f>
        <v>0.0676152269462122</v>
      </c>
      <c r="E35" s="12" t="n">
        <f aca="false">Seg!$E$26/Seg!$E$28</f>
        <v>0.106620641395783</v>
      </c>
      <c r="F35" s="12" t="n">
        <f aca="false">Seg!$F$26/Seg!$F$28</f>
        <v>0.184408385194487</v>
      </c>
      <c r="G35" s="12" t="n">
        <f aca="false">Seg!$G$26/Seg!$G$28</f>
        <v>0.149167289176468</v>
      </c>
      <c r="H35" s="12" t="n">
        <f aca="false">Seg!$H$26/Seg!$H$28</f>
        <v>0.314738546033352</v>
      </c>
      <c r="I35" s="12" t="n">
        <f aca="false">Seg!$I$26/Seg!$I$28</f>
        <v>0.412785337696481</v>
      </c>
      <c r="J35" s="12" t="n">
        <f aca="false">Seg!$J$26/Seg!$J$28</f>
        <v>0.47438496753753</v>
      </c>
      <c r="K35" s="12" t="n">
        <f aca="false">Seg!$K$26/Seg!$K$28</f>
        <v>0.521931557365997</v>
      </c>
      <c r="L35" s="12" t="n">
        <f aca="false">Seg!$L$26/Seg!$L$28</f>
        <v>0.555188391402118</v>
      </c>
      <c r="M35" s="12" t="n">
        <f aca="false">Seg!$M$26/Seg!$M$28</f>
        <v>0.579027919604879</v>
      </c>
      <c r="N35" s="12" t="n">
        <f aca="false">Seg!$N$26/Seg!$N$28</f>
        <v>0.0506537999838362</v>
      </c>
      <c r="O35" s="12" t="n">
        <f aca="false">Seg!$O$26/Seg!$O$28</f>
        <v>0.0824881615167056</v>
      </c>
    </row>
    <row r="38" customFormat="false" ht="19.4" hidden="false" customHeight="false" outlineLevel="0" collapsed="false">
      <c r="A38" s="31" t="s">
        <v>654</v>
      </c>
    </row>
    <row r="39" customFormat="false" ht="17.15" hidden="false" customHeight="false" outlineLevel="0" collapsed="false">
      <c r="A39" s="6" t="s">
        <v>16</v>
      </c>
      <c r="B39" s="6" t="s">
        <v>17</v>
      </c>
      <c r="C39" s="20" t="s">
        <v>457</v>
      </c>
      <c r="D39" s="20" t="s">
        <v>458</v>
      </c>
      <c r="E39" s="20" t="s">
        <v>540</v>
      </c>
      <c r="F39" s="20" t="s">
        <v>541</v>
      </c>
      <c r="G39" s="20" t="s">
        <v>542</v>
      </c>
      <c r="H39" s="20" t="s">
        <v>543</v>
      </c>
      <c r="I39" s="20" t="s">
        <v>544</v>
      </c>
      <c r="J39" s="20" t="s">
        <v>545</v>
      </c>
      <c r="K39" s="20" t="s">
        <v>546</v>
      </c>
      <c r="L39" s="20" t="s">
        <v>547</v>
      </c>
      <c r="M39" s="20" t="s">
        <v>548</v>
      </c>
      <c r="N39" s="20" t="s">
        <v>549</v>
      </c>
      <c r="O39" s="20" t="s">
        <v>550</v>
      </c>
      <c r="P39" s="6" t="s">
        <v>23</v>
      </c>
      <c r="R39" s="20" t="n">
        <v>2023</v>
      </c>
      <c r="S39" s="20" t="n">
        <v>2024</v>
      </c>
      <c r="T39" s="20" t="n">
        <v>2025</v>
      </c>
      <c r="U39" s="20" t="n">
        <v>2026</v>
      </c>
      <c r="V39" s="20" t="n">
        <v>2027</v>
      </c>
      <c r="W39" s="20" t="n">
        <v>2028</v>
      </c>
      <c r="X39" s="20" t="n">
        <v>2029</v>
      </c>
      <c r="Y39" s="20" t="n">
        <v>2030</v>
      </c>
      <c r="Z39" s="20" t="n">
        <v>2031</v>
      </c>
      <c r="AA39" s="20" t="n">
        <v>2032</v>
      </c>
    </row>
    <row r="40" customFormat="false" ht="17.15" hidden="false" customHeight="false" outlineLevel="0" collapsed="false">
      <c r="A40" s="1" t="s">
        <v>620</v>
      </c>
    </row>
    <row r="41" customFormat="false" ht="17.15" hidden="false" customHeight="false" outlineLevel="0" collapsed="false">
      <c r="A41" s="0" t="s">
        <v>479</v>
      </c>
      <c r="B41" s="0" t="s">
        <v>73</v>
      </c>
      <c r="C41" s="38" t="n">
        <f aca="false">Q!$D$10</f>
        <v>247.029</v>
      </c>
      <c r="D41" s="38" t="n">
        <f aca="false">Q!$E$10</f>
        <v>269.287</v>
      </c>
      <c r="E41" s="38" t="n">
        <f aca="false">Q!$P$10</f>
        <v>134.686</v>
      </c>
      <c r="F41" s="38" t="n">
        <f aca="false">Seg!$O$41*(1+Seg!$F$42)-pd_amt*Q!$O$10/(Q!$O$10+Q!$O$12)</f>
        <v>160.728085930082</v>
      </c>
      <c r="G41" s="38" t="n">
        <f aca="false">Seg!$E$41+Seg!$F$41</f>
        <v>295.414085930082</v>
      </c>
      <c r="H41" s="38" t="n">
        <f aca="false">Seg!$G$41*(1+Seg!$H$42)</f>
        <v>320.828163943375</v>
      </c>
      <c r="I41" s="38" t="n">
        <f aca="false">Seg!$H$41*(1+Seg!$I$42)</f>
        <v>344.575578072228</v>
      </c>
      <c r="J41" s="38" t="n">
        <f aca="false">Seg!$I$41*(1+Seg!$J$42)</f>
        <v>365.942555779681</v>
      </c>
      <c r="K41" s="38" t="n">
        <f aca="false">Seg!$J$41*(1+Seg!$K$42)</f>
        <v>384.239683568665</v>
      </c>
      <c r="L41" s="38" t="n">
        <f aca="false">Seg!$K$41*(1+Seg!$L$42)</f>
        <v>403.451667747098</v>
      </c>
      <c r="M41" s="38" t="n">
        <f aca="false">Seg!$L$41*(1+Seg!$M$42)</f>
        <v>423.624251134453</v>
      </c>
      <c r="N41" s="38" t="n">
        <f aca="false">Q!$N$10</f>
        <v>118.892</v>
      </c>
      <c r="O41" s="38" t="n">
        <f aca="false">Q!$O$10</f>
        <v>150.395</v>
      </c>
      <c r="P41" s="8" t="s">
        <v>621</v>
      </c>
    </row>
    <row r="42" customFormat="false" ht="17.15" hidden="false" customHeight="false" outlineLevel="0" collapsed="false">
      <c r="A42" s="0" t="s">
        <v>622</v>
      </c>
      <c r="B42" s="0" t="s">
        <v>52</v>
      </c>
      <c r="E42" s="12" t="n">
        <f aca="false">Seg!$E$41/Seg!$N$41-1</f>
        <v>0.132843252699929</v>
      </c>
      <c r="F42" s="12" t="n">
        <f aca="false">Seg!$O$41/(Q!$F$10+Q!$G$10)-1</f>
        <v>0.0980382135842941</v>
      </c>
      <c r="G42" s="12" t="n">
        <f aca="false">Seg!$G$41/Seg!$D$41-1</f>
        <v>0.0970231980380869</v>
      </c>
      <c r="H42" s="12" t="n">
        <f aca="false">Seg!$F$42+(g_os-Seg!$F$42)*1/4</f>
        <v>0.0860286601882206</v>
      </c>
      <c r="I42" s="12" t="n">
        <f aca="false">Seg!$F$42+(g_os-Seg!$F$42)*2/4</f>
        <v>0.074019106792147</v>
      </c>
      <c r="J42" s="12" t="n">
        <f aca="false">Seg!$F$42+(g_os-Seg!$F$42)*3/4</f>
        <v>0.0620095533960735</v>
      </c>
      <c r="K42" s="12" t="n">
        <f aca="false">Seg!$F$42+(g_os-Seg!$F$42)*4/4</f>
        <v>0.05</v>
      </c>
      <c r="L42" s="12" t="n">
        <f aca="false">g_os</f>
        <v>0.05</v>
      </c>
      <c r="M42" s="12" t="n">
        <f aca="false">g_os</f>
        <v>0.05</v>
      </c>
      <c r="P42" s="8" t="s">
        <v>623</v>
      </c>
    </row>
    <row r="43" customFormat="false" ht="17.15" hidden="false" customHeight="false" outlineLevel="0" collapsed="false">
      <c r="A43" s="0" t="s">
        <v>480</v>
      </c>
      <c r="B43" s="0" t="s">
        <v>73</v>
      </c>
      <c r="C43" s="38" t="n">
        <f aca="false">Q!$D$11</f>
        <v>21.215</v>
      </c>
      <c r="D43" s="38" t="n">
        <f aca="false">Q!$E$11</f>
        <v>22.561</v>
      </c>
      <c r="E43" s="38" t="n">
        <f aca="false">Q!$P$11</f>
        <v>11.579</v>
      </c>
      <c r="F43" s="38" t="n">
        <f aca="false">Seg!$O$43*(1+Seg!$F$44)</f>
        <v>12.0952613121125</v>
      </c>
      <c r="G43" s="38" t="n">
        <f aca="false">Seg!$E$43+Seg!$F$43</f>
        <v>23.6742613121125</v>
      </c>
      <c r="H43" s="38" t="n">
        <f aca="false">Seg!$G$43*(1+Seg!$H$44)</f>
        <v>24.8803243963206</v>
      </c>
      <c r="I43" s="38" t="n">
        <f aca="false">Seg!$H$43*(1+Seg!$I$44)</f>
        <v>25.9741308664154</v>
      </c>
      <c r="J43" s="38" t="n">
        <f aca="false">Seg!$I$43*(1+Seg!$J$44)</f>
        <v>26.9346894124267</v>
      </c>
      <c r="K43" s="38" t="n">
        <f aca="false">Seg!$J$43*(1+Seg!$K$44)</f>
        <v>27.7427300947995</v>
      </c>
      <c r="L43" s="38" t="n">
        <f aca="false">Seg!$K$43*(1+Seg!$L$44)</f>
        <v>28.5750119976435</v>
      </c>
      <c r="M43" s="38" t="n">
        <f aca="false">Seg!$L$43*(1+Seg!$M$44)</f>
        <v>29.4322623575728</v>
      </c>
      <c r="N43" s="38" t="n">
        <f aca="false">Q!$N$11</f>
        <v>11.128</v>
      </c>
      <c r="O43" s="38" t="n">
        <f aca="false">Q!$O$11</f>
        <v>11.433</v>
      </c>
      <c r="P43" s="8" t="s">
        <v>621</v>
      </c>
    </row>
    <row r="44" customFormat="false" ht="17.15" hidden="false" customHeight="false" outlineLevel="0" collapsed="false">
      <c r="A44" s="0" t="s">
        <v>624</v>
      </c>
      <c r="B44" s="0" t="s">
        <v>52</v>
      </c>
      <c r="E44" s="12" t="n">
        <f aca="false">Seg!$E$43/Seg!$N$43-1</f>
        <v>0.0405283968368082</v>
      </c>
      <c r="F44" s="12" t="n">
        <f aca="false">Seg!$O$43/(Q!$F$11+Q!$G$11)-1</f>
        <v>0.0579254187100955</v>
      </c>
      <c r="G44" s="12" t="n">
        <f aca="false">Seg!$G$43/Seg!$D$43-1</f>
        <v>0.0493445021103904</v>
      </c>
      <c r="H44" s="12" t="n">
        <f aca="false">Seg!$F$44+(g_ps-Seg!$F$44)*1/4</f>
        <v>0.0509440640325716</v>
      </c>
      <c r="I44" s="12" t="n">
        <f aca="false">Seg!$F$44+(g_ps-Seg!$F$44)*2/4</f>
        <v>0.0439627093550477</v>
      </c>
      <c r="J44" s="12" t="n">
        <f aca="false">Seg!$F$44+(g_ps-Seg!$F$44)*3/4</f>
        <v>0.0369813546775239</v>
      </c>
      <c r="K44" s="12" t="n">
        <f aca="false">Seg!$F$44+(g_ps-Seg!$F$44)*4/4</f>
        <v>0.03</v>
      </c>
      <c r="L44" s="12" t="n">
        <f aca="false">g_ps</f>
        <v>0.03</v>
      </c>
      <c r="M44" s="12" t="n">
        <f aca="false">g_ps</f>
        <v>0.03</v>
      </c>
      <c r="P44" s="8" t="s">
        <v>625</v>
      </c>
    </row>
    <row r="45" customFormat="false" ht="17.15" hidden="false" customHeight="false" outlineLevel="0" collapsed="false">
      <c r="A45" s="0" t="s">
        <v>481</v>
      </c>
      <c r="B45" s="0" t="s">
        <v>73</v>
      </c>
      <c r="C45" s="38" t="n">
        <f aca="false">Q!$D$12</f>
        <v>156.146</v>
      </c>
      <c r="D45" s="38" t="n">
        <f aca="false">Q!$E$12</f>
        <v>172.162</v>
      </c>
      <c r="E45" s="38" t="n">
        <f aca="false">Q!$P$12</f>
        <v>88.358</v>
      </c>
      <c r="F45" s="38" t="n">
        <f aca="false">Seg!$O$45*(1+Seg!$F$46)-pd_amt*Q!$O$12/(Q!$O$10+Q!$O$12)</f>
        <v>103.62028337149</v>
      </c>
      <c r="G45" s="38" t="n">
        <f aca="false">Seg!$E$45+Seg!$F$45</f>
        <v>191.97828337149</v>
      </c>
      <c r="H45" s="38" t="n">
        <f aca="false">Seg!$G$45*(1+Seg!$H$46)</f>
        <v>212.128608444755</v>
      </c>
      <c r="I45" s="38" t="n">
        <f aca="false">Seg!$H$45*(1+Seg!$I$46)</f>
        <v>231.92183134134</v>
      </c>
      <c r="J45" s="38" t="n">
        <f aca="false">Seg!$I$45*(1+Seg!$J$46)</f>
        <v>250.859136487863</v>
      </c>
      <c r="K45" s="38" t="n">
        <f aca="false">Seg!$J$45*(1+Seg!$K$46)</f>
        <v>268.419276042014</v>
      </c>
      <c r="L45" s="38" t="n">
        <f aca="false">Seg!$K$45*(1+Seg!$L$46)</f>
        <v>287.208625364954</v>
      </c>
      <c r="M45" s="38" t="n">
        <f aca="false">Seg!$L$45*(1+Seg!$M$46)</f>
        <v>307.313229140501</v>
      </c>
      <c r="N45" s="38" t="n">
        <f aca="false">Q!$N$12</f>
        <v>76.86</v>
      </c>
      <c r="O45" s="38" t="n">
        <f aca="false">Q!$O$12</f>
        <v>95.302</v>
      </c>
      <c r="P45" s="8" t="s">
        <v>621</v>
      </c>
    </row>
    <row r="46" customFormat="false" ht="17.15" hidden="false" customHeight="false" outlineLevel="0" collapsed="false">
      <c r="A46" s="0" t="s">
        <v>626</v>
      </c>
      <c r="B46" s="0" t="s">
        <v>52</v>
      </c>
      <c r="E46" s="12" t="n">
        <f aca="false">Seg!$E$45/Seg!$N$45-1</f>
        <v>0.1495966692688</v>
      </c>
      <c r="F46" s="12" t="n">
        <f aca="false">Seg!$O$45/(Q!$F$12+Q!$G$12)-1</f>
        <v>0.11661530890813</v>
      </c>
      <c r="G46" s="12" t="n">
        <f aca="false">Seg!$G$45/Seg!$D$45-1</f>
        <v>0.115102539303041</v>
      </c>
      <c r="H46" s="12" t="n">
        <f aca="false">Seg!$F$46+(g_sp-Seg!$F$46)*1/4</f>
        <v>0.104961481681098</v>
      </c>
      <c r="I46" s="12" t="n">
        <f aca="false">Seg!$F$46+(g_sp-Seg!$F$46)*2/4</f>
        <v>0.0933076544540651</v>
      </c>
      <c r="J46" s="12" t="n">
        <f aca="false">Seg!$F$46+(g_sp-Seg!$F$46)*3/4</f>
        <v>0.0816538272270325</v>
      </c>
      <c r="K46" s="12" t="n">
        <f aca="false">Seg!$F$46+(g_sp-Seg!$F$46)*4/4</f>
        <v>0.07</v>
      </c>
      <c r="L46" s="12" t="n">
        <f aca="false">g_sp</f>
        <v>0.07</v>
      </c>
      <c r="M46" s="12" t="n">
        <f aca="false">g_sp</f>
        <v>0.07</v>
      </c>
      <c r="P46" s="8" t="s">
        <v>627</v>
      </c>
    </row>
    <row r="47" customFormat="false" ht="17.15" hidden="false" customHeight="false" outlineLevel="0" collapsed="false">
      <c r="A47" s="0" t="s">
        <v>482</v>
      </c>
      <c r="B47" s="0" t="s">
        <v>73</v>
      </c>
      <c r="C47" s="38" t="n">
        <f aca="false">Q!$D$13</f>
        <v>56.214</v>
      </c>
      <c r="D47" s="38" t="n">
        <f aca="false">Q!$E$13</f>
        <v>68.635</v>
      </c>
      <c r="E47" s="38" t="n">
        <f aca="false">Q!$P$13</f>
        <v>37.052</v>
      </c>
      <c r="F47" s="38" t="n">
        <f aca="false">Seg!$O$47*(1+Seg!$F$48)</f>
        <v>48.1533381827382</v>
      </c>
      <c r="G47" s="38" t="n">
        <f aca="false">Seg!$E$47+Seg!$F$47</f>
        <v>85.2053381827382</v>
      </c>
      <c r="H47" s="38" t="n">
        <f aca="false">Seg!$G$47*(1+Seg!$H$48)</f>
        <v>102.29336185894</v>
      </c>
      <c r="I47" s="38" t="n">
        <f aca="false">Seg!$H$47*(1+Seg!$I$48)</f>
        <v>119.379837585241</v>
      </c>
      <c r="J47" s="38" t="n">
        <f aca="false">Seg!$I$47*(1+Seg!$J$48)</f>
        <v>135.319079048844</v>
      </c>
      <c r="K47" s="38" t="n">
        <f aca="false">Seg!$J$47*(1+Seg!$K$48)</f>
        <v>148.850986953729</v>
      </c>
      <c r="L47" s="38" t="n">
        <f aca="false">Seg!$K$47*(1+Seg!$L$48)</f>
        <v>163.736085649102</v>
      </c>
      <c r="M47" s="38" t="n">
        <f aca="false">Seg!$L$47*(1+Seg!$M$48)</f>
        <v>180.109694214012</v>
      </c>
      <c r="N47" s="38" t="n">
        <f aca="false">Q!$N$13</f>
        <v>29.615</v>
      </c>
      <c r="O47" s="38" t="n">
        <f aca="false">Q!$O$13</f>
        <v>39.02</v>
      </c>
      <c r="P47" s="8" t="s">
        <v>621</v>
      </c>
    </row>
    <row r="48" customFormat="false" ht="17.15" hidden="false" customHeight="false" outlineLevel="0" collapsed="false">
      <c r="A48" s="0" t="s">
        <v>628</v>
      </c>
      <c r="B48" s="0" t="s">
        <v>52</v>
      </c>
      <c r="E48" s="12" t="n">
        <f aca="false">Seg!$E$47/Seg!$N$47-1</f>
        <v>0.25112274185379</v>
      </c>
      <c r="F48" s="12" t="n">
        <f aca="false">Seg!$O$47/(Q!$F$13+Q!$G$13)-1</f>
        <v>0.234068123596572</v>
      </c>
      <c r="G48" s="12" t="n">
        <f aca="false">Seg!$G$47/Seg!$D$47-1</f>
        <v>0.241426942270536</v>
      </c>
      <c r="H48" s="12" t="n">
        <f aca="false">Seg!$F$48+(g_ad-Seg!$F$48)*1/4</f>
        <v>0.200551092697429</v>
      </c>
      <c r="I48" s="12" t="n">
        <f aca="false">Seg!$F$48+(g_ad-Seg!$F$48)*2/4</f>
        <v>0.167034061798286</v>
      </c>
      <c r="J48" s="12" t="n">
        <f aca="false">Seg!$F$48+(g_ad-Seg!$F$48)*3/4</f>
        <v>0.133517030899143</v>
      </c>
      <c r="K48" s="12" t="n">
        <f aca="false">Seg!$F$48+(g_ad-Seg!$F$48)*4/4</f>
        <v>0.1</v>
      </c>
      <c r="L48" s="12" t="n">
        <f aca="false">g_ad</f>
        <v>0.1</v>
      </c>
      <c r="M48" s="12" t="n">
        <f aca="false">g_ad</f>
        <v>0.1</v>
      </c>
      <c r="P48" s="8" t="s">
        <v>629</v>
      </c>
    </row>
    <row r="49" customFormat="false" ht="17.15" hidden="false" customHeight="false" outlineLevel="0" collapsed="false">
      <c r="A49" s="0" t="s">
        <v>483</v>
      </c>
      <c r="B49" s="0" t="s">
        <v>73</v>
      </c>
      <c r="C49" s="38" t="n">
        <f aca="false">Q!$D$14</f>
        <v>44.374</v>
      </c>
      <c r="D49" s="38" t="n">
        <f aca="false">Q!$E$14</f>
        <v>49.619</v>
      </c>
      <c r="E49" s="38" t="n">
        <f aca="false">Q!$P$14</f>
        <v>27.157</v>
      </c>
      <c r="F49" s="38" t="n">
        <f aca="false">Seg!$O$49*(1+Seg!$F$50)</f>
        <v>28.9776360923374</v>
      </c>
      <c r="G49" s="38" t="n">
        <f aca="false">Seg!$E$49+Seg!$F$49</f>
        <v>56.1346360923374</v>
      </c>
      <c r="H49" s="38" t="n">
        <f aca="false">Seg!$G$49*(1+Seg!$H$50)</f>
        <v>62.4937078946075</v>
      </c>
      <c r="I49" s="38" t="n">
        <f aca="false">Seg!$H$49*(1+Seg!$I$50)</f>
        <v>68.6715233062498</v>
      </c>
      <c r="J49" s="38" t="n">
        <f aca="false">Seg!$I$49*(1+Seg!$J$50)</f>
        <v>74.4692882949818</v>
      </c>
      <c r="K49" s="38" t="n">
        <f aca="false">Seg!$J$49*(1+Seg!$K$50)</f>
        <v>79.6821384756306</v>
      </c>
      <c r="L49" s="38" t="n">
        <f aca="false">Seg!$K$49*(1+Seg!$L$50)</f>
        <v>85.2598881689247</v>
      </c>
      <c r="M49" s="38" t="n">
        <f aca="false">Seg!$L$49*(1+Seg!$M$50)</f>
        <v>91.2280803407494</v>
      </c>
      <c r="N49" s="38" t="n">
        <f aca="false">Q!$N$14</f>
        <v>23.923</v>
      </c>
      <c r="O49" s="38" t="n">
        <f aca="false">Q!$O$14</f>
        <v>25.696</v>
      </c>
      <c r="P49" s="8" t="s">
        <v>621</v>
      </c>
    </row>
    <row r="50" customFormat="false" ht="17.15" hidden="false" customHeight="false" outlineLevel="0" collapsed="false">
      <c r="A50" s="0" t="s">
        <v>630</v>
      </c>
      <c r="B50" s="0" t="s">
        <v>52</v>
      </c>
      <c r="E50" s="12" t="n">
        <f aca="false">Seg!$E$49/Seg!$N$49-1</f>
        <v>0.135183714417088</v>
      </c>
      <c r="F50" s="12" t="n">
        <f aca="false">Seg!$O$49/(Q!$F$14+Q!$G$14)-1</f>
        <v>0.127709997366804</v>
      </c>
      <c r="G50" s="12" t="n">
        <f aca="false">Seg!$G$49/Seg!$D$49-1</f>
        <v>0.131313329416905</v>
      </c>
      <c r="H50" s="12" t="n">
        <f aca="false">Seg!$F$50+(g_sub-Seg!$F$50)*1/4</f>
        <v>0.113282498025103</v>
      </c>
      <c r="I50" s="12" t="n">
        <f aca="false">Seg!$F$50+(g_sub-Seg!$F$50)*2/4</f>
        <v>0.0988549986834021</v>
      </c>
      <c r="J50" s="12" t="n">
        <f aca="false">Seg!$F$50+(g_sub-Seg!$F$50)*3/4</f>
        <v>0.084427499341701</v>
      </c>
      <c r="K50" s="12" t="n">
        <f aca="false">Seg!$F$50+(g_sub-Seg!$F$50)*4/4</f>
        <v>0.07</v>
      </c>
      <c r="L50" s="12" t="n">
        <f aca="false">g_sub</f>
        <v>0.07</v>
      </c>
      <c r="M50" s="12" t="n">
        <f aca="false">g_sub</f>
        <v>0.07</v>
      </c>
      <c r="P50" s="8" t="s">
        <v>631</v>
      </c>
    </row>
    <row r="51" customFormat="false" ht="17.15" hidden="false" customHeight="false" outlineLevel="0" collapsed="false">
      <c r="A51" s="0" t="s">
        <v>484</v>
      </c>
      <c r="B51" s="0" t="s">
        <v>73</v>
      </c>
      <c r="C51" s="38" t="n">
        <f aca="false">Q!$D$15</f>
        <v>5.425</v>
      </c>
      <c r="D51" s="38" t="n">
        <f aca="false">Q!$E$15</f>
        <v>5.935</v>
      </c>
      <c r="E51" s="38" t="n">
        <f aca="false">Q!$P$15</f>
        <v>3.474</v>
      </c>
      <c r="F51" s="38" t="n">
        <f aca="false">Seg!$O$51*(1+Seg!$F$52)</f>
        <v>3.36182431966931</v>
      </c>
      <c r="G51" s="38" t="n">
        <f aca="false">Seg!$E$51+Seg!$F$51</f>
        <v>6.83582431966931</v>
      </c>
      <c r="H51" s="38" t="n">
        <f aca="false">Seg!$G$51*(1+Seg!$H$52)</f>
        <v>7.31157108370141</v>
      </c>
      <c r="I51" s="38" t="n">
        <f aca="false">Seg!$H$51*(1+Seg!$I$52)</f>
        <v>7.77266852639815</v>
      </c>
      <c r="J51" s="38" t="n">
        <f aca="false">Seg!$I$51*(1+Seg!$J$52)</f>
        <v>8.2120733019884</v>
      </c>
      <c r="K51" s="38" t="n">
        <f aca="false">Seg!$J$51*(1+Seg!$K$52)</f>
        <v>8.62267696708783</v>
      </c>
      <c r="L51" s="38" t="n">
        <f aca="false">Seg!$K$51*(1+Seg!$L$52)</f>
        <v>9.05381081544222</v>
      </c>
      <c r="M51" s="38" t="n">
        <f aca="false">Seg!$L$51*(1+Seg!$M$52)</f>
        <v>9.50650135621433</v>
      </c>
      <c r="N51" s="38" t="n">
        <f aca="false">Q!$N$15</f>
        <v>2.811</v>
      </c>
      <c r="O51" s="38" t="n">
        <f aca="false">Q!$O$15</f>
        <v>3.124</v>
      </c>
      <c r="P51" s="8" t="s">
        <v>621</v>
      </c>
    </row>
    <row r="52" customFormat="false" ht="17.15" hidden="false" customHeight="false" outlineLevel="0" collapsed="false">
      <c r="A52" s="0" t="s">
        <v>632</v>
      </c>
      <c r="B52" s="0" t="s">
        <v>52</v>
      </c>
      <c r="E52" s="12" t="n">
        <f aca="false">Seg!$E$51/Seg!$N$51-1</f>
        <v>0.235859124866596</v>
      </c>
      <c r="F52" s="12" t="n">
        <f aca="false">Seg!$O$51/(Q!$F$15+Q!$G$15)-1</f>
        <v>0.0761281433000345</v>
      </c>
      <c r="G52" s="12" t="n">
        <f aca="false">Seg!$G$51/Seg!$D$51-1</f>
        <v>0.151781688234087</v>
      </c>
      <c r="H52" s="12" t="n">
        <f aca="false">Seg!$F$52+(g_ot-Seg!$F$52)*1/4</f>
        <v>0.0695961074750259</v>
      </c>
      <c r="I52" s="12" t="n">
        <f aca="false">Seg!$F$52+(g_ot-Seg!$F$52)*2/4</f>
        <v>0.0630640716500172</v>
      </c>
      <c r="J52" s="12" t="n">
        <f aca="false">Seg!$F$52+(g_ot-Seg!$F$52)*3/4</f>
        <v>0.0565320358250086</v>
      </c>
      <c r="K52" s="12" t="n">
        <f aca="false">Seg!$F$52+(g_ot-Seg!$F$52)*4/4</f>
        <v>0.05</v>
      </c>
      <c r="L52" s="12" t="n">
        <f aca="false">g_ot</f>
        <v>0.05</v>
      </c>
      <c r="M52" s="12" t="n">
        <f aca="false">g_ot</f>
        <v>0.05</v>
      </c>
      <c r="P52" s="8" t="s">
        <v>633</v>
      </c>
    </row>
    <row r="53" customFormat="false" ht="17.15" hidden="false" customHeight="false" outlineLevel="0" collapsed="false">
      <c r="A53" s="3" t="s">
        <v>634</v>
      </c>
      <c r="B53" s="8" t="s">
        <v>73</v>
      </c>
      <c r="C53" s="38" t="n">
        <f aca="false">Seg!$C$41+Seg!$C$43+Seg!$C$45+Seg!$C$47+Seg!$C$49+Seg!$C$51</f>
        <v>530.403</v>
      </c>
      <c r="D53" s="38" t="n">
        <f aca="false">Seg!$D$41+Seg!$D$43+Seg!$D$45+Seg!$D$47+Seg!$D$49+Seg!$D$51</f>
        <v>588.199</v>
      </c>
      <c r="E53" s="38" t="n">
        <f aca="false">Seg!$E$41+Seg!$E$43+Seg!$E$45+Seg!$E$47+Seg!$E$49+Seg!$E$51</f>
        <v>302.306</v>
      </c>
      <c r="F53" s="38" t="n">
        <f aca="false">Seg!$F$41+Seg!$F$43+Seg!$F$45+Seg!$F$47+Seg!$F$49+Seg!$F$51</f>
        <v>356.93642920843</v>
      </c>
      <c r="G53" s="38" t="n">
        <f aca="false">Seg!$G$41+Seg!$G$43+Seg!$G$45+Seg!$G$47+Seg!$G$49+Seg!$G$51</f>
        <v>659.24242920843</v>
      </c>
      <c r="H53" s="38" t="n">
        <f aca="false">Seg!$H$41+Seg!$H$43+Seg!$H$45+Seg!$H$47+Seg!$H$49+Seg!$H$51</f>
        <v>729.935737621701</v>
      </c>
      <c r="I53" s="38" t="n">
        <f aca="false">Seg!$I$41+Seg!$I$43+Seg!$I$45+Seg!$I$47+Seg!$I$49+Seg!$I$51</f>
        <v>798.295569697873</v>
      </c>
      <c r="J53" s="38" t="n">
        <f aca="false">Seg!$J$41+Seg!$J$43+Seg!$J$45+Seg!$J$47+Seg!$J$49+Seg!$J$51</f>
        <v>861.736822325785</v>
      </c>
      <c r="K53" s="38" t="n">
        <f aca="false">Seg!$K$41+Seg!$K$43+Seg!$K$45+Seg!$K$47+Seg!$K$49+Seg!$K$51</f>
        <v>917.557492101925</v>
      </c>
      <c r="L53" s="38" t="n">
        <f aca="false">Seg!$L$41+Seg!$L$43+Seg!$L$45+Seg!$L$47+Seg!$L$49+Seg!$L$51</f>
        <v>977.285089743165</v>
      </c>
      <c r="M53" s="38" t="n">
        <f aca="false">Seg!$M$41+Seg!$M$43+Seg!$M$45+Seg!$M$47+Seg!$M$49+Seg!$M$51</f>
        <v>1041.2140185435</v>
      </c>
      <c r="N53" s="38" t="n">
        <f aca="false">Seg!$N$41+Seg!$N$43+Seg!$N$45+Seg!$N$47+Seg!$N$49+Seg!$N$51</f>
        <v>263.229</v>
      </c>
      <c r="O53" s="38" t="n">
        <f aca="false">Seg!$O$41+Seg!$O$43+Seg!$O$45+Seg!$O$47+Seg!$O$49+Seg!$O$51</f>
        <v>324.97</v>
      </c>
    </row>
    <row r="54" customFormat="false" ht="17.15" hidden="false" customHeight="false" outlineLevel="0" collapsed="false">
      <c r="A54" s="5" t="s">
        <v>635</v>
      </c>
      <c r="B54" s="0" t="s">
        <v>52</v>
      </c>
      <c r="C54" s="12" t="n">
        <f aca="false">Q!$D$5/(Q!$D$5+Q!$D$6)</f>
        <v>0.730570905519011</v>
      </c>
      <c r="D54" s="12" t="n">
        <f aca="false">Q!$E$5/(Q!$E$5+Q!$E$6)</f>
        <v>0.724763217890544</v>
      </c>
      <c r="E54" s="12" t="n">
        <f aca="false">Q!$P$5/(Q!$P$5+Q!$P$6)</f>
        <v>0.728797972914861</v>
      </c>
      <c r="F54" s="12" t="n">
        <f aca="false">Seg!$O$54</f>
        <v>0.718066283041511</v>
      </c>
      <c r="G54" s="12" t="n">
        <f aca="false">Seg!$G$55/Seg!$G$53</f>
        <v>0.722987468473627</v>
      </c>
      <c r="H54" s="12" t="n">
        <f aca="false">Seg!$G$54</f>
        <v>0.722987468473627</v>
      </c>
      <c r="I54" s="12" t="n">
        <f aca="false">Seg!$G$54</f>
        <v>0.722987468473627</v>
      </c>
      <c r="J54" s="12" t="n">
        <f aca="false">Seg!$G$54</f>
        <v>0.722987468473627</v>
      </c>
      <c r="K54" s="12" t="n">
        <f aca="false">Seg!$G$54</f>
        <v>0.722987468473627</v>
      </c>
      <c r="L54" s="12" t="n">
        <f aca="false">Seg!$G$54</f>
        <v>0.722987468473627</v>
      </c>
      <c r="M54" s="12" t="n">
        <f aca="false">Seg!$G$54</f>
        <v>0.722987468473627</v>
      </c>
      <c r="N54" s="12" t="n">
        <f aca="false">Q!$N$5/(Q!$N$5+Q!$N$6)</f>
        <v>0.733030935041352</v>
      </c>
      <c r="O54" s="12" t="n">
        <f aca="false">Q!$O$5/(Q!$O$5+Q!$O$6)</f>
        <v>0.718066283041511</v>
      </c>
      <c r="P54" s="8" t="s">
        <v>636</v>
      </c>
    </row>
    <row r="55" customFormat="false" ht="17.15" hidden="false" customHeight="false" outlineLevel="0" collapsed="false">
      <c r="A55" s="1" t="s">
        <v>472</v>
      </c>
      <c r="B55" s="8" t="s">
        <v>73</v>
      </c>
      <c r="C55" s="38" t="n">
        <f aca="false">Q!$D$5</f>
        <v>387.497</v>
      </c>
      <c r="D55" s="38" t="n">
        <f aca="false">Q!$E$5</f>
        <v>426.305</v>
      </c>
      <c r="E55" s="38" t="n">
        <f aca="false">Q!$P$5</f>
        <v>220.32</v>
      </c>
      <c r="F55" s="38" t="n">
        <f aca="false">Seg!$F$53*Seg!$F$54</f>
        <v>256.304015003807</v>
      </c>
      <c r="G55" s="38" t="n">
        <f aca="false">Seg!$E$55+Seg!$F$55</f>
        <v>476.624015003807</v>
      </c>
      <c r="H55" s="38" t="n">
        <f aca="false">Seg!$H$53*Seg!$H$54</f>
        <v>527.734391091543</v>
      </c>
      <c r="I55" s="38" t="n">
        <f aca="false">Seg!$I$53*Seg!$I$54</f>
        <v>577.157693029577</v>
      </c>
      <c r="J55" s="38" t="n">
        <f aca="false">Seg!$J$53*Seg!$J$54</f>
        <v>623.024923663827</v>
      </c>
      <c r="K55" s="38" t="n">
        <f aca="false">Seg!$K$53*Seg!$K$54</f>
        <v>663.382568393781</v>
      </c>
      <c r="L55" s="38" t="n">
        <f aca="false">Seg!$L$53*Seg!$L$54</f>
        <v>706.564873010432</v>
      </c>
      <c r="M55" s="38" t="n">
        <f aca="false">Seg!$M$53*Seg!$M$54</f>
        <v>752.784687406019</v>
      </c>
      <c r="N55" s="38" t="n">
        <f aca="false">Q!$N$5</f>
        <v>192.955</v>
      </c>
      <c r="O55" s="38" t="n">
        <f aca="false">Q!$O$5</f>
        <v>233.35</v>
      </c>
      <c r="P55" s="5" t="s">
        <v>637</v>
      </c>
    </row>
    <row r="56" customFormat="false" ht="17.15" hidden="false" customHeight="false" outlineLevel="0" collapsed="false">
      <c r="A56" s="1" t="s">
        <v>475</v>
      </c>
      <c r="B56" s="8" t="s">
        <v>73</v>
      </c>
      <c r="C56" s="38" t="n">
        <f aca="false">Q!$D$6</f>
        <v>142.906</v>
      </c>
      <c r="D56" s="38" t="n">
        <f aca="false">Q!$E$6</f>
        <v>161.894</v>
      </c>
      <c r="E56" s="38" t="n">
        <f aca="false">Q!$P$6</f>
        <v>81.986</v>
      </c>
      <c r="F56" s="38" t="n">
        <f aca="false">Seg!$F$53*(1-Seg!$F$54)</f>
        <v>100.632414204623</v>
      </c>
      <c r="G56" s="38" t="n">
        <f aca="false">Seg!$E$56+Seg!$F$56</f>
        <v>182.618414204623</v>
      </c>
      <c r="H56" s="38" t="n">
        <f aca="false">Seg!$H$53*(1-Seg!$H$54)</f>
        <v>202.201346530158</v>
      </c>
      <c r="I56" s="38" t="n">
        <f aca="false">Seg!$I$53*(1-Seg!$I$54)</f>
        <v>221.137876668296</v>
      </c>
      <c r="J56" s="38" t="n">
        <f aca="false">Seg!$J$53*(1-Seg!$J$54)</f>
        <v>238.711898661958</v>
      </c>
      <c r="K56" s="38" t="n">
        <f aca="false">Seg!$K$53*(1-Seg!$K$54)</f>
        <v>254.174923708144</v>
      </c>
      <c r="L56" s="38" t="n">
        <f aca="false">Seg!$L$53*(1-Seg!$L$54)</f>
        <v>270.720216732733</v>
      </c>
      <c r="M56" s="38" t="n">
        <f aca="false">Seg!$M$53*(1-Seg!$M$54)</f>
        <v>288.429331137484</v>
      </c>
      <c r="N56" s="38" t="n">
        <f aca="false">Q!$N$6</f>
        <v>70.274</v>
      </c>
      <c r="O56" s="38" t="n">
        <f aca="false">Q!$O$6</f>
        <v>91.62</v>
      </c>
      <c r="P56" s="5" t="s">
        <v>638</v>
      </c>
    </row>
    <row r="57" customFormat="false" ht="17.15" hidden="false" customHeight="false" outlineLevel="0" collapsed="false">
      <c r="A57" s="5" t="s">
        <v>639</v>
      </c>
      <c r="B57" s="0" t="s">
        <v>73</v>
      </c>
      <c r="C57" s="38" t="n">
        <f aca="false">Seg!$C$47*Seg!$C$54</f>
        <v>41.0683128828457</v>
      </c>
      <c r="D57" s="38" t="n">
        <f aca="false">Seg!$D$47*Seg!$D$54</f>
        <v>49.7441234599175</v>
      </c>
      <c r="E57" s="38" t="n">
        <f aca="false">Seg!$E$47*Seg!$E$54</f>
        <v>27.0034224924414</v>
      </c>
      <c r="F57" s="38" t="n">
        <f aca="false">Seg!$F$47*Seg!$F$54</f>
        <v>34.5772885649197</v>
      </c>
      <c r="G57" s="38" t="n">
        <f aca="false">Seg!$G$47*Seg!$G$54</f>
        <v>61.6023917531772</v>
      </c>
      <c r="H57" s="38" t="n">
        <f aca="false">Seg!$H$47*Seg!$H$54</f>
        <v>73.9568187320519</v>
      </c>
      <c r="I57" s="38" t="n">
        <f aca="false">Seg!$I$47*Seg!$I$54</f>
        <v>86.3101265625461</v>
      </c>
      <c r="J57" s="38" t="n">
        <f aca="false">Seg!$J$47*Seg!$J$54</f>
        <v>97.8339983977065</v>
      </c>
      <c r="K57" s="38" t="n">
        <f aca="false">Seg!$K$47*Seg!$K$54</f>
        <v>107.617398237477</v>
      </c>
      <c r="L57" s="38" t="n">
        <f aca="false">Seg!$L$47*Seg!$L$54</f>
        <v>118.379138061225</v>
      </c>
      <c r="M57" s="38" t="n">
        <f aca="false">Seg!$M$47*Seg!$M$54</f>
        <v>130.217051867347</v>
      </c>
      <c r="N57" s="38" t="n">
        <f aca="false">Seg!$N$47*Seg!$N$54</f>
        <v>21.7087111412496</v>
      </c>
      <c r="O57" s="38" t="n">
        <f aca="false">Seg!$O$47*Seg!$O$54</f>
        <v>28.0189463642798</v>
      </c>
      <c r="P57" s="5" t="s">
        <v>640</v>
      </c>
    </row>
    <row r="58" customFormat="false" ht="15" hidden="false" customHeight="false" outlineLevel="0" collapsed="false">
      <c r="A58" s="5" t="s">
        <v>641</v>
      </c>
      <c r="B58" s="0" t="s">
        <v>73</v>
      </c>
      <c r="C58" s="38" t="n">
        <f aca="false">Seg!$C$47-Seg!$C$57</f>
        <v>15.1456871171543</v>
      </c>
      <c r="D58" s="38" t="n">
        <f aca="false">Seg!$D$47-Seg!$D$57</f>
        <v>18.8908765400825</v>
      </c>
      <c r="E58" s="38" t="n">
        <f aca="false">Seg!$E$47-Seg!$E$57</f>
        <v>10.0485775075586</v>
      </c>
      <c r="F58" s="38" t="n">
        <f aca="false">Seg!$F$47-Seg!$F$57</f>
        <v>13.5760496178185</v>
      </c>
      <c r="G58" s="38" t="n">
        <f aca="false">Seg!$G$47-Seg!$G$57</f>
        <v>23.6029464295611</v>
      </c>
      <c r="H58" s="38" t="n">
        <f aca="false">Seg!$H$47-Seg!$H$57</f>
        <v>28.3365431268884</v>
      </c>
      <c r="I58" s="38" t="n">
        <f aca="false">Seg!$I$47-Seg!$I$57</f>
        <v>33.0697110226949</v>
      </c>
      <c r="J58" s="38" t="n">
        <f aca="false">Seg!$J$47-Seg!$J$57</f>
        <v>37.4850806511378</v>
      </c>
      <c r="K58" s="38" t="n">
        <f aca="false">Seg!$K$47-Seg!$K$57</f>
        <v>41.2335887162515</v>
      </c>
      <c r="L58" s="38" t="n">
        <f aca="false">Seg!$L$47-Seg!$L$57</f>
        <v>45.3569475878767</v>
      </c>
      <c r="M58" s="38" t="n">
        <f aca="false">Seg!$M$47-Seg!$M$57</f>
        <v>49.8926423466644</v>
      </c>
      <c r="N58" s="38" t="n">
        <f aca="false">Seg!$N$47-Seg!$N$57</f>
        <v>7.90628885875037</v>
      </c>
      <c r="O58" s="38" t="n">
        <f aca="false">Seg!$O$47-Seg!$O$57</f>
        <v>11.0010536357202</v>
      </c>
    </row>
    <row r="59" customFormat="false" ht="17.15" hidden="false" customHeight="false" outlineLevel="0" collapsed="false">
      <c r="A59" s="1" t="s">
        <v>642</v>
      </c>
    </row>
    <row r="60" customFormat="false" ht="17.15" hidden="false" customHeight="false" outlineLevel="0" collapsed="false">
      <c r="A60" s="0" t="s">
        <v>643</v>
      </c>
      <c r="B60" s="0" t="s">
        <v>73</v>
      </c>
      <c r="C60" s="38" t="n">
        <f aca="false">Thesis!$C$81</f>
        <v>2.32100535697364</v>
      </c>
      <c r="D60" s="38" t="n">
        <f aca="false">Thesis!$D$81</f>
        <v>8.70377008865116</v>
      </c>
      <c r="E60" s="38" t="n">
        <f aca="false">Thesis!$E$81</f>
        <v>8.51035297557002</v>
      </c>
      <c r="F60" s="38" t="n">
        <f aca="false">Thesis!$F$81</f>
        <v>14.9634336447205</v>
      </c>
      <c r="G60" s="38" t="n">
        <f aca="false">Thesis!$G$81</f>
        <v>23.4737866202905</v>
      </c>
      <c r="H60" s="38" t="n">
        <f aca="false">Thesis!$H$81</f>
        <v>60.1658907497746</v>
      </c>
      <c r="I60" s="38" t="n">
        <f aca="false">Thesis!$I$81</f>
        <v>101.503699136432</v>
      </c>
      <c r="J60" s="38" t="n">
        <f aca="false">Thesis!$J$81</f>
        <v>143.025407151278</v>
      </c>
      <c r="K60" s="38" t="n">
        <f aca="false">Thesis!$K$81</f>
        <v>184.608415042187</v>
      </c>
      <c r="L60" s="38" t="n">
        <f aca="false">Thesis!$L$81</f>
        <v>226.219286513125</v>
      </c>
      <c r="M60" s="38" t="n">
        <f aca="false">Thesis!$M$81</f>
        <v>267.845161450232</v>
      </c>
      <c r="N60" s="38" t="n">
        <f aca="false">Thesis!$N$81</f>
        <v>3.04631953102791</v>
      </c>
      <c r="O60" s="38" t="n">
        <f aca="false">Thesis!$O$81</f>
        <v>5.65745055762326</v>
      </c>
      <c r="P60" s="8" t="s">
        <v>644</v>
      </c>
    </row>
    <row r="61" customFormat="false" ht="17.15" hidden="false" customHeight="false" outlineLevel="0" collapsed="false">
      <c r="A61" s="0" t="s">
        <v>645</v>
      </c>
      <c r="B61" s="0" t="s">
        <v>73</v>
      </c>
      <c r="C61" s="38" t="n">
        <f aca="false">Thesis!$C$85</f>
        <v>105.234994643026</v>
      </c>
      <c r="D61" s="38" t="n">
        <f aca="false">Thesis!$D$85</f>
        <v>120.021229911349</v>
      </c>
      <c r="E61" s="38" t="n">
        <f aca="false">Thesis!$E$85</f>
        <v>71.30864702443</v>
      </c>
      <c r="F61" s="38" t="n">
        <f aca="false">Thesis!$F$85</f>
        <v>78.5950104186653</v>
      </c>
      <c r="G61" s="38" t="n">
        <f aca="false">Thesis!$G$85</f>
        <v>149.903657443095</v>
      </c>
      <c r="H61" s="38" t="n">
        <f aca="false">Thesis!$H$85</f>
        <v>180.893560768142</v>
      </c>
      <c r="I61" s="38" t="n">
        <f aca="false">Thesis!$I$85</f>
        <v>210.64839721501</v>
      </c>
      <c r="J61" s="38" t="n">
        <f aca="false">Thesis!$J$85</f>
        <v>236.398909446495</v>
      </c>
      <c r="K61" s="38" t="n">
        <f aca="false">Thesis!$K$85</f>
        <v>255.310822202215</v>
      </c>
      <c r="L61" s="38" t="n">
        <f aca="false">Thesis!$L$85</f>
        <v>275.735687978392</v>
      </c>
      <c r="M61" s="38" t="n">
        <f aca="false">Thesis!$M$85</f>
        <v>297.794543016663</v>
      </c>
      <c r="N61" s="38" t="n">
        <f aca="false">Thesis!$N$85</f>
        <v>57.0936804689721</v>
      </c>
      <c r="O61" s="38" t="n">
        <f aca="false">Thesis!$O$85</f>
        <v>62.9275494423768</v>
      </c>
      <c r="P61" s="8" t="s">
        <v>644</v>
      </c>
    </row>
    <row r="62" customFormat="false" ht="17.15" hidden="false" customHeight="false" outlineLevel="0" collapsed="false">
      <c r="A62" s="1" t="s">
        <v>476</v>
      </c>
      <c r="B62" s="8" t="s">
        <v>73</v>
      </c>
      <c r="C62" s="38" t="n">
        <f aca="false">Q!$D$7</f>
        <v>107.556</v>
      </c>
      <c r="D62" s="38" t="n">
        <f aca="false">Q!$E$7</f>
        <v>128.725</v>
      </c>
      <c r="E62" s="38" t="n">
        <f aca="false">Q!$P$7</f>
        <v>79.819</v>
      </c>
      <c r="F62" s="38" t="n">
        <f aca="false">Seg!$F$60+Seg!$F$61</f>
        <v>93.5584440633857</v>
      </c>
      <c r="G62" s="38" t="n">
        <f aca="false">Seg!$G$60+Seg!$G$61</f>
        <v>173.377444063386</v>
      </c>
      <c r="H62" s="38" t="n">
        <f aca="false">Seg!$H$60+Seg!$H$61</f>
        <v>241.059451517916</v>
      </c>
      <c r="I62" s="38" t="n">
        <f aca="false">Seg!$I$60+Seg!$I$61</f>
        <v>312.152096351442</v>
      </c>
      <c r="J62" s="38" t="n">
        <f aca="false">Seg!$J$60+Seg!$J$61</f>
        <v>379.424316597773</v>
      </c>
      <c r="K62" s="38" t="n">
        <f aca="false">Seg!$K$60+Seg!$K$61</f>
        <v>439.919237244402</v>
      </c>
      <c r="L62" s="38" t="n">
        <f aca="false">Seg!$L$60+Seg!$L$61</f>
        <v>501.954974491517</v>
      </c>
      <c r="M62" s="38" t="n">
        <f aca="false">Seg!$M$60+Seg!$M$61</f>
        <v>565.639704466895</v>
      </c>
      <c r="N62" s="38" t="n">
        <f aca="false">Q!$N$7</f>
        <v>60.14</v>
      </c>
      <c r="O62" s="38" t="n">
        <f aca="false">Q!$O$7</f>
        <v>68.585</v>
      </c>
      <c r="P62" s="5" t="s">
        <v>646</v>
      </c>
    </row>
    <row r="63" customFormat="false" ht="15" hidden="false" customHeight="false" outlineLevel="0" collapsed="false">
      <c r="A63" s="3" t="s">
        <v>647</v>
      </c>
      <c r="B63" s="8" t="s">
        <v>73</v>
      </c>
      <c r="C63" s="38" t="n">
        <f aca="false">Q!$D$8</f>
        <v>637.959</v>
      </c>
      <c r="D63" s="38" t="n">
        <f aca="false">Q!$E$8</f>
        <v>716.924</v>
      </c>
      <c r="E63" s="38" t="n">
        <f aca="false">Q!$P$8</f>
        <v>382.125</v>
      </c>
      <c r="F63" s="38" t="n">
        <f aca="false">Seg!$F$53+Seg!$F$62</f>
        <v>450.494873271816</v>
      </c>
      <c r="G63" s="38" t="n">
        <f aca="false">Seg!$G$53+Seg!$G$62</f>
        <v>832.619873271816</v>
      </c>
      <c r="H63" s="38" t="n">
        <f aca="false">Seg!$H$53+Seg!$H$62</f>
        <v>970.995189139617</v>
      </c>
      <c r="I63" s="38" t="n">
        <f aca="false">Seg!$I$53+Seg!$I$62</f>
        <v>1110.44766604932</v>
      </c>
      <c r="J63" s="38" t="n">
        <f aca="false">Seg!$J$53+Seg!$J$62</f>
        <v>1241.16113892356</v>
      </c>
      <c r="K63" s="38" t="n">
        <f aca="false">Seg!$K$53+Seg!$K$62</f>
        <v>1357.47672934633</v>
      </c>
      <c r="L63" s="38" t="n">
        <f aca="false">Seg!$L$53+Seg!$L$62</f>
        <v>1479.24006423468</v>
      </c>
      <c r="M63" s="38" t="n">
        <f aca="false">Seg!$M$53+Seg!$M$62</f>
        <v>1606.8537230104</v>
      </c>
      <c r="N63" s="38" t="n">
        <f aca="false">Q!$N$8</f>
        <v>323.369</v>
      </c>
      <c r="O63" s="38" t="n">
        <f aca="false">Q!$O$8</f>
        <v>393.555</v>
      </c>
    </row>
    <row r="64" customFormat="false" ht="17.15" hidden="false" customHeight="false" outlineLevel="0" collapsed="false">
      <c r="A64" s="24" t="s">
        <v>655</v>
      </c>
      <c r="B64" s="25" t="s">
        <v>73</v>
      </c>
      <c r="C64" s="39" t="n">
        <f aca="false">Seg!$C$53-(Seg!$C$55+Seg!$C$56)</f>
        <v>0</v>
      </c>
      <c r="D64" s="39" t="n">
        <f aca="false">Seg!$D$53-(Seg!$D$55+Seg!$D$56)</f>
        <v>0</v>
      </c>
      <c r="E64" s="39" t="n">
        <f aca="false">Seg!$E$53-(Seg!$E$55+Seg!$E$56)</f>
        <v>0</v>
      </c>
      <c r="F64" s="39" t="n">
        <f aca="false">Seg!$F$53-(Seg!$F$55+Seg!$F$56)</f>
        <v>0</v>
      </c>
      <c r="G64" s="39" t="n">
        <f aca="false">Seg!$G$53-(Seg!$G$55+Seg!$G$56)</f>
        <v>0</v>
      </c>
      <c r="H64" s="39" t="n">
        <f aca="false">Seg!$H$53-(Seg!$H$55+Seg!$H$56)</f>
        <v>0</v>
      </c>
      <c r="I64" s="39" t="n">
        <f aca="false">Seg!$I$53-(Seg!$I$55+Seg!$I$56)</f>
        <v>0</v>
      </c>
      <c r="J64" s="39" t="n">
        <f aca="false">Seg!$J$53-(Seg!$J$55+Seg!$J$56)</f>
        <v>0</v>
      </c>
      <c r="K64" s="39" t="n">
        <f aca="false">Seg!$K$53-(Seg!$K$55+Seg!$K$56)</f>
        <v>0</v>
      </c>
      <c r="L64" s="39" t="n">
        <f aca="false">Seg!$L$53-(Seg!$L$55+Seg!$L$56)</f>
        <v>0</v>
      </c>
      <c r="M64" s="39" t="n">
        <f aca="false">Seg!$M$53-(Seg!$M$55+Seg!$M$56)</f>
        <v>0</v>
      </c>
      <c r="N64" s="39" t="n">
        <f aca="false">Seg!$N$53-(Seg!$N$55+Seg!$N$56)</f>
        <v>0</v>
      </c>
      <c r="O64" s="39" t="n">
        <f aca="false">Seg!$O$53-(Seg!$O$55+Seg!$O$56)</f>
        <v>0</v>
      </c>
    </row>
    <row r="65" customFormat="false" ht="17.15" hidden="false" customHeight="false" outlineLevel="0" collapsed="false">
      <c r="A65" s="24" t="s">
        <v>656</v>
      </c>
      <c r="B65" s="25" t="s">
        <v>73</v>
      </c>
      <c r="C65" s="39" t="n">
        <f aca="false">Seg!$C$60+Seg!$C$61-Seg!$C$62</f>
        <v>0</v>
      </c>
      <c r="D65" s="39" t="n">
        <f aca="false">Seg!$D$60+Seg!$D$61-Seg!$D$62</f>
        <v>0</v>
      </c>
      <c r="E65" s="39" t="n">
        <f aca="false">Seg!$E$60+Seg!$E$61-Seg!$E$62</f>
        <v>0</v>
      </c>
      <c r="F65" s="39" t="n">
        <f aca="false">Seg!$F$60+Seg!$F$61-Seg!$F$62</f>
        <v>0</v>
      </c>
      <c r="G65" s="39" t="n">
        <f aca="false">Seg!$G$60+Seg!$G$61-Seg!$G$62</f>
        <v>0</v>
      </c>
      <c r="H65" s="39" t="n">
        <f aca="false">Seg!$H$60+Seg!$H$61-Seg!$H$62</f>
        <v>0</v>
      </c>
      <c r="I65" s="39" t="n">
        <f aca="false">Seg!$I$60+Seg!$I$61-Seg!$I$62</f>
        <v>0</v>
      </c>
      <c r="J65" s="39" t="n">
        <f aca="false">Seg!$J$60+Seg!$J$61-Seg!$J$62</f>
        <v>0</v>
      </c>
      <c r="K65" s="39" t="n">
        <f aca="false">Seg!$K$60+Seg!$K$61-Seg!$K$62</f>
        <v>0</v>
      </c>
      <c r="L65" s="39" t="n">
        <f aca="false">Seg!$L$60+Seg!$L$61-Seg!$L$62</f>
        <v>0</v>
      </c>
      <c r="M65" s="39" t="n">
        <f aca="false">Seg!$M$60+Seg!$M$61-Seg!$M$62</f>
        <v>0</v>
      </c>
      <c r="N65" s="39" t="n">
        <f aca="false">Seg!$N$60+Seg!$N$61-Seg!$N$62</f>
        <v>0</v>
      </c>
      <c r="O65" s="39" t="n">
        <f aca="false">Seg!$O$60+Seg!$O$61-Seg!$O$62</f>
        <v>0</v>
      </c>
    </row>
    <row r="66" customFormat="false" ht="17.15" hidden="false" customHeight="false" outlineLevel="0" collapsed="false">
      <c r="A66" s="24" t="s">
        <v>657</v>
      </c>
      <c r="B66" s="25" t="s">
        <v>73</v>
      </c>
      <c r="C66" s="39" t="n">
        <f aca="false">Seg!$C$55+Seg!$C$56+Seg!$C$62-Seg!$C$63</f>
        <v>0</v>
      </c>
      <c r="D66" s="39" t="n">
        <f aca="false">Seg!$D$55+Seg!$D$56+Seg!$D$62-Seg!$D$63</f>
        <v>0</v>
      </c>
      <c r="E66" s="39" t="n">
        <f aca="false">Seg!$E$55+Seg!$E$56+Seg!$E$62-Seg!$E$63</f>
        <v>0</v>
      </c>
      <c r="F66" s="39" t="n">
        <f aca="false">Seg!$F$55+Seg!$F$56+Seg!$F$62-Seg!$F$63</f>
        <v>0</v>
      </c>
      <c r="G66" s="39" t="n">
        <f aca="false">Seg!$G$55+Seg!$G$56+Seg!$G$62-Seg!$G$63</f>
        <v>0</v>
      </c>
      <c r="H66" s="39" t="n">
        <f aca="false">Seg!$H$55+Seg!$H$56+Seg!$H$62-Seg!$H$63</f>
        <v>0</v>
      </c>
      <c r="I66" s="39" t="n">
        <f aca="false">Seg!$I$55+Seg!$I$56+Seg!$I$62-Seg!$I$63</f>
        <v>0</v>
      </c>
      <c r="J66" s="39" t="n">
        <f aca="false">Seg!$J$55+Seg!$J$56+Seg!$J$62-Seg!$J$63</f>
        <v>0</v>
      </c>
      <c r="K66" s="39" t="n">
        <f aca="false">Seg!$K$55+Seg!$K$56+Seg!$K$62-Seg!$K$63</f>
        <v>0</v>
      </c>
      <c r="L66" s="39" t="n">
        <f aca="false">Seg!$L$55+Seg!$L$56+Seg!$L$62-Seg!$L$63</f>
        <v>0</v>
      </c>
      <c r="M66" s="39" t="n">
        <f aca="false">Seg!$M$55+Seg!$M$56+Seg!$M$62-Seg!$M$63</f>
        <v>0</v>
      </c>
      <c r="N66" s="39" t="n">
        <f aca="false">Seg!$N$55+Seg!$N$56+Seg!$N$62-Seg!$N$63</f>
        <v>0</v>
      </c>
      <c r="O66" s="39" t="n">
        <f aca="false">Seg!$O$55+Seg!$O$56+Seg!$O$62-Seg!$O$63</f>
        <v>0</v>
      </c>
    </row>
    <row r="67" customFormat="false" ht="15" hidden="false" customHeight="false" outlineLevel="0" collapsed="false">
      <c r="A67" s="5" t="s">
        <v>651</v>
      </c>
      <c r="B67" s="0" t="s">
        <v>52</v>
      </c>
      <c r="G67" s="12" t="n">
        <f aca="false">Seg!$G$63/Seg!$D$63-1</f>
        <v>0.161378156222718</v>
      </c>
      <c r="H67" s="12" t="n">
        <f aca="false">Seg!$H$63/Seg!$G$63-1</f>
        <v>0.166192665236357</v>
      </c>
      <c r="I67" s="12" t="n">
        <f aca="false">Seg!$I$63/Seg!$H$63-1</f>
        <v>0.143618092519351</v>
      </c>
      <c r="J67" s="12" t="n">
        <f aca="false">Seg!$J$63/Seg!$I$63-1</f>
        <v>0.117712411733268</v>
      </c>
      <c r="K67" s="12" t="n">
        <f aca="false">Seg!$K$63/Seg!$J$63-1</f>
        <v>0.0937151404237868</v>
      </c>
      <c r="L67" s="12" t="n">
        <f aca="false">Seg!$L$63/Seg!$K$63-1</f>
        <v>0.0896982852494186</v>
      </c>
      <c r="M67" s="12" t="n">
        <f aca="false">Seg!$M$63/Seg!$L$63-1</f>
        <v>0.0862697420528154</v>
      </c>
    </row>
    <row r="68" customFormat="false" ht="17.15" hidden="false" customHeight="false" outlineLevel="0" collapsed="false">
      <c r="A68" s="0" t="s">
        <v>652</v>
      </c>
      <c r="B68" s="0" t="s">
        <v>52</v>
      </c>
      <c r="C68" s="12" t="n">
        <f aca="false">Seg!$C$62/Seg!$C$63</f>
        <v>0.168593906504964</v>
      </c>
      <c r="D68" s="12" t="n">
        <f aca="false">Seg!$D$62/Seg!$D$63</f>
        <v>0.179551807444025</v>
      </c>
      <c r="E68" s="12" t="n">
        <f aca="false">Seg!$E$62/Seg!$E$63</f>
        <v>0.208881910369643</v>
      </c>
      <c r="F68" s="12" t="n">
        <f aca="false">Seg!$F$62/Seg!$F$63</f>
        <v>0.207679264769203</v>
      </c>
      <c r="G68" s="12" t="n">
        <f aca="false">Seg!$G$62/Seg!$G$63</f>
        <v>0.208231210458731</v>
      </c>
      <c r="H68" s="12" t="n">
        <f aca="false">Seg!$H$62/Seg!$H$63</f>
        <v>0.248260191414043</v>
      </c>
      <c r="I68" s="12" t="n">
        <f aca="false">Seg!$I$62/Seg!$I$63</f>
        <v>0.28110473450946</v>
      </c>
      <c r="J68" s="12" t="n">
        <f aca="false">Seg!$J$62/Seg!$J$63</f>
        <v>0.30570109287086</v>
      </c>
      <c r="K68" s="12" t="n">
        <f aca="false">Seg!$K$62/Seg!$K$63</f>
        <v>0.324071291782835</v>
      </c>
      <c r="L68" s="12" t="n">
        <f aca="false">Seg!$L$62/Seg!$L$63</f>
        <v>0.339333003903741</v>
      </c>
      <c r="M68" s="12" t="n">
        <f aca="false">Seg!$M$62/Seg!$M$63</f>
        <v>0.3520169237354</v>
      </c>
      <c r="N68" s="12" t="n">
        <f aca="false">Seg!$N$62/Seg!$N$63</f>
        <v>0.185979484737251</v>
      </c>
      <c r="O68" s="12" t="n">
        <f aca="false">Seg!$O$62/Seg!$O$63</f>
        <v>0.174270432341096</v>
      </c>
    </row>
    <row r="69" customFormat="false" ht="17.15" hidden="false" customHeight="false" outlineLevel="0" collapsed="false">
      <c r="A69" s="0" t="s">
        <v>653</v>
      </c>
      <c r="B69" s="0" t="s">
        <v>52</v>
      </c>
      <c r="C69" s="12" t="n">
        <f aca="false">Seg!$C$60/Seg!$C$62</f>
        <v>0.0215795060896058</v>
      </c>
      <c r="D69" s="12" t="n">
        <f aca="false">Seg!$D$60/Seg!$D$62</f>
        <v>0.0676152269462122</v>
      </c>
      <c r="E69" s="12" t="n">
        <f aca="false">Seg!$E$60/Seg!$E$62</f>
        <v>0.106620641395783</v>
      </c>
      <c r="F69" s="12" t="n">
        <f aca="false">Seg!$F$60/Seg!$F$62</f>
        <v>0.159936751776064</v>
      </c>
      <c r="G69" s="12" t="n">
        <f aca="false">Seg!$G$60/Seg!$G$62</f>
        <v>0.135391237003751</v>
      </c>
      <c r="H69" s="12" t="n">
        <f aca="false">Seg!$H$60/Seg!$H$62</f>
        <v>0.249589428545194</v>
      </c>
      <c r="I69" s="12" t="n">
        <f aca="false">Seg!$I$60/Seg!$I$62</f>
        <v>0.325173850577483</v>
      </c>
      <c r="J69" s="12" t="n">
        <f aca="false">Seg!$J$60/Seg!$J$62</f>
        <v>0.376953718817392</v>
      </c>
      <c r="K69" s="12" t="n">
        <f aca="false">Seg!$K$60/Seg!$K$62</f>
        <v>0.419641605578676</v>
      </c>
      <c r="L69" s="12" t="n">
        <f aca="false">Seg!$L$60/Seg!$L$62</f>
        <v>0.450676451094615</v>
      </c>
      <c r="M69" s="12" t="n">
        <f aca="false">Seg!$M$60/Seg!$M$62</f>
        <v>0.473526096798086</v>
      </c>
      <c r="N69" s="12" t="n">
        <f aca="false">Seg!$N$60/Seg!$N$62</f>
        <v>0.0506537999838362</v>
      </c>
      <c r="O69" s="12" t="n">
        <f aca="false">Seg!$O$60/Seg!$O$62</f>
        <v>0.0824881615167056</v>
      </c>
    </row>
    <row r="72" customFormat="false" ht="19.4" hidden="false" customHeight="false" outlineLevel="0" collapsed="false">
      <c r="A72" s="31" t="s">
        <v>658</v>
      </c>
    </row>
    <row r="73" customFormat="false" ht="17.15" hidden="false" customHeight="false" outlineLevel="0" collapsed="false">
      <c r="A73" s="6" t="s">
        <v>16</v>
      </c>
      <c r="B73" s="6" t="s">
        <v>17</v>
      </c>
      <c r="C73" s="20" t="s">
        <v>457</v>
      </c>
      <c r="D73" s="20" t="s">
        <v>458</v>
      </c>
      <c r="E73" s="20" t="s">
        <v>540</v>
      </c>
      <c r="F73" s="20" t="s">
        <v>541</v>
      </c>
      <c r="G73" s="20" t="s">
        <v>542</v>
      </c>
      <c r="H73" s="20" t="s">
        <v>543</v>
      </c>
      <c r="I73" s="20" t="s">
        <v>544</v>
      </c>
      <c r="J73" s="20" t="s">
        <v>545</v>
      </c>
      <c r="K73" s="20" t="s">
        <v>546</v>
      </c>
      <c r="L73" s="20" t="s">
        <v>547</v>
      </c>
      <c r="M73" s="20" t="s">
        <v>548</v>
      </c>
      <c r="N73" s="20" t="s">
        <v>549</v>
      </c>
      <c r="O73" s="20" t="s">
        <v>550</v>
      </c>
      <c r="P73" s="6" t="s">
        <v>23</v>
      </c>
      <c r="R73" s="20" t="n">
        <v>2023</v>
      </c>
      <c r="S73" s="20" t="n">
        <v>2024</v>
      </c>
      <c r="T73" s="20" t="n">
        <v>2025</v>
      </c>
      <c r="U73" s="20" t="n">
        <v>2026</v>
      </c>
      <c r="V73" s="20" t="n">
        <v>2027</v>
      </c>
      <c r="W73" s="20" t="n">
        <v>2028</v>
      </c>
      <c r="X73" s="20" t="n">
        <v>2029</v>
      </c>
      <c r="Y73" s="20" t="n">
        <v>2030</v>
      </c>
      <c r="Z73" s="20" t="n">
        <v>2031</v>
      </c>
      <c r="AA73" s="20" t="n">
        <v>2032</v>
      </c>
    </row>
    <row r="74" customFormat="false" ht="17.15" hidden="false" customHeight="false" outlineLevel="0" collapsed="false">
      <c r="A74" s="1" t="s">
        <v>620</v>
      </c>
    </row>
    <row r="75" customFormat="false" ht="17.15" hidden="false" customHeight="false" outlineLevel="0" collapsed="false">
      <c r="A75" s="0" t="s">
        <v>479</v>
      </c>
      <c r="B75" s="0" t="s">
        <v>73</v>
      </c>
      <c r="C75" s="38" t="n">
        <f aca="false">Q!$D$10</f>
        <v>247.029</v>
      </c>
      <c r="D75" s="38" t="n">
        <f aca="false">Q!$E$10</f>
        <v>269.287</v>
      </c>
      <c r="E75" s="38" t="n">
        <f aca="false">Q!$P$10</f>
        <v>134.686</v>
      </c>
      <c r="F75" s="38" t="n">
        <f aca="false">Seg!$O$75*(1+Seg!$F$76)-pd_amt*Q!$O$10/(Q!$O$10+Q!$O$12)</f>
        <v>160.728085930082</v>
      </c>
      <c r="G75" s="38" t="n">
        <f aca="false">Seg!$E$75+Seg!$F$75</f>
        <v>295.414085930082</v>
      </c>
      <c r="H75" s="38" t="n">
        <f aca="false">Seg!$G$75*(1+Seg!$H$76)</f>
        <v>320.828163943375</v>
      </c>
      <c r="I75" s="38" t="n">
        <f aca="false">Seg!$H$75*(1+Seg!$I$76)</f>
        <v>344.575578072228</v>
      </c>
      <c r="J75" s="38" t="n">
        <f aca="false">Seg!$I$75*(1+Seg!$J$76)</f>
        <v>365.942555779681</v>
      </c>
      <c r="K75" s="38" t="n">
        <f aca="false">Seg!$J$75*(1+Seg!$K$76)</f>
        <v>384.239683568665</v>
      </c>
      <c r="L75" s="38" t="n">
        <f aca="false">Seg!$K$75*(1+Seg!$L$76)</f>
        <v>403.451667747098</v>
      </c>
      <c r="M75" s="38" t="n">
        <f aca="false">Seg!$L$75*(1+Seg!$M$76)</f>
        <v>423.624251134453</v>
      </c>
      <c r="N75" s="38" t="n">
        <f aca="false">Q!$N$10</f>
        <v>118.892</v>
      </c>
      <c r="O75" s="38" t="n">
        <f aca="false">Q!$O$10</f>
        <v>150.395</v>
      </c>
      <c r="P75" s="8" t="s">
        <v>621</v>
      </c>
    </row>
    <row r="76" customFormat="false" ht="17.15" hidden="false" customHeight="false" outlineLevel="0" collapsed="false">
      <c r="A76" s="0" t="s">
        <v>622</v>
      </c>
      <c r="B76" s="0" t="s">
        <v>52</v>
      </c>
      <c r="E76" s="12" t="n">
        <f aca="false">Seg!$E$75/Seg!$N$75-1</f>
        <v>0.132843252699929</v>
      </c>
      <c r="F76" s="12" t="n">
        <f aca="false">Seg!$O$75/(Q!$F$10+Q!$G$10)-1</f>
        <v>0.0980382135842941</v>
      </c>
      <c r="G76" s="12" t="n">
        <f aca="false">Seg!$G$75/Seg!$D$75-1</f>
        <v>0.0970231980380869</v>
      </c>
      <c r="H76" s="12" t="n">
        <f aca="false">Seg!$F$76+(g_os-Seg!$F$76)*1/4</f>
        <v>0.0860286601882206</v>
      </c>
      <c r="I76" s="12" t="n">
        <f aca="false">Seg!$F$76+(g_os-Seg!$F$76)*2/4</f>
        <v>0.074019106792147</v>
      </c>
      <c r="J76" s="12" t="n">
        <f aca="false">Seg!$F$76+(g_os-Seg!$F$76)*3/4</f>
        <v>0.0620095533960735</v>
      </c>
      <c r="K76" s="12" t="n">
        <f aca="false">Seg!$F$76+(g_os-Seg!$F$76)*4/4</f>
        <v>0.05</v>
      </c>
      <c r="L76" s="12" t="n">
        <f aca="false">g_os</f>
        <v>0.05</v>
      </c>
      <c r="M76" s="12" t="n">
        <f aca="false">g_os</f>
        <v>0.05</v>
      </c>
      <c r="P76" s="8" t="s">
        <v>623</v>
      </c>
    </row>
    <row r="77" customFormat="false" ht="17.15" hidden="false" customHeight="false" outlineLevel="0" collapsed="false">
      <c r="A77" s="0" t="s">
        <v>480</v>
      </c>
      <c r="B77" s="0" t="s">
        <v>73</v>
      </c>
      <c r="C77" s="38" t="n">
        <f aca="false">Q!$D$11</f>
        <v>21.215</v>
      </c>
      <c r="D77" s="38" t="n">
        <f aca="false">Q!$E$11</f>
        <v>22.561</v>
      </c>
      <c r="E77" s="38" t="n">
        <f aca="false">Q!$P$11</f>
        <v>11.579</v>
      </c>
      <c r="F77" s="38" t="n">
        <f aca="false">Seg!$O$77*(1+Seg!$F$78)</f>
        <v>12.0952613121125</v>
      </c>
      <c r="G77" s="38" t="n">
        <f aca="false">Seg!$E$77+Seg!$F$77</f>
        <v>23.6742613121125</v>
      </c>
      <c r="H77" s="38" t="n">
        <f aca="false">Seg!$G$77*(1+Seg!$H$78)</f>
        <v>24.8803243963206</v>
      </c>
      <c r="I77" s="38" t="n">
        <f aca="false">Seg!$H$77*(1+Seg!$I$78)</f>
        <v>25.9741308664154</v>
      </c>
      <c r="J77" s="38" t="n">
        <f aca="false">Seg!$I$77*(1+Seg!$J$78)</f>
        <v>26.9346894124267</v>
      </c>
      <c r="K77" s="38" t="n">
        <f aca="false">Seg!$J$77*(1+Seg!$K$78)</f>
        <v>27.7427300947995</v>
      </c>
      <c r="L77" s="38" t="n">
        <f aca="false">Seg!$K$77*(1+Seg!$L$78)</f>
        <v>28.5750119976435</v>
      </c>
      <c r="M77" s="38" t="n">
        <f aca="false">Seg!$L$77*(1+Seg!$M$78)</f>
        <v>29.4322623575728</v>
      </c>
      <c r="N77" s="38" t="n">
        <f aca="false">Q!$N$11</f>
        <v>11.128</v>
      </c>
      <c r="O77" s="38" t="n">
        <f aca="false">Q!$O$11</f>
        <v>11.433</v>
      </c>
      <c r="P77" s="8" t="s">
        <v>621</v>
      </c>
    </row>
    <row r="78" customFormat="false" ht="17.15" hidden="false" customHeight="false" outlineLevel="0" collapsed="false">
      <c r="A78" s="0" t="s">
        <v>624</v>
      </c>
      <c r="B78" s="0" t="s">
        <v>52</v>
      </c>
      <c r="E78" s="12" t="n">
        <f aca="false">Seg!$E$77/Seg!$N$77-1</f>
        <v>0.0405283968368082</v>
      </c>
      <c r="F78" s="12" t="n">
        <f aca="false">Seg!$O$77/(Q!$F$11+Q!$G$11)-1</f>
        <v>0.0579254187100955</v>
      </c>
      <c r="G78" s="12" t="n">
        <f aca="false">Seg!$G$77/Seg!$D$77-1</f>
        <v>0.0493445021103904</v>
      </c>
      <c r="H78" s="12" t="n">
        <f aca="false">Seg!$F$78+(g_ps-Seg!$F$78)*1/4</f>
        <v>0.0509440640325716</v>
      </c>
      <c r="I78" s="12" t="n">
        <f aca="false">Seg!$F$78+(g_ps-Seg!$F$78)*2/4</f>
        <v>0.0439627093550477</v>
      </c>
      <c r="J78" s="12" t="n">
        <f aca="false">Seg!$F$78+(g_ps-Seg!$F$78)*3/4</f>
        <v>0.0369813546775239</v>
      </c>
      <c r="K78" s="12" t="n">
        <f aca="false">Seg!$F$78+(g_ps-Seg!$F$78)*4/4</f>
        <v>0.03</v>
      </c>
      <c r="L78" s="12" t="n">
        <f aca="false">g_ps</f>
        <v>0.03</v>
      </c>
      <c r="M78" s="12" t="n">
        <f aca="false">g_ps</f>
        <v>0.03</v>
      </c>
      <c r="P78" s="8" t="s">
        <v>625</v>
      </c>
    </row>
    <row r="79" customFormat="false" ht="17.15" hidden="false" customHeight="false" outlineLevel="0" collapsed="false">
      <c r="A79" s="0" t="s">
        <v>481</v>
      </c>
      <c r="B79" s="0" t="s">
        <v>73</v>
      </c>
      <c r="C79" s="38" t="n">
        <f aca="false">Q!$D$12</f>
        <v>156.146</v>
      </c>
      <c r="D79" s="38" t="n">
        <f aca="false">Q!$E$12</f>
        <v>172.162</v>
      </c>
      <c r="E79" s="38" t="n">
        <f aca="false">Q!$P$12</f>
        <v>88.358</v>
      </c>
      <c r="F79" s="38" t="n">
        <f aca="false">Seg!$O$79*(1+Seg!$F$80)-pd_amt*Q!$O$12/(Q!$O$10+Q!$O$12)</f>
        <v>103.62028337149</v>
      </c>
      <c r="G79" s="38" t="n">
        <f aca="false">Seg!$E$79+Seg!$F$79</f>
        <v>191.97828337149</v>
      </c>
      <c r="H79" s="38" t="n">
        <f aca="false">Seg!$G$79*(1+Seg!$H$80)</f>
        <v>212.128608444755</v>
      </c>
      <c r="I79" s="38" t="n">
        <f aca="false">Seg!$H$79*(1+Seg!$I$80)</f>
        <v>231.92183134134</v>
      </c>
      <c r="J79" s="38" t="n">
        <f aca="false">Seg!$I$79*(1+Seg!$J$80)</f>
        <v>250.859136487863</v>
      </c>
      <c r="K79" s="38" t="n">
        <f aca="false">Seg!$J$79*(1+Seg!$K$80)</f>
        <v>268.419276042014</v>
      </c>
      <c r="L79" s="38" t="n">
        <f aca="false">Seg!$K$79*(1+Seg!$L$80)</f>
        <v>287.208625364954</v>
      </c>
      <c r="M79" s="38" t="n">
        <f aca="false">Seg!$L$79*(1+Seg!$M$80)</f>
        <v>307.313229140501</v>
      </c>
      <c r="N79" s="38" t="n">
        <f aca="false">Q!$N$12</f>
        <v>76.86</v>
      </c>
      <c r="O79" s="38" t="n">
        <f aca="false">Q!$O$12</f>
        <v>95.302</v>
      </c>
      <c r="P79" s="8" t="s">
        <v>621</v>
      </c>
    </row>
    <row r="80" customFormat="false" ht="17.15" hidden="false" customHeight="false" outlineLevel="0" collapsed="false">
      <c r="A80" s="0" t="s">
        <v>626</v>
      </c>
      <c r="B80" s="0" t="s">
        <v>52</v>
      </c>
      <c r="E80" s="12" t="n">
        <f aca="false">Seg!$E$79/Seg!$N$79-1</f>
        <v>0.1495966692688</v>
      </c>
      <c r="F80" s="12" t="n">
        <f aca="false">Seg!$O$79/(Q!$F$12+Q!$G$12)-1</f>
        <v>0.11661530890813</v>
      </c>
      <c r="G80" s="12" t="n">
        <f aca="false">Seg!$G$79/Seg!$D$79-1</f>
        <v>0.115102539303041</v>
      </c>
      <c r="H80" s="12" t="n">
        <f aca="false">Seg!$F$80+(g_sp-Seg!$F$80)*1/4</f>
        <v>0.104961481681098</v>
      </c>
      <c r="I80" s="12" t="n">
        <f aca="false">Seg!$F$80+(g_sp-Seg!$F$80)*2/4</f>
        <v>0.0933076544540651</v>
      </c>
      <c r="J80" s="12" t="n">
        <f aca="false">Seg!$F$80+(g_sp-Seg!$F$80)*3/4</f>
        <v>0.0816538272270325</v>
      </c>
      <c r="K80" s="12" t="n">
        <f aca="false">Seg!$F$80+(g_sp-Seg!$F$80)*4/4</f>
        <v>0.07</v>
      </c>
      <c r="L80" s="12" t="n">
        <f aca="false">g_sp</f>
        <v>0.07</v>
      </c>
      <c r="M80" s="12" t="n">
        <f aca="false">g_sp</f>
        <v>0.07</v>
      </c>
      <c r="P80" s="8" t="s">
        <v>627</v>
      </c>
    </row>
    <row r="81" customFormat="false" ht="17.15" hidden="false" customHeight="false" outlineLevel="0" collapsed="false">
      <c r="A81" s="0" t="s">
        <v>482</v>
      </c>
      <c r="B81" s="0" t="s">
        <v>73</v>
      </c>
      <c r="C81" s="38" t="n">
        <f aca="false">Q!$D$13</f>
        <v>56.214</v>
      </c>
      <c r="D81" s="38" t="n">
        <f aca="false">Q!$E$13</f>
        <v>68.635</v>
      </c>
      <c r="E81" s="38" t="n">
        <f aca="false">Q!$P$13</f>
        <v>37.052</v>
      </c>
      <c r="F81" s="38" t="n">
        <f aca="false">Seg!$O$81*(1+Seg!$F$82)</f>
        <v>48.1533381827382</v>
      </c>
      <c r="G81" s="38" t="n">
        <f aca="false">Seg!$E$81+Seg!$F$81</f>
        <v>85.2053381827382</v>
      </c>
      <c r="H81" s="38" t="n">
        <f aca="false">Seg!$G$81*(1+Seg!$H$82)</f>
        <v>102.29336185894</v>
      </c>
      <c r="I81" s="38" t="n">
        <f aca="false">Seg!$H$81*(1+Seg!$I$82)</f>
        <v>119.379837585241</v>
      </c>
      <c r="J81" s="38" t="n">
        <f aca="false">Seg!$I$81*(1+Seg!$J$82)</f>
        <v>135.319079048844</v>
      </c>
      <c r="K81" s="38" t="n">
        <f aca="false">Seg!$J$81*(1+Seg!$K$82)</f>
        <v>148.850986953729</v>
      </c>
      <c r="L81" s="38" t="n">
        <f aca="false">Seg!$K$81*(1+Seg!$L$82)</f>
        <v>163.736085649102</v>
      </c>
      <c r="M81" s="38" t="n">
        <f aca="false">Seg!$L$81*(1+Seg!$M$82)</f>
        <v>180.109694214012</v>
      </c>
      <c r="N81" s="38" t="n">
        <f aca="false">Q!$N$13</f>
        <v>29.615</v>
      </c>
      <c r="O81" s="38" t="n">
        <f aca="false">Q!$O$13</f>
        <v>39.02</v>
      </c>
      <c r="P81" s="8" t="s">
        <v>621</v>
      </c>
    </row>
    <row r="82" customFormat="false" ht="17.15" hidden="false" customHeight="false" outlineLevel="0" collapsed="false">
      <c r="A82" s="0" t="s">
        <v>628</v>
      </c>
      <c r="B82" s="0" t="s">
        <v>52</v>
      </c>
      <c r="E82" s="12" t="n">
        <f aca="false">Seg!$E$81/Seg!$N$81-1</f>
        <v>0.25112274185379</v>
      </c>
      <c r="F82" s="12" t="n">
        <f aca="false">Seg!$O$81/(Q!$F$13+Q!$G$13)-1</f>
        <v>0.234068123596572</v>
      </c>
      <c r="G82" s="12" t="n">
        <f aca="false">Seg!$G$81/Seg!$D$81-1</f>
        <v>0.241426942270536</v>
      </c>
      <c r="H82" s="12" t="n">
        <f aca="false">Seg!$F$82+(g_ad-Seg!$F$82)*1/4</f>
        <v>0.200551092697429</v>
      </c>
      <c r="I82" s="12" t="n">
        <f aca="false">Seg!$F$82+(g_ad-Seg!$F$82)*2/4</f>
        <v>0.167034061798286</v>
      </c>
      <c r="J82" s="12" t="n">
        <f aca="false">Seg!$F$82+(g_ad-Seg!$F$82)*3/4</f>
        <v>0.133517030899143</v>
      </c>
      <c r="K82" s="12" t="n">
        <f aca="false">Seg!$F$82+(g_ad-Seg!$F$82)*4/4</f>
        <v>0.1</v>
      </c>
      <c r="L82" s="12" t="n">
        <f aca="false">g_ad</f>
        <v>0.1</v>
      </c>
      <c r="M82" s="12" t="n">
        <f aca="false">g_ad</f>
        <v>0.1</v>
      </c>
      <c r="P82" s="8" t="s">
        <v>629</v>
      </c>
    </row>
    <row r="83" customFormat="false" ht="17.15" hidden="false" customHeight="false" outlineLevel="0" collapsed="false">
      <c r="A83" s="0" t="s">
        <v>483</v>
      </c>
      <c r="B83" s="0" t="s">
        <v>73</v>
      </c>
      <c r="C83" s="38" t="n">
        <f aca="false">Q!$D$14</f>
        <v>44.374</v>
      </c>
      <c r="D83" s="38" t="n">
        <f aca="false">Q!$E$14</f>
        <v>49.619</v>
      </c>
      <c r="E83" s="38" t="n">
        <f aca="false">Q!$P$14</f>
        <v>27.157</v>
      </c>
      <c r="F83" s="38" t="n">
        <f aca="false">Seg!$O$83*(1+Seg!$F$84)</f>
        <v>28.9776360923374</v>
      </c>
      <c r="G83" s="38" t="n">
        <f aca="false">Seg!$E$83+Seg!$F$83</f>
        <v>56.1346360923374</v>
      </c>
      <c r="H83" s="38" t="n">
        <f aca="false">Seg!$G$83*(1+Seg!$H$84)</f>
        <v>62.4937078946075</v>
      </c>
      <c r="I83" s="38" t="n">
        <f aca="false">Seg!$H$83*(1+Seg!$I$84)</f>
        <v>68.6715233062498</v>
      </c>
      <c r="J83" s="38" t="n">
        <f aca="false">Seg!$I$83*(1+Seg!$J$84)</f>
        <v>74.4692882949818</v>
      </c>
      <c r="K83" s="38" t="n">
        <f aca="false">Seg!$J$83*(1+Seg!$K$84)</f>
        <v>79.6821384756306</v>
      </c>
      <c r="L83" s="38" t="n">
        <f aca="false">Seg!$K$83*(1+Seg!$L$84)</f>
        <v>85.2598881689247</v>
      </c>
      <c r="M83" s="38" t="n">
        <f aca="false">Seg!$L$83*(1+Seg!$M$84)</f>
        <v>91.2280803407494</v>
      </c>
      <c r="N83" s="38" t="n">
        <f aca="false">Q!$N$14</f>
        <v>23.923</v>
      </c>
      <c r="O83" s="38" t="n">
        <f aca="false">Q!$O$14</f>
        <v>25.696</v>
      </c>
      <c r="P83" s="8" t="s">
        <v>621</v>
      </c>
    </row>
    <row r="84" customFormat="false" ht="17.15" hidden="false" customHeight="false" outlineLevel="0" collapsed="false">
      <c r="A84" s="0" t="s">
        <v>630</v>
      </c>
      <c r="B84" s="0" t="s">
        <v>52</v>
      </c>
      <c r="E84" s="12" t="n">
        <f aca="false">Seg!$E$83/Seg!$N$83-1</f>
        <v>0.135183714417088</v>
      </c>
      <c r="F84" s="12" t="n">
        <f aca="false">Seg!$O$83/(Q!$F$14+Q!$G$14)-1</f>
        <v>0.127709997366804</v>
      </c>
      <c r="G84" s="12" t="n">
        <f aca="false">Seg!$G$83/Seg!$D$83-1</f>
        <v>0.131313329416905</v>
      </c>
      <c r="H84" s="12" t="n">
        <f aca="false">Seg!$F$84+(g_sub-Seg!$F$84)*1/4</f>
        <v>0.113282498025103</v>
      </c>
      <c r="I84" s="12" t="n">
        <f aca="false">Seg!$F$84+(g_sub-Seg!$F$84)*2/4</f>
        <v>0.0988549986834021</v>
      </c>
      <c r="J84" s="12" t="n">
        <f aca="false">Seg!$F$84+(g_sub-Seg!$F$84)*3/4</f>
        <v>0.084427499341701</v>
      </c>
      <c r="K84" s="12" t="n">
        <f aca="false">Seg!$F$84+(g_sub-Seg!$F$84)*4/4</f>
        <v>0.07</v>
      </c>
      <c r="L84" s="12" t="n">
        <f aca="false">g_sub</f>
        <v>0.07</v>
      </c>
      <c r="M84" s="12" t="n">
        <f aca="false">g_sub</f>
        <v>0.07</v>
      </c>
      <c r="P84" s="8" t="s">
        <v>631</v>
      </c>
    </row>
    <row r="85" customFormat="false" ht="17.15" hidden="false" customHeight="false" outlineLevel="0" collapsed="false">
      <c r="A85" s="0" t="s">
        <v>484</v>
      </c>
      <c r="B85" s="0" t="s">
        <v>73</v>
      </c>
      <c r="C85" s="38" t="n">
        <f aca="false">Q!$D$15</f>
        <v>5.425</v>
      </c>
      <c r="D85" s="38" t="n">
        <f aca="false">Q!$E$15</f>
        <v>5.935</v>
      </c>
      <c r="E85" s="38" t="n">
        <f aca="false">Q!$P$15</f>
        <v>3.474</v>
      </c>
      <c r="F85" s="38" t="n">
        <f aca="false">Seg!$O$85*(1+Seg!$F$86)</f>
        <v>3.36182431966931</v>
      </c>
      <c r="G85" s="38" t="n">
        <f aca="false">Seg!$E$85+Seg!$F$85</f>
        <v>6.83582431966931</v>
      </c>
      <c r="H85" s="38" t="n">
        <f aca="false">Seg!$G$85*(1+Seg!$H$86)</f>
        <v>7.31157108370141</v>
      </c>
      <c r="I85" s="38" t="n">
        <f aca="false">Seg!$H$85*(1+Seg!$I$86)</f>
        <v>7.77266852639815</v>
      </c>
      <c r="J85" s="38" t="n">
        <f aca="false">Seg!$I$85*(1+Seg!$J$86)</f>
        <v>8.2120733019884</v>
      </c>
      <c r="K85" s="38" t="n">
        <f aca="false">Seg!$J$85*(1+Seg!$K$86)</f>
        <v>8.62267696708783</v>
      </c>
      <c r="L85" s="38" t="n">
        <f aca="false">Seg!$K$85*(1+Seg!$L$86)</f>
        <v>9.05381081544222</v>
      </c>
      <c r="M85" s="38" t="n">
        <f aca="false">Seg!$L$85*(1+Seg!$M$86)</f>
        <v>9.50650135621433</v>
      </c>
      <c r="N85" s="38" t="n">
        <f aca="false">Q!$N$15</f>
        <v>2.811</v>
      </c>
      <c r="O85" s="38" t="n">
        <f aca="false">Q!$O$15</f>
        <v>3.124</v>
      </c>
      <c r="P85" s="8" t="s">
        <v>621</v>
      </c>
    </row>
    <row r="86" customFormat="false" ht="17.15" hidden="false" customHeight="false" outlineLevel="0" collapsed="false">
      <c r="A86" s="0" t="s">
        <v>632</v>
      </c>
      <c r="B86" s="0" t="s">
        <v>52</v>
      </c>
      <c r="E86" s="12" t="n">
        <f aca="false">Seg!$E$85/Seg!$N$85-1</f>
        <v>0.235859124866596</v>
      </c>
      <c r="F86" s="12" t="n">
        <f aca="false">Seg!$O$85/(Q!$F$15+Q!$G$15)-1</f>
        <v>0.0761281433000345</v>
      </c>
      <c r="G86" s="12" t="n">
        <f aca="false">Seg!$G$85/Seg!$D$85-1</f>
        <v>0.151781688234087</v>
      </c>
      <c r="H86" s="12" t="n">
        <f aca="false">Seg!$F$86+(g_ot-Seg!$F$86)*1/4</f>
        <v>0.0695961074750259</v>
      </c>
      <c r="I86" s="12" t="n">
        <f aca="false">Seg!$F$86+(g_ot-Seg!$F$86)*2/4</f>
        <v>0.0630640716500172</v>
      </c>
      <c r="J86" s="12" t="n">
        <f aca="false">Seg!$F$86+(g_ot-Seg!$F$86)*3/4</f>
        <v>0.0565320358250086</v>
      </c>
      <c r="K86" s="12" t="n">
        <f aca="false">Seg!$F$86+(g_ot-Seg!$F$86)*4/4</f>
        <v>0.05</v>
      </c>
      <c r="L86" s="12" t="n">
        <f aca="false">g_ot</f>
        <v>0.05</v>
      </c>
      <c r="M86" s="12" t="n">
        <f aca="false">g_ot</f>
        <v>0.05</v>
      </c>
      <c r="P86" s="8" t="s">
        <v>633</v>
      </c>
    </row>
    <row r="87" customFormat="false" ht="17.15" hidden="false" customHeight="false" outlineLevel="0" collapsed="false">
      <c r="A87" s="3" t="s">
        <v>634</v>
      </c>
      <c r="B87" s="8" t="s">
        <v>73</v>
      </c>
      <c r="C87" s="38" t="n">
        <f aca="false">Seg!$C$75+Seg!$C$77+Seg!$C$79+Seg!$C$81+Seg!$C$83+Seg!$C$85</f>
        <v>530.403</v>
      </c>
      <c r="D87" s="38" t="n">
        <f aca="false">Seg!$D$75+Seg!$D$77+Seg!$D$79+Seg!$D$81+Seg!$D$83+Seg!$D$85</f>
        <v>588.199</v>
      </c>
      <c r="E87" s="38" t="n">
        <f aca="false">Seg!$E$75+Seg!$E$77+Seg!$E$79+Seg!$E$81+Seg!$E$83+Seg!$E$85</f>
        <v>302.306</v>
      </c>
      <c r="F87" s="38" t="n">
        <f aca="false">Seg!$F$75+Seg!$F$77+Seg!$F$79+Seg!$F$81+Seg!$F$83+Seg!$F$85</f>
        <v>356.93642920843</v>
      </c>
      <c r="G87" s="38" t="n">
        <f aca="false">Seg!$G$75+Seg!$G$77+Seg!$G$79+Seg!$G$81+Seg!$G$83+Seg!$G$85</f>
        <v>659.24242920843</v>
      </c>
      <c r="H87" s="38" t="n">
        <f aca="false">Seg!$H$75+Seg!$H$77+Seg!$H$79+Seg!$H$81+Seg!$H$83+Seg!$H$85</f>
        <v>729.935737621701</v>
      </c>
      <c r="I87" s="38" t="n">
        <f aca="false">Seg!$I$75+Seg!$I$77+Seg!$I$79+Seg!$I$81+Seg!$I$83+Seg!$I$85</f>
        <v>798.295569697873</v>
      </c>
      <c r="J87" s="38" t="n">
        <f aca="false">Seg!$J$75+Seg!$J$77+Seg!$J$79+Seg!$J$81+Seg!$J$83+Seg!$J$85</f>
        <v>861.736822325785</v>
      </c>
      <c r="K87" s="38" t="n">
        <f aca="false">Seg!$K$75+Seg!$K$77+Seg!$K$79+Seg!$K$81+Seg!$K$83+Seg!$K$85</f>
        <v>917.557492101925</v>
      </c>
      <c r="L87" s="38" t="n">
        <f aca="false">Seg!$L$75+Seg!$L$77+Seg!$L$79+Seg!$L$81+Seg!$L$83+Seg!$L$85</f>
        <v>977.285089743165</v>
      </c>
      <c r="M87" s="38" t="n">
        <f aca="false">Seg!$M$75+Seg!$M$77+Seg!$M$79+Seg!$M$81+Seg!$M$83+Seg!$M$85</f>
        <v>1041.2140185435</v>
      </c>
      <c r="N87" s="38" t="n">
        <f aca="false">Seg!$N$75+Seg!$N$77+Seg!$N$79+Seg!$N$81+Seg!$N$83+Seg!$N$85</f>
        <v>263.229</v>
      </c>
      <c r="O87" s="38" t="n">
        <f aca="false">Seg!$O$75+Seg!$O$77+Seg!$O$79+Seg!$O$81+Seg!$O$83+Seg!$O$85</f>
        <v>324.97</v>
      </c>
    </row>
    <row r="88" customFormat="false" ht="17.15" hidden="false" customHeight="false" outlineLevel="0" collapsed="false">
      <c r="A88" s="5" t="s">
        <v>635</v>
      </c>
      <c r="B88" s="0" t="s">
        <v>52</v>
      </c>
      <c r="C88" s="12" t="n">
        <f aca="false">Q!$D$5/(Q!$D$5+Q!$D$6)</f>
        <v>0.730570905519011</v>
      </c>
      <c r="D88" s="12" t="n">
        <f aca="false">Q!$E$5/(Q!$E$5+Q!$E$6)</f>
        <v>0.724763217890544</v>
      </c>
      <c r="E88" s="12" t="n">
        <f aca="false">Q!$P$5/(Q!$P$5+Q!$P$6)</f>
        <v>0.728797972914861</v>
      </c>
      <c r="F88" s="12" t="n">
        <f aca="false">Seg!$O$88</f>
        <v>0.718066283041511</v>
      </c>
      <c r="G88" s="12" t="n">
        <f aca="false">Seg!$G$89/Seg!$G$87</f>
        <v>0.722987468473627</v>
      </c>
      <c r="H88" s="12" t="n">
        <f aca="false">Seg!$G$88</f>
        <v>0.722987468473627</v>
      </c>
      <c r="I88" s="12" t="n">
        <f aca="false">Seg!$G$88</f>
        <v>0.722987468473627</v>
      </c>
      <c r="J88" s="12" t="n">
        <f aca="false">Seg!$G$88</f>
        <v>0.722987468473627</v>
      </c>
      <c r="K88" s="12" t="n">
        <f aca="false">Seg!$G$88</f>
        <v>0.722987468473627</v>
      </c>
      <c r="L88" s="12" t="n">
        <f aca="false">Seg!$G$88</f>
        <v>0.722987468473627</v>
      </c>
      <c r="M88" s="12" t="n">
        <f aca="false">Seg!$G$88</f>
        <v>0.722987468473627</v>
      </c>
      <c r="N88" s="12" t="n">
        <f aca="false">Q!$N$5/(Q!$N$5+Q!$N$6)</f>
        <v>0.733030935041352</v>
      </c>
      <c r="O88" s="12" t="n">
        <f aca="false">Q!$O$5/(Q!$O$5+Q!$O$6)</f>
        <v>0.718066283041511</v>
      </c>
      <c r="P88" s="8" t="s">
        <v>636</v>
      </c>
    </row>
    <row r="89" customFormat="false" ht="17.15" hidden="false" customHeight="false" outlineLevel="0" collapsed="false">
      <c r="A89" s="1" t="s">
        <v>472</v>
      </c>
      <c r="B89" s="8" t="s">
        <v>73</v>
      </c>
      <c r="C89" s="38" t="n">
        <f aca="false">Q!$D$5</f>
        <v>387.497</v>
      </c>
      <c r="D89" s="38" t="n">
        <f aca="false">Q!$E$5</f>
        <v>426.305</v>
      </c>
      <c r="E89" s="38" t="n">
        <f aca="false">Q!$P$5</f>
        <v>220.32</v>
      </c>
      <c r="F89" s="38" t="n">
        <f aca="false">Seg!$F$87*Seg!$F$88</f>
        <v>256.304015003807</v>
      </c>
      <c r="G89" s="38" t="n">
        <f aca="false">Seg!$E$89+Seg!$F$89</f>
        <v>476.624015003807</v>
      </c>
      <c r="H89" s="38" t="n">
        <f aca="false">Seg!$H$87*Seg!$H$88</f>
        <v>527.734391091543</v>
      </c>
      <c r="I89" s="38" t="n">
        <f aca="false">Seg!$I$87*Seg!$I$88</f>
        <v>577.157693029577</v>
      </c>
      <c r="J89" s="38" t="n">
        <f aca="false">Seg!$J$87*Seg!$J$88</f>
        <v>623.024923663827</v>
      </c>
      <c r="K89" s="38" t="n">
        <f aca="false">Seg!$K$87*Seg!$K$88</f>
        <v>663.382568393781</v>
      </c>
      <c r="L89" s="38" t="n">
        <f aca="false">Seg!$L$87*Seg!$L$88</f>
        <v>706.564873010432</v>
      </c>
      <c r="M89" s="38" t="n">
        <f aca="false">Seg!$M$87*Seg!$M$88</f>
        <v>752.784687406019</v>
      </c>
      <c r="N89" s="38" t="n">
        <f aca="false">Q!$N$5</f>
        <v>192.955</v>
      </c>
      <c r="O89" s="38" t="n">
        <f aca="false">Q!$O$5</f>
        <v>233.35</v>
      </c>
      <c r="P89" s="5" t="s">
        <v>637</v>
      </c>
    </row>
    <row r="90" customFormat="false" ht="17.15" hidden="false" customHeight="false" outlineLevel="0" collapsed="false">
      <c r="A90" s="1" t="s">
        <v>475</v>
      </c>
      <c r="B90" s="8" t="s">
        <v>73</v>
      </c>
      <c r="C90" s="38" t="n">
        <f aca="false">Q!$D$6</f>
        <v>142.906</v>
      </c>
      <c r="D90" s="38" t="n">
        <f aca="false">Q!$E$6</f>
        <v>161.894</v>
      </c>
      <c r="E90" s="38" t="n">
        <f aca="false">Q!$P$6</f>
        <v>81.986</v>
      </c>
      <c r="F90" s="38" t="n">
        <f aca="false">Seg!$F$87*(1-Seg!$F$88)</f>
        <v>100.632414204623</v>
      </c>
      <c r="G90" s="38" t="n">
        <f aca="false">Seg!$E$90+Seg!$F$90</f>
        <v>182.618414204623</v>
      </c>
      <c r="H90" s="38" t="n">
        <f aca="false">Seg!$H$87*(1-Seg!$H$88)</f>
        <v>202.201346530158</v>
      </c>
      <c r="I90" s="38" t="n">
        <f aca="false">Seg!$I$87*(1-Seg!$I$88)</f>
        <v>221.137876668296</v>
      </c>
      <c r="J90" s="38" t="n">
        <f aca="false">Seg!$J$87*(1-Seg!$J$88)</f>
        <v>238.711898661958</v>
      </c>
      <c r="K90" s="38" t="n">
        <f aca="false">Seg!$K$87*(1-Seg!$K$88)</f>
        <v>254.174923708144</v>
      </c>
      <c r="L90" s="38" t="n">
        <f aca="false">Seg!$L$87*(1-Seg!$L$88)</f>
        <v>270.720216732733</v>
      </c>
      <c r="M90" s="38" t="n">
        <f aca="false">Seg!$M$87*(1-Seg!$M$88)</f>
        <v>288.429331137484</v>
      </c>
      <c r="N90" s="38" t="n">
        <f aca="false">Q!$N$6</f>
        <v>70.274</v>
      </c>
      <c r="O90" s="38" t="n">
        <f aca="false">Q!$O$6</f>
        <v>91.62</v>
      </c>
      <c r="P90" s="5" t="s">
        <v>638</v>
      </c>
    </row>
    <row r="91" customFormat="false" ht="17.15" hidden="false" customHeight="false" outlineLevel="0" collapsed="false">
      <c r="A91" s="5" t="s">
        <v>639</v>
      </c>
      <c r="B91" s="0" t="s">
        <v>73</v>
      </c>
      <c r="C91" s="38" t="n">
        <f aca="false">Seg!$C$81*Seg!$C$88</f>
        <v>41.0683128828457</v>
      </c>
      <c r="D91" s="38" t="n">
        <f aca="false">Seg!$D$81*Seg!$D$88</f>
        <v>49.7441234599175</v>
      </c>
      <c r="E91" s="38" t="n">
        <f aca="false">Seg!$E$81*Seg!$E$88</f>
        <v>27.0034224924414</v>
      </c>
      <c r="F91" s="38" t="n">
        <f aca="false">Seg!$F$81*Seg!$F$88</f>
        <v>34.5772885649197</v>
      </c>
      <c r="G91" s="38" t="n">
        <f aca="false">Seg!$G$81*Seg!$G$88</f>
        <v>61.6023917531772</v>
      </c>
      <c r="H91" s="38" t="n">
        <f aca="false">Seg!$H$81*Seg!$H$88</f>
        <v>73.9568187320519</v>
      </c>
      <c r="I91" s="38" t="n">
        <f aca="false">Seg!$I$81*Seg!$I$88</f>
        <v>86.3101265625461</v>
      </c>
      <c r="J91" s="38" t="n">
        <f aca="false">Seg!$J$81*Seg!$J$88</f>
        <v>97.8339983977065</v>
      </c>
      <c r="K91" s="38" t="n">
        <f aca="false">Seg!$K$81*Seg!$K$88</f>
        <v>107.617398237477</v>
      </c>
      <c r="L91" s="38" t="n">
        <f aca="false">Seg!$L$81*Seg!$L$88</f>
        <v>118.379138061225</v>
      </c>
      <c r="M91" s="38" t="n">
        <f aca="false">Seg!$M$81*Seg!$M$88</f>
        <v>130.217051867347</v>
      </c>
      <c r="N91" s="38" t="n">
        <f aca="false">Seg!$N$81*Seg!$N$88</f>
        <v>21.7087111412496</v>
      </c>
      <c r="O91" s="38" t="n">
        <f aca="false">Seg!$O$81*Seg!$O$88</f>
        <v>28.0189463642798</v>
      </c>
      <c r="P91" s="5" t="s">
        <v>640</v>
      </c>
    </row>
    <row r="92" customFormat="false" ht="15" hidden="false" customHeight="false" outlineLevel="0" collapsed="false">
      <c r="A92" s="5" t="s">
        <v>641</v>
      </c>
      <c r="B92" s="0" t="s">
        <v>73</v>
      </c>
      <c r="C92" s="38" t="n">
        <f aca="false">Seg!$C$81-Seg!$C$91</f>
        <v>15.1456871171543</v>
      </c>
      <c r="D92" s="38" t="n">
        <f aca="false">Seg!$D$81-Seg!$D$91</f>
        <v>18.8908765400825</v>
      </c>
      <c r="E92" s="38" t="n">
        <f aca="false">Seg!$E$81-Seg!$E$91</f>
        <v>10.0485775075586</v>
      </c>
      <c r="F92" s="38" t="n">
        <f aca="false">Seg!$F$81-Seg!$F$91</f>
        <v>13.5760496178185</v>
      </c>
      <c r="G92" s="38" t="n">
        <f aca="false">Seg!$G$81-Seg!$G$91</f>
        <v>23.6029464295611</v>
      </c>
      <c r="H92" s="38" t="n">
        <f aca="false">Seg!$H$81-Seg!$H$91</f>
        <v>28.3365431268884</v>
      </c>
      <c r="I92" s="38" t="n">
        <f aca="false">Seg!$I$81-Seg!$I$91</f>
        <v>33.0697110226949</v>
      </c>
      <c r="J92" s="38" t="n">
        <f aca="false">Seg!$J$81-Seg!$J$91</f>
        <v>37.4850806511378</v>
      </c>
      <c r="K92" s="38" t="n">
        <f aca="false">Seg!$K$81-Seg!$K$91</f>
        <v>41.2335887162515</v>
      </c>
      <c r="L92" s="38" t="n">
        <f aca="false">Seg!$L$81-Seg!$L$91</f>
        <v>45.3569475878767</v>
      </c>
      <c r="M92" s="38" t="n">
        <f aca="false">Seg!$M$81-Seg!$M$91</f>
        <v>49.8926423466644</v>
      </c>
      <c r="N92" s="38" t="n">
        <f aca="false">Seg!$N$81-Seg!$N$91</f>
        <v>7.90628885875037</v>
      </c>
      <c r="O92" s="38" t="n">
        <f aca="false">Seg!$O$81-Seg!$O$91</f>
        <v>11.0010536357202</v>
      </c>
    </row>
    <row r="93" customFormat="false" ht="17.15" hidden="false" customHeight="false" outlineLevel="0" collapsed="false">
      <c r="A93" s="1" t="s">
        <v>642</v>
      </c>
    </row>
    <row r="94" customFormat="false" ht="17.15" hidden="false" customHeight="false" outlineLevel="0" collapsed="false">
      <c r="A94" s="0" t="s">
        <v>643</v>
      </c>
      <c r="B94" s="0" t="s">
        <v>73</v>
      </c>
      <c r="C94" s="38" t="n">
        <f aca="false">Thesis!$C$137</f>
        <v>2.32100535697364</v>
      </c>
      <c r="D94" s="38" t="n">
        <f aca="false">Thesis!$D$137</f>
        <v>8.70377008865116</v>
      </c>
      <c r="E94" s="38" t="n">
        <f aca="false">Thesis!$E$137</f>
        <v>8.51035297557002</v>
      </c>
      <c r="F94" s="38" t="n">
        <f aca="false">Thesis!$F$137</f>
        <v>14.1374173083338</v>
      </c>
      <c r="G94" s="38" t="n">
        <f aca="false">Thesis!$G$137</f>
        <v>22.6477702839038</v>
      </c>
      <c r="H94" s="38" t="n">
        <f aca="false">Thesis!$H$137</f>
        <v>53.4222901978634</v>
      </c>
      <c r="I94" s="38" t="n">
        <f aca="false">Thesis!$I$137</f>
        <v>87.7997462553011</v>
      </c>
      <c r="J94" s="38" t="n">
        <f aca="false">Thesis!$J$137</f>
        <v>122.330137401312</v>
      </c>
      <c r="K94" s="38" t="n">
        <f aca="false">Thesis!$K$137</f>
        <v>156.911506910181</v>
      </c>
      <c r="L94" s="38" t="n">
        <f aca="false">Thesis!$L$137</f>
        <v>191.516048402167</v>
      </c>
      <c r="M94" s="38" t="n">
        <f aca="false">Thesis!$M$137</f>
        <v>226.133067115831</v>
      </c>
      <c r="N94" s="38" t="n">
        <f aca="false">Thesis!$N$137</f>
        <v>3.04631953102791</v>
      </c>
      <c r="O94" s="38" t="n">
        <f aca="false">Thesis!$O$137</f>
        <v>5.65745055762326</v>
      </c>
      <c r="P94" s="8" t="s">
        <v>644</v>
      </c>
    </row>
    <row r="95" customFormat="false" ht="17.15" hidden="false" customHeight="false" outlineLevel="0" collapsed="false">
      <c r="A95" s="0" t="s">
        <v>645</v>
      </c>
      <c r="B95" s="0" t="s">
        <v>73</v>
      </c>
      <c r="C95" s="38" t="n">
        <f aca="false">Thesis!$C$141</f>
        <v>105.234994643026</v>
      </c>
      <c r="D95" s="38" t="n">
        <f aca="false">Thesis!$D$141</f>
        <v>120.021229911349</v>
      </c>
      <c r="E95" s="38" t="n">
        <f aca="false">Thesis!$E$141</f>
        <v>71.30864702443</v>
      </c>
      <c r="F95" s="38" t="n">
        <f aca="false">Thesis!$F$141</f>
        <v>78.5950104186653</v>
      </c>
      <c r="G95" s="38" t="n">
        <f aca="false">Thesis!$G$141</f>
        <v>149.903657443095</v>
      </c>
      <c r="H95" s="38" t="n">
        <f aca="false">Thesis!$H$141</f>
        <v>180.893560768142</v>
      </c>
      <c r="I95" s="38" t="n">
        <f aca="false">Thesis!$I$141</f>
        <v>210.64839721501</v>
      </c>
      <c r="J95" s="38" t="n">
        <f aca="false">Thesis!$J$141</f>
        <v>236.398909446495</v>
      </c>
      <c r="K95" s="38" t="n">
        <f aca="false">Thesis!$K$141</f>
        <v>255.310822202215</v>
      </c>
      <c r="L95" s="38" t="n">
        <f aca="false">Thesis!$L$141</f>
        <v>275.735687978392</v>
      </c>
      <c r="M95" s="38" t="n">
        <f aca="false">Thesis!$M$141</f>
        <v>297.794543016663</v>
      </c>
      <c r="N95" s="38" t="n">
        <f aca="false">Thesis!$N$141</f>
        <v>57.0936804689721</v>
      </c>
      <c r="O95" s="38" t="n">
        <f aca="false">Thesis!$O$141</f>
        <v>62.9275494423768</v>
      </c>
      <c r="P95" s="8" t="s">
        <v>644</v>
      </c>
    </row>
    <row r="96" customFormat="false" ht="17.15" hidden="false" customHeight="false" outlineLevel="0" collapsed="false">
      <c r="A96" s="1" t="s">
        <v>476</v>
      </c>
      <c r="B96" s="8" t="s">
        <v>73</v>
      </c>
      <c r="C96" s="38" t="n">
        <f aca="false">Q!$D$7</f>
        <v>107.556</v>
      </c>
      <c r="D96" s="38" t="n">
        <f aca="false">Q!$E$7</f>
        <v>128.725</v>
      </c>
      <c r="E96" s="38" t="n">
        <f aca="false">Q!$P$7</f>
        <v>79.819</v>
      </c>
      <c r="F96" s="38" t="n">
        <f aca="false">Seg!$F$94+Seg!$F$95</f>
        <v>92.7324277269991</v>
      </c>
      <c r="G96" s="38" t="n">
        <f aca="false">Seg!$G$94+Seg!$G$95</f>
        <v>172.551427726999</v>
      </c>
      <c r="H96" s="38" t="n">
        <f aca="false">Seg!$H$94+Seg!$H$95</f>
        <v>234.315850966005</v>
      </c>
      <c r="I96" s="38" t="n">
        <f aca="false">Seg!$I$94+Seg!$I$95</f>
        <v>298.448143470312</v>
      </c>
      <c r="J96" s="38" t="n">
        <f aca="false">Seg!$J$94+Seg!$J$95</f>
        <v>358.729046847807</v>
      </c>
      <c r="K96" s="38" t="n">
        <f aca="false">Seg!$K$94+Seg!$K$95</f>
        <v>412.222329112395</v>
      </c>
      <c r="L96" s="38" t="n">
        <f aca="false">Seg!$L$94+Seg!$L$95</f>
        <v>467.251736380559</v>
      </c>
      <c r="M96" s="38" t="n">
        <f aca="false">Seg!$M$94+Seg!$M$95</f>
        <v>523.927610132494</v>
      </c>
      <c r="N96" s="38" t="n">
        <f aca="false">Q!$N$7</f>
        <v>60.14</v>
      </c>
      <c r="O96" s="38" t="n">
        <f aca="false">Q!$O$7</f>
        <v>68.585</v>
      </c>
      <c r="P96" s="5" t="s">
        <v>646</v>
      </c>
    </row>
    <row r="97" customFormat="false" ht="15" hidden="false" customHeight="false" outlineLevel="0" collapsed="false">
      <c r="A97" s="3" t="s">
        <v>647</v>
      </c>
      <c r="B97" s="8" t="s">
        <v>73</v>
      </c>
      <c r="C97" s="38" t="n">
        <f aca="false">Q!$D$8</f>
        <v>637.959</v>
      </c>
      <c r="D97" s="38" t="n">
        <f aca="false">Q!$E$8</f>
        <v>716.924</v>
      </c>
      <c r="E97" s="38" t="n">
        <f aca="false">Q!$P$8</f>
        <v>382.125</v>
      </c>
      <c r="F97" s="38" t="n">
        <f aca="false">Seg!$F$87+Seg!$F$96</f>
        <v>449.668856935429</v>
      </c>
      <c r="G97" s="38" t="n">
        <f aca="false">Seg!$G$87+Seg!$G$96</f>
        <v>831.793856935429</v>
      </c>
      <c r="H97" s="38" t="n">
        <f aca="false">Seg!$H$87+Seg!$H$96</f>
        <v>964.251588587706</v>
      </c>
      <c r="I97" s="38" t="n">
        <f aca="false">Seg!$I$87+Seg!$I$96</f>
        <v>1096.74371316818</v>
      </c>
      <c r="J97" s="38" t="n">
        <f aca="false">Seg!$J$87+Seg!$J$96</f>
        <v>1220.46586917359</v>
      </c>
      <c r="K97" s="38" t="n">
        <f aca="false">Seg!$K$87+Seg!$K$96</f>
        <v>1329.77982121432</v>
      </c>
      <c r="L97" s="38" t="n">
        <f aca="false">Seg!$L$87+Seg!$L$96</f>
        <v>1444.53682612372</v>
      </c>
      <c r="M97" s="38" t="n">
        <f aca="false">Seg!$M$87+Seg!$M$96</f>
        <v>1565.141628676</v>
      </c>
      <c r="N97" s="38" t="n">
        <f aca="false">Q!$N$8</f>
        <v>323.369</v>
      </c>
      <c r="O97" s="38" t="n">
        <f aca="false">Q!$O$8</f>
        <v>393.555</v>
      </c>
    </row>
    <row r="98" customFormat="false" ht="17.15" hidden="false" customHeight="false" outlineLevel="0" collapsed="false">
      <c r="A98" s="24" t="s">
        <v>659</v>
      </c>
      <c r="B98" s="25" t="s">
        <v>73</v>
      </c>
      <c r="C98" s="39" t="n">
        <f aca="false">Seg!$C$87-(Seg!$C$89+Seg!$C$90)</f>
        <v>0</v>
      </c>
      <c r="D98" s="39" t="n">
        <f aca="false">Seg!$D$87-(Seg!$D$89+Seg!$D$90)</f>
        <v>0</v>
      </c>
      <c r="E98" s="39" t="n">
        <f aca="false">Seg!$E$87-(Seg!$E$89+Seg!$E$90)</f>
        <v>0</v>
      </c>
      <c r="F98" s="39" t="n">
        <f aca="false">Seg!$F$87-(Seg!$F$89+Seg!$F$90)</f>
        <v>0</v>
      </c>
      <c r="G98" s="39" t="n">
        <f aca="false">Seg!$G$87-(Seg!$G$89+Seg!$G$90)</f>
        <v>0</v>
      </c>
      <c r="H98" s="39" t="n">
        <f aca="false">Seg!$H$87-(Seg!$H$89+Seg!$H$90)</f>
        <v>0</v>
      </c>
      <c r="I98" s="39" t="n">
        <f aca="false">Seg!$I$87-(Seg!$I$89+Seg!$I$90)</f>
        <v>0</v>
      </c>
      <c r="J98" s="39" t="n">
        <f aca="false">Seg!$J$87-(Seg!$J$89+Seg!$J$90)</f>
        <v>0</v>
      </c>
      <c r="K98" s="39" t="n">
        <f aca="false">Seg!$K$87-(Seg!$K$89+Seg!$K$90)</f>
        <v>0</v>
      </c>
      <c r="L98" s="39" t="n">
        <f aca="false">Seg!$L$87-(Seg!$L$89+Seg!$L$90)</f>
        <v>0</v>
      </c>
      <c r="M98" s="39" t="n">
        <f aca="false">Seg!$M$87-(Seg!$M$89+Seg!$M$90)</f>
        <v>0</v>
      </c>
      <c r="N98" s="39" t="n">
        <f aca="false">Seg!$N$87-(Seg!$N$89+Seg!$N$90)</f>
        <v>0</v>
      </c>
      <c r="O98" s="39" t="n">
        <f aca="false">Seg!$O$87-(Seg!$O$89+Seg!$O$90)</f>
        <v>0</v>
      </c>
    </row>
    <row r="99" customFormat="false" ht="17.15" hidden="false" customHeight="false" outlineLevel="0" collapsed="false">
      <c r="A99" s="24" t="s">
        <v>660</v>
      </c>
      <c r="B99" s="25" t="s">
        <v>73</v>
      </c>
      <c r="C99" s="39" t="n">
        <f aca="false">Seg!$C$94+Seg!$C$95-Seg!$C$96</f>
        <v>0</v>
      </c>
      <c r="D99" s="39" t="n">
        <f aca="false">Seg!$D$94+Seg!$D$95-Seg!$D$96</f>
        <v>0</v>
      </c>
      <c r="E99" s="39" t="n">
        <f aca="false">Seg!$E$94+Seg!$E$95-Seg!$E$96</f>
        <v>0</v>
      </c>
      <c r="F99" s="39" t="n">
        <f aca="false">Seg!$F$94+Seg!$F$95-Seg!$F$96</f>
        <v>0</v>
      </c>
      <c r="G99" s="39" t="n">
        <f aca="false">Seg!$G$94+Seg!$G$95-Seg!$G$96</f>
        <v>0</v>
      </c>
      <c r="H99" s="39" t="n">
        <f aca="false">Seg!$H$94+Seg!$H$95-Seg!$H$96</f>
        <v>0</v>
      </c>
      <c r="I99" s="39" t="n">
        <f aca="false">Seg!$I$94+Seg!$I$95-Seg!$I$96</f>
        <v>0</v>
      </c>
      <c r="J99" s="39" t="n">
        <f aca="false">Seg!$J$94+Seg!$J$95-Seg!$J$96</f>
        <v>0</v>
      </c>
      <c r="K99" s="39" t="n">
        <f aca="false">Seg!$K$94+Seg!$K$95-Seg!$K$96</f>
        <v>0</v>
      </c>
      <c r="L99" s="39" t="n">
        <f aca="false">Seg!$L$94+Seg!$L$95-Seg!$L$96</f>
        <v>0</v>
      </c>
      <c r="M99" s="39" t="n">
        <f aca="false">Seg!$M$94+Seg!$M$95-Seg!$M$96</f>
        <v>0</v>
      </c>
      <c r="N99" s="39" t="n">
        <f aca="false">Seg!$N$94+Seg!$N$95-Seg!$N$96</f>
        <v>0</v>
      </c>
      <c r="O99" s="39" t="n">
        <f aca="false">Seg!$O$94+Seg!$O$95-Seg!$O$96</f>
        <v>0</v>
      </c>
    </row>
    <row r="100" customFormat="false" ht="17.15" hidden="false" customHeight="false" outlineLevel="0" collapsed="false">
      <c r="A100" s="24" t="s">
        <v>661</v>
      </c>
      <c r="B100" s="25" t="s">
        <v>73</v>
      </c>
      <c r="C100" s="39" t="n">
        <f aca="false">Seg!$C$89+Seg!$C$90+Seg!$C$96-Seg!$C$97</f>
        <v>0</v>
      </c>
      <c r="D100" s="39" t="n">
        <f aca="false">Seg!$D$89+Seg!$D$90+Seg!$D$96-Seg!$D$97</f>
        <v>0</v>
      </c>
      <c r="E100" s="39" t="n">
        <f aca="false">Seg!$E$89+Seg!$E$90+Seg!$E$96-Seg!$E$97</f>
        <v>0</v>
      </c>
      <c r="F100" s="39" t="n">
        <f aca="false">Seg!$F$89+Seg!$F$90+Seg!$F$96-Seg!$F$97</f>
        <v>0</v>
      </c>
      <c r="G100" s="39" t="n">
        <f aca="false">Seg!$G$89+Seg!$G$90+Seg!$G$96-Seg!$G$97</f>
        <v>0</v>
      </c>
      <c r="H100" s="39" t="n">
        <f aca="false">Seg!$H$89+Seg!$H$90+Seg!$H$96-Seg!$H$97</f>
        <v>0</v>
      </c>
      <c r="I100" s="39" t="n">
        <f aca="false">Seg!$I$89+Seg!$I$90+Seg!$I$96-Seg!$I$97</f>
        <v>0</v>
      </c>
      <c r="J100" s="39" t="n">
        <f aca="false">Seg!$J$89+Seg!$J$90+Seg!$J$96-Seg!$J$97</f>
        <v>0</v>
      </c>
      <c r="K100" s="39" t="n">
        <f aca="false">Seg!$K$89+Seg!$K$90+Seg!$K$96-Seg!$K$97</f>
        <v>0</v>
      </c>
      <c r="L100" s="39" t="n">
        <f aca="false">Seg!$L$89+Seg!$L$90+Seg!$L$96-Seg!$L$97</f>
        <v>0</v>
      </c>
      <c r="M100" s="39" t="n">
        <f aca="false">Seg!$M$89+Seg!$M$90+Seg!$M$96-Seg!$M$97</f>
        <v>0</v>
      </c>
      <c r="N100" s="39" t="n">
        <f aca="false">Seg!$N$89+Seg!$N$90+Seg!$N$96-Seg!$N$97</f>
        <v>0</v>
      </c>
      <c r="O100" s="39" t="n">
        <f aca="false">Seg!$O$89+Seg!$O$90+Seg!$O$96-Seg!$O$97</f>
        <v>0</v>
      </c>
    </row>
    <row r="101" customFormat="false" ht="15" hidden="false" customHeight="false" outlineLevel="0" collapsed="false">
      <c r="A101" s="5" t="s">
        <v>651</v>
      </c>
      <c r="B101" s="0" t="s">
        <v>52</v>
      </c>
      <c r="G101" s="12" t="n">
        <f aca="false">Seg!$G$97/Seg!$D$97-1</f>
        <v>0.160225988996642</v>
      </c>
      <c r="H101" s="12" t="n">
        <f aca="false">Seg!$H$97/Seg!$G$97-1</f>
        <v>0.159243459840266</v>
      </c>
      <c r="I101" s="12" t="n">
        <f aca="false">Seg!$I$97/Seg!$H$97-1</f>
        <v>0.137404102983676</v>
      </c>
      <c r="J101" s="12" t="n">
        <f aca="false">Seg!$J$97/Seg!$I$97-1</f>
        <v>0.1128086302387</v>
      </c>
      <c r="K101" s="12" t="n">
        <f aca="false">Seg!$K$97/Seg!$J$97-1</f>
        <v>0.0895673978287874</v>
      </c>
      <c r="L101" s="12" t="n">
        <f aca="false">Seg!$L$97/Seg!$K$97-1</f>
        <v>0.0862977487540833</v>
      </c>
      <c r="M101" s="12" t="n">
        <f aca="false">Seg!$M$97/Seg!$L$97-1</f>
        <v>0.0834902927853387</v>
      </c>
    </row>
    <row r="102" customFormat="false" ht="17.15" hidden="false" customHeight="false" outlineLevel="0" collapsed="false">
      <c r="A102" s="0" t="s">
        <v>652</v>
      </c>
      <c r="B102" s="0" t="s">
        <v>52</v>
      </c>
      <c r="C102" s="12" t="n">
        <f aca="false">Seg!$C$96/Seg!$C$97</f>
        <v>0.168593906504964</v>
      </c>
      <c r="D102" s="12" t="n">
        <f aca="false">Seg!$D$96/Seg!$D$97</f>
        <v>0.179551807444025</v>
      </c>
      <c r="E102" s="12" t="n">
        <f aca="false">Seg!$E$96/Seg!$E$97</f>
        <v>0.208881910369643</v>
      </c>
      <c r="F102" s="12" t="n">
        <f aca="false">Seg!$F$96/Seg!$F$97</f>
        <v>0.206223816252223</v>
      </c>
      <c r="G102" s="12" t="n">
        <f aca="false">Seg!$G$96/Seg!$G$97</f>
        <v>0.207444941181375</v>
      </c>
      <c r="H102" s="12" t="n">
        <f aca="false">Seg!$H$96/Seg!$H$97</f>
        <v>0.243002815592139</v>
      </c>
      <c r="I102" s="12" t="n">
        <f aca="false">Seg!$I$96/Seg!$I$97</f>
        <v>0.272122046278413</v>
      </c>
      <c r="J102" s="12" t="n">
        <f aca="false">Seg!$J$96/Seg!$J$97</f>
        <v>0.293927963008676</v>
      </c>
      <c r="K102" s="12" t="n">
        <f aca="false">Seg!$K$96/Seg!$K$97</f>
        <v>0.309992919531569</v>
      </c>
      <c r="L102" s="12" t="n">
        <f aca="false">Seg!$L$96/Seg!$L$97</f>
        <v>0.323461283873519</v>
      </c>
      <c r="M102" s="12" t="n">
        <f aca="false">Seg!$M$96/Seg!$M$97</f>
        <v>0.334747731791979</v>
      </c>
      <c r="N102" s="12" t="n">
        <f aca="false">Seg!$N$96/Seg!$N$97</f>
        <v>0.185979484737251</v>
      </c>
      <c r="O102" s="12" t="n">
        <f aca="false">Seg!$O$96/Seg!$O$97</f>
        <v>0.174270432341096</v>
      </c>
    </row>
    <row r="103" customFormat="false" ht="17.15" hidden="false" customHeight="false" outlineLevel="0" collapsed="false">
      <c r="A103" s="0" t="s">
        <v>653</v>
      </c>
      <c r="B103" s="0" t="s">
        <v>52</v>
      </c>
      <c r="C103" s="12" t="n">
        <f aca="false">Seg!$C$94/Seg!$C$96</f>
        <v>0.0215795060896058</v>
      </c>
      <c r="D103" s="12" t="n">
        <f aca="false">Seg!$D$94/Seg!$D$96</f>
        <v>0.0676152269462122</v>
      </c>
      <c r="E103" s="12" t="n">
        <f aca="false">Seg!$E$94/Seg!$E$96</f>
        <v>0.106620641395783</v>
      </c>
      <c r="F103" s="12" t="n">
        <f aca="false">Seg!$F$94/Seg!$F$96</f>
        <v>0.15245386813288</v>
      </c>
      <c r="G103" s="12" t="n">
        <f aca="false">Seg!$G$94/Seg!$G$96</f>
        <v>0.131252291460235</v>
      </c>
      <c r="H103" s="12" t="n">
        <f aca="false">Seg!$H$94/Seg!$H$96</f>
        <v>0.227992643167849</v>
      </c>
      <c r="I103" s="12" t="n">
        <f aca="false">Seg!$I$94/Seg!$I$96</f>
        <v>0.294187610733237</v>
      </c>
      <c r="J103" s="12" t="n">
        <f aca="false">Seg!$J$94/Seg!$J$96</f>
        <v>0.341009847059336</v>
      </c>
      <c r="K103" s="12" t="n">
        <f aca="false">Seg!$K$94/Seg!$K$96</f>
        <v>0.380647761726168</v>
      </c>
      <c r="L103" s="12" t="n">
        <f aca="false">Seg!$L$94/Seg!$L$96</f>
        <v>0.409877660136044</v>
      </c>
      <c r="M103" s="12" t="n">
        <f aca="false">Seg!$M$94/Seg!$M$96</f>
        <v>0.431611281296371</v>
      </c>
      <c r="N103" s="12" t="n">
        <f aca="false">Seg!$N$94/Seg!$N$96</f>
        <v>0.0506537999838362</v>
      </c>
      <c r="O103" s="12" t="n">
        <f aca="false">Seg!$O$94/Seg!$O$96</f>
        <v>0.0824881615167056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662</v>
      </c>
    </row>
    <row r="2" customFormat="false" ht="17.15" hidden="false" customHeight="false" outlineLevel="0" collapsed="false">
      <c r="A2" s="5" t="s">
        <v>663</v>
      </c>
    </row>
    <row r="4" customFormat="false" ht="17.15" hidden="false" customHeight="false" outlineLevel="0" collapsed="false">
      <c r="A4" s="3" t="s">
        <v>664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0" t="s">
        <v>457</v>
      </c>
      <c r="D5" s="20" t="s">
        <v>458</v>
      </c>
      <c r="E5" s="20" t="s">
        <v>540</v>
      </c>
      <c r="F5" s="20" t="s">
        <v>541</v>
      </c>
      <c r="G5" s="20" t="s">
        <v>542</v>
      </c>
      <c r="H5" s="20" t="s">
        <v>543</v>
      </c>
      <c r="I5" s="20" t="s">
        <v>544</v>
      </c>
      <c r="J5" s="20" t="s">
        <v>545</v>
      </c>
      <c r="K5" s="20" t="s">
        <v>546</v>
      </c>
      <c r="L5" s="20" t="s">
        <v>547</v>
      </c>
      <c r="M5" s="20" t="s">
        <v>548</v>
      </c>
      <c r="N5" s="20" t="s">
        <v>549</v>
      </c>
      <c r="O5" s="20" t="s">
        <v>550</v>
      </c>
      <c r="P5" s="6" t="s">
        <v>23</v>
      </c>
    </row>
    <row r="6" customFormat="false" ht="17.15" hidden="false" customHeight="false" outlineLevel="0" collapsed="false">
      <c r="A6" s="24" t="s">
        <v>487</v>
      </c>
      <c r="B6" s="25" t="s">
        <v>73</v>
      </c>
      <c r="C6" s="40" t="n">
        <f aca="false">ABS(PL!$C$28)+ABS(PL!$C$94)+ABS(PL!$C$160)</f>
        <v>0</v>
      </c>
      <c r="D6" s="40" t="n">
        <f aca="false">ABS(PL!$D$28)+ABS(PL!$D$94)+ABS(PL!$D$160)</f>
        <v>0</v>
      </c>
      <c r="E6" s="40" t="n">
        <f aca="false">ABS(PL!$E$28)+ABS(PL!$E$94)+ABS(PL!$E$160)</f>
        <v>0</v>
      </c>
      <c r="F6" s="40" t="n">
        <f aca="false">ABS(PL!$F$28)+ABS(PL!$F$94)+ABS(PL!$F$160)</f>
        <v>0</v>
      </c>
      <c r="G6" s="40" t="n">
        <f aca="false">ABS(PL!$G$28)+ABS(PL!$G$94)+ABS(PL!$G$160)</f>
        <v>0</v>
      </c>
      <c r="H6" s="40" t="n">
        <f aca="false">ABS(PL!$H$28)+ABS(PL!$H$94)+ABS(PL!$H$160)</f>
        <v>0</v>
      </c>
      <c r="I6" s="40" t="n">
        <f aca="false">ABS(PL!$I$28)+ABS(PL!$I$94)+ABS(PL!$I$160)</f>
        <v>0</v>
      </c>
      <c r="J6" s="40" t="n">
        <f aca="false">ABS(PL!$J$28)+ABS(PL!$J$94)+ABS(PL!$J$160)</f>
        <v>0</v>
      </c>
      <c r="K6" s="40" t="n">
        <f aca="false">ABS(PL!$K$28)+ABS(PL!$K$94)+ABS(PL!$K$160)</f>
        <v>0</v>
      </c>
      <c r="L6" s="40" t="n">
        <f aca="false">ABS(PL!$L$28)+ABS(PL!$L$94)+ABS(PL!$L$160)</f>
        <v>0</v>
      </c>
      <c r="M6" s="40" t="n">
        <f aca="false">ABS(PL!$M$28)+ABS(PL!$M$94)+ABS(PL!$M$160)</f>
        <v>0</v>
      </c>
      <c r="N6" s="40" t="n">
        <f aca="false">ABS(PL!$N$28)+ABS(PL!$N$94)+ABS(PL!$N$160)</f>
        <v>0</v>
      </c>
      <c r="O6" s="40" t="n">
        <f aca="false">ABS(PL!$O$28)+ABS(PL!$O$94)+ABS(PL!$O$160)</f>
        <v>0</v>
      </c>
    </row>
    <row r="7" customFormat="false" ht="17.15" hidden="false" customHeight="false" outlineLevel="0" collapsed="false">
      <c r="A7" s="24" t="s">
        <v>665</v>
      </c>
      <c r="B7" s="25" t="s">
        <v>73</v>
      </c>
      <c r="C7" s="40" t="n">
        <f aca="false">ABS(PL!$C$29)+ABS(PL!$C$95)+ABS(PL!$C$161)</f>
        <v>0</v>
      </c>
      <c r="D7" s="40" t="n">
        <f aca="false">ABS(PL!$D$29)+ABS(PL!$D$95)+ABS(PL!$D$161)</f>
        <v>0</v>
      </c>
      <c r="E7" s="40" t="n">
        <f aca="false">ABS(PL!$E$29)+ABS(PL!$E$95)+ABS(PL!$E$161)</f>
        <v>0</v>
      </c>
      <c r="F7" s="40" t="n">
        <f aca="false">ABS(PL!$F$29)+ABS(PL!$F$95)+ABS(PL!$F$161)</f>
        <v>0</v>
      </c>
      <c r="G7" s="40" t="n">
        <f aca="false">ABS(PL!$G$29)+ABS(PL!$G$95)+ABS(PL!$G$161)</f>
        <v>0</v>
      </c>
      <c r="H7" s="40" t="n">
        <f aca="false">ABS(PL!$H$29)+ABS(PL!$H$95)+ABS(PL!$H$161)</f>
        <v>0</v>
      </c>
      <c r="I7" s="40" t="n">
        <f aca="false">ABS(PL!$I$29)+ABS(PL!$I$95)+ABS(PL!$I$161)</f>
        <v>0</v>
      </c>
      <c r="J7" s="40" t="n">
        <f aca="false">ABS(PL!$J$29)+ABS(PL!$J$95)+ABS(PL!$J$161)</f>
        <v>0</v>
      </c>
      <c r="K7" s="40" t="n">
        <f aca="false">ABS(PL!$K$29)+ABS(PL!$K$95)+ABS(PL!$K$161)</f>
        <v>0</v>
      </c>
      <c r="L7" s="40" t="n">
        <f aca="false">ABS(PL!$L$29)+ABS(PL!$L$95)+ABS(PL!$L$161)</f>
        <v>0</v>
      </c>
      <c r="M7" s="40" t="n">
        <f aca="false">ABS(PL!$M$29)+ABS(PL!$M$95)+ABS(PL!$M$161)</f>
        <v>0</v>
      </c>
      <c r="N7" s="40" t="n">
        <f aca="false">ABS(PL!$N$29)+ABS(PL!$N$95)+ABS(PL!$N$161)</f>
        <v>0</v>
      </c>
      <c r="O7" s="40" t="n">
        <f aca="false">ABS(PL!$O$29)+ABS(PL!$O$95)+ABS(PL!$O$161)</f>
        <v>0</v>
      </c>
    </row>
    <row r="8" customFormat="false" ht="17.15" hidden="false" customHeight="false" outlineLevel="0" collapsed="false">
      <c r="A8" s="24" t="s">
        <v>488</v>
      </c>
      <c r="B8" s="25" t="s">
        <v>73</v>
      </c>
      <c r="C8" s="40" t="n">
        <f aca="false">ABS(PL!$C$30)+ABS(PL!$C$96)+ABS(PL!$C$162)</f>
        <v>0</v>
      </c>
      <c r="D8" s="40" t="n">
        <f aca="false">ABS(PL!$D$30)+ABS(PL!$D$96)+ABS(PL!$D$162)</f>
        <v>0</v>
      </c>
      <c r="E8" s="40" t="n">
        <f aca="false">ABS(PL!$E$30)+ABS(PL!$E$96)+ABS(PL!$E$162)</f>
        <v>0</v>
      </c>
      <c r="F8" s="40" t="n">
        <f aca="false">ABS(PL!$F$30)+ABS(PL!$F$96)+ABS(PL!$F$162)</f>
        <v>0</v>
      </c>
      <c r="G8" s="40" t="n">
        <f aca="false">ABS(PL!$G$30)+ABS(PL!$G$96)+ABS(PL!$G$162)</f>
        <v>0</v>
      </c>
      <c r="H8" s="40" t="n">
        <f aca="false">ABS(PL!$H$30)+ABS(PL!$H$96)+ABS(PL!$H$162)</f>
        <v>0</v>
      </c>
      <c r="I8" s="40" t="n">
        <f aca="false">ABS(PL!$I$30)+ABS(PL!$I$96)+ABS(PL!$I$162)</f>
        <v>0</v>
      </c>
      <c r="J8" s="40" t="n">
        <f aca="false">ABS(PL!$J$30)+ABS(PL!$J$96)+ABS(PL!$J$162)</f>
        <v>0</v>
      </c>
      <c r="K8" s="40" t="n">
        <f aca="false">ABS(PL!$K$30)+ABS(PL!$K$96)+ABS(PL!$K$162)</f>
        <v>0</v>
      </c>
      <c r="L8" s="40" t="n">
        <f aca="false">ABS(PL!$L$30)+ABS(PL!$L$96)+ABS(PL!$L$162)</f>
        <v>0</v>
      </c>
      <c r="M8" s="40" t="n">
        <f aca="false">ABS(PL!$M$30)+ABS(PL!$M$96)+ABS(PL!$M$162)</f>
        <v>0</v>
      </c>
      <c r="N8" s="40" t="n">
        <f aca="false">ABS(PL!$N$30)+ABS(PL!$N$96)+ABS(PL!$N$162)</f>
        <v>0</v>
      </c>
      <c r="O8" s="40" t="n">
        <f aca="false">ABS(PL!$O$30)+ABS(PL!$O$96)+ABS(PL!$O$162)</f>
        <v>0</v>
      </c>
    </row>
    <row r="9" customFormat="false" ht="15" hidden="false" customHeight="false" outlineLevel="0" collapsed="false">
      <c r="A9" s="24" t="s">
        <v>489</v>
      </c>
      <c r="B9" s="25" t="s">
        <v>73</v>
      </c>
      <c r="C9" s="40" t="n">
        <f aca="false">ABS(PL!$C$31)+ABS(PL!$C$97)+ABS(PL!$C$163)</f>
        <v>0</v>
      </c>
      <c r="D9" s="40" t="n">
        <f aca="false">ABS(PL!$D$31)+ABS(PL!$D$97)+ABS(PL!$D$163)</f>
        <v>0</v>
      </c>
      <c r="E9" s="40" t="n">
        <f aca="false">ABS(PL!$E$31)+ABS(PL!$E$97)+ABS(PL!$E$163)</f>
        <v>0</v>
      </c>
      <c r="F9" s="40" t="n">
        <f aca="false">ABS(PL!$F$31)+ABS(PL!$F$97)+ABS(PL!$F$163)</f>
        <v>0</v>
      </c>
      <c r="G9" s="40" t="n">
        <f aca="false">ABS(PL!$G$31)+ABS(PL!$G$97)+ABS(PL!$G$163)</f>
        <v>0</v>
      </c>
      <c r="H9" s="40" t="n">
        <f aca="false">ABS(PL!$H$31)+ABS(PL!$H$97)+ABS(PL!$H$163)</f>
        <v>0</v>
      </c>
      <c r="I9" s="40" t="n">
        <f aca="false">ABS(PL!$I$31)+ABS(PL!$I$97)+ABS(PL!$I$163)</f>
        <v>0</v>
      </c>
      <c r="J9" s="40" t="n">
        <f aca="false">ABS(PL!$J$31)+ABS(PL!$J$97)+ABS(PL!$J$163)</f>
        <v>0</v>
      </c>
      <c r="K9" s="40" t="n">
        <f aca="false">ABS(PL!$K$31)+ABS(PL!$K$97)+ABS(PL!$K$163)</f>
        <v>0</v>
      </c>
      <c r="L9" s="40" t="n">
        <f aca="false">ABS(PL!$L$31)+ABS(PL!$L$97)+ABS(PL!$L$163)</f>
        <v>0</v>
      </c>
      <c r="M9" s="40" t="n">
        <f aca="false">ABS(PL!$M$31)+ABS(PL!$M$97)+ABS(PL!$M$163)</f>
        <v>0</v>
      </c>
      <c r="N9" s="40" t="n">
        <f aca="false">ABS(PL!$N$31)+ABS(PL!$N$97)+ABS(PL!$N$163)</f>
        <v>0</v>
      </c>
      <c r="O9" s="40" t="n">
        <f aca="false">ABS(PL!$O$31)+ABS(PL!$O$97)+ABS(PL!$O$163)</f>
        <v>0</v>
      </c>
    </row>
    <row r="10" customFormat="false" ht="15" hidden="false" customHeight="false" outlineLevel="0" collapsed="false">
      <c r="A10" s="24" t="s">
        <v>666</v>
      </c>
      <c r="B10" s="25" t="s">
        <v>73</v>
      </c>
      <c r="C10" s="40" t="n">
        <f aca="false">ABS(PL!$C$48)+ABS(PL!$C$114)+ABS(PL!$C$180)</f>
        <v>0</v>
      </c>
      <c r="D10" s="40" t="n">
        <f aca="false">ABS(PL!$D$48)+ABS(PL!$D$114)+ABS(PL!$D$180)</f>
        <v>0</v>
      </c>
      <c r="E10" s="40" t="n">
        <f aca="false">ABS(PL!$E$48)+ABS(PL!$E$114)+ABS(PL!$E$180)</f>
        <v>0</v>
      </c>
      <c r="F10" s="40" t="n">
        <f aca="false">ABS(PL!$F$48)+ABS(PL!$F$114)+ABS(PL!$F$180)</f>
        <v>0</v>
      </c>
      <c r="G10" s="40" t="n">
        <f aca="false">ABS(PL!$G$48)+ABS(PL!$G$114)+ABS(PL!$G$180)</f>
        <v>0</v>
      </c>
      <c r="H10" s="40" t="n">
        <f aca="false">ABS(PL!$H$48)+ABS(PL!$H$114)+ABS(PL!$H$180)</f>
        <v>0</v>
      </c>
      <c r="I10" s="40" t="n">
        <f aca="false">ABS(PL!$I$48)+ABS(PL!$I$114)+ABS(PL!$I$180)</f>
        <v>0</v>
      </c>
      <c r="J10" s="40" t="n">
        <f aca="false">ABS(PL!$J$48)+ABS(PL!$J$114)+ABS(PL!$J$180)</f>
        <v>0</v>
      </c>
      <c r="K10" s="40" t="n">
        <f aca="false">ABS(PL!$K$48)+ABS(PL!$K$114)+ABS(PL!$K$180)</f>
        <v>0</v>
      </c>
      <c r="L10" s="40" t="n">
        <f aca="false">ABS(PL!$L$48)+ABS(PL!$L$114)+ABS(PL!$L$180)</f>
        <v>0</v>
      </c>
      <c r="M10" s="40" t="n">
        <f aca="false">ABS(PL!$M$48)+ABS(PL!$M$114)+ABS(PL!$M$180)</f>
        <v>0</v>
      </c>
      <c r="N10" s="40" t="n">
        <f aca="false">ABS(PL!$N$48)+ABS(PL!$N$114)+ABS(PL!$N$180)</f>
        <v>0</v>
      </c>
      <c r="O10" s="40" t="n">
        <f aca="false">ABS(PL!$O$48)+ABS(PL!$O$114)+ABS(PL!$O$180)</f>
        <v>0</v>
      </c>
    </row>
    <row r="12" customFormat="false" ht="19.4" hidden="false" customHeight="false" outlineLevel="0" collapsed="false">
      <c r="A12" s="31" t="s">
        <v>667</v>
      </c>
    </row>
    <row r="13" customFormat="false" ht="17.15" hidden="false" customHeight="false" outlineLevel="0" collapsed="false">
      <c r="A13" s="6" t="s">
        <v>16</v>
      </c>
      <c r="B13" s="6" t="s">
        <v>17</v>
      </c>
      <c r="C13" s="20" t="s">
        <v>457</v>
      </c>
      <c r="D13" s="20" t="s">
        <v>458</v>
      </c>
      <c r="E13" s="20" t="s">
        <v>540</v>
      </c>
      <c r="F13" s="20" t="s">
        <v>541</v>
      </c>
      <c r="G13" s="20" t="s">
        <v>542</v>
      </c>
      <c r="H13" s="20" t="s">
        <v>543</v>
      </c>
      <c r="I13" s="20" t="s">
        <v>544</v>
      </c>
      <c r="J13" s="20" t="s">
        <v>545</v>
      </c>
      <c r="K13" s="20" t="s">
        <v>546</v>
      </c>
      <c r="L13" s="20" t="s">
        <v>547</v>
      </c>
      <c r="M13" s="20" t="s">
        <v>548</v>
      </c>
      <c r="N13" s="20" t="s">
        <v>549</v>
      </c>
      <c r="O13" s="20" t="s">
        <v>550</v>
      </c>
      <c r="P13" s="6" t="s">
        <v>23</v>
      </c>
      <c r="R13" s="20" t="n">
        <v>2023</v>
      </c>
      <c r="S13" s="20" t="n">
        <v>2024</v>
      </c>
      <c r="T13" s="20" t="n">
        <v>2025</v>
      </c>
      <c r="U13" s="20" t="n">
        <v>2026</v>
      </c>
      <c r="V13" s="20" t="n">
        <v>2027</v>
      </c>
      <c r="W13" s="20" t="n">
        <v>2028</v>
      </c>
      <c r="X13" s="20" t="n">
        <v>2029</v>
      </c>
      <c r="Y13" s="20" t="n">
        <v>2030</v>
      </c>
      <c r="Z13" s="20" t="n">
        <v>2031</v>
      </c>
      <c r="AA13" s="20" t="n">
        <v>2032</v>
      </c>
    </row>
    <row r="14" customFormat="false" ht="17.15" hidden="false" customHeight="false" outlineLevel="0" collapsed="false">
      <c r="A14" s="1" t="s">
        <v>668</v>
      </c>
    </row>
    <row r="15" customFormat="false" ht="15" hidden="false" customHeight="false" outlineLevel="0" collapsed="false">
      <c r="A15" s="0" t="s">
        <v>479</v>
      </c>
      <c r="B15" s="0" t="s">
        <v>73</v>
      </c>
      <c r="C15" s="38" t="n">
        <f aca="false">Seg!$C$7</f>
        <v>247.029</v>
      </c>
      <c r="D15" s="38" t="n">
        <f aca="false">Seg!$D$7</f>
        <v>269.287</v>
      </c>
      <c r="E15" s="38" t="n">
        <f aca="false">Seg!$E$7</f>
        <v>134.686</v>
      </c>
      <c r="F15" s="38" t="n">
        <f aca="false">Seg!$F$7</f>
        <v>160.728085930082</v>
      </c>
      <c r="G15" s="38" t="n">
        <f aca="false">Seg!$G$7</f>
        <v>295.414085930082</v>
      </c>
      <c r="H15" s="38" t="n">
        <f aca="false">Seg!$H$7</f>
        <v>320.828163943375</v>
      </c>
      <c r="I15" s="38" t="n">
        <f aca="false">Seg!$I$7</f>
        <v>344.575578072228</v>
      </c>
      <c r="J15" s="38" t="n">
        <f aca="false">Seg!$J$7</f>
        <v>365.942555779681</v>
      </c>
      <c r="K15" s="38" t="n">
        <f aca="false">Seg!$K$7</f>
        <v>384.239683568665</v>
      </c>
      <c r="L15" s="38" t="n">
        <f aca="false">Seg!$L$7</f>
        <v>403.451667747098</v>
      </c>
      <c r="M15" s="38" t="n">
        <f aca="false">Seg!$M$7</f>
        <v>423.624251134453</v>
      </c>
      <c r="N15" s="38" t="n">
        <f aca="false">Seg!$N$7</f>
        <v>118.892</v>
      </c>
      <c r="O15" s="38" t="n">
        <f aca="false">Seg!$O$7</f>
        <v>150.395</v>
      </c>
    </row>
    <row r="16" customFormat="false" ht="15" hidden="false" customHeight="false" outlineLevel="0" collapsed="false">
      <c r="A16" s="0" t="s">
        <v>480</v>
      </c>
      <c r="B16" s="0" t="s">
        <v>73</v>
      </c>
      <c r="C16" s="38" t="n">
        <f aca="false">Seg!$C$9</f>
        <v>21.215</v>
      </c>
      <c r="D16" s="38" t="n">
        <f aca="false">Seg!$D$9</f>
        <v>22.561</v>
      </c>
      <c r="E16" s="38" t="n">
        <f aca="false">Seg!$E$9</f>
        <v>11.579</v>
      </c>
      <c r="F16" s="38" t="n">
        <f aca="false">Seg!$F$9</f>
        <v>12.0952613121125</v>
      </c>
      <c r="G16" s="38" t="n">
        <f aca="false">Seg!$G$9</f>
        <v>23.6742613121125</v>
      </c>
      <c r="H16" s="38" t="n">
        <f aca="false">Seg!$H$9</f>
        <v>24.8803243963206</v>
      </c>
      <c r="I16" s="38" t="n">
        <f aca="false">Seg!$I$9</f>
        <v>25.9741308664154</v>
      </c>
      <c r="J16" s="38" t="n">
        <f aca="false">Seg!$J$9</f>
        <v>26.9346894124267</v>
      </c>
      <c r="K16" s="38" t="n">
        <f aca="false">Seg!$K$9</f>
        <v>27.7427300947995</v>
      </c>
      <c r="L16" s="38" t="n">
        <f aca="false">Seg!$L$9</f>
        <v>28.5750119976435</v>
      </c>
      <c r="M16" s="38" t="n">
        <f aca="false">Seg!$M$9</f>
        <v>29.4322623575728</v>
      </c>
      <c r="N16" s="38" t="n">
        <f aca="false">Seg!$N$9</f>
        <v>11.128</v>
      </c>
      <c r="O16" s="38" t="n">
        <f aca="false">Seg!$O$9</f>
        <v>11.433</v>
      </c>
    </row>
    <row r="17" customFormat="false" ht="15" hidden="false" customHeight="false" outlineLevel="0" collapsed="false">
      <c r="A17" s="0" t="s">
        <v>481</v>
      </c>
      <c r="B17" s="0" t="s">
        <v>73</v>
      </c>
      <c r="C17" s="38" t="n">
        <f aca="false">Seg!$C$11</f>
        <v>156.146</v>
      </c>
      <c r="D17" s="38" t="n">
        <f aca="false">Seg!$D$11</f>
        <v>172.162</v>
      </c>
      <c r="E17" s="38" t="n">
        <f aca="false">Seg!$E$11</f>
        <v>88.358</v>
      </c>
      <c r="F17" s="38" t="n">
        <f aca="false">Seg!$F$11</f>
        <v>103.62028337149</v>
      </c>
      <c r="G17" s="38" t="n">
        <f aca="false">Seg!$G$11</f>
        <v>191.97828337149</v>
      </c>
      <c r="H17" s="38" t="n">
        <f aca="false">Seg!$H$11</f>
        <v>212.128608444755</v>
      </c>
      <c r="I17" s="38" t="n">
        <f aca="false">Seg!$I$11</f>
        <v>231.92183134134</v>
      </c>
      <c r="J17" s="38" t="n">
        <f aca="false">Seg!$J$11</f>
        <v>250.859136487863</v>
      </c>
      <c r="K17" s="38" t="n">
        <f aca="false">Seg!$K$11</f>
        <v>268.419276042014</v>
      </c>
      <c r="L17" s="38" t="n">
        <f aca="false">Seg!$L$11</f>
        <v>287.208625364954</v>
      </c>
      <c r="M17" s="38" t="n">
        <f aca="false">Seg!$M$11</f>
        <v>307.313229140501</v>
      </c>
      <c r="N17" s="38" t="n">
        <f aca="false">Seg!$N$11</f>
        <v>76.86</v>
      </c>
      <c r="O17" s="38" t="n">
        <f aca="false">Seg!$O$11</f>
        <v>95.302</v>
      </c>
    </row>
    <row r="18" customFormat="false" ht="15" hidden="false" customHeight="false" outlineLevel="0" collapsed="false">
      <c r="A18" s="0" t="s">
        <v>482</v>
      </c>
      <c r="B18" s="0" t="s">
        <v>73</v>
      </c>
      <c r="C18" s="38" t="n">
        <f aca="false">Seg!$C$13</f>
        <v>56.214</v>
      </c>
      <c r="D18" s="38" t="n">
        <f aca="false">Seg!$D$13</f>
        <v>68.635</v>
      </c>
      <c r="E18" s="38" t="n">
        <f aca="false">Seg!$E$13</f>
        <v>37.052</v>
      </c>
      <c r="F18" s="38" t="n">
        <f aca="false">Seg!$F$13</f>
        <v>48.1533381827382</v>
      </c>
      <c r="G18" s="38" t="n">
        <f aca="false">Seg!$G$13</f>
        <v>85.2053381827382</v>
      </c>
      <c r="H18" s="38" t="n">
        <f aca="false">Seg!$H$13</f>
        <v>102.29336185894</v>
      </c>
      <c r="I18" s="38" t="n">
        <f aca="false">Seg!$I$13</f>
        <v>119.379837585241</v>
      </c>
      <c r="J18" s="38" t="n">
        <f aca="false">Seg!$J$13</f>
        <v>135.319079048844</v>
      </c>
      <c r="K18" s="38" t="n">
        <f aca="false">Seg!$K$13</f>
        <v>148.850986953729</v>
      </c>
      <c r="L18" s="38" t="n">
        <f aca="false">Seg!$L$13</f>
        <v>163.736085649102</v>
      </c>
      <c r="M18" s="38" t="n">
        <f aca="false">Seg!$M$13</f>
        <v>180.109694214012</v>
      </c>
      <c r="N18" s="38" t="n">
        <f aca="false">Seg!$N$13</f>
        <v>29.615</v>
      </c>
      <c r="O18" s="38" t="n">
        <f aca="false">Seg!$O$13</f>
        <v>39.02</v>
      </c>
    </row>
    <row r="19" customFormat="false" ht="15" hidden="false" customHeight="false" outlineLevel="0" collapsed="false">
      <c r="A19" s="0" t="s">
        <v>483</v>
      </c>
      <c r="B19" s="0" t="s">
        <v>73</v>
      </c>
      <c r="C19" s="38" t="n">
        <f aca="false">Seg!$C$15</f>
        <v>44.374</v>
      </c>
      <c r="D19" s="38" t="n">
        <f aca="false">Seg!$D$15</f>
        <v>49.619</v>
      </c>
      <c r="E19" s="38" t="n">
        <f aca="false">Seg!$E$15</f>
        <v>27.157</v>
      </c>
      <c r="F19" s="38" t="n">
        <f aca="false">Seg!$F$15</f>
        <v>28.9776360923374</v>
      </c>
      <c r="G19" s="38" t="n">
        <f aca="false">Seg!$G$15</f>
        <v>56.1346360923374</v>
      </c>
      <c r="H19" s="38" t="n">
        <f aca="false">Seg!$H$15</f>
        <v>62.4937078946075</v>
      </c>
      <c r="I19" s="38" t="n">
        <f aca="false">Seg!$I$15</f>
        <v>68.6715233062498</v>
      </c>
      <c r="J19" s="38" t="n">
        <f aca="false">Seg!$J$15</f>
        <v>74.4692882949818</v>
      </c>
      <c r="K19" s="38" t="n">
        <f aca="false">Seg!$K$15</f>
        <v>79.6821384756306</v>
      </c>
      <c r="L19" s="38" t="n">
        <f aca="false">Seg!$L$15</f>
        <v>85.2598881689247</v>
      </c>
      <c r="M19" s="38" t="n">
        <f aca="false">Seg!$M$15</f>
        <v>91.2280803407494</v>
      </c>
      <c r="N19" s="38" t="n">
        <f aca="false">Seg!$N$15</f>
        <v>23.923</v>
      </c>
      <c r="O19" s="38" t="n">
        <f aca="false">Seg!$O$15</f>
        <v>25.696</v>
      </c>
    </row>
    <row r="20" customFormat="false" ht="15" hidden="false" customHeight="false" outlineLevel="0" collapsed="false">
      <c r="A20" s="0" t="s">
        <v>484</v>
      </c>
      <c r="B20" s="0" t="s">
        <v>73</v>
      </c>
      <c r="C20" s="38" t="n">
        <f aca="false">Seg!$C$17</f>
        <v>5.425</v>
      </c>
      <c r="D20" s="38" t="n">
        <f aca="false">Seg!$D$17</f>
        <v>5.935</v>
      </c>
      <c r="E20" s="38" t="n">
        <f aca="false">Seg!$E$17</f>
        <v>3.474</v>
      </c>
      <c r="F20" s="38" t="n">
        <f aca="false">Seg!$F$17</f>
        <v>3.36182431966931</v>
      </c>
      <c r="G20" s="38" t="n">
        <f aca="false">Seg!$G$17</f>
        <v>6.83582431966931</v>
      </c>
      <c r="H20" s="38" t="n">
        <f aca="false">Seg!$H$17</f>
        <v>7.31157108370141</v>
      </c>
      <c r="I20" s="38" t="n">
        <f aca="false">Seg!$I$17</f>
        <v>7.77266852639815</v>
      </c>
      <c r="J20" s="38" t="n">
        <f aca="false">Seg!$J$17</f>
        <v>8.2120733019884</v>
      </c>
      <c r="K20" s="38" t="n">
        <f aca="false">Seg!$K$17</f>
        <v>8.62267696708783</v>
      </c>
      <c r="L20" s="38" t="n">
        <f aca="false">Seg!$L$17</f>
        <v>9.05381081544222</v>
      </c>
      <c r="M20" s="38" t="n">
        <f aca="false">Seg!$M$17</f>
        <v>9.50650135621433</v>
      </c>
      <c r="N20" s="38" t="n">
        <f aca="false">Seg!$N$17</f>
        <v>2.811</v>
      </c>
      <c r="O20" s="38" t="n">
        <f aca="false">Seg!$O$17</f>
        <v>3.124</v>
      </c>
    </row>
    <row r="21" customFormat="false" ht="17.15" hidden="false" customHeight="false" outlineLevel="0" collapsed="false">
      <c r="A21" s="0" t="s">
        <v>669</v>
      </c>
      <c r="B21" s="0" t="s">
        <v>73</v>
      </c>
      <c r="C21" s="38" t="n">
        <f aca="false">Seg!$C$28</f>
        <v>107.556</v>
      </c>
      <c r="D21" s="38" t="n">
        <f aca="false">Seg!$D$28</f>
        <v>128.725</v>
      </c>
      <c r="E21" s="38" t="n">
        <f aca="false">Seg!$E$28</f>
        <v>79.819</v>
      </c>
      <c r="F21" s="38" t="n">
        <f aca="false">Seg!$F$28</f>
        <v>96.3656430398774</v>
      </c>
      <c r="G21" s="38" t="n">
        <f aca="false">Seg!$G$28</f>
        <v>176.184643039877</v>
      </c>
      <c r="H21" s="38" t="n">
        <f aca="false">Seg!$H$28</f>
        <v>263.977434774765</v>
      </c>
      <c r="I21" s="38" t="n">
        <f aca="false">Seg!$I$28</f>
        <v>358.724689177006</v>
      </c>
      <c r="J21" s="38" t="n">
        <f aca="false">Seg!$J$28</f>
        <v>449.756751322317</v>
      </c>
      <c r="K21" s="38" t="n">
        <f aca="false">Seg!$K$28</f>
        <v>534.046591311349</v>
      </c>
      <c r="L21" s="38" t="n">
        <f aca="false">Seg!$L$28</f>
        <v>619.893192193331</v>
      </c>
      <c r="M21" s="38" t="n">
        <f aca="false">Seg!$M$28</f>
        <v>707.397371191827</v>
      </c>
      <c r="N21" s="38" t="n">
        <f aca="false">Seg!$N$28</f>
        <v>60.14</v>
      </c>
      <c r="O21" s="38" t="n">
        <f aca="false">Seg!$O$28</f>
        <v>68.585</v>
      </c>
    </row>
    <row r="22" customFormat="false" ht="15" hidden="false" customHeight="false" outlineLevel="0" collapsed="false">
      <c r="A22" s="1" t="s">
        <v>472</v>
      </c>
      <c r="B22" s="8" t="s">
        <v>73</v>
      </c>
      <c r="C22" s="38" t="n">
        <f aca="false">Seg!$C$21</f>
        <v>387.497</v>
      </c>
      <c r="D22" s="38" t="n">
        <f aca="false">Seg!$D$21</f>
        <v>426.305</v>
      </c>
      <c r="E22" s="38" t="n">
        <f aca="false">Seg!$E$21</f>
        <v>220.32</v>
      </c>
      <c r="F22" s="38" t="n">
        <f aca="false">Seg!$F$21</f>
        <v>256.304015003807</v>
      </c>
      <c r="G22" s="38" t="n">
        <f aca="false">Seg!$G$21</f>
        <v>476.624015003807</v>
      </c>
      <c r="H22" s="38" t="n">
        <f aca="false">Seg!$H$21</f>
        <v>527.734391091543</v>
      </c>
      <c r="I22" s="38" t="n">
        <f aca="false">Seg!$I$21</f>
        <v>577.157693029577</v>
      </c>
      <c r="J22" s="38" t="n">
        <f aca="false">Seg!$J$21</f>
        <v>623.024923663827</v>
      </c>
      <c r="K22" s="38" t="n">
        <f aca="false">Seg!$K$21</f>
        <v>663.382568393781</v>
      </c>
      <c r="L22" s="38" t="n">
        <f aca="false">Seg!$L$21</f>
        <v>706.564873010432</v>
      </c>
      <c r="M22" s="38" t="n">
        <f aca="false">Seg!$M$21</f>
        <v>752.784687406019</v>
      </c>
      <c r="N22" s="38" t="n">
        <f aca="false">Seg!$N$21</f>
        <v>192.955</v>
      </c>
      <c r="O22" s="38" t="n">
        <f aca="false">Seg!$O$21</f>
        <v>233.35</v>
      </c>
    </row>
    <row r="23" customFormat="false" ht="15" hidden="false" customHeight="false" outlineLevel="0" collapsed="false">
      <c r="A23" s="1" t="s">
        <v>475</v>
      </c>
      <c r="B23" s="8" t="s">
        <v>73</v>
      </c>
      <c r="C23" s="38" t="n">
        <f aca="false">Seg!$C$22</f>
        <v>142.906</v>
      </c>
      <c r="D23" s="38" t="n">
        <f aca="false">Seg!$D$22</f>
        <v>161.894</v>
      </c>
      <c r="E23" s="38" t="n">
        <f aca="false">Seg!$E$22</f>
        <v>81.986</v>
      </c>
      <c r="F23" s="38" t="n">
        <f aca="false">Seg!$F$22</f>
        <v>100.632414204623</v>
      </c>
      <c r="G23" s="38" t="n">
        <f aca="false">Seg!$G$22</f>
        <v>182.618414204623</v>
      </c>
      <c r="H23" s="38" t="n">
        <f aca="false">Seg!$H$22</f>
        <v>202.201346530158</v>
      </c>
      <c r="I23" s="38" t="n">
        <f aca="false">Seg!$I$22</f>
        <v>221.137876668296</v>
      </c>
      <c r="J23" s="38" t="n">
        <f aca="false">Seg!$J$22</f>
        <v>238.711898661958</v>
      </c>
      <c r="K23" s="38" t="n">
        <f aca="false">Seg!$K$22</f>
        <v>254.174923708144</v>
      </c>
      <c r="L23" s="38" t="n">
        <f aca="false">Seg!$L$22</f>
        <v>270.720216732733</v>
      </c>
      <c r="M23" s="38" t="n">
        <f aca="false">Seg!$M$22</f>
        <v>288.429331137484</v>
      </c>
      <c r="N23" s="38" t="n">
        <f aca="false">Seg!$N$22</f>
        <v>70.274</v>
      </c>
      <c r="O23" s="38" t="n">
        <f aca="false">Seg!$O$22</f>
        <v>91.62</v>
      </c>
    </row>
    <row r="24" customFormat="false" ht="15" hidden="false" customHeight="false" outlineLevel="0" collapsed="false">
      <c r="A24" s="1" t="s">
        <v>476</v>
      </c>
      <c r="B24" s="8" t="s">
        <v>73</v>
      </c>
      <c r="C24" s="38" t="n">
        <f aca="false">Seg!$C$28</f>
        <v>107.556</v>
      </c>
      <c r="D24" s="38" t="n">
        <f aca="false">Seg!$D$28</f>
        <v>128.725</v>
      </c>
      <c r="E24" s="38" t="n">
        <f aca="false">Seg!$E$28</f>
        <v>79.819</v>
      </c>
      <c r="F24" s="38" t="n">
        <f aca="false">Seg!$F$28</f>
        <v>96.3656430398774</v>
      </c>
      <c r="G24" s="38" t="n">
        <f aca="false">Seg!$G$28</f>
        <v>176.184643039877</v>
      </c>
      <c r="H24" s="38" t="n">
        <f aca="false">Seg!$H$28</f>
        <v>263.977434774765</v>
      </c>
      <c r="I24" s="38" t="n">
        <f aca="false">Seg!$I$28</f>
        <v>358.724689177006</v>
      </c>
      <c r="J24" s="38" t="n">
        <f aca="false">Seg!$J$28</f>
        <v>449.756751322317</v>
      </c>
      <c r="K24" s="38" t="n">
        <f aca="false">Seg!$K$28</f>
        <v>534.046591311349</v>
      </c>
      <c r="L24" s="38" t="n">
        <f aca="false">Seg!$L$28</f>
        <v>619.893192193331</v>
      </c>
      <c r="M24" s="38" t="n">
        <f aca="false">Seg!$M$28</f>
        <v>707.397371191827</v>
      </c>
      <c r="N24" s="38" t="n">
        <f aca="false">Seg!$N$28</f>
        <v>60.14</v>
      </c>
      <c r="O24" s="38" t="n">
        <f aca="false">Seg!$O$28</f>
        <v>68.585</v>
      </c>
    </row>
    <row r="25" customFormat="false" ht="17.15" hidden="false" customHeight="false" outlineLevel="0" collapsed="false">
      <c r="A25" s="0" t="s">
        <v>643</v>
      </c>
      <c r="B25" s="0" t="s">
        <v>73</v>
      </c>
      <c r="C25" s="38" t="n">
        <f aca="false">Seg!$C$26</f>
        <v>2.32100535697364</v>
      </c>
      <c r="D25" s="38" t="n">
        <f aca="false">Seg!$D$26</f>
        <v>8.70377008865116</v>
      </c>
      <c r="E25" s="38" t="n">
        <f aca="false">Seg!$E$26</f>
        <v>8.51035297557002</v>
      </c>
      <c r="F25" s="38" t="n">
        <f aca="false">Seg!$F$26</f>
        <v>17.7706326212121</v>
      </c>
      <c r="G25" s="38" t="n">
        <f aca="false">Seg!$G$26</f>
        <v>26.2809855967821</v>
      </c>
      <c r="H25" s="38" t="n">
        <f aca="false">Seg!$H$26</f>
        <v>83.0838740066237</v>
      </c>
      <c r="I25" s="38" t="n">
        <f aca="false">Seg!$I$26</f>
        <v>148.076291961995</v>
      </c>
      <c r="J25" s="38" t="n">
        <f aca="false">Seg!$J$26</f>
        <v>213.357841875822</v>
      </c>
      <c r="K25" s="38" t="n">
        <f aca="false">Seg!$K$26</f>
        <v>278.735769109134</v>
      </c>
      <c r="L25" s="38" t="n">
        <f aca="false">Seg!$L$26</f>
        <v>344.157504214939</v>
      </c>
      <c r="M25" s="38" t="n">
        <f aca="false">Seg!$M$26</f>
        <v>409.602828175164</v>
      </c>
      <c r="N25" s="38" t="n">
        <f aca="false">Seg!$N$26</f>
        <v>3.04631953102791</v>
      </c>
      <c r="O25" s="38" t="n">
        <f aca="false">Seg!$O$26</f>
        <v>5.65745055762326</v>
      </c>
    </row>
    <row r="26" customFormat="false" ht="17.15" hidden="false" customHeight="false" outlineLevel="0" collapsed="false">
      <c r="A26" s="0" t="s">
        <v>645</v>
      </c>
      <c r="B26" s="0" t="s">
        <v>73</v>
      </c>
      <c r="C26" s="38" t="n">
        <f aca="false">Seg!$C$27</f>
        <v>105.234994643026</v>
      </c>
      <c r="D26" s="38" t="n">
        <f aca="false">Seg!$D$27</f>
        <v>120.021229911349</v>
      </c>
      <c r="E26" s="38" t="n">
        <f aca="false">Seg!$E$27</f>
        <v>71.30864702443</v>
      </c>
      <c r="F26" s="38" t="n">
        <f aca="false">Seg!$F$27</f>
        <v>78.5950104186653</v>
      </c>
      <c r="G26" s="38" t="n">
        <f aca="false">Seg!$G$27</f>
        <v>149.903657443095</v>
      </c>
      <c r="H26" s="38" t="n">
        <f aca="false">Seg!$H$27</f>
        <v>180.893560768142</v>
      </c>
      <c r="I26" s="38" t="n">
        <f aca="false">Seg!$I$27</f>
        <v>210.64839721501</v>
      </c>
      <c r="J26" s="38" t="n">
        <f aca="false">Seg!$J$27</f>
        <v>236.398909446495</v>
      </c>
      <c r="K26" s="38" t="n">
        <f aca="false">Seg!$K$27</f>
        <v>255.310822202215</v>
      </c>
      <c r="L26" s="38" t="n">
        <f aca="false">Seg!$L$27</f>
        <v>275.735687978392</v>
      </c>
      <c r="M26" s="38" t="n">
        <f aca="false">Seg!$M$27</f>
        <v>297.794543016663</v>
      </c>
      <c r="N26" s="38" t="n">
        <f aca="false">Seg!$N$27</f>
        <v>57.0936804689721</v>
      </c>
      <c r="O26" s="38" t="n">
        <f aca="false">Seg!$O$27</f>
        <v>62.9275494423768</v>
      </c>
    </row>
    <row r="27" customFormat="false" ht="15" hidden="false" customHeight="false" outlineLevel="0" collapsed="false">
      <c r="A27" s="3" t="s">
        <v>477</v>
      </c>
      <c r="B27" s="8" t="s">
        <v>73</v>
      </c>
      <c r="C27" s="38" t="n">
        <f aca="false">Seg!$C$29</f>
        <v>637.959</v>
      </c>
      <c r="D27" s="38" t="n">
        <f aca="false">Seg!$D$29</f>
        <v>716.924</v>
      </c>
      <c r="E27" s="38" t="n">
        <f aca="false">Seg!$E$29</f>
        <v>382.125</v>
      </c>
      <c r="F27" s="38" t="n">
        <f aca="false">Seg!$F$29</f>
        <v>453.302072248307</v>
      </c>
      <c r="G27" s="38" t="n">
        <f aca="false">Seg!$G$29</f>
        <v>835.427072248307</v>
      </c>
      <c r="H27" s="38" t="n">
        <f aca="false">Seg!$H$29</f>
        <v>993.913172396466</v>
      </c>
      <c r="I27" s="38" t="n">
        <f aca="false">Seg!$I$29</f>
        <v>1157.02025887488</v>
      </c>
      <c r="J27" s="38" t="n">
        <f aca="false">Seg!$J$29</f>
        <v>1311.4935736481</v>
      </c>
      <c r="K27" s="38" t="n">
        <f aca="false">Seg!$K$29</f>
        <v>1451.60408341327</v>
      </c>
      <c r="L27" s="38" t="n">
        <f aca="false">Seg!$L$29</f>
        <v>1597.1782819365</v>
      </c>
      <c r="M27" s="38" t="n">
        <f aca="false">Seg!$M$29</f>
        <v>1748.61138973533</v>
      </c>
      <c r="N27" s="38" t="n">
        <f aca="false">Seg!$N$29</f>
        <v>323.369</v>
      </c>
      <c r="O27" s="38" t="n">
        <f aca="false">Seg!$O$29</f>
        <v>393.555</v>
      </c>
    </row>
    <row r="28" customFormat="false" ht="17.15" hidden="false" customHeight="false" outlineLevel="0" collapsed="false">
      <c r="A28" s="24" t="s">
        <v>648</v>
      </c>
      <c r="B28" s="25" t="s">
        <v>73</v>
      </c>
      <c r="C28" s="39" t="n">
        <f aca="false">PL!$C$15+PL!$C$16+PL!$C$17+PL!$C$18+PL!$C$19+PL!$C$20-(PL!$C$22+PL!$C$23)</f>
        <v>0</v>
      </c>
      <c r="D28" s="39" t="n">
        <f aca="false">PL!$D$15+PL!$D$16+PL!$D$17+PL!$D$18+PL!$D$19+PL!$D$20-(PL!$D$22+PL!$D$23)</f>
        <v>0</v>
      </c>
      <c r="E28" s="39" t="n">
        <f aca="false">PL!$E$15+PL!$E$16+PL!$E$17+PL!$E$18+PL!$E$19+PL!$E$20-(PL!$E$22+PL!$E$23)</f>
        <v>0</v>
      </c>
      <c r="F28" s="39" t="n">
        <f aca="false">PL!$F$15+PL!$F$16+PL!$F$17+PL!$F$18+PL!$F$19+PL!$F$20-(PL!$F$22+PL!$F$23)</f>
        <v>0</v>
      </c>
      <c r="G28" s="39" t="n">
        <f aca="false">PL!$G$15+PL!$G$16+PL!$G$17+PL!$G$18+PL!$G$19+PL!$G$20-(PL!$G$22+PL!$G$23)</f>
        <v>0</v>
      </c>
      <c r="H28" s="39" t="n">
        <f aca="false">PL!$H$15+PL!$H$16+PL!$H$17+PL!$H$18+PL!$H$19+PL!$H$20-(PL!$H$22+PL!$H$23)</f>
        <v>0</v>
      </c>
      <c r="I28" s="39" t="n">
        <f aca="false">PL!$I$15+PL!$I$16+PL!$I$17+PL!$I$18+PL!$I$19+PL!$I$20-(PL!$I$22+PL!$I$23)</f>
        <v>0</v>
      </c>
      <c r="J28" s="39" t="n">
        <f aca="false">PL!$J$15+PL!$J$16+PL!$J$17+PL!$J$18+PL!$J$19+PL!$J$20-(PL!$J$22+PL!$J$23)</f>
        <v>0</v>
      </c>
      <c r="K28" s="39" t="n">
        <f aca="false">PL!$K$15+PL!$K$16+PL!$K$17+PL!$K$18+PL!$K$19+PL!$K$20-(PL!$K$22+PL!$K$23)</f>
        <v>0</v>
      </c>
      <c r="L28" s="39" t="n">
        <f aca="false">PL!$L$15+PL!$L$16+PL!$L$17+PL!$L$18+PL!$L$19+PL!$L$20-(PL!$L$22+PL!$L$23)</f>
        <v>0</v>
      </c>
      <c r="M28" s="39" t="n">
        <f aca="false">PL!$M$15+PL!$M$16+PL!$M$17+PL!$M$18+PL!$M$19+PL!$M$20-(PL!$M$22+PL!$M$23)</f>
        <v>0</v>
      </c>
      <c r="N28" s="39" t="n">
        <f aca="false">PL!$N$15+PL!$N$16+PL!$N$17+PL!$N$18+PL!$N$19+PL!$N$20-(PL!$N$22+PL!$N$23)</f>
        <v>0</v>
      </c>
      <c r="O28" s="39" t="n">
        <f aca="false">PL!$O$15+PL!$O$16+PL!$O$17+PL!$O$18+PL!$O$19+PL!$O$20-(PL!$O$22+PL!$O$23)</f>
        <v>0</v>
      </c>
    </row>
    <row r="29" customFormat="false" ht="17.15" hidden="false" customHeight="false" outlineLevel="0" collapsed="false">
      <c r="A29" s="24" t="s">
        <v>649</v>
      </c>
      <c r="B29" s="25" t="s">
        <v>73</v>
      </c>
      <c r="C29" s="39" t="n">
        <f aca="false">PL!$C$25+PL!$C$26-PL!$C$24</f>
        <v>0</v>
      </c>
      <c r="D29" s="39" t="n">
        <f aca="false">PL!$D$25+PL!$D$26-PL!$D$24</f>
        <v>0</v>
      </c>
      <c r="E29" s="39" t="n">
        <f aca="false">PL!$E$25+PL!$E$26-PL!$E$24</f>
        <v>0</v>
      </c>
      <c r="F29" s="39" t="n">
        <f aca="false">PL!$F$25+PL!$F$26-PL!$F$24</f>
        <v>0</v>
      </c>
      <c r="G29" s="39" t="n">
        <f aca="false">PL!$G$25+PL!$G$26-PL!$G$24</f>
        <v>0</v>
      </c>
      <c r="H29" s="39" t="n">
        <f aca="false">PL!$H$25+PL!$H$26-PL!$H$24</f>
        <v>0</v>
      </c>
      <c r="I29" s="39" t="n">
        <f aca="false">PL!$I$25+PL!$I$26-PL!$I$24</f>
        <v>0</v>
      </c>
      <c r="J29" s="39" t="n">
        <f aca="false">PL!$J$25+PL!$J$26-PL!$J$24</f>
        <v>0</v>
      </c>
      <c r="K29" s="39" t="n">
        <f aca="false">PL!$K$25+PL!$K$26-PL!$K$24</f>
        <v>0</v>
      </c>
      <c r="L29" s="39" t="n">
        <f aca="false">PL!$L$25+PL!$L$26-PL!$L$24</f>
        <v>0</v>
      </c>
      <c r="M29" s="39" t="n">
        <f aca="false">PL!$M$25+PL!$M$26-PL!$M$24</f>
        <v>0</v>
      </c>
      <c r="N29" s="39" t="n">
        <f aca="false">PL!$N$25+PL!$N$26-PL!$N$24</f>
        <v>0</v>
      </c>
      <c r="O29" s="39" t="n">
        <f aca="false">PL!$O$25+PL!$O$26-PL!$O$24</f>
        <v>0</v>
      </c>
    </row>
    <row r="30" customFormat="false" ht="17.15" hidden="false" customHeight="false" outlineLevel="0" collapsed="false">
      <c r="A30" s="24" t="s">
        <v>670</v>
      </c>
      <c r="B30" s="25" t="s">
        <v>73</v>
      </c>
      <c r="C30" s="39" t="n">
        <f aca="false">PL!$C$15+PL!$C$16+PL!$C$17+PL!$C$18+PL!$C$19+PL!$C$20+PL!$C$21-PL!$C$27</f>
        <v>0</v>
      </c>
      <c r="D30" s="39" t="n">
        <f aca="false">PL!$D$15+PL!$D$16+PL!$D$17+PL!$D$18+PL!$D$19+PL!$D$20+PL!$D$21-PL!$D$27</f>
        <v>0</v>
      </c>
      <c r="E30" s="39" t="n">
        <f aca="false">PL!$E$15+PL!$E$16+PL!$E$17+PL!$E$18+PL!$E$19+PL!$E$20+PL!$E$21-PL!$E$27</f>
        <v>0</v>
      </c>
      <c r="F30" s="39" t="n">
        <f aca="false">PL!$F$15+PL!$F$16+PL!$F$17+PL!$F$18+PL!$F$19+PL!$F$20+PL!$F$21-PL!$F$27</f>
        <v>0</v>
      </c>
      <c r="G30" s="39" t="n">
        <f aca="false">PL!$G$15+PL!$G$16+PL!$G$17+PL!$G$18+PL!$G$19+PL!$G$20+PL!$G$21-PL!$G$27</f>
        <v>0</v>
      </c>
      <c r="H30" s="39" t="n">
        <f aca="false">PL!$H$15+PL!$H$16+PL!$H$17+PL!$H$18+PL!$H$19+PL!$H$20+PL!$H$21-PL!$H$27</f>
        <v>0</v>
      </c>
      <c r="I30" s="39" t="n">
        <f aca="false">PL!$I$15+PL!$I$16+PL!$I$17+PL!$I$18+PL!$I$19+PL!$I$20+PL!$I$21-PL!$I$27</f>
        <v>0</v>
      </c>
      <c r="J30" s="39" t="n">
        <f aca="false">PL!$J$15+PL!$J$16+PL!$J$17+PL!$J$18+PL!$J$19+PL!$J$20+PL!$J$21-PL!$J$27</f>
        <v>0</v>
      </c>
      <c r="K30" s="39" t="n">
        <f aca="false">PL!$K$15+PL!$K$16+PL!$K$17+PL!$K$18+PL!$K$19+PL!$K$20+PL!$K$21-PL!$K$27</f>
        <v>0</v>
      </c>
      <c r="L30" s="39" t="n">
        <f aca="false">PL!$L$15+PL!$L$16+PL!$L$17+PL!$L$18+PL!$L$19+PL!$L$20+PL!$L$21-PL!$L$27</f>
        <v>0</v>
      </c>
      <c r="M30" s="39" t="n">
        <f aca="false">PL!$M$15+PL!$M$16+PL!$M$17+PL!$M$18+PL!$M$19+PL!$M$20+PL!$M$21-PL!$M$27</f>
        <v>0</v>
      </c>
      <c r="N30" s="39" t="n">
        <f aca="false">PL!$N$15+PL!$N$16+PL!$N$17+PL!$N$18+PL!$N$19+PL!$N$20+PL!$N$21-PL!$N$27</f>
        <v>0</v>
      </c>
      <c r="O30" s="39" t="n">
        <f aca="false">PL!$O$15+PL!$O$16+PL!$O$17+PL!$O$18+PL!$O$19+PL!$O$20+PL!$O$21-PL!$O$27</f>
        <v>0</v>
      </c>
    </row>
    <row r="31" customFormat="false" ht="17.15" hidden="false" customHeight="false" outlineLevel="0" collapsed="false">
      <c r="A31" s="24" t="s">
        <v>650</v>
      </c>
      <c r="B31" s="25" t="s">
        <v>73</v>
      </c>
      <c r="C31" s="39" t="n">
        <f aca="false">PL!$C$22+PL!$C$23+PL!$C$24-PL!$C$27</f>
        <v>0</v>
      </c>
      <c r="D31" s="39" t="n">
        <f aca="false">PL!$D$22+PL!$D$23+PL!$D$24-PL!$D$27</f>
        <v>0</v>
      </c>
      <c r="E31" s="39" t="n">
        <f aca="false">PL!$E$22+PL!$E$23+PL!$E$24-PL!$E$27</f>
        <v>0</v>
      </c>
      <c r="F31" s="39" t="n">
        <f aca="false">PL!$F$22+PL!$F$23+PL!$F$24-PL!$F$27</f>
        <v>0</v>
      </c>
      <c r="G31" s="39" t="n">
        <f aca="false">PL!$G$22+PL!$G$23+PL!$G$24-PL!$G$27</f>
        <v>0</v>
      </c>
      <c r="H31" s="39" t="n">
        <f aca="false">PL!$H$22+PL!$H$23+PL!$H$24-PL!$H$27</f>
        <v>0</v>
      </c>
      <c r="I31" s="39" t="n">
        <f aca="false">PL!$I$22+PL!$I$23+PL!$I$24-PL!$I$27</f>
        <v>0</v>
      </c>
      <c r="J31" s="39" t="n">
        <f aca="false">PL!$J$22+PL!$J$23+PL!$J$24-PL!$J$27</f>
        <v>0</v>
      </c>
      <c r="K31" s="39" t="n">
        <f aca="false">PL!$K$22+PL!$K$23+PL!$K$24-PL!$K$27</f>
        <v>0</v>
      </c>
      <c r="L31" s="39" t="n">
        <f aca="false">PL!$L$22+PL!$L$23+PL!$L$24-PL!$L$27</f>
        <v>0</v>
      </c>
      <c r="M31" s="39" t="n">
        <f aca="false">PL!$M$22+PL!$M$23+PL!$M$24-PL!$M$27</f>
        <v>0</v>
      </c>
      <c r="N31" s="39" t="n">
        <f aca="false">PL!$N$22+PL!$N$23+PL!$N$24-PL!$N$27</f>
        <v>0</v>
      </c>
      <c r="O31" s="39" t="n">
        <f aca="false">PL!$O$22+PL!$O$23+PL!$O$24-PL!$O$27</f>
        <v>0</v>
      </c>
    </row>
    <row r="32" customFormat="false" ht="17.15" hidden="false" customHeight="false" outlineLevel="0" collapsed="false">
      <c r="A32" s="1" t="s">
        <v>671</v>
      </c>
    </row>
    <row r="33" customFormat="false" ht="17.15" hidden="false" customHeight="false" outlineLevel="0" collapsed="false">
      <c r="A33" s="0" t="s">
        <v>672</v>
      </c>
      <c r="B33" s="0" t="s">
        <v>73</v>
      </c>
      <c r="C33" s="38" t="n">
        <f aca="false">Seg!$C$23*m_ad</f>
        <v>20.5341564414228</v>
      </c>
      <c r="D33" s="38" t="n">
        <f aca="false">Seg!$D$23*m_ad</f>
        <v>24.8720617299587</v>
      </c>
      <c r="E33" s="38" t="n">
        <f aca="false">Seg!$E$23*m_ad</f>
        <v>13.5017112462207</v>
      </c>
      <c r="F33" s="38" t="n">
        <f aca="false">Seg!$F$23*m_ad</f>
        <v>17.2886442824599</v>
      </c>
      <c r="G33" s="38" t="n">
        <f aca="false">Seg!$G$23*m_ad</f>
        <v>30.8011958765886</v>
      </c>
      <c r="H33" s="38" t="n">
        <f aca="false">Seg!$H$23*m_ad</f>
        <v>36.978409366026</v>
      </c>
      <c r="I33" s="38" t="n">
        <f aca="false">Seg!$I$23*m_ad</f>
        <v>43.155063281273</v>
      </c>
      <c r="J33" s="38" t="n">
        <f aca="false">Seg!$J$23*m_ad</f>
        <v>48.9169991988532</v>
      </c>
      <c r="K33" s="38" t="n">
        <f aca="false">Seg!$K$23*m_ad</f>
        <v>53.8086991187386</v>
      </c>
      <c r="L33" s="38" t="n">
        <f aca="false">Seg!$L$23*m_ad</f>
        <v>59.1895690306124</v>
      </c>
      <c r="M33" s="38" t="n">
        <f aca="false">Seg!$M$23*m_ad</f>
        <v>65.1085259336737</v>
      </c>
      <c r="N33" s="38" t="n">
        <f aca="false">Seg!$N$23*m_ad</f>
        <v>10.8543555706248</v>
      </c>
      <c r="O33" s="38" t="n">
        <f aca="false">Seg!$O$23*m_ad</f>
        <v>14.0094731821399</v>
      </c>
    </row>
    <row r="34" customFormat="false" ht="17.15" hidden="false" customHeight="false" outlineLevel="0" collapsed="false">
      <c r="A34" s="0" t="s">
        <v>673</v>
      </c>
      <c r="B34" s="0" t="s">
        <v>73</v>
      </c>
      <c r="C34" s="38" t="n">
        <f aca="false">Seg!$C$21-Seg!$C$23</f>
        <v>346.428687117154</v>
      </c>
      <c r="D34" s="38" t="n">
        <f aca="false">Seg!$D$21-Seg!$D$23</f>
        <v>376.560876540083</v>
      </c>
      <c r="E34" s="38" t="n">
        <f aca="false">Seg!$E$21-Seg!$E$23</f>
        <v>193.316577507559</v>
      </c>
      <c r="F34" s="38" t="n">
        <f aca="false">Seg!$F$21-Seg!$F$23</f>
        <v>221.726726438887</v>
      </c>
      <c r="G34" s="38" t="n">
        <f aca="false">Seg!$G$21-Seg!$G$23</f>
        <v>415.02162325063</v>
      </c>
      <c r="H34" s="38" t="n">
        <f aca="false">Seg!$H$21-Seg!$H$23</f>
        <v>453.777572359491</v>
      </c>
      <c r="I34" s="38" t="n">
        <f aca="false">Seg!$I$21-Seg!$I$23</f>
        <v>490.847566467031</v>
      </c>
      <c r="J34" s="38" t="n">
        <f aca="false">Seg!$J$21-Seg!$J$23</f>
        <v>525.190925266121</v>
      </c>
      <c r="K34" s="38" t="n">
        <f aca="false">Seg!$K$21-Seg!$K$23</f>
        <v>555.765170156304</v>
      </c>
      <c r="L34" s="38" t="n">
        <f aca="false">Seg!$L$21-Seg!$L$23</f>
        <v>588.185734949207</v>
      </c>
      <c r="M34" s="38" t="n">
        <f aca="false">Seg!$M$21-Seg!$M$23</f>
        <v>622.567635538672</v>
      </c>
      <c r="N34" s="38" t="n">
        <f aca="false">Seg!$N$21-Seg!$N$23</f>
        <v>171.24628885875</v>
      </c>
      <c r="O34" s="38" t="n">
        <f aca="false">Seg!$O$21-Seg!$O$23</f>
        <v>205.33105363572</v>
      </c>
    </row>
    <row r="35" customFormat="false" ht="17.15" hidden="false" customHeight="false" outlineLevel="0" collapsed="false">
      <c r="A35" s="0" t="s">
        <v>674</v>
      </c>
      <c r="B35" s="0" t="s">
        <v>73</v>
      </c>
      <c r="C35" s="38" t="n">
        <f aca="false">Thesis!$C$47*Seg!$C$20</f>
        <v>0.123617442257179</v>
      </c>
      <c r="D35" s="38" t="n">
        <f aca="false">Thesis!$D$47*Seg!$D$20</f>
        <v>0.874366899302609</v>
      </c>
      <c r="E35" s="38" t="n">
        <f aca="false">Thesis!$E$47*Seg!$E$20</f>
        <v>1.29318830502574</v>
      </c>
      <c r="F35" s="38" t="n">
        <f aca="false">Thesis!$F$47*Seg!$F$20</f>
        <v>1.52297257953576</v>
      </c>
      <c r="G35" s="38" t="n">
        <f aca="false">Thesis!$G$47*Seg!$G$20</f>
        <v>2.81628817127554</v>
      </c>
      <c r="H35" s="38" t="n">
        <f aca="false">Thesis!$H$47*Seg!$H$20</f>
        <v>7.48233356620103</v>
      </c>
      <c r="I35" s="38" t="n">
        <f aca="false">Thesis!$I$47*Seg!$I$20</f>
        <v>13.1410250538545</v>
      </c>
      <c r="J35" s="38" t="n">
        <f aca="false">Thesis!$J$47*Seg!$J$20</f>
        <v>18.9529497114276</v>
      </c>
      <c r="K35" s="38" t="n">
        <f aca="false">Thesis!$K$47*Seg!$K$20</f>
        <v>24.8655360357151</v>
      </c>
      <c r="L35" s="38" t="n">
        <f aca="false">Thesis!$L$47*Seg!$L$20</f>
        <v>30.486079321988</v>
      </c>
      <c r="M35" s="38" t="n">
        <f aca="false">Thesis!$M$47*Seg!$M$20</f>
        <v>36.2102854179582</v>
      </c>
      <c r="N35" s="38" t="n">
        <f aca="false">Thesis!$N$47*Seg!$N$20</f>
        <v>0.389180508437431</v>
      </c>
      <c r="O35" s="38" t="n">
        <f aca="false">Thesis!$O$47*Seg!$O$20</f>
        <v>0.485052120082802</v>
      </c>
    </row>
    <row r="36" customFormat="false" ht="17.15" hidden="false" customHeight="false" outlineLevel="0" collapsed="false">
      <c r="A36" s="0" t="s">
        <v>675</v>
      </c>
      <c r="B36" s="0" t="s">
        <v>52</v>
      </c>
      <c r="C36" s="28" t="n">
        <f aca="false">(PL!$C$37-PL!$C$33+PL!$C$35)/PL!$C$34</f>
        <v>0.0131526665379575</v>
      </c>
      <c r="D36" s="28" t="n">
        <f aca="false">(PL!$D$37-PL!$D$33+PL!$D$35)/PL!$D$34</f>
        <v>0.0149280116962589</v>
      </c>
      <c r="E36" s="28" t="n">
        <f aca="false">(PL!$E$37-PL!$E$33+PL!$E$35)/PL!$E$34</f>
        <v>0.0268030663774938</v>
      </c>
      <c r="F36" s="28" t="n">
        <f aca="false">PL!$O$36+(PL!$E$36-PL!$N$36)</f>
        <v>0.0232379346966962</v>
      </c>
      <c r="G36" s="28" t="n">
        <f aca="false">(PL!$G$37-PL!$G$33+PL!$G$35)/PL!$G$34</f>
        <v>0.0248739694723713</v>
      </c>
      <c r="H36" s="28" t="n">
        <f aca="false">PL!$G$36+step_na</f>
        <v>0.0278739694723713</v>
      </c>
      <c r="I36" s="28" t="n">
        <f aca="false">PL!$H$36+step_na</f>
        <v>0.0308739694723713</v>
      </c>
      <c r="J36" s="28" t="n">
        <f aca="false">PL!$I$36+step_na</f>
        <v>0.0338739694723713</v>
      </c>
      <c r="K36" s="28" t="n">
        <f aca="false">PL!$J$36+step_na</f>
        <v>0.0368739694723713</v>
      </c>
      <c r="L36" s="28" t="n">
        <f aca="false">PL!$K$36</f>
        <v>0.0368739694723713</v>
      </c>
      <c r="M36" s="28" t="n">
        <f aca="false">PL!$L$36</f>
        <v>0.0368739694723713</v>
      </c>
      <c r="N36" s="28" t="n">
        <f aca="false">(PL!$N$37-PL!$N$33+PL!$N$35)/PL!$N$34</f>
        <v>0.0168927744775755</v>
      </c>
      <c r="O36" s="28" t="n">
        <f aca="false">(PL!$O$37-PL!$O$33+PL!$O$35)/PL!$O$34</f>
        <v>0.0133276427967779</v>
      </c>
      <c r="P36" s="8" t="s">
        <v>676</v>
      </c>
    </row>
    <row r="37" customFormat="false" ht="17.15" hidden="false" customHeight="false" outlineLevel="0" collapsed="false">
      <c r="A37" s="1" t="s">
        <v>677</v>
      </c>
      <c r="B37" s="8" t="s">
        <v>73</v>
      </c>
      <c r="C37" s="38" t="n">
        <f aca="false">Q!$D$22</f>
        <v>24.967</v>
      </c>
      <c r="D37" s="38" t="n">
        <f aca="false">Q!$E$22</f>
        <v>29.619</v>
      </c>
      <c r="E37" s="38" t="n">
        <f aca="false">Q!$P$22</f>
        <v>17.39</v>
      </c>
      <c r="F37" s="38" t="n">
        <f aca="false">PL!$F$33+PL!$F$34*PL!$F$36-PL!$F$35</f>
        <v>20.9181428924232</v>
      </c>
      <c r="G37" s="38" t="n">
        <f aca="false">PL!$E$37+PL!$F$37</f>
        <v>38.3081428924232</v>
      </c>
      <c r="H37" s="38" t="n">
        <f aca="false">PL!$H$33+PL!$H$34*PL!$H$36-PL!$H$35</f>
        <v>42.1446579990201</v>
      </c>
      <c r="I37" s="38" t="n">
        <f aca="false">PL!$I$33+PL!$I$34*PL!$I$36-PL!$I$35</f>
        <v>45.1684510101094</v>
      </c>
      <c r="J37" s="38" t="n">
        <f aca="false">PL!$J$33+PL!$J$34*PL!$J$36-PL!$J$35</f>
        <v>47.7543508570566</v>
      </c>
      <c r="K37" s="38" t="n">
        <f aca="false">PL!$K$33+PL!$K$34*PL!$K$36-PL!$K$35</f>
        <v>49.4364310011742</v>
      </c>
      <c r="L37" s="38" t="n">
        <f aca="false">PL!$L$33+PL!$L$34*PL!$L$36-PL!$L$35</f>
        <v>50.3922325432258</v>
      </c>
      <c r="M37" s="38" t="n">
        <f aca="false">PL!$M$33+PL!$M$34*PL!$M$36-PL!$M$35</f>
        <v>51.8547805030549</v>
      </c>
      <c r="N37" s="38" t="n">
        <f aca="false">Q!$N$22</f>
        <v>13.358</v>
      </c>
      <c r="O37" s="38" t="n">
        <f aca="false">Q!$O$22</f>
        <v>16.261</v>
      </c>
    </row>
    <row r="38" customFormat="false" ht="17.15" hidden="false" customHeight="false" outlineLevel="0" collapsed="false">
      <c r="A38" s="0" t="s">
        <v>678</v>
      </c>
      <c r="B38" s="0" t="s">
        <v>73</v>
      </c>
      <c r="C38" s="38" t="n">
        <f aca="false">Seg!$C$24*m_ad</f>
        <v>7.57284355857716</v>
      </c>
      <c r="D38" s="38" t="n">
        <f aca="false">Seg!$D$24*m_ad</f>
        <v>9.44543827004127</v>
      </c>
      <c r="E38" s="38" t="n">
        <f aca="false">Seg!$E$24*m_ad</f>
        <v>5.02428875377928</v>
      </c>
      <c r="F38" s="38" t="n">
        <f aca="false">Seg!$F$24*m_ad</f>
        <v>6.78802480890925</v>
      </c>
      <c r="G38" s="38" t="n">
        <f aca="false">Seg!$G$24*m_ad</f>
        <v>11.8014732147805</v>
      </c>
      <c r="H38" s="38" t="n">
        <f aca="false">Seg!$H$24*m_ad</f>
        <v>14.1682715634442</v>
      </c>
      <c r="I38" s="38" t="n">
        <f aca="false">Seg!$I$24*m_ad</f>
        <v>16.5348555113474</v>
      </c>
      <c r="J38" s="38" t="n">
        <f aca="false">Seg!$J$24*m_ad</f>
        <v>18.7425403255689</v>
      </c>
      <c r="K38" s="38" t="n">
        <f aca="false">Seg!$K$24*m_ad</f>
        <v>20.6167943581258</v>
      </c>
      <c r="L38" s="38" t="n">
        <f aca="false">Seg!$L$24*m_ad</f>
        <v>22.6784737939383</v>
      </c>
      <c r="M38" s="38" t="n">
        <f aca="false">Seg!$M$24*m_ad</f>
        <v>24.9463211733322</v>
      </c>
      <c r="N38" s="38" t="n">
        <f aca="false">Seg!$N$24*m_ad</f>
        <v>3.95314442937518</v>
      </c>
      <c r="O38" s="38" t="n">
        <f aca="false">Seg!$O$24*m_ad</f>
        <v>5.50052681786011</v>
      </c>
    </row>
    <row r="39" customFormat="false" ht="17.15" hidden="false" customHeight="false" outlineLevel="0" collapsed="false">
      <c r="A39" s="0" t="s">
        <v>679</v>
      </c>
      <c r="B39" s="0" t="s">
        <v>73</v>
      </c>
      <c r="C39" s="38" t="n">
        <f aca="false">Seg!$C$22-Seg!$C$24</f>
        <v>127.760312882846</v>
      </c>
      <c r="D39" s="38" t="n">
        <f aca="false">Seg!$D$22-Seg!$D$24</f>
        <v>143.003123459917</v>
      </c>
      <c r="E39" s="38" t="n">
        <f aca="false">Seg!$E$22-Seg!$E$24</f>
        <v>71.9374224924414</v>
      </c>
      <c r="F39" s="38" t="n">
        <f aca="false">Seg!$F$22-Seg!$F$24</f>
        <v>87.0563645868046</v>
      </c>
      <c r="G39" s="38" t="n">
        <f aca="false">Seg!$G$22-Seg!$G$24</f>
        <v>159.015467775062</v>
      </c>
      <c r="H39" s="38" t="n">
        <f aca="false">Seg!$H$22-Seg!$H$24</f>
        <v>173.864803403269</v>
      </c>
      <c r="I39" s="38" t="n">
        <f aca="false">Seg!$I$22-Seg!$I$24</f>
        <v>188.068165645601</v>
      </c>
      <c r="J39" s="38" t="n">
        <f aca="false">Seg!$J$22-Seg!$J$24</f>
        <v>201.22681801082</v>
      </c>
      <c r="K39" s="38" t="n">
        <f aca="false">Seg!$K$22-Seg!$K$24</f>
        <v>212.941334991893</v>
      </c>
      <c r="L39" s="38" t="n">
        <f aca="false">Seg!$L$22-Seg!$L$24</f>
        <v>225.363269144856</v>
      </c>
      <c r="M39" s="38" t="n">
        <f aca="false">Seg!$M$22-Seg!$M$24</f>
        <v>238.536688790819</v>
      </c>
      <c r="N39" s="38" t="n">
        <f aca="false">Seg!$N$22-Seg!$N$24</f>
        <v>62.3677111412496</v>
      </c>
      <c r="O39" s="38" t="n">
        <f aca="false">Seg!$O$22-Seg!$O$24</f>
        <v>80.6189463642798</v>
      </c>
    </row>
    <row r="40" customFormat="false" ht="17.15" hidden="false" customHeight="false" outlineLevel="0" collapsed="false">
      <c r="A40" s="0" t="s">
        <v>680</v>
      </c>
      <c r="B40" s="0" t="s">
        <v>73</v>
      </c>
      <c r="C40" s="38" t="n">
        <f aca="false">Thesis!$C$47*(1-Seg!$C$20)</f>
        <v>0.0455891896019953</v>
      </c>
      <c r="D40" s="38" t="n">
        <f aca="false">Thesis!$D$47*(1-Seg!$D$20)</f>
        <v>0.332050421167231</v>
      </c>
      <c r="E40" s="38" t="n">
        <f aca="false">Thesis!$E$47*(1-Seg!$E$20)</f>
        <v>0.481224293644882</v>
      </c>
      <c r="F40" s="38" t="n">
        <f aca="false">Thesis!$F$47*(1-Seg!$F$20)</f>
        <v>0.597963350062425</v>
      </c>
      <c r="G40" s="38" t="n">
        <f aca="false">Thesis!$G$47*(1-Seg!$G$20)</f>
        <v>1.07906035699328</v>
      </c>
      <c r="H40" s="38" t="n">
        <f aca="false">Thesis!$H$47*(1-Seg!$H$20)</f>
        <v>2.86685489483517</v>
      </c>
      <c r="I40" s="38" t="n">
        <f aca="false">Thesis!$I$47*(1-Seg!$I$20)</f>
        <v>5.03498162244084</v>
      </c>
      <c r="J40" s="38" t="n">
        <f aca="false">Thesis!$J$47*(1-Seg!$J$20)</f>
        <v>7.26181961429962</v>
      </c>
      <c r="K40" s="38" t="n">
        <f aca="false">Thesis!$K$47*(1-Seg!$K$20)</f>
        <v>9.5272261074674</v>
      </c>
      <c r="L40" s="38" t="n">
        <f aca="false">Thesis!$L$47*(1-Seg!$L$20)</f>
        <v>11.6807363578886</v>
      </c>
      <c r="M40" s="38" t="n">
        <f aca="false">Thesis!$M$47*(1-Seg!$M$20)</f>
        <v>13.8739649970669</v>
      </c>
      <c r="N40" s="38" t="n">
        <f aca="false">Thesis!$N$47*(1-Seg!$N$20)</f>
        <v>0.141739115596548</v>
      </c>
      <c r="O40" s="38" t="n">
        <f aca="false">Thesis!$O$47*(1-Seg!$O$20)</f>
        <v>0.190445576353059</v>
      </c>
    </row>
    <row r="41" customFormat="false" ht="17.15" hidden="false" customHeight="false" outlineLevel="0" collapsed="false">
      <c r="A41" s="0" t="s">
        <v>681</v>
      </c>
      <c r="B41" s="0" t="s">
        <v>52</v>
      </c>
      <c r="C41" s="28" t="n">
        <f aca="false">(PL!$C$42-PL!$C$38+PL!$C$40)/PL!$C$39</f>
        <v>-0.0292364215826579</v>
      </c>
      <c r="D41" s="28" t="n">
        <f aca="false">(PL!$D$42-PL!$D$38+PL!$D$40)/PL!$D$39</f>
        <v>-0.0305125352740778</v>
      </c>
      <c r="E41" s="28" t="n">
        <f aca="false">(PL!$E$42-PL!$E$38+PL!$E$40)/PL!$E$39</f>
        <v>-0.019490056934994</v>
      </c>
      <c r="F41" s="28" t="n">
        <f aca="false">PL!$O$41+(PL!$E$41-PL!$N$41)</f>
        <v>-0.0367332293992226</v>
      </c>
      <c r="G41" s="28" t="n">
        <f aca="false">(PL!$G$42-PL!$G$38+PL!$G$40)/PL!$G$39</f>
        <v>-0.0288601660843562</v>
      </c>
      <c r="H41" s="28" t="n">
        <f aca="false">PL!$G$41+step_in</f>
        <v>-0.0288601660843562</v>
      </c>
      <c r="I41" s="28" t="n">
        <f aca="false">PL!$H$41+step_in</f>
        <v>-0.0288601660843562</v>
      </c>
      <c r="J41" s="28" t="n">
        <f aca="false">PL!$I$41+step_in</f>
        <v>-0.0288601660843562</v>
      </c>
      <c r="K41" s="28" t="n">
        <f aca="false">PL!$J$41+step_in</f>
        <v>-0.0288601660843562</v>
      </c>
      <c r="L41" s="28" t="n">
        <f aca="false">PL!$K$41</f>
        <v>-0.0288601660843562</v>
      </c>
      <c r="M41" s="28" t="n">
        <f aca="false">PL!$L$41</f>
        <v>-0.0288601660843562</v>
      </c>
      <c r="N41" s="28" t="n">
        <f aca="false">(PL!$N$42-PL!$N$38+PL!$N$40)/PL!$N$39</f>
        <v>-0.02085061789158</v>
      </c>
      <c r="O41" s="28" t="n">
        <f aca="false">(PL!$O$42-PL!$O$38+PL!$O$40)/PL!$O$39</f>
        <v>-0.0380937903558086</v>
      </c>
      <c r="P41" s="8" t="s">
        <v>676</v>
      </c>
    </row>
    <row r="42" customFormat="false" ht="17.15" hidden="false" customHeight="false" outlineLevel="0" collapsed="false">
      <c r="A42" s="1" t="s">
        <v>682</v>
      </c>
      <c r="B42" s="8" t="s">
        <v>73</v>
      </c>
      <c r="C42" s="38" t="n">
        <f aca="false">Q!$D$23</f>
        <v>3.792</v>
      </c>
      <c r="D42" s="38" t="n">
        <f aca="false">Q!$E$23</f>
        <v>4.75</v>
      </c>
      <c r="E42" s="38" t="n">
        <f aca="false">Q!$P$23</f>
        <v>3.141</v>
      </c>
      <c r="F42" s="38" t="n">
        <f aca="false">PL!$F$38+PL!$F$39*PL!$F$41-PL!$F$40</f>
        <v>2.99220004781738</v>
      </c>
      <c r="G42" s="38" t="n">
        <f aca="false">PL!$E$42+PL!$F$42</f>
        <v>6.13320004781738</v>
      </c>
      <c r="H42" s="38" t="n">
        <f aca="false">PL!$H$38+PL!$H$39*PL!$H$41-PL!$H$40</f>
        <v>6.28364956616674</v>
      </c>
      <c r="I42" s="38" t="n">
        <f aca="false">PL!$I$38+PL!$I$39*PL!$I$41-PL!$I$40</f>
        <v>6.07219539319433</v>
      </c>
      <c r="J42" s="38" t="n">
        <f aca="false">PL!$J$38+PL!$J$39*PL!$J$41-PL!$J$40</f>
        <v>5.67328132285046</v>
      </c>
      <c r="K42" s="38" t="n">
        <f aca="false">PL!$K$38+PL!$K$39*PL!$K$41-PL!$K$40</f>
        <v>4.9440459565678</v>
      </c>
      <c r="L42" s="38" t="n">
        <f aca="false">PL!$L$38+PL!$L$39*PL!$L$41-PL!$L$40</f>
        <v>4.49371605921576</v>
      </c>
      <c r="M42" s="38" t="n">
        <f aca="false">PL!$M$38+PL!$M$39*PL!$M$41-PL!$M$40</f>
        <v>4.18814772054985</v>
      </c>
      <c r="N42" s="38" t="n">
        <f aca="false">Q!$N$23</f>
        <v>2.511</v>
      </c>
      <c r="O42" s="38" t="n">
        <f aca="false">Q!$O$23</f>
        <v>2.239</v>
      </c>
    </row>
    <row r="43" customFormat="false" ht="17.15" hidden="false" customHeight="false" outlineLevel="0" collapsed="false">
      <c r="A43" s="0" t="s">
        <v>683</v>
      </c>
      <c r="B43" s="0" t="s">
        <v>73</v>
      </c>
      <c r="C43" s="38" t="n">
        <f aca="false">Thesis!$C$44</f>
        <v>1.64417882953695</v>
      </c>
      <c r="D43" s="38" t="n">
        <f aca="false">Thesis!$D$44</f>
        <v>3.8781008067718</v>
      </c>
      <c r="E43" s="38" t="n">
        <f aca="false">Thesis!$E$44</f>
        <v>1.41270258088753</v>
      </c>
      <c r="F43" s="38" t="n">
        <f aca="false">Thesis!$F$44</f>
        <v>9.28688890281936</v>
      </c>
      <c r="G43" s="38" t="n">
        <f aca="false">Thesis!$G$44</f>
        <v>10.6995914837069</v>
      </c>
      <c r="H43" s="38" t="n">
        <f aca="false">Thesis!$H$44</f>
        <v>41.6871201624788</v>
      </c>
      <c r="I43" s="38" t="n">
        <f aca="false">Thesis!$I$44</f>
        <v>75.3722652568139</v>
      </c>
      <c r="J43" s="38" t="n">
        <f aca="false">Thesis!$J$44</f>
        <v>108.498764572913</v>
      </c>
      <c r="K43" s="38" t="n">
        <f aca="false">Thesis!$K$44</f>
        <v>141.164720536404</v>
      </c>
      <c r="L43" s="38" t="n">
        <f aca="false">Thesis!$L$44</f>
        <v>175.490241495433</v>
      </c>
      <c r="M43" s="38" t="n">
        <f aca="false">Thesis!$M$44</f>
        <v>209.265826515063</v>
      </c>
      <c r="N43" s="38" t="n">
        <f aca="false">Thesis!$N$44</f>
        <v>0.92264103489199</v>
      </c>
      <c r="O43" s="38" t="n">
        <f aca="false">Thesis!$O$44</f>
        <v>2.95545977187981</v>
      </c>
    </row>
    <row r="44" customFormat="false" ht="17.15" hidden="false" customHeight="false" outlineLevel="0" collapsed="false">
      <c r="A44" s="0" t="s">
        <v>603</v>
      </c>
      <c r="B44" s="0" t="s">
        <v>73</v>
      </c>
      <c r="C44" s="38" t="n">
        <f aca="false">Thesis!$C$49</f>
        <v>38.1898211704631</v>
      </c>
      <c r="D44" s="38" t="n">
        <f aca="false">Thesis!$D$49</f>
        <v>41.7278991932282</v>
      </c>
      <c r="E44" s="38" t="n">
        <f aca="false">Thesis!$E$49</f>
        <v>29.3692974191125</v>
      </c>
      <c r="F44" s="38" t="n">
        <f aca="false">Thesis!$F$49</f>
        <v>29.458060516894</v>
      </c>
      <c r="G44" s="38" t="n">
        <f aca="false">Thesis!$G$49</f>
        <v>58.8273579360065</v>
      </c>
      <c r="H44" s="38" t="n">
        <f aca="false">Thesis!$H$49</f>
        <v>67.8004040185081</v>
      </c>
      <c r="I44" s="38" t="n">
        <f aca="false">Thesis!$I$49</f>
        <v>78.9527630302702</v>
      </c>
      <c r="J44" s="38" t="n">
        <f aca="false">Thesis!$J$49</f>
        <v>88.6042681781841</v>
      </c>
      <c r="K44" s="38" t="n">
        <f aca="false">Thesis!$K$49</f>
        <v>95.6926096324389</v>
      </c>
      <c r="L44" s="38" t="n">
        <f aca="false">Thesis!$L$49</f>
        <v>103.348018403034</v>
      </c>
      <c r="M44" s="38" t="n">
        <f aca="false">Thesis!$M$49</f>
        <v>111.615859875277</v>
      </c>
      <c r="N44" s="38" t="n">
        <f aca="false">Thesis!$N$49</f>
        <v>20.784358965108</v>
      </c>
      <c r="O44" s="38" t="n">
        <f aca="false">Thesis!$O$49</f>
        <v>20.9435402281202</v>
      </c>
    </row>
    <row r="45" customFormat="false" ht="17.15" hidden="false" customHeight="false" outlineLevel="0" collapsed="false">
      <c r="A45" s="1" t="s">
        <v>684</v>
      </c>
      <c r="B45" s="8" t="s">
        <v>73</v>
      </c>
      <c r="C45" s="38" t="n">
        <f aca="false">Q!$D$24</f>
        <v>39.834</v>
      </c>
      <c r="D45" s="38" t="n">
        <f aca="false">Q!$E$24</f>
        <v>45.606</v>
      </c>
      <c r="E45" s="38" t="n">
        <f aca="false">Q!$P$24</f>
        <v>30.782</v>
      </c>
      <c r="F45" s="38" t="n">
        <f aca="false">PL!$F$43+PL!$F$44</f>
        <v>38.7449494197134</v>
      </c>
      <c r="G45" s="38" t="n">
        <f aca="false">PL!$G$43+PL!$G$44</f>
        <v>69.5269494197134</v>
      </c>
      <c r="H45" s="38" t="n">
        <f aca="false">PL!$H$43+PL!$H$44</f>
        <v>109.487524180987</v>
      </c>
      <c r="I45" s="38" t="n">
        <f aca="false">PL!$I$43+PL!$I$44</f>
        <v>154.325028287084</v>
      </c>
      <c r="J45" s="38" t="n">
        <f aca="false">PL!$J$43+PL!$J$44</f>
        <v>197.103032751097</v>
      </c>
      <c r="K45" s="38" t="n">
        <f aca="false">PL!$K$43+PL!$K$44</f>
        <v>236.857330168843</v>
      </c>
      <c r="L45" s="38" t="n">
        <f aca="false">PL!$L$43+PL!$L$44</f>
        <v>278.838259898467</v>
      </c>
      <c r="M45" s="38" t="n">
        <f aca="false">PL!$M$43+PL!$M$44</f>
        <v>320.88168639034</v>
      </c>
      <c r="N45" s="38" t="n">
        <f aca="false">Q!$N$24</f>
        <v>21.707</v>
      </c>
      <c r="O45" s="38" t="n">
        <f aca="false">Q!$O$24</f>
        <v>23.899</v>
      </c>
    </row>
    <row r="46" customFormat="false" ht="17.15" hidden="false" customHeight="false" outlineLevel="0" collapsed="false">
      <c r="A46" s="5" t="s">
        <v>685</v>
      </c>
      <c r="B46" s="0" t="s">
        <v>73</v>
      </c>
      <c r="C46" s="38" t="n">
        <f aca="false">Q!$D$26</f>
        <v>0</v>
      </c>
      <c r="D46" s="38" t="n">
        <f aca="false">Q!$E$26</f>
        <v>0</v>
      </c>
      <c r="E46" s="38" t="n">
        <f aca="false">Q!$P$26</f>
        <v>0</v>
      </c>
      <c r="F46" s="41" t="n">
        <v>0</v>
      </c>
      <c r="G46" s="38" t="n">
        <f aca="false">PL!$E$46+PL!$F$46</f>
        <v>0</v>
      </c>
      <c r="H46" s="41" t="n">
        <v>0</v>
      </c>
      <c r="I46" s="41" t="n">
        <v>0</v>
      </c>
      <c r="J46" s="41" t="n">
        <v>0</v>
      </c>
      <c r="K46" s="41" t="n">
        <v>0</v>
      </c>
      <c r="L46" s="41" t="n">
        <v>0</v>
      </c>
      <c r="M46" s="41" t="n">
        <v>0</v>
      </c>
      <c r="N46" s="38" t="n">
        <f aca="false">Q!$N$26</f>
        <v>0</v>
      </c>
      <c r="O46" s="38" t="n">
        <f aca="false">Q!$O$26</f>
        <v>0</v>
      </c>
    </row>
    <row r="47" customFormat="false" ht="15" hidden="false" customHeight="false" outlineLevel="0" collapsed="false">
      <c r="A47" s="3" t="s">
        <v>494</v>
      </c>
      <c r="B47" s="8" t="s">
        <v>73</v>
      </c>
      <c r="C47" s="38" t="n">
        <f aca="false">Q!$D$25</f>
        <v>68.593</v>
      </c>
      <c r="D47" s="38" t="n">
        <f aca="false">Q!$E$25</f>
        <v>79.975</v>
      </c>
      <c r="E47" s="38" t="n">
        <f aca="false">Q!$P$25</f>
        <v>51.313</v>
      </c>
      <c r="F47" s="38" t="n">
        <f aca="false">PL!$F$37+PL!$F$42+PL!$F$45+PL!$F$46</f>
        <v>62.6552923599539</v>
      </c>
      <c r="G47" s="38" t="n">
        <f aca="false">PL!$G$37+PL!$G$42+PL!$G$45+PL!$G$46</f>
        <v>113.968292359954</v>
      </c>
      <c r="H47" s="38" t="n">
        <f aca="false">PL!$H$37+PL!$H$42+PL!$H$45+PL!$H$46</f>
        <v>157.915831746174</v>
      </c>
      <c r="I47" s="38" t="n">
        <f aca="false">PL!$I$37+PL!$I$42+PL!$I$45+PL!$I$46</f>
        <v>205.565674690388</v>
      </c>
      <c r="J47" s="38" t="n">
        <f aca="false">PL!$J$37+PL!$J$42+PL!$J$45+PL!$J$46</f>
        <v>250.530664931004</v>
      </c>
      <c r="K47" s="38" t="n">
        <f aca="false">PL!$K$37+PL!$K$42+PL!$K$45+PL!$K$46</f>
        <v>291.237807126585</v>
      </c>
      <c r="L47" s="38" t="n">
        <f aca="false">PL!$L$37+PL!$L$42+PL!$L$45+PL!$L$46</f>
        <v>333.724208500909</v>
      </c>
      <c r="M47" s="38" t="n">
        <f aca="false">PL!$M$37+PL!$M$42+PL!$M$45+PL!$M$46</f>
        <v>376.924614613945</v>
      </c>
      <c r="N47" s="38" t="n">
        <f aca="false">Q!$N$25</f>
        <v>37.576</v>
      </c>
      <c r="O47" s="38" t="n">
        <f aca="false">Q!$O$25</f>
        <v>42.399</v>
      </c>
    </row>
    <row r="48" customFormat="false" ht="17.15" hidden="false" customHeight="false" outlineLevel="0" collapsed="false">
      <c r="A48" s="24" t="s">
        <v>686</v>
      </c>
      <c r="B48" s="25" t="s">
        <v>73</v>
      </c>
      <c r="C48" s="39" t="n">
        <f aca="false">PL!$C$37+PL!$C$42+PL!$C$45+PL!$C$46-PL!$C$47</f>
        <v>0</v>
      </c>
      <c r="D48" s="39" t="n">
        <f aca="false">PL!$D$37+PL!$D$42+PL!$D$45+PL!$D$46-PL!$D$47</f>
        <v>0</v>
      </c>
      <c r="E48" s="39" t="n">
        <f aca="false">PL!$E$37+PL!$E$42+PL!$E$45+PL!$E$46-PL!$E$47</f>
        <v>0</v>
      </c>
      <c r="F48" s="39" t="n">
        <f aca="false">PL!$F$37+PL!$F$42+PL!$F$45+PL!$F$46-PL!$F$47</f>
        <v>0</v>
      </c>
      <c r="G48" s="39" t="n">
        <f aca="false">PL!$G$37+PL!$G$42+PL!$G$45+PL!$G$46-PL!$G$47</f>
        <v>0</v>
      </c>
      <c r="H48" s="39" t="n">
        <f aca="false">PL!$H$37+PL!$H$42+PL!$H$45+PL!$H$46-PL!$H$47</f>
        <v>0</v>
      </c>
      <c r="I48" s="39" t="n">
        <f aca="false">PL!$I$37+PL!$I$42+PL!$I$45+PL!$I$46-PL!$I$47</f>
        <v>0</v>
      </c>
      <c r="J48" s="39" t="n">
        <f aca="false">PL!$J$37+PL!$J$42+PL!$J$45+PL!$J$46-PL!$J$47</f>
        <v>0</v>
      </c>
      <c r="K48" s="39" t="n">
        <f aca="false">PL!$K$37+PL!$K$42+PL!$K$45+PL!$K$46-PL!$K$47</f>
        <v>0</v>
      </c>
      <c r="L48" s="39" t="n">
        <f aca="false">PL!$L$37+PL!$L$42+PL!$L$45+PL!$L$46-PL!$L$47</f>
        <v>0</v>
      </c>
      <c r="M48" s="39" t="n">
        <f aca="false">PL!$M$37+PL!$M$42+PL!$M$45+PL!$M$46-PL!$M$47</f>
        <v>0</v>
      </c>
      <c r="N48" s="39" t="n">
        <f aca="false">PL!$N$37+PL!$N$42+PL!$N$45+PL!$N$46-PL!$N$47</f>
        <v>0</v>
      </c>
      <c r="O48" s="39" t="n">
        <f aca="false">PL!$O$37+PL!$O$42+PL!$O$45+PL!$O$46-PL!$O$47</f>
        <v>0</v>
      </c>
    </row>
    <row r="49" customFormat="false" ht="17.15" hidden="false" customHeight="false" outlineLevel="0" collapsed="false">
      <c r="A49" s="0" t="s">
        <v>687</v>
      </c>
      <c r="B49" s="0" t="s">
        <v>52</v>
      </c>
      <c r="C49" s="12" t="n">
        <f aca="false">PL!$C$37/PL!$C$22</f>
        <v>0.0644314665661928</v>
      </c>
      <c r="D49" s="12" t="n">
        <f aca="false">PL!$D$37/PL!$D$22</f>
        <v>0.0694784250712518</v>
      </c>
      <c r="E49" s="12" t="n">
        <f aca="false">PL!$E$37/PL!$E$22</f>
        <v>0.0789306463326071</v>
      </c>
      <c r="F49" s="12" t="n">
        <f aca="false">PL!$F$37/PL!$F$22</f>
        <v>0.0816145735840794</v>
      </c>
      <c r="G49" s="12" t="n">
        <f aca="false">PL!$G$37/PL!$G$22</f>
        <v>0.0803739251202381</v>
      </c>
      <c r="H49" s="12" t="n">
        <f aca="false">PL!$H$37/PL!$H$22</f>
        <v>0.0798596011752237</v>
      </c>
      <c r="I49" s="12" t="n">
        <f aca="false">PL!$I$37/PL!$I$22</f>
        <v>0.0782601558562171</v>
      </c>
      <c r="J49" s="12" t="n">
        <f aca="false">PL!$J$37/PL!$J$22</f>
        <v>0.0766491821486487</v>
      </c>
      <c r="K49" s="12" t="n">
        <f aca="false">PL!$K$37/PL!$K$22</f>
        <v>0.0745217516355193</v>
      </c>
      <c r="L49" s="12" t="n">
        <f aca="false">PL!$L$37/PL!$L$22</f>
        <v>0.0713200365148662</v>
      </c>
      <c r="M49" s="12" t="n">
        <f aca="false">PL!$M$37/PL!$M$22</f>
        <v>0.0688839469911888</v>
      </c>
      <c r="N49" s="12" t="n">
        <f aca="false">PL!$N$37/PL!$N$22</f>
        <v>0.069228576611127</v>
      </c>
      <c r="O49" s="12" t="n">
        <f aca="false">PL!$O$37/PL!$O$22</f>
        <v>0.069685022498393</v>
      </c>
    </row>
    <row r="50" customFormat="false" ht="17.15" hidden="false" customHeight="false" outlineLevel="0" collapsed="false">
      <c r="A50" s="0" t="s">
        <v>688</v>
      </c>
      <c r="B50" s="0" t="s">
        <v>52</v>
      </c>
      <c r="C50" s="12" t="n">
        <f aca="false">PL!$C$42/PL!$C$23</f>
        <v>0.026534925055631</v>
      </c>
      <c r="D50" s="12" t="n">
        <f aca="false">PL!$D$42/PL!$D$23</f>
        <v>0.0293401855535103</v>
      </c>
      <c r="E50" s="12" t="n">
        <f aca="false">PL!$E$42/PL!$E$23</f>
        <v>0.03831141902276</v>
      </c>
      <c r="F50" s="12" t="n">
        <f aca="false">PL!$F$42/PL!$F$23</f>
        <v>0.0297339586997597</v>
      </c>
      <c r="G50" s="12" t="n">
        <f aca="false">PL!$G$42/PL!$G$23</f>
        <v>0.0335847842865679</v>
      </c>
      <c r="H50" s="12" t="n">
        <f aca="false">PL!$H$42/PL!$H$23</f>
        <v>0.0310762004012152</v>
      </c>
      <c r="I50" s="12" t="n">
        <f aca="false">PL!$I$42/PL!$I$23</f>
        <v>0.0274588663176076</v>
      </c>
      <c r="J50" s="12" t="n">
        <f aca="false">PL!$J$42/PL!$J$23</f>
        <v>0.023766227635282</v>
      </c>
      <c r="K50" s="12" t="n">
        <f aca="false">PL!$K$42/PL!$K$23</f>
        <v>0.0194513521807713</v>
      </c>
      <c r="L50" s="12" t="n">
        <f aca="false">PL!$L$42/PL!$L$23</f>
        <v>0.0165991151804232</v>
      </c>
      <c r="M50" s="12" t="n">
        <f aca="false">PL!$M$42/PL!$M$23</f>
        <v>0.0145205333453189</v>
      </c>
      <c r="N50" s="12" t="n">
        <f aca="false">PL!$N$42/PL!$N$23</f>
        <v>0.0357315650169337</v>
      </c>
      <c r="O50" s="12" t="n">
        <f aca="false">PL!$O$42/PL!$O$23</f>
        <v>0.0244378956559703</v>
      </c>
    </row>
    <row r="51" customFormat="false" ht="17.15" hidden="false" customHeight="false" outlineLevel="0" collapsed="false">
      <c r="A51" s="13" t="s">
        <v>689</v>
      </c>
      <c r="B51" s="13" t="s">
        <v>52</v>
      </c>
      <c r="C51" s="16" t="n">
        <f aca="false">PL!$C$45/PL!$C$24</f>
        <v>0.370355907620217</v>
      </c>
      <c r="D51" s="16" t="n">
        <f aca="false">PL!$D$45/PL!$D$24</f>
        <v>0.35429015342785</v>
      </c>
      <c r="E51" s="16" t="n">
        <f aca="false">PL!$E$45/PL!$E$24</f>
        <v>0.385647527531039</v>
      </c>
      <c r="F51" s="16" t="n">
        <f aca="false">PL!$F$45/PL!$F$24</f>
        <v>0.40206185729161</v>
      </c>
      <c r="G51" s="16" t="n">
        <f aca="false">PL!$G$45/PL!$G$24</f>
        <v>0.394625480519189</v>
      </c>
      <c r="H51" s="16" t="n">
        <f aca="false">PL!$H$45/PL!$H$24</f>
        <v>0.41476092179775</v>
      </c>
      <c r="I51" s="16" t="n">
        <f aca="false">PL!$I$45/PL!$I$24</f>
        <v>0.430204647026498</v>
      </c>
      <c r="J51" s="16" t="n">
        <f aca="false">PL!$J$45/PL!$J$24</f>
        <v>0.438243633189719</v>
      </c>
      <c r="K51" s="16" t="n">
        <f aca="false">PL!$K$45/PL!$K$24</f>
        <v>0.443514356279741</v>
      </c>
      <c r="L51" s="16" t="n">
        <f aca="false">PL!$L$45/PL!$L$24</f>
        <v>0.449816619072506</v>
      </c>
      <c r="M51" s="16" t="n">
        <f aca="false">PL!$M$45/PL!$M$24</f>
        <v>0.453608819396256</v>
      </c>
      <c r="N51" s="16" t="n">
        <f aca="false">PL!$N$45/PL!$N$24</f>
        <v>0.360941137346192</v>
      </c>
      <c r="O51" s="16" t="n">
        <f aca="false">PL!$O$45/PL!$O$24</f>
        <v>0.348458117664212</v>
      </c>
    </row>
    <row r="52" customFormat="false" ht="17.15" hidden="false" customHeight="false" outlineLevel="0" collapsed="false">
      <c r="A52" s="0" t="s">
        <v>690</v>
      </c>
      <c r="B52" s="0" t="s">
        <v>52</v>
      </c>
      <c r="C52" s="12" t="n">
        <f aca="false">PL!$C$43/PL!$C$25</f>
        <v>0.708390794789371</v>
      </c>
      <c r="D52" s="12" t="n">
        <f aca="false">PL!$D$43/PL!$D$25</f>
        <v>0.445565630441968</v>
      </c>
      <c r="E52" s="12" t="n">
        <f aca="false">PL!$E$43/PL!$E$25</f>
        <v>0.165998118402711</v>
      </c>
      <c r="F52" s="12" t="n">
        <f aca="false">PL!$F$43/PL!$F$25</f>
        <v>0.522597540603814</v>
      </c>
      <c r="G52" s="12" t="n">
        <f aca="false">PL!$G$43/PL!$G$25</f>
        <v>0.407122915702863</v>
      </c>
      <c r="H52" s="12" t="n">
        <f aca="false">PL!$H$43/PL!$H$25</f>
        <v>0.501747428859124</v>
      </c>
      <c r="I52" s="12" t="n">
        <f aca="false">PL!$I$43/PL!$I$25</f>
        <v>0.509009675067759</v>
      </c>
      <c r="J52" s="12" t="n">
        <f aca="false">PL!$J$43/PL!$J$25</f>
        <v>0.508529537133494</v>
      </c>
      <c r="K52" s="12" t="n">
        <f aca="false">PL!$K$43/PL!$K$25</f>
        <v>0.50644637746917</v>
      </c>
      <c r="L52" s="12" t="n">
        <f aca="false">PL!$L$43/PL!$L$25</f>
        <v>0.509912581728373</v>
      </c>
      <c r="M52" s="12" t="n">
        <f aca="false">PL!$M$43/PL!$M$25</f>
        <v>0.51089936914589</v>
      </c>
      <c r="N52" s="12" t="n">
        <f aca="false">PL!$N$43/PL!$N$25</f>
        <v>0.302870734830849</v>
      </c>
      <c r="O52" s="12" t="n">
        <f aca="false">PL!$O$43/PL!$O$25</f>
        <v>0.52240134346334</v>
      </c>
    </row>
    <row r="53" customFormat="false" ht="15" hidden="false" customHeight="false" outlineLevel="0" collapsed="false">
      <c r="A53" s="5" t="s">
        <v>691</v>
      </c>
      <c r="B53" s="0" t="s">
        <v>52</v>
      </c>
      <c r="C53" s="12" t="n">
        <f aca="false">PL!$C$47/PL!$C$27</f>
        <v>0.107519448742004</v>
      </c>
      <c r="D53" s="12" t="n">
        <f aca="false">PL!$D$47/PL!$D$27</f>
        <v>0.111552967957552</v>
      </c>
      <c r="E53" s="12" t="n">
        <f aca="false">PL!$E$47/PL!$E$27</f>
        <v>0.13428328426562</v>
      </c>
      <c r="F53" s="12" t="n">
        <f aca="false">PL!$F$47/PL!$F$27</f>
        <v>0.138219735129808</v>
      </c>
      <c r="G53" s="12" t="n">
        <f aca="false">PL!$G$47/PL!$G$27</f>
        <v>0.136419199408084</v>
      </c>
      <c r="H53" s="12" t="n">
        <f aca="false">PL!$H$47/PL!$H$27</f>
        <v>0.158882924718078</v>
      </c>
      <c r="I53" s="12" t="n">
        <f aca="false">PL!$I$47/PL!$I$27</f>
        <v>0.177668172284456</v>
      </c>
      <c r="J53" s="12" t="n">
        <f aca="false">PL!$J$47/PL!$J$27</f>
        <v>0.191026986303957</v>
      </c>
      <c r="K53" s="12" t="n">
        <f aca="false">PL!$K$47/PL!$K$27</f>
        <v>0.200631708366219</v>
      </c>
      <c r="L53" s="12" t="n">
        <f aca="false">PL!$L$47/PL!$L$27</f>
        <v>0.208946122217668</v>
      </c>
      <c r="M53" s="12" t="n">
        <f aca="false">PL!$M$47/PL!$M$27</f>
        <v>0.215556536361688</v>
      </c>
      <c r="N53" s="12" t="n">
        <f aca="false">PL!$N$47/PL!$N$27</f>
        <v>0.116201614873411</v>
      </c>
      <c r="O53" s="12" t="n">
        <f aca="false">PL!$O$47/PL!$O$27</f>
        <v>0.107733353660861</v>
      </c>
    </row>
    <row r="54" customFormat="false" ht="17.15" hidden="false" customHeight="false" outlineLevel="0" collapsed="false">
      <c r="A54" s="1" t="s">
        <v>692</v>
      </c>
    </row>
    <row r="55" customFormat="false" ht="17.15" hidden="false" customHeight="false" outlineLevel="0" collapsed="false">
      <c r="A55" s="5" t="s">
        <v>693</v>
      </c>
      <c r="B55" s="0" t="s">
        <v>52</v>
      </c>
      <c r="D55" s="28" t="n">
        <f aca="false">(Q!$E$29+Q!$E$30-(1-ext_sh)*Thesis!$D$40)/Seg!$D$19</f>
        <v>0.0334674312393194</v>
      </c>
    </row>
    <row r="56" customFormat="false" ht="17.15" hidden="false" customHeight="false" outlineLevel="0" collapsed="false">
      <c r="A56" s="0" t="s">
        <v>498</v>
      </c>
      <c r="B56" s="0" t="s">
        <v>73</v>
      </c>
      <c r="C56" s="38" t="n">
        <f aca="false">Q!$D$29</f>
        <v>14.285</v>
      </c>
      <c r="D56" s="38" t="n">
        <f aca="false">Q!$E$29</f>
        <v>15.503</v>
      </c>
      <c r="E56" s="38" t="n">
        <f aca="false">Q!$P$29</f>
        <v>8.78</v>
      </c>
      <c r="F56" s="38" t="n">
        <f aca="false">(PL!$D$55*Seg!$F$19+(1-ext_sh)*Thesis!$F$40)*Seg!$F$20</f>
        <v>9.51361751569285</v>
      </c>
      <c r="G56" s="38" t="n">
        <f aca="false">PL!$E$56+PL!$F$56</f>
        <v>18.2936175156929</v>
      </c>
      <c r="H56" s="38" t="n">
        <f aca="false">(PL!$D$55*Seg!$H$19+(1-ext_sh)*Thesis!$H$40)*Seg!$H$20</f>
        <v>22.8178120069944</v>
      </c>
      <c r="I56" s="38" t="n">
        <f aca="false">(PL!$D$55*Seg!$I$19+(1-ext_sh)*Thesis!$I$40)*Seg!$I$20</f>
        <v>28.5894453327073</v>
      </c>
      <c r="J56" s="38" t="n">
        <f aca="false">(PL!$D$55*Seg!$J$19+(1-ext_sh)*Thesis!$J$40)*Seg!$J$20</f>
        <v>34.3924497003759</v>
      </c>
      <c r="K56" s="38" t="n">
        <f aca="false">(PL!$D$55*Seg!$K$19+(1-ext_sh)*Thesis!$K$40)*Seg!$K$20</f>
        <v>40.1107741953089</v>
      </c>
      <c r="L56" s="38" t="n">
        <f aca="false">(PL!$D$55*Seg!$L$19+(1-ext_sh)*Thesis!$L$40)*Seg!$L$20</f>
        <v>45.6311580118322</v>
      </c>
      <c r="M56" s="38" t="n">
        <f aca="false">(PL!$D$55*Seg!$M$19+(1-ext_sh)*Thesis!$M$40)*Seg!$M$20</f>
        <v>51.3566298064494</v>
      </c>
      <c r="N56" s="38" t="n">
        <f aca="false">Q!$N$29</f>
        <v>7.272</v>
      </c>
      <c r="O56" s="38" t="n">
        <f aca="false">Q!$O$29</f>
        <v>8.231</v>
      </c>
    </row>
    <row r="57" customFormat="false" ht="17.15" hidden="false" customHeight="false" outlineLevel="0" collapsed="false">
      <c r="A57" s="0" t="s">
        <v>500</v>
      </c>
      <c r="B57" s="0" t="s">
        <v>73</v>
      </c>
      <c r="C57" s="38" t="n">
        <f aca="false">Q!$D$30</f>
        <v>4.462</v>
      </c>
      <c r="D57" s="38" t="n">
        <f aca="false">Q!$E$30</f>
        <v>4.907</v>
      </c>
      <c r="E57" s="38" t="n">
        <f aca="false">Q!$P$30</f>
        <v>2.57</v>
      </c>
      <c r="F57" s="38" t="n">
        <f aca="false">(PL!$D$55*Seg!$F$19+(1-ext_sh)*Thesis!$F$40)*(1-Seg!$F$20)</f>
        <v>3.7353230631574</v>
      </c>
      <c r="G57" s="38" t="n">
        <f aca="false">PL!$E$57+PL!$F$57</f>
        <v>6.3053230631574</v>
      </c>
      <c r="H57" s="38" t="n">
        <f aca="false">(PL!$D$55*Seg!$H$19+(1-ext_sh)*Thesis!$H$40)*(1-Seg!$H$20)</f>
        <v>8.74264097729789</v>
      </c>
      <c r="I57" s="38" t="n">
        <f aca="false">(PL!$D$55*Seg!$I$19+(1-ext_sh)*Thesis!$I$40)*(1-Seg!$I$20)</f>
        <v>10.9540413518758</v>
      </c>
      <c r="J57" s="38" t="n">
        <f aca="false">(PL!$D$55*Seg!$J$19+(1-ext_sh)*Thesis!$J$40)*(1-Seg!$J$20)</f>
        <v>13.1774615361014</v>
      </c>
      <c r="K57" s="38" t="n">
        <f aca="false">(PL!$D$55*Seg!$K$19+(1-ext_sh)*Thesis!$K$40)*(1-Seg!$K$20)</f>
        <v>15.3684366407944</v>
      </c>
      <c r="L57" s="38" t="n">
        <f aca="false">(PL!$D$55*Seg!$L$19+(1-ext_sh)*Thesis!$L$40)*(1-Seg!$L$20)</f>
        <v>17.4835708065923</v>
      </c>
      <c r="M57" s="38" t="n">
        <f aca="false">(PL!$D$55*Seg!$M$19+(1-ext_sh)*Thesis!$M$40)*(1-Seg!$M$20)</f>
        <v>19.6772843980024</v>
      </c>
      <c r="N57" s="38" t="n">
        <f aca="false">Q!$N$30</f>
        <v>2.316</v>
      </c>
      <c r="O57" s="38" t="n">
        <f aca="false">Q!$O$30</f>
        <v>2.591</v>
      </c>
    </row>
    <row r="58" customFormat="false" ht="17.15" hidden="false" customHeight="false" outlineLevel="0" collapsed="false">
      <c r="A58" s="0" t="s">
        <v>501</v>
      </c>
      <c r="B58" s="0" t="s">
        <v>73</v>
      </c>
      <c r="C58" s="38" t="n">
        <f aca="false">Thesis!$C$52</f>
        <v>13.32</v>
      </c>
      <c r="D58" s="38" t="n">
        <f aca="false">Thesis!$D$52</f>
        <v>21.45</v>
      </c>
      <c r="E58" s="38" t="n">
        <f aca="false">Thesis!$E$52</f>
        <v>15.353</v>
      </c>
      <c r="F58" s="38" t="n">
        <f aca="false">Thesis!$F$52</f>
        <v>17.3614451462707</v>
      </c>
      <c r="G58" s="38" t="n">
        <f aca="false">Thesis!$G$52</f>
        <v>32.7144451462707</v>
      </c>
      <c r="H58" s="38" t="n">
        <f aca="false">Thesis!$H$52</f>
        <v>56.4867710193415</v>
      </c>
      <c r="I58" s="38" t="n">
        <f aca="false">Thesis!$I$52</f>
        <v>83.8668874379297</v>
      </c>
      <c r="J58" s="38" t="n">
        <f aca="false">Thesis!$J$52</f>
        <v>111.460055841369</v>
      </c>
      <c r="K58" s="38" t="n">
        <f aca="false">Thesis!$K$52</f>
        <v>138.547827112871</v>
      </c>
      <c r="L58" s="38" t="n">
        <f aca="false">Thesis!$L$52</f>
        <v>164.251314203055</v>
      </c>
      <c r="M58" s="38" t="n">
        <f aca="false">Thesis!$M$52</f>
        <v>190.779610439699</v>
      </c>
      <c r="N58" s="38" t="n">
        <f aca="false">Thesis!$N$52</f>
        <v>9.234</v>
      </c>
      <c r="O58" s="38" t="n">
        <f aca="false">Thesis!$O$52</f>
        <v>12.216</v>
      </c>
    </row>
    <row r="59" customFormat="false" ht="17.15" hidden="false" customHeight="false" outlineLevel="0" collapsed="false">
      <c r="A59" s="5" t="s">
        <v>694</v>
      </c>
      <c r="B59" s="0" t="s">
        <v>73</v>
      </c>
      <c r="C59" s="38" t="n">
        <f aca="false">PL!$C$56+PL!$C$57+PL!$C$58</f>
        <v>32.067</v>
      </c>
      <c r="D59" s="38" t="n">
        <f aca="false">PL!$D$56+PL!$D$57+PL!$D$58</f>
        <v>41.86</v>
      </c>
      <c r="E59" s="38" t="n">
        <f aca="false">PL!$E$56+PL!$E$57+PL!$E$58</f>
        <v>26.703</v>
      </c>
      <c r="F59" s="38" t="n">
        <f aca="false">PL!$F$56+PL!$F$57+PL!$F$58</f>
        <v>30.6103857251209</v>
      </c>
      <c r="G59" s="38" t="n">
        <f aca="false">PL!$G$56+PL!$G$57+PL!$G$58</f>
        <v>57.3133857251209</v>
      </c>
      <c r="H59" s="38" t="n">
        <f aca="false">PL!$H$56+PL!$H$57+PL!$H$58</f>
        <v>88.0472240036338</v>
      </c>
      <c r="I59" s="38" t="n">
        <f aca="false">PL!$I$56+PL!$I$57+PL!$I$58</f>
        <v>123.410374122513</v>
      </c>
      <c r="J59" s="38" t="n">
        <f aca="false">PL!$J$56+PL!$J$57+PL!$J$58</f>
        <v>159.029967077846</v>
      </c>
      <c r="K59" s="38" t="n">
        <f aca="false">PL!$K$56+PL!$K$57+PL!$K$58</f>
        <v>194.027037948974</v>
      </c>
      <c r="L59" s="38" t="n">
        <f aca="false">PL!$L$56+PL!$L$57+PL!$L$58</f>
        <v>227.366043021479</v>
      </c>
      <c r="M59" s="38" t="n">
        <f aca="false">PL!$M$56+PL!$M$57+PL!$M$58</f>
        <v>261.813524644151</v>
      </c>
      <c r="N59" s="38" t="n">
        <f aca="false">PL!$N$56+PL!$N$57+PL!$N$58</f>
        <v>18.822</v>
      </c>
      <c r="O59" s="38" t="n">
        <f aca="false">PL!$O$56+PL!$O$57+PL!$O$58</f>
        <v>23.038</v>
      </c>
    </row>
    <row r="60" customFormat="false" ht="17.15" hidden="false" customHeight="false" outlineLevel="0" collapsed="false">
      <c r="A60" s="0" t="s">
        <v>695</v>
      </c>
      <c r="B60" s="0" t="s">
        <v>73</v>
      </c>
      <c r="C60" s="38" t="n">
        <f aca="false">PL!$C$33+PL!$C$38</f>
        <v>28.107</v>
      </c>
      <c r="D60" s="38" t="n">
        <f aca="false">PL!$D$33+PL!$D$38</f>
        <v>34.3175</v>
      </c>
      <c r="E60" s="38" t="n">
        <f aca="false">PL!$E$33+PL!$E$38</f>
        <v>18.526</v>
      </c>
      <c r="F60" s="38" t="n">
        <f aca="false">PL!$F$33+PL!$F$38</f>
        <v>24.0766690913691</v>
      </c>
      <c r="G60" s="38" t="n">
        <f aca="false">PL!$G$33+PL!$G$38</f>
        <v>42.6026690913691</v>
      </c>
      <c r="H60" s="38" t="n">
        <f aca="false">PL!$H$33+PL!$H$38</f>
        <v>51.1466809294702</v>
      </c>
      <c r="I60" s="38" t="n">
        <f aca="false">PL!$I$33+PL!$I$38</f>
        <v>59.6899187926205</v>
      </c>
      <c r="J60" s="38" t="n">
        <f aca="false">PL!$J$33+PL!$J$38</f>
        <v>67.6595395244221</v>
      </c>
      <c r="K60" s="38" t="n">
        <f aca="false">PL!$K$33+PL!$K$38</f>
        <v>74.4254934768643</v>
      </c>
      <c r="L60" s="38" t="n">
        <f aca="false">PL!$L$33+PL!$L$38</f>
        <v>81.8680428245508</v>
      </c>
      <c r="M60" s="38" t="n">
        <f aca="false">PL!$M$33+PL!$M$38</f>
        <v>90.0548471070059</v>
      </c>
      <c r="N60" s="38" t="n">
        <f aca="false">PL!$N$33+PL!$N$38</f>
        <v>14.8075</v>
      </c>
      <c r="O60" s="38" t="n">
        <f aca="false">PL!$O$33+PL!$O$38</f>
        <v>19.51</v>
      </c>
    </row>
    <row r="61" customFormat="false" ht="17.15" hidden="false" customHeight="false" outlineLevel="0" collapsed="false">
      <c r="A61" s="0" t="s">
        <v>696</v>
      </c>
      <c r="B61" s="0" t="s">
        <v>73</v>
      </c>
      <c r="C61" s="38" t="n">
        <f aca="false">PL!$C$37+PL!$C$42+PL!$C$56+PL!$C$57-PL!$C$60</f>
        <v>19.399</v>
      </c>
      <c r="D61" s="38" t="n">
        <f aca="false">PL!$D$37+PL!$D$42+PL!$D$56+PL!$D$57-PL!$D$60</f>
        <v>20.4615</v>
      </c>
      <c r="E61" s="38" t="n">
        <f aca="false">PL!$E$37+PL!$E$42+PL!$E$56+PL!$E$57-PL!$E$60</f>
        <v>13.355</v>
      </c>
      <c r="F61" s="38" t="n">
        <f aca="false">PL!$F$37+PL!$F$42+PL!$F$56+PL!$F$57-PL!$F$60</f>
        <v>13.0826144277217</v>
      </c>
      <c r="G61" s="38" t="n">
        <f aca="false">PL!$G$37+PL!$G$42+PL!$G$56+PL!$G$57-PL!$G$60</f>
        <v>26.4376144277217</v>
      </c>
      <c r="H61" s="38" t="n">
        <f aca="false">PL!$H$37+PL!$H$42+PL!$H$56+PL!$H$57-PL!$H$60</f>
        <v>28.842079620009</v>
      </c>
      <c r="I61" s="38" t="n">
        <f aca="false">PL!$I$37+PL!$I$42+PL!$I$56+PL!$I$57-PL!$I$60</f>
        <v>31.0942142952663</v>
      </c>
      <c r="J61" s="38" t="n">
        <f aca="false">PL!$J$37+PL!$J$42+PL!$J$56+PL!$J$57-PL!$J$60</f>
        <v>33.3380038919623</v>
      </c>
      <c r="K61" s="38" t="n">
        <f aca="false">PL!$K$37+PL!$K$42+PL!$K$56+PL!$K$57-PL!$K$60</f>
        <v>35.434194316981</v>
      </c>
      <c r="L61" s="38" t="n">
        <f aca="false">PL!$L$37+PL!$L$42+PL!$L$56+PL!$L$57-PL!$L$60</f>
        <v>36.1326345963153</v>
      </c>
      <c r="M61" s="38" t="n">
        <f aca="false">PL!$M$37+PL!$M$42+PL!$M$56+PL!$M$57-PL!$M$60</f>
        <v>37.0219953210507</v>
      </c>
      <c r="N61" s="38" t="n">
        <f aca="false">PL!$N$37+PL!$N$42+PL!$N$56+PL!$N$57-PL!$N$60</f>
        <v>10.6495</v>
      </c>
      <c r="O61" s="38" t="n">
        <f aca="false">PL!$O$37+PL!$O$42+PL!$O$56+PL!$O$57-PL!$O$60</f>
        <v>9.81200000000001</v>
      </c>
    </row>
    <row r="62" customFormat="false" ht="17.15" hidden="false" customHeight="false" outlineLevel="0" collapsed="false">
      <c r="A62" s="0" t="s">
        <v>697</v>
      </c>
      <c r="B62" s="0" t="s">
        <v>73</v>
      </c>
      <c r="C62" s="38" t="n">
        <f aca="false">PL!$C$44+PL!$C$58-ext_sh*Thesis!$C$40</f>
        <v>51.3470500115664</v>
      </c>
      <c r="D62" s="38" t="n">
        <f aca="false">PL!$D$44+PL!$D$58-ext_sh*Thesis!$D$40</f>
        <v>60.2799375433739</v>
      </c>
      <c r="E62" s="38" t="n">
        <f aca="false">PL!$E$44+PL!$E$58-ext_sh*Thesis!$E$40</f>
        <v>39.5095167090767</v>
      </c>
      <c r="F62" s="38" t="n">
        <f aca="false">PL!$F$44+PL!$F$58-ext_sh*Thesis!$F$40</f>
        <v>41.606724953129</v>
      </c>
      <c r="G62" s="38" t="n">
        <f aca="false">PL!$G$44+PL!$G$58-ext_sh*Thesis!$G$40</f>
        <v>81.1162416622057</v>
      </c>
      <c r="H62" s="38" t="n">
        <f aca="false">PL!$H$44+PL!$H$58-ext_sh*Thesis!$H$40</f>
        <v>95.7616595325849</v>
      </c>
      <c r="I62" s="38" t="n">
        <f aca="false">PL!$I$44+PL!$I$58-ext_sh*Thesis!$I$40</f>
        <v>111.513312079935</v>
      </c>
      <c r="J62" s="38" t="n">
        <f aca="false">PL!$J$44+PL!$J$58-ext_sh*Thesis!$J$40</f>
        <v>125.145150463955</v>
      </c>
      <c r="K62" s="38" t="n">
        <f aca="false">PL!$K$44+PL!$K$58-ext_sh*Thesis!$K$40</f>
        <v>135.156762501071</v>
      </c>
      <c r="L62" s="38" t="n">
        <f aca="false">PL!$L$44+PL!$L$58-ext_sh*Thesis!$L$40</f>
        <v>145.969303501157</v>
      </c>
      <c r="M62" s="38" t="n">
        <f aca="false">PL!$M$44+PL!$M$58-ext_sh*Thesis!$M$40</f>
        <v>157.646847781249</v>
      </c>
      <c r="N62" s="38" t="n">
        <f aca="false">PL!$N$44+PL!$N$58-ext_sh*Thesis!$N$40</f>
        <v>28.5693781401809</v>
      </c>
      <c r="O62" s="38" t="n">
        <f aca="false">PL!$O$44+PL!$O$58-ext_sh*Thesis!$O$40</f>
        <v>31.7105594031931</v>
      </c>
    </row>
    <row r="63" customFormat="false" ht="17.15" hidden="false" customHeight="false" outlineLevel="0" collapsed="false">
      <c r="A63" s="0" t="s">
        <v>698</v>
      </c>
      <c r="B63" s="0" t="s">
        <v>73</v>
      </c>
      <c r="C63" s="38" t="n">
        <f aca="false">Thesis!$C$43</f>
        <v>1.80694998843362</v>
      </c>
      <c r="D63" s="38" t="n">
        <f aca="false">Thesis!$D$43</f>
        <v>6.77606245662607</v>
      </c>
      <c r="E63" s="38" t="n">
        <f aca="false">Thesis!$E$43</f>
        <v>6.62548329092326</v>
      </c>
      <c r="F63" s="38" t="n">
        <f aca="false">Thesis!$F$43</f>
        <v>14.4996696128551</v>
      </c>
      <c r="G63" s="38" t="n">
        <f aca="false">Thesis!$G$43</f>
        <v>21.1251529037784</v>
      </c>
      <c r="H63" s="38" t="n">
        <f aca="false">Thesis!$H$43</f>
        <v>70.2126356677435</v>
      </c>
      <c r="I63" s="38" t="n">
        <f aca="false">Thesis!$I$43</f>
        <v>126.678603645079</v>
      </c>
      <c r="J63" s="38" t="n">
        <f aca="false">Thesis!$J$43</f>
        <v>183.417938128511</v>
      </c>
      <c r="K63" s="38" t="n">
        <f aca="false">Thesis!$K$43</f>
        <v>240.248394780643</v>
      </c>
      <c r="L63" s="38" t="n">
        <f aca="false">Thesis!$L$43</f>
        <v>297.120270600365</v>
      </c>
      <c r="M63" s="38" t="n">
        <f aca="false">Thesis!$M$43</f>
        <v>354.01444904879</v>
      </c>
      <c r="N63" s="38" t="n">
        <f aca="false">Thesis!$N$43</f>
        <v>2.37162185981912</v>
      </c>
      <c r="O63" s="38" t="n">
        <f aca="false">Thesis!$O$43</f>
        <v>4.40444059680694</v>
      </c>
    </row>
    <row r="64" customFormat="false" ht="17.15" hidden="false" customHeight="false" outlineLevel="0" collapsed="false">
      <c r="A64" s="0" t="s">
        <v>699</v>
      </c>
      <c r="B64" s="0" t="s">
        <v>73</v>
      </c>
      <c r="C64" s="38" t="n">
        <f aca="false">PL!$C$47+PL!$C$59</f>
        <v>100.66</v>
      </c>
      <c r="D64" s="38" t="n">
        <f aca="false">PL!$D$47+PL!$D$59</f>
        <v>121.835</v>
      </c>
      <c r="E64" s="38" t="n">
        <f aca="false">PL!$E$47+PL!$E$59</f>
        <v>78.016</v>
      </c>
      <c r="F64" s="38" t="n">
        <f aca="false">PL!$F$47+PL!$F$59</f>
        <v>93.2656780850749</v>
      </c>
      <c r="G64" s="38" t="n">
        <f aca="false">PL!$G$47+PL!$G$59</f>
        <v>171.281678085075</v>
      </c>
      <c r="H64" s="38" t="n">
        <f aca="false">PL!$H$47+PL!$H$59</f>
        <v>245.963055749808</v>
      </c>
      <c r="I64" s="38" t="n">
        <f aca="false">PL!$I$47+PL!$I$59</f>
        <v>328.976048812901</v>
      </c>
      <c r="J64" s="38" t="n">
        <f aca="false">PL!$J$47+PL!$J$59</f>
        <v>409.56063200885</v>
      </c>
      <c r="K64" s="38" t="n">
        <f aca="false">PL!$K$47+PL!$K$59</f>
        <v>485.264845075559</v>
      </c>
      <c r="L64" s="38" t="n">
        <f aca="false">PL!$L$47+PL!$L$59</f>
        <v>561.090251522388</v>
      </c>
      <c r="M64" s="38" t="n">
        <f aca="false">PL!$M$47+PL!$M$59</f>
        <v>638.738139258096</v>
      </c>
      <c r="N64" s="38" t="n">
        <f aca="false">PL!$N$47+PL!$N$59</f>
        <v>56.398</v>
      </c>
      <c r="O64" s="38" t="n">
        <f aca="false">PL!$O$47+PL!$O$59</f>
        <v>65.437</v>
      </c>
    </row>
    <row r="65" customFormat="false" ht="17.15" hidden="false" customHeight="false" outlineLevel="0" collapsed="false">
      <c r="A65" s="1" t="s">
        <v>700</v>
      </c>
    </row>
    <row r="66" customFormat="false" ht="15" hidden="false" customHeight="false" outlineLevel="0" collapsed="false">
      <c r="A66" s="5" t="s">
        <v>504</v>
      </c>
      <c r="B66" s="0" t="s">
        <v>73</v>
      </c>
      <c r="C66" s="38" t="n">
        <f aca="false">Q!$D$34</f>
        <v>2.406</v>
      </c>
      <c r="D66" s="38" t="n">
        <f aca="false">Q!$E$34</f>
        <v>2.274</v>
      </c>
      <c r="E66" s="38" t="n">
        <f aca="false">Q!$P$34</f>
        <v>2.114</v>
      </c>
      <c r="F66" s="38" t="n">
        <f aca="false">CF!$F$38</f>
        <v>3.24888964316061</v>
      </c>
      <c r="G66" s="38" t="n">
        <f aca="false">PL!$E$66+PL!$F$66</f>
        <v>5.36288964316061</v>
      </c>
      <c r="H66" s="38" t="n">
        <f aca="false">CF!$H$38</f>
        <v>7.42354178632123</v>
      </c>
      <c r="I66" s="38" t="n">
        <f aca="false">CF!$I$38</f>
        <v>7.42354178632123</v>
      </c>
      <c r="J66" s="38" t="n">
        <f aca="false">CF!$J$38</f>
        <v>7.42354178632123</v>
      </c>
      <c r="K66" s="38" t="n">
        <f aca="false">CF!$K$38</f>
        <v>7.42354178632123</v>
      </c>
      <c r="L66" s="38" t="n">
        <f aca="false">CF!$L$38</f>
        <v>7.42354178632123</v>
      </c>
      <c r="M66" s="38" t="n">
        <f aca="false">CF!$M$38</f>
        <v>7.42354178632123</v>
      </c>
      <c r="N66" s="38" t="n">
        <f aca="false">Q!$N$34</f>
        <v>1.057</v>
      </c>
      <c r="O66" s="38" t="n">
        <f aca="false">Q!$O$34</f>
        <v>1.217</v>
      </c>
    </row>
    <row r="67" customFormat="false" ht="15" hidden="false" customHeight="false" outlineLevel="0" collapsed="false">
      <c r="A67" s="5" t="s">
        <v>701</v>
      </c>
      <c r="B67" s="0" t="s">
        <v>73</v>
      </c>
      <c r="F67" s="38" t="n">
        <f aca="false">CF!$F$39</f>
        <v>2.59</v>
      </c>
      <c r="H67" s="38" t="n">
        <f aca="false">CF!$H$39</f>
        <v>4.00049461466689</v>
      </c>
      <c r="I67" s="38" t="n">
        <f aca="false">CF!$I$39</f>
        <v>2.63246486813071</v>
      </c>
      <c r="J67" s="38" t="n">
        <f aca="false">CF!$J$39</f>
        <v>3.93462223497699</v>
      </c>
      <c r="K67" s="38" t="n">
        <f aca="false">CF!$K$39</f>
        <v>7.99207115021509</v>
      </c>
      <c r="L67" s="38" t="n">
        <f aca="false">CF!$L$39</f>
        <v>14.780546642486</v>
      </c>
      <c r="M67" s="38" t="n">
        <f aca="false">CF!$M$39</f>
        <v>23.0498550409775</v>
      </c>
    </row>
    <row r="68" customFormat="false" ht="17.15" hidden="false" customHeight="false" outlineLevel="0" collapsed="false">
      <c r="A68" s="5" t="s">
        <v>702</v>
      </c>
      <c r="B68" s="0" t="s">
        <v>73</v>
      </c>
      <c r="C68" s="38" t="n">
        <f aca="false">Q!$D$39</f>
        <v>2.427</v>
      </c>
      <c r="D68" s="38" t="n">
        <f aca="false">Q!$E$39</f>
        <v>19.61</v>
      </c>
      <c r="E68" s="38" t="n">
        <f aca="false">Q!$P$39</f>
        <v>71.492</v>
      </c>
      <c r="F68" s="41" t="n">
        <v>0</v>
      </c>
      <c r="G68" s="38" t="n">
        <f aca="false">PL!$E$68+PL!$F$68</f>
        <v>71.492</v>
      </c>
      <c r="H68" s="41" t="n">
        <v>0</v>
      </c>
      <c r="I68" s="41" t="n">
        <v>0</v>
      </c>
      <c r="J68" s="41" t="n">
        <v>0</v>
      </c>
      <c r="K68" s="41" t="n">
        <v>0</v>
      </c>
      <c r="L68" s="41" t="n">
        <v>0</v>
      </c>
      <c r="M68" s="41" t="n">
        <v>0</v>
      </c>
      <c r="N68" s="38" t="n">
        <f aca="false">Q!$N$39</f>
        <v>6.017</v>
      </c>
      <c r="O68" s="38" t="n">
        <f aca="false">Q!$O$39</f>
        <v>13.593</v>
      </c>
      <c r="P68" s="5" t="s">
        <v>703</v>
      </c>
    </row>
    <row r="69" customFormat="false" ht="15" hidden="false" customHeight="false" outlineLevel="0" collapsed="false">
      <c r="A69" s="5" t="s">
        <v>507</v>
      </c>
      <c r="B69" s="0" t="s">
        <v>73</v>
      </c>
      <c r="C69" s="38" t="n">
        <f aca="false">Q!$D$36</f>
        <v>68.614</v>
      </c>
      <c r="D69" s="38" t="n">
        <f aca="false">Q!$E$36</f>
        <v>97.311</v>
      </c>
      <c r="E69" s="38" t="n">
        <f aca="false">Q!$P$36</f>
        <v>120.691</v>
      </c>
      <c r="F69" s="38" t="n">
        <f aca="false">PL!$F$47-PL!$F$66+PL!$F$67+PL!$F$68</f>
        <v>61.9964027167933</v>
      </c>
      <c r="G69" s="38" t="n">
        <f aca="false">PL!$E$69+PL!$F$69</f>
        <v>182.687402716793</v>
      </c>
      <c r="H69" s="38" t="n">
        <f aca="false">PL!$H$47-PL!$H$66+PL!$H$67+PL!$H$68</f>
        <v>154.492784574519</v>
      </c>
      <c r="I69" s="38" t="n">
        <f aca="false">PL!$I$47-PL!$I$66+PL!$I$67+PL!$I$68</f>
        <v>200.774597772197</v>
      </c>
      <c r="J69" s="38" t="n">
        <f aca="false">PL!$J$47-PL!$J$66+PL!$J$67+PL!$J$68</f>
        <v>247.04174537966</v>
      </c>
      <c r="K69" s="38" t="n">
        <f aca="false">PL!$K$47-PL!$K$66+PL!$K$67+PL!$K$68</f>
        <v>291.806336490479</v>
      </c>
      <c r="L69" s="38" t="n">
        <f aca="false">PL!$L$47-PL!$L$66+PL!$L$67+PL!$L$68</f>
        <v>341.081213357073</v>
      </c>
      <c r="M69" s="38" t="n">
        <f aca="false">PL!$M$47-PL!$M$66+PL!$M$67+PL!$M$68</f>
        <v>392.550927868601</v>
      </c>
      <c r="N69" s="38" t="n">
        <f aca="false">Q!$N$36</f>
        <v>42.536</v>
      </c>
      <c r="O69" s="38" t="n">
        <f aca="false">Q!$O$36</f>
        <v>54.775</v>
      </c>
    </row>
    <row r="70" customFormat="false" ht="15" hidden="false" customHeight="false" outlineLevel="0" collapsed="false">
      <c r="A70" s="5" t="s">
        <v>508</v>
      </c>
      <c r="B70" s="0" t="s">
        <v>73</v>
      </c>
      <c r="C70" s="38" t="n">
        <f aca="false">Q!$D$37</f>
        <v>9.265</v>
      </c>
      <c r="D70" s="38" t="n">
        <f aca="false">Q!$E$37</f>
        <v>19.087</v>
      </c>
      <c r="E70" s="38" t="n">
        <f aca="false">Q!$P$37</f>
        <v>27.759</v>
      </c>
      <c r="F70" s="38" t="n">
        <f aca="false">PL!$F$69*tax</f>
        <v>10.761616217801</v>
      </c>
      <c r="G70" s="38" t="n">
        <f aca="false">PL!$E$70+PL!$F$70</f>
        <v>38.5206162178011</v>
      </c>
      <c r="H70" s="38" t="n">
        <f aca="false">PL!$H$69*tax</f>
        <v>26.8175568767321</v>
      </c>
      <c r="I70" s="38" t="n">
        <f aca="false">PL!$I$69*tax</f>
        <v>34.8513635118137</v>
      </c>
      <c r="J70" s="38" t="n">
        <f aca="false">PL!$J$69*tax</f>
        <v>42.8826244273603</v>
      </c>
      <c r="K70" s="38" t="n">
        <f aca="false">PL!$K$69*tax</f>
        <v>50.6530647847155</v>
      </c>
      <c r="L70" s="38" t="n">
        <f aca="false">PL!$L$69*tax</f>
        <v>59.2064209599127</v>
      </c>
      <c r="M70" s="38" t="n">
        <f aca="false">PL!$M$69*tax</f>
        <v>68.1407669887155</v>
      </c>
      <c r="N70" s="38" t="n">
        <f aca="false">Q!$N$37</f>
        <v>7.231</v>
      </c>
      <c r="O70" s="38" t="n">
        <f aca="false">Q!$O$37</f>
        <v>11.856</v>
      </c>
    </row>
    <row r="71" customFormat="false" ht="15" hidden="false" customHeight="false" outlineLevel="0" collapsed="false">
      <c r="A71" s="3" t="s">
        <v>509</v>
      </c>
      <c r="B71" s="8" t="s">
        <v>73</v>
      </c>
      <c r="C71" s="38" t="n">
        <f aca="false">Q!$D$38</f>
        <v>59.248</v>
      </c>
      <c r="D71" s="38" t="n">
        <f aca="false">Q!$E$38</f>
        <v>77.67</v>
      </c>
      <c r="E71" s="38" t="n">
        <f aca="false">Q!$P$38</f>
        <v>92.902</v>
      </c>
      <c r="F71" s="38" t="n">
        <f aca="false">PL!$F$69-PL!$F$70</f>
        <v>51.2347864989923</v>
      </c>
      <c r="G71" s="38" t="n">
        <f aca="false">PL!$E$71+PL!$F$71</f>
        <v>144.136786498992</v>
      </c>
      <c r="H71" s="38" t="n">
        <f aca="false">PL!$H$69-PL!$H$70</f>
        <v>127.675227697787</v>
      </c>
      <c r="I71" s="38" t="n">
        <f aca="false">PL!$I$69-PL!$I$70</f>
        <v>165.923234260384</v>
      </c>
      <c r="J71" s="38" t="n">
        <f aca="false">PL!$J$69-PL!$J$70</f>
        <v>204.1591209523</v>
      </c>
      <c r="K71" s="38" t="n">
        <f aca="false">PL!$K$69-PL!$K$70</f>
        <v>241.153271705763</v>
      </c>
      <c r="L71" s="38" t="n">
        <f aca="false">PL!$L$69-PL!$L$70</f>
        <v>281.874792397161</v>
      </c>
      <c r="M71" s="38" t="n">
        <f aca="false">PL!$M$69-PL!$M$70</f>
        <v>324.410160879885</v>
      </c>
      <c r="N71" s="38" t="n">
        <f aca="false">Q!$N$38</f>
        <v>35.291</v>
      </c>
      <c r="O71" s="38" t="n">
        <f aca="false">Q!$O$38</f>
        <v>42.379</v>
      </c>
    </row>
    <row r="72" customFormat="false" ht="17.15" hidden="false" customHeight="false" outlineLevel="0" collapsed="false">
      <c r="A72" s="5" t="s">
        <v>512</v>
      </c>
      <c r="B72" s="5" t="s">
        <v>33</v>
      </c>
      <c r="C72" s="22" t="n">
        <f aca="false">Q!$D$41</f>
        <v>10.721</v>
      </c>
      <c r="D72" s="22" t="n">
        <f aca="false">Q!$E$41</f>
        <v>10.827</v>
      </c>
      <c r="E72" s="22" t="n">
        <f aca="false">(Q!$L$41+Q!$M$41)/2</f>
        <v>10.8885</v>
      </c>
      <c r="F72" s="22" t="n">
        <f aca="false">PL!$G$72</f>
        <v>10.924806</v>
      </c>
      <c r="G72" s="22" t="n">
        <f aca="false">Q!$M$41*(1+sh_g*0.25)</f>
        <v>10.924806</v>
      </c>
      <c r="H72" s="22" t="n">
        <f aca="false">PL!$G$72*(1+sh_g)</f>
        <v>11.012204448</v>
      </c>
      <c r="I72" s="22" t="n">
        <f aca="false">PL!$H$72*(1+sh_g)</f>
        <v>11.100302083584</v>
      </c>
      <c r="J72" s="22" t="n">
        <f aca="false">PL!$I$72*(1+sh_g)</f>
        <v>11.1891045002527</v>
      </c>
      <c r="K72" s="22" t="n">
        <f aca="false">PL!$J$72*(1+sh_g)</f>
        <v>11.2786173362547</v>
      </c>
      <c r="L72" s="22" t="n">
        <f aca="false">PL!$K$72*(1+sh_g)</f>
        <v>11.3688462749447</v>
      </c>
      <c r="M72" s="22" t="n">
        <f aca="false">PL!$L$72*(1+sh_g)</f>
        <v>11.4597970451443</v>
      </c>
      <c r="P72" s="5" t="s">
        <v>704</v>
      </c>
    </row>
    <row r="73" customFormat="false" ht="17.15" hidden="false" customHeight="false" outlineLevel="0" collapsed="false">
      <c r="A73" s="42" t="s">
        <v>705</v>
      </c>
      <c r="B73" s="13" t="s">
        <v>27</v>
      </c>
      <c r="C73" s="43" t="n">
        <f aca="false">PL!$C$71/PL!$C$72</f>
        <v>5.52635015390355</v>
      </c>
      <c r="D73" s="43" t="n">
        <f aca="false">PL!$D$71/PL!$D$72</f>
        <v>7.1737323358271</v>
      </c>
      <c r="E73" s="43" t="n">
        <f aca="false">PL!$E$71/PL!$E$72</f>
        <v>8.53212104513937</v>
      </c>
      <c r="F73" s="13"/>
      <c r="G73" s="43" t="n">
        <f aca="false">PL!$G$71/PL!$G$72</f>
        <v>13.1935328187056</v>
      </c>
      <c r="H73" s="43" t="n">
        <f aca="false">PL!$H$71/PL!$H$72</f>
        <v>11.5939754206957</v>
      </c>
      <c r="I73" s="43" t="n">
        <f aca="false">PL!$I$71/PL!$I$72</f>
        <v>14.9476323266701</v>
      </c>
      <c r="J73" s="43" t="n">
        <f aca="false">PL!$J$71/PL!$J$72</f>
        <v>18.2462431151384</v>
      </c>
      <c r="K73" s="43" t="n">
        <f aca="false">PL!$K$71/PL!$K$72</f>
        <v>21.3814570098575</v>
      </c>
      <c r="L73" s="43" t="n">
        <f aca="false">PL!$L$71/PL!$L$72</f>
        <v>24.7936145480629</v>
      </c>
      <c r="M73" s="43" t="n">
        <f aca="false">PL!$M$71/PL!$M$72</f>
        <v>28.3085433015887</v>
      </c>
      <c r="N73" s="13"/>
      <c r="O73" s="13"/>
    </row>
    <row r="74" customFormat="false" ht="17.15" hidden="false" customHeight="false" outlineLevel="0" collapsed="false">
      <c r="A74" s="0" t="s">
        <v>706</v>
      </c>
      <c r="B74" s="0" t="s">
        <v>27</v>
      </c>
      <c r="C74" s="30" t="n">
        <f aca="false">(PL!$C$71-PL!$C$68*(1-tax))/PL!$C$72</f>
        <v>5.33926775917445</v>
      </c>
      <c r="D74" s="30" t="n">
        <f aca="false">(PL!$D$71-PL!$D$68*(1-tax))/PL!$D$72</f>
        <v>5.67691812755503</v>
      </c>
      <c r="E74" s="30" t="n">
        <f aca="false">(PL!$E$71-PL!$E$68*(1-tax))/PL!$E$72</f>
        <v>3.10602057006846</v>
      </c>
      <c r="G74" s="30" t="n">
        <f aca="false">(PL!$G$71-PL!$G$68*(1-tax))/PL!$G$72</f>
        <v>7.78546470080866</v>
      </c>
      <c r="H74" s="30" t="n">
        <f aca="false">(PL!$H$71-PL!$H$68*(1-tax))/PL!$H$72</f>
        <v>11.5939754206957</v>
      </c>
      <c r="I74" s="30" t="n">
        <f aca="false">(PL!$I$71-PL!$I$68*(1-tax))/PL!$I$72</f>
        <v>14.9476323266701</v>
      </c>
      <c r="J74" s="30" t="n">
        <f aca="false">(PL!$J$71-PL!$J$68*(1-tax))/PL!$J$72</f>
        <v>18.2462431151384</v>
      </c>
      <c r="K74" s="30" t="n">
        <f aca="false">(PL!$K$71-PL!$K$68*(1-tax))/PL!$K$72</f>
        <v>21.3814570098575</v>
      </c>
      <c r="L74" s="30" t="n">
        <f aca="false">(PL!$L$71-PL!$L$68*(1-tax))/PL!$L$72</f>
        <v>24.7936145480629</v>
      </c>
      <c r="M74" s="30" t="n">
        <f aca="false">(PL!$M$71-PL!$M$68*(1-tax))/PL!$M$72</f>
        <v>28.3085433015887</v>
      </c>
      <c r="P74" s="5" t="s">
        <v>707</v>
      </c>
    </row>
    <row r="75" customFormat="false" ht="17.15" hidden="false" customHeight="false" outlineLevel="0" collapsed="false">
      <c r="A75" s="0" t="s">
        <v>708</v>
      </c>
      <c r="B75" s="0" t="s">
        <v>52</v>
      </c>
      <c r="H75" s="12" t="n">
        <f aca="false">PL!$H$73/PL!$G$73-1</f>
        <v>-0.121237989853798</v>
      </c>
      <c r="I75" s="12" t="n">
        <f aca="false">PL!$I$73/PL!$H$73-1</f>
        <v>0.289258583383577</v>
      </c>
      <c r="J75" s="12" t="n">
        <f aca="false">PL!$J$73/PL!$I$73-1</f>
        <v>0.220677811467362</v>
      </c>
      <c r="K75" s="12" t="n">
        <f aca="false">PL!$K$73/PL!$J$73-1</f>
        <v>0.171827914104568</v>
      </c>
      <c r="L75" s="12" t="n">
        <f aca="false">PL!$L$73/PL!$K$73-1</f>
        <v>0.159584893425753</v>
      </c>
      <c r="M75" s="12" t="n">
        <f aca="false">PL!$M$73/PL!$L$73-1</f>
        <v>0.141767500124357</v>
      </c>
    </row>
    <row r="78" customFormat="false" ht="19.4" hidden="false" customHeight="false" outlineLevel="0" collapsed="false">
      <c r="A78" s="31" t="s">
        <v>709</v>
      </c>
    </row>
    <row r="79" customFormat="false" ht="17.15" hidden="false" customHeight="false" outlineLevel="0" collapsed="false">
      <c r="A79" s="6" t="s">
        <v>16</v>
      </c>
      <c r="B79" s="6" t="s">
        <v>17</v>
      </c>
      <c r="C79" s="20" t="s">
        <v>457</v>
      </c>
      <c r="D79" s="20" t="s">
        <v>458</v>
      </c>
      <c r="E79" s="20" t="s">
        <v>540</v>
      </c>
      <c r="F79" s="20" t="s">
        <v>541</v>
      </c>
      <c r="G79" s="20" t="s">
        <v>542</v>
      </c>
      <c r="H79" s="20" t="s">
        <v>543</v>
      </c>
      <c r="I79" s="20" t="s">
        <v>544</v>
      </c>
      <c r="J79" s="20" t="s">
        <v>545</v>
      </c>
      <c r="K79" s="20" t="s">
        <v>546</v>
      </c>
      <c r="L79" s="20" t="s">
        <v>547</v>
      </c>
      <c r="M79" s="20" t="s">
        <v>548</v>
      </c>
      <c r="N79" s="20" t="s">
        <v>549</v>
      </c>
      <c r="O79" s="20" t="s">
        <v>550</v>
      </c>
      <c r="P79" s="6" t="s">
        <v>23</v>
      </c>
      <c r="R79" s="20" t="n">
        <v>2023</v>
      </c>
      <c r="S79" s="20" t="n">
        <v>2024</v>
      </c>
      <c r="T79" s="20" t="n">
        <v>2025</v>
      </c>
      <c r="U79" s="20" t="n">
        <v>2026</v>
      </c>
      <c r="V79" s="20" t="n">
        <v>2027</v>
      </c>
      <c r="W79" s="20" t="n">
        <v>2028</v>
      </c>
      <c r="X79" s="20" t="n">
        <v>2029</v>
      </c>
      <c r="Y79" s="20" t="n">
        <v>2030</v>
      </c>
      <c r="Z79" s="20" t="n">
        <v>2031</v>
      </c>
      <c r="AA79" s="20" t="n">
        <v>2032</v>
      </c>
    </row>
    <row r="80" customFormat="false" ht="17.15" hidden="false" customHeight="false" outlineLevel="0" collapsed="false">
      <c r="A80" s="1" t="s">
        <v>668</v>
      </c>
    </row>
    <row r="81" customFormat="false" ht="15" hidden="false" customHeight="false" outlineLevel="0" collapsed="false">
      <c r="A81" s="0" t="s">
        <v>479</v>
      </c>
      <c r="B81" s="0" t="s">
        <v>73</v>
      </c>
      <c r="C81" s="38" t="n">
        <f aca="false">Seg!$C$41</f>
        <v>247.029</v>
      </c>
      <c r="D81" s="38" t="n">
        <f aca="false">Seg!$D$41</f>
        <v>269.287</v>
      </c>
      <c r="E81" s="38" t="n">
        <f aca="false">Seg!$E$41</f>
        <v>134.686</v>
      </c>
      <c r="F81" s="38" t="n">
        <f aca="false">Seg!$F$41</f>
        <v>160.728085930082</v>
      </c>
      <c r="G81" s="38" t="n">
        <f aca="false">Seg!$G$41</f>
        <v>295.414085930082</v>
      </c>
      <c r="H81" s="38" t="n">
        <f aca="false">Seg!$H$41</f>
        <v>320.828163943375</v>
      </c>
      <c r="I81" s="38" t="n">
        <f aca="false">Seg!$I$41</f>
        <v>344.575578072228</v>
      </c>
      <c r="J81" s="38" t="n">
        <f aca="false">Seg!$J$41</f>
        <v>365.942555779681</v>
      </c>
      <c r="K81" s="38" t="n">
        <f aca="false">Seg!$K$41</f>
        <v>384.239683568665</v>
      </c>
      <c r="L81" s="38" t="n">
        <f aca="false">Seg!$L$41</f>
        <v>403.451667747098</v>
      </c>
      <c r="M81" s="38" t="n">
        <f aca="false">Seg!$M$41</f>
        <v>423.624251134453</v>
      </c>
      <c r="N81" s="38" t="n">
        <f aca="false">Seg!$N$41</f>
        <v>118.892</v>
      </c>
      <c r="O81" s="38" t="n">
        <f aca="false">Seg!$O$41</f>
        <v>150.395</v>
      </c>
    </row>
    <row r="82" customFormat="false" ht="15" hidden="false" customHeight="false" outlineLevel="0" collapsed="false">
      <c r="A82" s="0" t="s">
        <v>480</v>
      </c>
      <c r="B82" s="0" t="s">
        <v>73</v>
      </c>
      <c r="C82" s="38" t="n">
        <f aca="false">Seg!$C$43</f>
        <v>21.215</v>
      </c>
      <c r="D82" s="38" t="n">
        <f aca="false">Seg!$D$43</f>
        <v>22.561</v>
      </c>
      <c r="E82" s="38" t="n">
        <f aca="false">Seg!$E$43</f>
        <v>11.579</v>
      </c>
      <c r="F82" s="38" t="n">
        <f aca="false">Seg!$F$43</f>
        <v>12.0952613121125</v>
      </c>
      <c r="G82" s="38" t="n">
        <f aca="false">Seg!$G$43</f>
        <v>23.6742613121125</v>
      </c>
      <c r="H82" s="38" t="n">
        <f aca="false">Seg!$H$43</f>
        <v>24.8803243963206</v>
      </c>
      <c r="I82" s="38" t="n">
        <f aca="false">Seg!$I$43</f>
        <v>25.9741308664154</v>
      </c>
      <c r="J82" s="38" t="n">
        <f aca="false">Seg!$J$43</f>
        <v>26.9346894124267</v>
      </c>
      <c r="K82" s="38" t="n">
        <f aca="false">Seg!$K$43</f>
        <v>27.7427300947995</v>
      </c>
      <c r="L82" s="38" t="n">
        <f aca="false">Seg!$L$43</f>
        <v>28.5750119976435</v>
      </c>
      <c r="M82" s="38" t="n">
        <f aca="false">Seg!$M$43</f>
        <v>29.4322623575728</v>
      </c>
      <c r="N82" s="38" t="n">
        <f aca="false">Seg!$N$43</f>
        <v>11.128</v>
      </c>
      <c r="O82" s="38" t="n">
        <f aca="false">Seg!$O$43</f>
        <v>11.433</v>
      </c>
    </row>
    <row r="83" customFormat="false" ht="15" hidden="false" customHeight="false" outlineLevel="0" collapsed="false">
      <c r="A83" s="0" t="s">
        <v>481</v>
      </c>
      <c r="B83" s="0" t="s">
        <v>73</v>
      </c>
      <c r="C83" s="38" t="n">
        <f aca="false">Seg!$C$45</f>
        <v>156.146</v>
      </c>
      <c r="D83" s="38" t="n">
        <f aca="false">Seg!$D$45</f>
        <v>172.162</v>
      </c>
      <c r="E83" s="38" t="n">
        <f aca="false">Seg!$E$45</f>
        <v>88.358</v>
      </c>
      <c r="F83" s="38" t="n">
        <f aca="false">Seg!$F$45</f>
        <v>103.62028337149</v>
      </c>
      <c r="G83" s="38" t="n">
        <f aca="false">Seg!$G$45</f>
        <v>191.97828337149</v>
      </c>
      <c r="H83" s="38" t="n">
        <f aca="false">Seg!$H$45</f>
        <v>212.128608444755</v>
      </c>
      <c r="I83" s="38" t="n">
        <f aca="false">Seg!$I$45</f>
        <v>231.92183134134</v>
      </c>
      <c r="J83" s="38" t="n">
        <f aca="false">Seg!$J$45</f>
        <v>250.859136487863</v>
      </c>
      <c r="K83" s="38" t="n">
        <f aca="false">Seg!$K$45</f>
        <v>268.419276042014</v>
      </c>
      <c r="L83" s="38" t="n">
        <f aca="false">Seg!$L$45</f>
        <v>287.208625364954</v>
      </c>
      <c r="M83" s="38" t="n">
        <f aca="false">Seg!$M$45</f>
        <v>307.313229140501</v>
      </c>
      <c r="N83" s="38" t="n">
        <f aca="false">Seg!$N$45</f>
        <v>76.86</v>
      </c>
      <c r="O83" s="38" t="n">
        <f aca="false">Seg!$O$45</f>
        <v>95.302</v>
      </c>
    </row>
    <row r="84" customFormat="false" ht="15" hidden="false" customHeight="false" outlineLevel="0" collapsed="false">
      <c r="A84" s="0" t="s">
        <v>482</v>
      </c>
      <c r="B84" s="0" t="s">
        <v>73</v>
      </c>
      <c r="C84" s="38" t="n">
        <f aca="false">Seg!$C$47</f>
        <v>56.214</v>
      </c>
      <c r="D84" s="38" t="n">
        <f aca="false">Seg!$D$47</f>
        <v>68.635</v>
      </c>
      <c r="E84" s="38" t="n">
        <f aca="false">Seg!$E$47</f>
        <v>37.052</v>
      </c>
      <c r="F84" s="38" t="n">
        <f aca="false">Seg!$F$47</f>
        <v>48.1533381827382</v>
      </c>
      <c r="G84" s="38" t="n">
        <f aca="false">Seg!$G$47</f>
        <v>85.2053381827382</v>
      </c>
      <c r="H84" s="38" t="n">
        <f aca="false">Seg!$H$47</f>
        <v>102.29336185894</v>
      </c>
      <c r="I84" s="38" t="n">
        <f aca="false">Seg!$I$47</f>
        <v>119.379837585241</v>
      </c>
      <c r="J84" s="38" t="n">
        <f aca="false">Seg!$J$47</f>
        <v>135.319079048844</v>
      </c>
      <c r="K84" s="38" t="n">
        <f aca="false">Seg!$K$47</f>
        <v>148.850986953729</v>
      </c>
      <c r="L84" s="38" t="n">
        <f aca="false">Seg!$L$47</f>
        <v>163.736085649102</v>
      </c>
      <c r="M84" s="38" t="n">
        <f aca="false">Seg!$M$47</f>
        <v>180.109694214012</v>
      </c>
      <c r="N84" s="38" t="n">
        <f aca="false">Seg!$N$47</f>
        <v>29.615</v>
      </c>
      <c r="O84" s="38" t="n">
        <f aca="false">Seg!$O$47</f>
        <v>39.02</v>
      </c>
    </row>
    <row r="85" customFormat="false" ht="15" hidden="false" customHeight="false" outlineLevel="0" collapsed="false">
      <c r="A85" s="0" t="s">
        <v>483</v>
      </c>
      <c r="B85" s="0" t="s">
        <v>73</v>
      </c>
      <c r="C85" s="38" t="n">
        <f aca="false">Seg!$C$49</f>
        <v>44.374</v>
      </c>
      <c r="D85" s="38" t="n">
        <f aca="false">Seg!$D$49</f>
        <v>49.619</v>
      </c>
      <c r="E85" s="38" t="n">
        <f aca="false">Seg!$E$49</f>
        <v>27.157</v>
      </c>
      <c r="F85" s="38" t="n">
        <f aca="false">Seg!$F$49</f>
        <v>28.9776360923374</v>
      </c>
      <c r="G85" s="38" t="n">
        <f aca="false">Seg!$G$49</f>
        <v>56.1346360923374</v>
      </c>
      <c r="H85" s="38" t="n">
        <f aca="false">Seg!$H$49</f>
        <v>62.4937078946075</v>
      </c>
      <c r="I85" s="38" t="n">
        <f aca="false">Seg!$I$49</f>
        <v>68.6715233062498</v>
      </c>
      <c r="J85" s="38" t="n">
        <f aca="false">Seg!$J$49</f>
        <v>74.4692882949818</v>
      </c>
      <c r="K85" s="38" t="n">
        <f aca="false">Seg!$K$49</f>
        <v>79.6821384756306</v>
      </c>
      <c r="L85" s="38" t="n">
        <f aca="false">Seg!$L$49</f>
        <v>85.2598881689247</v>
      </c>
      <c r="M85" s="38" t="n">
        <f aca="false">Seg!$M$49</f>
        <v>91.2280803407494</v>
      </c>
      <c r="N85" s="38" t="n">
        <f aca="false">Seg!$N$49</f>
        <v>23.923</v>
      </c>
      <c r="O85" s="38" t="n">
        <f aca="false">Seg!$O$49</f>
        <v>25.696</v>
      </c>
    </row>
    <row r="86" customFormat="false" ht="15" hidden="false" customHeight="false" outlineLevel="0" collapsed="false">
      <c r="A86" s="0" t="s">
        <v>484</v>
      </c>
      <c r="B86" s="0" t="s">
        <v>73</v>
      </c>
      <c r="C86" s="38" t="n">
        <f aca="false">Seg!$C$51</f>
        <v>5.425</v>
      </c>
      <c r="D86" s="38" t="n">
        <f aca="false">Seg!$D$51</f>
        <v>5.935</v>
      </c>
      <c r="E86" s="38" t="n">
        <f aca="false">Seg!$E$51</f>
        <v>3.474</v>
      </c>
      <c r="F86" s="38" t="n">
        <f aca="false">Seg!$F$51</f>
        <v>3.36182431966931</v>
      </c>
      <c r="G86" s="38" t="n">
        <f aca="false">Seg!$G$51</f>
        <v>6.83582431966931</v>
      </c>
      <c r="H86" s="38" t="n">
        <f aca="false">Seg!$H$51</f>
        <v>7.31157108370141</v>
      </c>
      <c r="I86" s="38" t="n">
        <f aca="false">Seg!$I$51</f>
        <v>7.77266852639815</v>
      </c>
      <c r="J86" s="38" t="n">
        <f aca="false">Seg!$J$51</f>
        <v>8.2120733019884</v>
      </c>
      <c r="K86" s="38" t="n">
        <f aca="false">Seg!$K$51</f>
        <v>8.62267696708783</v>
      </c>
      <c r="L86" s="38" t="n">
        <f aca="false">Seg!$L$51</f>
        <v>9.05381081544222</v>
      </c>
      <c r="M86" s="38" t="n">
        <f aca="false">Seg!$M$51</f>
        <v>9.50650135621433</v>
      </c>
      <c r="N86" s="38" t="n">
        <f aca="false">Seg!$N$51</f>
        <v>2.811</v>
      </c>
      <c r="O86" s="38" t="n">
        <f aca="false">Seg!$O$51</f>
        <v>3.124</v>
      </c>
    </row>
    <row r="87" customFormat="false" ht="17.15" hidden="false" customHeight="false" outlineLevel="0" collapsed="false">
      <c r="A87" s="0" t="s">
        <v>669</v>
      </c>
      <c r="B87" s="0" t="s">
        <v>73</v>
      </c>
      <c r="C87" s="38" t="n">
        <f aca="false">Seg!$C$62</f>
        <v>107.556</v>
      </c>
      <c r="D87" s="38" t="n">
        <f aca="false">Seg!$D$62</f>
        <v>128.725</v>
      </c>
      <c r="E87" s="38" t="n">
        <f aca="false">Seg!$E$62</f>
        <v>79.819</v>
      </c>
      <c r="F87" s="38" t="n">
        <f aca="false">Seg!$F$62</f>
        <v>93.5584440633857</v>
      </c>
      <c r="G87" s="38" t="n">
        <f aca="false">Seg!$G$62</f>
        <v>173.377444063386</v>
      </c>
      <c r="H87" s="38" t="n">
        <f aca="false">Seg!$H$62</f>
        <v>241.059451517916</v>
      </c>
      <c r="I87" s="38" t="n">
        <f aca="false">Seg!$I$62</f>
        <v>312.152096351442</v>
      </c>
      <c r="J87" s="38" t="n">
        <f aca="false">Seg!$J$62</f>
        <v>379.424316597773</v>
      </c>
      <c r="K87" s="38" t="n">
        <f aca="false">Seg!$K$62</f>
        <v>439.919237244402</v>
      </c>
      <c r="L87" s="38" t="n">
        <f aca="false">Seg!$L$62</f>
        <v>501.954974491517</v>
      </c>
      <c r="M87" s="38" t="n">
        <f aca="false">Seg!$M$62</f>
        <v>565.639704466895</v>
      </c>
      <c r="N87" s="38" t="n">
        <f aca="false">Seg!$N$62</f>
        <v>60.14</v>
      </c>
      <c r="O87" s="38" t="n">
        <f aca="false">Seg!$O$62</f>
        <v>68.585</v>
      </c>
    </row>
    <row r="88" customFormat="false" ht="15" hidden="false" customHeight="false" outlineLevel="0" collapsed="false">
      <c r="A88" s="1" t="s">
        <v>472</v>
      </c>
      <c r="B88" s="8" t="s">
        <v>73</v>
      </c>
      <c r="C88" s="38" t="n">
        <f aca="false">Seg!$C$55</f>
        <v>387.497</v>
      </c>
      <c r="D88" s="38" t="n">
        <f aca="false">Seg!$D$55</f>
        <v>426.305</v>
      </c>
      <c r="E88" s="38" t="n">
        <f aca="false">Seg!$E$55</f>
        <v>220.32</v>
      </c>
      <c r="F88" s="38" t="n">
        <f aca="false">Seg!$F$55</f>
        <v>256.304015003807</v>
      </c>
      <c r="G88" s="38" t="n">
        <f aca="false">Seg!$G$55</f>
        <v>476.624015003807</v>
      </c>
      <c r="H88" s="38" t="n">
        <f aca="false">Seg!$H$55</f>
        <v>527.734391091543</v>
      </c>
      <c r="I88" s="38" t="n">
        <f aca="false">Seg!$I$55</f>
        <v>577.157693029577</v>
      </c>
      <c r="J88" s="38" t="n">
        <f aca="false">Seg!$J$55</f>
        <v>623.024923663827</v>
      </c>
      <c r="K88" s="38" t="n">
        <f aca="false">Seg!$K$55</f>
        <v>663.382568393781</v>
      </c>
      <c r="L88" s="38" t="n">
        <f aca="false">Seg!$L$55</f>
        <v>706.564873010432</v>
      </c>
      <c r="M88" s="38" t="n">
        <f aca="false">Seg!$M$55</f>
        <v>752.784687406019</v>
      </c>
      <c r="N88" s="38" t="n">
        <f aca="false">Seg!$N$55</f>
        <v>192.955</v>
      </c>
      <c r="O88" s="38" t="n">
        <f aca="false">Seg!$O$55</f>
        <v>233.35</v>
      </c>
    </row>
    <row r="89" customFormat="false" ht="15" hidden="false" customHeight="false" outlineLevel="0" collapsed="false">
      <c r="A89" s="1" t="s">
        <v>475</v>
      </c>
      <c r="B89" s="8" t="s">
        <v>73</v>
      </c>
      <c r="C89" s="38" t="n">
        <f aca="false">Seg!$C$56</f>
        <v>142.906</v>
      </c>
      <c r="D89" s="38" t="n">
        <f aca="false">Seg!$D$56</f>
        <v>161.894</v>
      </c>
      <c r="E89" s="38" t="n">
        <f aca="false">Seg!$E$56</f>
        <v>81.986</v>
      </c>
      <c r="F89" s="38" t="n">
        <f aca="false">Seg!$F$56</f>
        <v>100.632414204623</v>
      </c>
      <c r="G89" s="38" t="n">
        <f aca="false">Seg!$G$56</f>
        <v>182.618414204623</v>
      </c>
      <c r="H89" s="38" t="n">
        <f aca="false">Seg!$H$56</f>
        <v>202.201346530158</v>
      </c>
      <c r="I89" s="38" t="n">
        <f aca="false">Seg!$I$56</f>
        <v>221.137876668296</v>
      </c>
      <c r="J89" s="38" t="n">
        <f aca="false">Seg!$J$56</f>
        <v>238.711898661958</v>
      </c>
      <c r="K89" s="38" t="n">
        <f aca="false">Seg!$K$56</f>
        <v>254.174923708144</v>
      </c>
      <c r="L89" s="38" t="n">
        <f aca="false">Seg!$L$56</f>
        <v>270.720216732733</v>
      </c>
      <c r="M89" s="38" t="n">
        <f aca="false">Seg!$M$56</f>
        <v>288.429331137484</v>
      </c>
      <c r="N89" s="38" t="n">
        <f aca="false">Seg!$N$56</f>
        <v>70.274</v>
      </c>
      <c r="O89" s="38" t="n">
        <f aca="false">Seg!$O$56</f>
        <v>91.62</v>
      </c>
    </row>
    <row r="90" customFormat="false" ht="15" hidden="false" customHeight="false" outlineLevel="0" collapsed="false">
      <c r="A90" s="1" t="s">
        <v>476</v>
      </c>
      <c r="B90" s="8" t="s">
        <v>73</v>
      </c>
      <c r="C90" s="38" t="n">
        <f aca="false">Seg!$C$62</f>
        <v>107.556</v>
      </c>
      <c r="D90" s="38" t="n">
        <f aca="false">Seg!$D$62</f>
        <v>128.725</v>
      </c>
      <c r="E90" s="38" t="n">
        <f aca="false">Seg!$E$62</f>
        <v>79.819</v>
      </c>
      <c r="F90" s="38" t="n">
        <f aca="false">Seg!$F$62</f>
        <v>93.5584440633857</v>
      </c>
      <c r="G90" s="38" t="n">
        <f aca="false">Seg!$G$62</f>
        <v>173.377444063386</v>
      </c>
      <c r="H90" s="38" t="n">
        <f aca="false">Seg!$H$62</f>
        <v>241.059451517916</v>
      </c>
      <c r="I90" s="38" t="n">
        <f aca="false">Seg!$I$62</f>
        <v>312.152096351442</v>
      </c>
      <c r="J90" s="38" t="n">
        <f aca="false">Seg!$J$62</f>
        <v>379.424316597773</v>
      </c>
      <c r="K90" s="38" t="n">
        <f aca="false">Seg!$K$62</f>
        <v>439.919237244402</v>
      </c>
      <c r="L90" s="38" t="n">
        <f aca="false">Seg!$L$62</f>
        <v>501.954974491517</v>
      </c>
      <c r="M90" s="38" t="n">
        <f aca="false">Seg!$M$62</f>
        <v>565.639704466895</v>
      </c>
      <c r="N90" s="38" t="n">
        <f aca="false">Seg!$N$62</f>
        <v>60.14</v>
      </c>
      <c r="O90" s="38" t="n">
        <f aca="false">Seg!$O$62</f>
        <v>68.585</v>
      </c>
    </row>
    <row r="91" customFormat="false" ht="17.15" hidden="false" customHeight="false" outlineLevel="0" collapsed="false">
      <c r="A91" s="0" t="s">
        <v>643</v>
      </c>
      <c r="B91" s="0" t="s">
        <v>73</v>
      </c>
      <c r="C91" s="38" t="n">
        <f aca="false">Seg!$C$60</f>
        <v>2.32100535697364</v>
      </c>
      <c r="D91" s="38" t="n">
        <f aca="false">Seg!$D$60</f>
        <v>8.70377008865116</v>
      </c>
      <c r="E91" s="38" t="n">
        <f aca="false">Seg!$E$60</f>
        <v>8.51035297557002</v>
      </c>
      <c r="F91" s="38" t="n">
        <f aca="false">Seg!$F$60</f>
        <v>14.9634336447205</v>
      </c>
      <c r="G91" s="38" t="n">
        <f aca="false">Seg!$G$60</f>
        <v>23.4737866202905</v>
      </c>
      <c r="H91" s="38" t="n">
        <f aca="false">Seg!$H$60</f>
        <v>60.1658907497746</v>
      </c>
      <c r="I91" s="38" t="n">
        <f aca="false">Seg!$I$60</f>
        <v>101.503699136432</v>
      </c>
      <c r="J91" s="38" t="n">
        <f aca="false">Seg!$J$60</f>
        <v>143.025407151278</v>
      </c>
      <c r="K91" s="38" t="n">
        <f aca="false">Seg!$K$60</f>
        <v>184.608415042187</v>
      </c>
      <c r="L91" s="38" t="n">
        <f aca="false">Seg!$L$60</f>
        <v>226.219286513125</v>
      </c>
      <c r="M91" s="38" t="n">
        <f aca="false">Seg!$M$60</f>
        <v>267.845161450232</v>
      </c>
      <c r="N91" s="38" t="n">
        <f aca="false">Seg!$N$60</f>
        <v>3.04631953102791</v>
      </c>
      <c r="O91" s="38" t="n">
        <f aca="false">Seg!$O$60</f>
        <v>5.65745055762326</v>
      </c>
    </row>
    <row r="92" customFormat="false" ht="17.15" hidden="false" customHeight="false" outlineLevel="0" collapsed="false">
      <c r="A92" s="0" t="s">
        <v>645</v>
      </c>
      <c r="B92" s="0" t="s">
        <v>73</v>
      </c>
      <c r="C92" s="38" t="n">
        <f aca="false">Seg!$C$61</f>
        <v>105.234994643026</v>
      </c>
      <c r="D92" s="38" t="n">
        <f aca="false">Seg!$D$61</f>
        <v>120.021229911349</v>
      </c>
      <c r="E92" s="38" t="n">
        <f aca="false">Seg!$E$61</f>
        <v>71.30864702443</v>
      </c>
      <c r="F92" s="38" t="n">
        <f aca="false">Seg!$F$61</f>
        <v>78.5950104186653</v>
      </c>
      <c r="G92" s="38" t="n">
        <f aca="false">Seg!$G$61</f>
        <v>149.903657443095</v>
      </c>
      <c r="H92" s="38" t="n">
        <f aca="false">Seg!$H$61</f>
        <v>180.893560768142</v>
      </c>
      <c r="I92" s="38" t="n">
        <f aca="false">Seg!$I$61</f>
        <v>210.64839721501</v>
      </c>
      <c r="J92" s="38" t="n">
        <f aca="false">Seg!$J$61</f>
        <v>236.398909446495</v>
      </c>
      <c r="K92" s="38" t="n">
        <f aca="false">Seg!$K$61</f>
        <v>255.310822202215</v>
      </c>
      <c r="L92" s="38" t="n">
        <f aca="false">Seg!$L$61</f>
        <v>275.735687978392</v>
      </c>
      <c r="M92" s="38" t="n">
        <f aca="false">Seg!$M$61</f>
        <v>297.794543016663</v>
      </c>
      <c r="N92" s="38" t="n">
        <f aca="false">Seg!$N$61</f>
        <v>57.0936804689721</v>
      </c>
      <c r="O92" s="38" t="n">
        <f aca="false">Seg!$O$61</f>
        <v>62.9275494423768</v>
      </c>
    </row>
    <row r="93" customFormat="false" ht="15" hidden="false" customHeight="false" outlineLevel="0" collapsed="false">
      <c r="A93" s="3" t="s">
        <v>477</v>
      </c>
      <c r="B93" s="8" t="s">
        <v>73</v>
      </c>
      <c r="C93" s="38" t="n">
        <f aca="false">Seg!$C$63</f>
        <v>637.959</v>
      </c>
      <c r="D93" s="38" t="n">
        <f aca="false">Seg!$D$63</f>
        <v>716.924</v>
      </c>
      <c r="E93" s="38" t="n">
        <f aca="false">Seg!$E$63</f>
        <v>382.125</v>
      </c>
      <c r="F93" s="38" t="n">
        <f aca="false">Seg!$F$63</f>
        <v>450.494873271816</v>
      </c>
      <c r="G93" s="38" t="n">
        <f aca="false">Seg!$G$63</f>
        <v>832.619873271816</v>
      </c>
      <c r="H93" s="38" t="n">
        <f aca="false">Seg!$H$63</f>
        <v>970.995189139617</v>
      </c>
      <c r="I93" s="38" t="n">
        <f aca="false">Seg!$I$63</f>
        <v>1110.44766604932</v>
      </c>
      <c r="J93" s="38" t="n">
        <f aca="false">Seg!$J$63</f>
        <v>1241.16113892356</v>
      </c>
      <c r="K93" s="38" t="n">
        <f aca="false">Seg!$K$63</f>
        <v>1357.47672934633</v>
      </c>
      <c r="L93" s="38" t="n">
        <f aca="false">Seg!$L$63</f>
        <v>1479.24006423468</v>
      </c>
      <c r="M93" s="38" t="n">
        <f aca="false">Seg!$M$63</f>
        <v>1606.8537230104</v>
      </c>
      <c r="N93" s="38" t="n">
        <f aca="false">Seg!$N$63</f>
        <v>323.369</v>
      </c>
      <c r="O93" s="38" t="n">
        <f aca="false">Seg!$O$63</f>
        <v>393.555</v>
      </c>
    </row>
    <row r="94" customFormat="false" ht="17.15" hidden="false" customHeight="false" outlineLevel="0" collapsed="false">
      <c r="A94" s="24" t="s">
        <v>655</v>
      </c>
      <c r="B94" s="25" t="s">
        <v>73</v>
      </c>
      <c r="C94" s="39" t="n">
        <f aca="false">PL!$C$81+PL!$C$82+PL!$C$83+PL!$C$84+PL!$C$85+PL!$C$86-(PL!$C$88+PL!$C$89)</f>
        <v>0</v>
      </c>
      <c r="D94" s="39" t="n">
        <f aca="false">PL!$D$81+PL!$D$82+PL!$D$83+PL!$D$84+PL!$D$85+PL!$D$86-(PL!$D$88+PL!$D$89)</f>
        <v>0</v>
      </c>
      <c r="E94" s="39" t="n">
        <f aca="false">PL!$E$81+PL!$E$82+PL!$E$83+PL!$E$84+PL!$E$85+PL!$E$86-(PL!$E$88+PL!$E$89)</f>
        <v>0</v>
      </c>
      <c r="F94" s="39" t="n">
        <f aca="false">PL!$F$81+PL!$F$82+PL!$F$83+PL!$F$84+PL!$F$85+PL!$F$86-(PL!$F$88+PL!$F$89)</f>
        <v>0</v>
      </c>
      <c r="G94" s="39" t="n">
        <f aca="false">PL!$G$81+PL!$G$82+PL!$G$83+PL!$G$84+PL!$G$85+PL!$G$86-(PL!$G$88+PL!$G$89)</f>
        <v>0</v>
      </c>
      <c r="H94" s="39" t="n">
        <f aca="false">PL!$H$81+PL!$H$82+PL!$H$83+PL!$H$84+PL!$H$85+PL!$H$86-(PL!$H$88+PL!$H$89)</f>
        <v>0</v>
      </c>
      <c r="I94" s="39" t="n">
        <f aca="false">PL!$I$81+PL!$I$82+PL!$I$83+PL!$I$84+PL!$I$85+PL!$I$86-(PL!$I$88+PL!$I$89)</f>
        <v>0</v>
      </c>
      <c r="J94" s="39" t="n">
        <f aca="false">PL!$J$81+PL!$J$82+PL!$J$83+PL!$J$84+PL!$J$85+PL!$J$86-(PL!$J$88+PL!$J$89)</f>
        <v>0</v>
      </c>
      <c r="K94" s="39" t="n">
        <f aca="false">PL!$K$81+PL!$K$82+PL!$K$83+PL!$K$84+PL!$K$85+PL!$K$86-(PL!$K$88+PL!$K$89)</f>
        <v>0</v>
      </c>
      <c r="L94" s="39" t="n">
        <f aca="false">PL!$L$81+PL!$L$82+PL!$L$83+PL!$L$84+PL!$L$85+PL!$L$86-(PL!$L$88+PL!$L$89)</f>
        <v>0</v>
      </c>
      <c r="M94" s="39" t="n">
        <f aca="false">PL!$M$81+PL!$M$82+PL!$M$83+PL!$M$84+PL!$M$85+PL!$M$86-(PL!$M$88+PL!$M$89)</f>
        <v>0</v>
      </c>
      <c r="N94" s="39" t="n">
        <f aca="false">PL!$N$81+PL!$N$82+PL!$N$83+PL!$N$84+PL!$N$85+PL!$N$86-(PL!$N$88+PL!$N$89)</f>
        <v>0</v>
      </c>
      <c r="O94" s="39" t="n">
        <f aca="false">PL!$O$81+PL!$O$82+PL!$O$83+PL!$O$84+PL!$O$85+PL!$O$86-(PL!$O$88+PL!$O$89)</f>
        <v>0</v>
      </c>
    </row>
    <row r="95" customFormat="false" ht="17.15" hidden="false" customHeight="false" outlineLevel="0" collapsed="false">
      <c r="A95" s="24" t="s">
        <v>656</v>
      </c>
      <c r="B95" s="25" t="s">
        <v>73</v>
      </c>
      <c r="C95" s="39" t="n">
        <f aca="false">PL!$C$91+PL!$C$92-PL!$C$90</f>
        <v>0</v>
      </c>
      <c r="D95" s="39" t="n">
        <f aca="false">PL!$D$91+PL!$D$92-PL!$D$90</f>
        <v>0</v>
      </c>
      <c r="E95" s="39" t="n">
        <f aca="false">PL!$E$91+PL!$E$92-PL!$E$90</f>
        <v>0</v>
      </c>
      <c r="F95" s="39" t="n">
        <f aca="false">PL!$F$91+PL!$F$92-PL!$F$90</f>
        <v>0</v>
      </c>
      <c r="G95" s="39" t="n">
        <f aca="false">PL!$G$91+PL!$G$92-PL!$G$90</f>
        <v>0</v>
      </c>
      <c r="H95" s="39" t="n">
        <f aca="false">PL!$H$91+PL!$H$92-PL!$H$90</f>
        <v>0</v>
      </c>
      <c r="I95" s="39" t="n">
        <f aca="false">PL!$I$91+PL!$I$92-PL!$I$90</f>
        <v>0</v>
      </c>
      <c r="J95" s="39" t="n">
        <f aca="false">PL!$J$91+PL!$J$92-PL!$J$90</f>
        <v>0</v>
      </c>
      <c r="K95" s="39" t="n">
        <f aca="false">PL!$K$91+PL!$K$92-PL!$K$90</f>
        <v>0</v>
      </c>
      <c r="L95" s="39" t="n">
        <f aca="false">PL!$L$91+PL!$L$92-PL!$L$90</f>
        <v>0</v>
      </c>
      <c r="M95" s="39" t="n">
        <f aca="false">PL!$M$91+PL!$M$92-PL!$M$90</f>
        <v>0</v>
      </c>
      <c r="N95" s="39" t="n">
        <f aca="false">PL!$N$91+PL!$N$92-PL!$N$90</f>
        <v>0</v>
      </c>
      <c r="O95" s="39" t="n">
        <f aca="false">PL!$O$91+PL!$O$92-PL!$O$90</f>
        <v>0</v>
      </c>
    </row>
    <row r="96" customFormat="false" ht="17.15" hidden="false" customHeight="false" outlineLevel="0" collapsed="false">
      <c r="A96" s="24" t="s">
        <v>710</v>
      </c>
      <c r="B96" s="25" t="s">
        <v>73</v>
      </c>
      <c r="C96" s="39" t="n">
        <f aca="false">PL!$C$81+PL!$C$82+PL!$C$83+PL!$C$84+PL!$C$85+PL!$C$86+PL!$C$87-PL!$C$93</f>
        <v>0</v>
      </c>
      <c r="D96" s="39" t="n">
        <f aca="false">PL!$D$81+PL!$D$82+PL!$D$83+PL!$D$84+PL!$D$85+PL!$D$86+PL!$D$87-PL!$D$93</f>
        <v>0</v>
      </c>
      <c r="E96" s="39" t="n">
        <f aca="false">PL!$E$81+PL!$E$82+PL!$E$83+PL!$E$84+PL!$E$85+PL!$E$86+PL!$E$87-PL!$E$93</f>
        <v>0</v>
      </c>
      <c r="F96" s="39" t="n">
        <f aca="false">PL!$F$81+PL!$F$82+PL!$F$83+PL!$F$84+PL!$F$85+PL!$F$86+PL!$F$87-PL!$F$93</f>
        <v>0</v>
      </c>
      <c r="G96" s="39" t="n">
        <f aca="false">PL!$G$81+PL!$G$82+PL!$G$83+PL!$G$84+PL!$G$85+PL!$G$86+PL!$G$87-PL!$G$93</f>
        <v>0</v>
      </c>
      <c r="H96" s="39" t="n">
        <f aca="false">PL!$H$81+PL!$H$82+PL!$H$83+PL!$H$84+PL!$H$85+PL!$H$86+PL!$H$87-PL!$H$93</f>
        <v>0</v>
      </c>
      <c r="I96" s="39" t="n">
        <f aca="false">PL!$I$81+PL!$I$82+PL!$I$83+PL!$I$84+PL!$I$85+PL!$I$86+PL!$I$87-PL!$I$93</f>
        <v>0</v>
      </c>
      <c r="J96" s="39" t="n">
        <f aca="false">PL!$J$81+PL!$J$82+PL!$J$83+PL!$J$84+PL!$J$85+PL!$J$86+PL!$J$87-PL!$J$93</f>
        <v>0</v>
      </c>
      <c r="K96" s="39" t="n">
        <f aca="false">PL!$K$81+PL!$K$82+PL!$K$83+PL!$K$84+PL!$K$85+PL!$K$86+PL!$K$87-PL!$K$93</f>
        <v>0</v>
      </c>
      <c r="L96" s="39" t="n">
        <f aca="false">PL!$L$81+PL!$L$82+PL!$L$83+PL!$L$84+PL!$L$85+PL!$L$86+PL!$L$87-PL!$L$93</f>
        <v>0</v>
      </c>
      <c r="M96" s="39" t="n">
        <f aca="false">PL!$M$81+PL!$M$82+PL!$M$83+PL!$M$84+PL!$M$85+PL!$M$86+PL!$M$87-PL!$M$93</f>
        <v>0</v>
      </c>
      <c r="N96" s="39" t="n">
        <f aca="false">PL!$N$81+PL!$N$82+PL!$N$83+PL!$N$84+PL!$N$85+PL!$N$86+PL!$N$87-PL!$N$93</f>
        <v>0</v>
      </c>
      <c r="O96" s="39" t="n">
        <f aca="false">PL!$O$81+PL!$O$82+PL!$O$83+PL!$O$84+PL!$O$85+PL!$O$86+PL!$O$87-PL!$O$93</f>
        <v>0</v>
      </c>
    </row>
    <row r="97" customFormat="false" ht="17.15" hidden="false" customHeight="false" outlineLevel="0" collapsed="false">
      <c r="A97" s="24" t="s">
        <v>657</v>
      </c>
      <c r="B97" s="25" t="s">
        <v>73</v>
      </c>
      <c r="C97" s="39" t="n">
        <f aca="false">PL!$C$88+PL!$C$89+PL!$C$90-PL!$C$93</f>
        <v>0</v>
      </c>
      <c r="D97" s="39" t="n">
        <f aca="false">PL!$D$88+PL!$D$89+PL!$D$90-PL!$D$93</f>
        <v>0</v>
      </c>
      <c r="E97" s="39" t="n">
        <f aca="false">PL!$E$88+PL!$E$89+PL!$E$90-PL!$E$93</f>
        <v>0</v>
      </c>
      <c r="F97" s="39" t="n">
        <f aca="false">PL!$F$88+PL!$F$89+PL!$F$90-PL!$F$93</f>
        <v>0</v>
      </c>
      <c r="G97" s="39" t="n">
        <f aca="false">PL!$G$88+PL!$G$89+PL!$G$90-PL!$G$93</f>
        <v>0</v>
      </c>
      <c r="H97" s="39" t="n">
        <f aca="false">PL!$H$88+PL!$H$89+PL!$H$90-PL!$H$93</f>
        <v>0</v>
      </c>
      <c r="I97" s="39" t="n">
        <f aca="false">PL!$I$88+PL!$I$89+PL!$I$90-PL!$I$93</f>
        <v>0</v>
      </c>
      <c r="J97" s="39" t="n">
        <f aca="false">PL!$J$88+PL!$J$89+PL!$J$90-PL!$J$93</f>
        <v>0</v>
      </c>
      <c r="K97" s="39" t="n">
        <f aca="false">PL!$K$88+PL!$K$89+PL!$K$90-PL!$K$93</f>
        <v>0</v>
      </c>
      <c r="L97" s="39" t="n">
        <f aca="false">PL!$L$88+PL!$L$89+PL!$L$90-PL!$L$93</f>
        <v>0</v>
      </c>
      <c r="M97" s="39" t="n">
        <f aca="false">PL!$M$88+PL!$M$89+PL!$M$90-PL!$M$93</f>
        <v>0</v>
      </c>
      <c r="N97" s="39" t="n">
        <f aca="false">PL!$N$88+PL!$N$89+PL!$N$90-PL!$N$93</f>
        <v>0</v>
      </c>
      <c r="O97" s="39" t="n">
        <f aca="false">PL!$O$88+PL!$O$89+PL!$O$90-PL!$O$93</f>
        <v>0</v>
      </c>
    </row>
    <row r="98" customFormat="false" ht="17.15" hidden="false" customHeight="false" outlineLevel="0" collapsed="false">
      <c r="A98" s="1" t="s">
        <v>671</v>
      </c>
    </row>
    <row r="99" customFormat="false" ht="17.15" hidden="false" customHeight="false" outlineLevel="0" collapsed="false">
      <c r="A99" s="0" t="s">
        <v>672</v>
      </c>
      <c r="B99" s="0" t="s">
        <v>73</v>
      </c>
      <c r="C99" s="38" t="n">
        <f aca="false">Seg!$C$57*m_ad</f>
        <v>20.5341564414228</v>
      </c>
      <c r="D99" s="38" t="n">
        <f aca="false">Seg!$D$57*m_ad</f>
        <v>24.8720617299587</v>
      </c>
      <c r="E99" s="38" t="n">
        <f aca="false">Seg!$E$57*m_ad</f>
        <v>13.5017112462207</v>
      </c>
      <c r="F99" s="38" t="n">
        <f aca="false">Seg!$F$57*m_ad</f>
        <v>17.2886442824599</v>
      </c>
      <c r="G99" s="38" t="n">
        <f aca="false">Seg!$G$57*m_ad</f>
        <v>30.8011958765886</v>
      </c>
      <c r="H99" s="38" t="n">
        <f aca="false">Seg!$H$57*m_ad</f>
        <v>36.978409366026</v>
      </c>
      <c r="I99" s="38" t="n">
        <f aca="false">Seg!$I$57*m_ad</f>
        <v>43.155063281273</v>
      </c>
      <c r="J99" s="38" t="n">
        <f aca="false">Seg!$J$57*m_ad</f>
        <v>48.9169991988532</v>
      </c>
      <c r="K99" s="38" t="n">
        <f aca="false">Seg!$K$57*m_ad</f>
        <v>53.8086991187386</v>
      </c>
      <c r="L99" s="38" t="n">
        <f aca="false">Seg!$L$57*m_ad</f>
        <v>59.1895690306124</v>
      </c>
      <c r="M99" s="38" t="n">
        <f aca="false">Seg!$M$57*m_ad</f>
        <v>65.1085259336737</v>
      </c>
      <c r="N99" s="38" t="n">
        <f aca="false">Seg!$N$57*m_ad</f>
        <v>10.8543555706248</v>
      </c>
      <c r="O99" s="38" t="n">
        <f aca="false">Seg!$O$57*m_ad</f>
        <v>14.0094731821399</v>
      </c>
    </row>
    <row r="100" customFormat="false" ht="17.15" hidden="false" customHeight="false" outlineLevel="0" collapsed="false">
      <c r="A100" s="0" t="s">
        <v>673</v>
      </c>
      <c r="B100" s="0" t="s">
        <v>73</v>
      </c>
      <c r="C100" s="38" t="n">
        <f aca="false">Seg!$C$55-Seg!$C$57</f>
        <v>346.428687117154</v>
      </c>
      <c r="D100" s="38" t="n">
        <f aca="false">Seg!$D$55-Seg!$D$57</f>
        <v>376.560876540083</v>
      </c>
      <c r="E100" s="38" t="n">
        <f aca="false">Seg!$E$55-Seg!$E$57</f>
        <v>193.316577507559</v>
      </c>
      <c r="F100" s="38" t="n">
        <f aca="false">Seg!$F$55-Seg!$F$57</f>
        <v>221.726726438887</v>
      </c>
      <c r="G100" s="38" t="n">
        <f aca="false">Seg!$G$55-Seg!$G$57</f>
        <v>415.02162325063</v>
      </c>
      <c r="H100" s="38" t="n">
        <f aca="false">Seg!$H$55-Seg!$H$57</f>
        <v>453.777572359491</v>
      </c>
      <c r="I100" s="38" t="n">
        <f aca="false">Seg!$I$55-Seg!$I$57</f>
        <v>490.847566467031</v>
      </c>
      <c r="J100" s="38" t="n">
        <f aca="false">Seg!$J$55-Seg!$J$57</f>
        <v>525.190925266121</v>
      </c>
      <c r="K100" s="38" t="n">
        <f aca="false">Seg!$K$55-Seg!$K$57</f>
        <v>555.765170156304</v>
      </c>
      <c r="L100" s="38" t="n">
        <f aca="false">Seg!$L$55-Seg!$L$57</f>
        <v>588.185734949207</v>
      </c>
      <c r="M100" s="38" t="n">
        <f aca="false">Seg!$M$55-Seg!$M$57</f>
        <v>622.567635538672</v>
      </c>
      <c r="N100" s="38" t="n">
        <f aca="false">Seg!$N$55-Seg!$N$57</f>
        <v>171.24628885875</v>
      </c>
      <c r="O100" s="38" t="n">
        <f aca="false">Seg!$O$55-Seg!$O$57</f>
        <v>205.33105363572</v>
      </c>
    </row>
    <row r="101" customFormat="false" ht="17.15" hidden="false" customHeight="false" outlineLevel="0" collapsed="false">
      <c r="A101" s="0" t="s">
        <v>674</v>
      </c>
      <c r="B101" s="0" t="s">
        <v>73</v>
      </c>
      <c r="C101" s="38" t="n">
        <f aca="false">Thesis!$C$103*Seg!$C$54</f>
        <v>0.123617442257179</v>
      </c>
      <c r="D101" s="38" t="n">
        <f aca="false">Thesis!$D$103*Seg!$D$54</f>
        <v>0.874366899302609</v>
      </c>
      <c r="E101" s="38" t="n">
        <f aca="false">Thesis!$E$103*Seg!$E$54</f>
        <v>1.29318830502574</v>
      </c>
      <c r="F101" s="38" t="n">
        <f aca="false">Thesis!$F$103*Seg!$F$54</f>
        <v>1.51802024162534</v>
      </c>
      <c r="G101" s="38" t="n">
        <f aca="false">Thesis!$G$103*Seg!$G$54</f>
        <v>2.81130189308167</v>
      </c>
      <c r="H101" s="38" t="n">
        <f aca="false">Thesis!$H$103*Seg!$H$54</f>
        <v>7.38966789318209</v>
      </c>
      <c r="I101" s="38" t="n">
        <f aca="false">Thesis!$I$103*Seg!$I$54</f>
        <v>12.8987443661473</v>
      </c>
      <c r="J101" s="38" t="n">
        <f aca="false">Thesis!$J$103*Seg!$J$54</f>
        <v>18.5570025453645</v>
      </c>
      <c r="K101" s="38" t="n">
        <f aca="false">Thesis!$K$103*Seg!$K$54</f>
        <v>24.3158972773405</v>
      </c>
      <c r="L101" s="38" t="n">
        <f aca="false">Thesis!$L$103*Seg!$L$54</f>
        <v>29.7827375558674</v>
      </c>
      <c r="M101" s="38" t="n">
        <f aca="false">Thesis!$M$103*Seg!$M$54</f>
        <v>35.3532344973194</v>
      </c>
      <c r="N101" s="38" t="n">
        <f aca="false">Thesis!$N$103*Seg!$N$54</f>
        <v>0.389180508437431</v>
      </c>
      <c r="O101" s="38" t="n">
        <f aca="false">Thesis!$O$103*Seg!$O$54</f>
        <v>0.485052120082802</v>
      </c>
    </row>
    <row r="102" customFormat="false" ht="17.15" hidden="false" customHeight="false" outlineLevel="0" collapsed="false">
      <c r="A102" s="0" t="s">
        <v>675</v>
      </c>
      <c r="B102" s="0" t="s">
        <v>52</v>
      </c>
      <c r="C102" s="28" t="n">
        <f aca="false">(PL!$C$103-PL!$C$99+PL!$C$101)/PL!$C$100</f>
        <v>0.0131526665379575</v>
      </c>
      <c r="D102" s="28" t="n">
        <f aca="false">(PL!$D$103-PL!$D$99+PL!$D$101)/PL!$D$100</f>
        <v>0.0149280116962589</v>
      </c>
      <c r="E102" s="28" t="n">
        <f aca="false">(PL!$E$103-PL!$E$99+PL!$E$101)/PL!$E$100</f>
        <v>0.0268030663774938</v>
      </c>
      <c r="F102" s="28" t="n">
        <f aca="false">PL!$O$102+(PL!$E$102-PL!$N$102)</f>
        <v>0.0232379346966962</v>
      </c>
      <c r="G102" s="28" t="n">
        <f aca="false">(PL!$G$103-PL!$G$99+PL!$G$101)/PL!$G$100</f>
        <v>0.0248738876928168</v>
      </c>
      <c r="H102" s="28" t="n">
        <f aca="false">PL!$G$102+step_na</f>
        <v>0.0278738876928168</v>
      </c>
      <c r="I102" s="28" t="n">
        <f aca="false">PL!$H$102+step_na</f>
        <v>0.0308738876928168</v>
      </c>
      <c r="J102" s="28" t="n">
        <f aca="false">PL!$I$102+step_na</f>
        <v>0.0338738876928168</v>
      </c>
      <c r="K102" s="28" t="n">
        <f aca="false">PL!$J$102+step_na</f>
        <v>0.0368738876928168</v>
      </c>
      <c r="L102" s="28" t="n">
        <f aca="false">PL!$K$102</f>
        <v>0.0368738876928168</v>
      </c>
      <c r="M102" s="28" t="n">
        <f aca="false">PL!$L$102</f>
        <v>0.0368738876928168</v>
      </c>
      <c r="N102" s="28" t="n">
        <f aca="false">(PL!$N$103-PL!$N$99+PL!$N$101)/PL!$N$100</f>
        <v>0.0168927744775755</v>
      </c>
      <c r="O102" s="28" t="n">
        <f aca="false">(PL!$O$103-PL!$O$99+PL!$O$101)/PL!$O$100</f>
        <v>0.0133276427967779</v>
      </c>
      <c r="P102" s="8" t="s">
        <v>676</v>
      </c>
    </row>
    <row r="103" customFormat="false" ht="17.15" hidden="false" customHeight="false" outlineLevel="0" collapsed="false">
      <c r="A103" s="1" t="s">
        <v>677</v>
      </c>
      <c r="B103" s="8" t="s">
        <v>73</v>
      </c>
      <c r="C103" s="38" t="n">
        <f aca="false">Q!$D$22</f>
        <v>24.967</v>
      </c>
      <c r="D103" s="38" t="n">
        <f aca="false">Q!$E$22</f>
        <v>29.619</v>
      </c>
      <c r="E103" s="38" t="n">
        <f aca="false">Q!$P$22</f>
        <v>17.39</v>
      </c>
      <c r="F103" s="38" t="n">
        <f aca="false">PL!$F$99+PL!$F$100*PL!$F$102-PL!$F$101</f>
        <v>20.9230952303336</v>
      </c>
      <c r="G103" s="38" t="n">
        <f aca="false">PL!$E$103+PL!$F$103</f>
        <v>38.3130952303336</v>
      </c>
      <c r="H103" s="38" t="n">
        <f aca="false">PL!$H$99+PL!$H$100*PL!$H$102-PL!$H$101</f>
        <v>42.2372865623114</v>
      </c>
      <c r="I103" s="38" t="n">
        <f aca="false">PL!$I$99+PL!$I$100*PL!$I$102-PL!$I$101</f>
        <v>45.4106915565213</v>
      </c>
      <c r="J103" s="38" t="n">
        <f aca="false">PL!$J$99+PL!$J$100*PL!$J$102-PL!$J$101</f>
        <v>48.1502550732398</v>
      </c>
      <c r="K103" s="38" t="n">
        <f aca="false">PL!$K$99+PL!$K$100*PL!$K$102-PL!$K$101</f>
        <v>49.9860243093208</v>
      </c>
      <c r="L103" s="38" t="n">
        <f aca="false">PL!$L$99+PL!$L$100*PL!$L$102-PL!$L$101</f>
        <v>51.095526207779</v>
      </c>
      <c r="M103" s="38" t="n">
        <f aca="false">PL!$M$99+PL!$M$100*PL!$M$102-PL!$M$101</f>
        <v>52.7117805103898</v>
      </c>
      <c r="N103" s="38" t="n">
        <f aca="false">Q!$N$22</f>
        <v>13.358</v>
      </c>
      <c r="O103" s="38" t="n">
        <f aca="false">Q!$O$22</f>
        <v>16.261</v>
      </c>
    </row>
    <row r="104" customFormat="false" ht="17.15" hidden="false" customHeight="false" outlineLevel="0" collapsed="false">
      <c r="A104" s="0" t="s">
        <v>678</v>
      </c>
      <c r="B104" s="0" t="s">
        <v>73</v>
      </c>
      <c r="C104" s="38" t="n">
        <f aca="false">Seg!$C$58*m_ad</f>
        <v>7.57284355857716</v>
      </c>
      <c r="D104" s="38" t="n">
        <f aca="false">Seg!$D$58*m_ad</f>
        <v>9.44543827004127</v>
      </c>
      <c r="E104" s="38" t="n">
        <f aca="false">Seg!$E$58*m_ad</f>
        <v>5.02428875377928</v>
      </c>
      <c r="F104" s="38" t="n">
        <f aca="false">Seg!$F$58*m_ad</f>
        <v>6.78802480890925</v>
      </c>
      <c r="G104" s="38" t="n">
        <f aca="false">Seg!$G$58*m_ad</f>
        <v>11.8014732147805</v>
      </c>
      <c r="H104" s="38" t="n">
        <f aca="false">Seg!$H$58*m_ad</f>
        <v>14.1682715634442</v>
      </c>
      <c r="I104" s="38" t="n">
        <f aca="false">Seg!$I$58*m_ad</f>
        <v>16.5348555113474</v>
      </c>
      <c r="J104" s="38" t="n">
        <f aca="false">Seg!$J$58*m_ad</f>
        <v>18.7425403255689</v>
      </c>
      <c r="K104" s="38" t="n">
        <f aca="false">Seg!$K$58*m_ad</f>
        <v>20.6167943581258</v>
      </c>
      <c r="L104" s="38" t="n">
        <f aca="false">Seg!$L$58*m_ad</f>
        <v>22.6784737939383</v>
      </c>
      <c r="M104" s="38" t="n">
        <f aca="false">Seg!$M$58*m_ad</f>
        <v>24.9463211733322</v>
      </c>
      <c r="N104" s="38" t="n">
        <f aca="false">Seg!$N$58*m_ad</f>
        <v>3.95314442937518</v>
      </c>
      <c r="O104" s="38" t="n">
        <f aca="false">Seg!$O$58*m_ad</f>
        <v>5.50052681786011</v>
      </c>
    </row>
    <row r="105" customFormat="false" ht="17.15" hidden="false" customHeight="false" outlineLevel="0" collapsed="false">
      <c r="A105" s="0" t="s">
        <v>679</v>
      </c>
      <c r="B105" s="0" t="s">
        <v>73</v>
      </c>
      <c r="C105" s="38" t="n">
        <f aca="false">Seg!$C$56-Seg!$C$58</f>
        <v>127.760312882846</v>
      </c>
      <c r="D105" s="38" t="n">
        <f aca="false">Seg!$D$56-Seg!$D$58</f>
        <v>143.003123459917</v>
      </c>
      <c r="E105" s="38" t="n">
        <f aca="false">Seg!$E$56-Seg!$E$58</f>
        <v>71.9374224924414</v>
      </c>
      <c r="F105" s="38" t="n">
        <f aca="false">Seg!$F$56-Seg!$F$58</f>
        <v>87.0563645868046</v>
      </c>
      <c r="G105" s="38" t="n">
        <f aca="false">Seg!$G$56-Seg!$G$58</f>
        <v>159.015467775062</v>
      </c>
      <c r="H105" s="38" t="n">
        <f aca="false">Seg!$H$56-Seg!$H$58</f>
        <v>173.864803403269</v>
      </c>
      <c r="I105" s="38" t="n">
        <f aca="false">Seg!$I$56-Seg!$I$58</f>
        <v>188.068165645601</v>
      </c>
      <c r="J105" s="38" t="n">
        <f aca="false">Seg!$J$56-Seg!$J$58</f>
        <v>201.22681801082</v>
      </c>
      <c r="K105" s="38" t="n">
        <f aca="false">Seg!$K$56-Seg!$K$58</f>
        <v>212.941334991893</v>
      </c>
      <c r="L105" s="38" t="n">
        <f aca="false">Seg!$L$56-Seg!$L$58</f>
        <v>225.363269144856</v>
      </c>
      <c r="M105" s="38" t="n">
        <f aca="false">Seg!$M$56-Seg!$M$58</f>
        <v>238.536688790819</v>
      </c>
      <c r="N105" s="38" t="n">
        <f aca="false">Seg!$N$56-Seg!$N$58</f>
        <v>62.3677111412496</v>
      </c>
      <c r="O105" s="38" t="n">
        <f aca="false">Seg!$O$56-Seg!$O$58</f>
        <v>80.6189463642798</v>
      </c>
    </row>
    <row r="106" customFormat="false" ht="17.15" hidden="false" customHeight="false" outlineLevel="0" collapsed="false">
      <c r="A106" s="0" t="s">
        <v>680</v>
      </c>
      <c r="B106" s="0" t="s">
        <v>73</v>
      </c>
      <c r="C106" s="38" t="n">
        <f aca="false">Thesis!$C$103*(1-Seg!$C$54)</f>
        <v>0.0455891896019953</v>
      </c>
      <c r="D106" s="38" t="n">
        <f aca="false">Thesis!$D$103*(1-Seg!$D$54)</f>
        <v>0.332050421167231</v>
      </c>
      <c r="E106" s="38" t="n">
        <f aca="false">Thesis!$E$103*(1-Seg!$E$54)</f>
        <v>0.481224293644882</v>
      </c>
      <c r="F106" s="38" t="n">
        <f aca="false">Thesis!$F$103*(1-Seg!$F$54)</f>
        <v>0.596018918096053</v>
      </c>
      <c r="G106" s="38" t="n">
        <f aca="false">Thesis!$G$103*(1-Seg!$G$54)</f>
        <v>1.07714986531035</v>
      </c>
      <c r="H106" s="38" t="n">
        <f aca="false">Thesis!$H$103*(1-Seg!$H$54)</f>
        <v>2.83135005721638</v>
      </c>
      <c r="I106" s="38" t="n">
        <f aca="false">Thesis!$I$103*(1-Seg!$I$54)</f>
        <v>4.9421518161602</v>
      </c>
      <c r="J106" s="38" t="n">
        <f aca="false">Thesis!$J$103*(1-Seg!$J$54)</f>
        <v>7.11011252170866</v>
      </c>
      <c r="K106" s="38" t="n">
        <f aca="false">Thesis!$K$103*(1-Seg!$K$54)</f>
        <v>9.31663210615807</v>
      </c>
      <c r="L106" s="38" t="n">
        <f aca="false">Thesis!$L$103*(1-Seg!$L$54)</f>
        <v>11.411251074039</v>
      </c>
      <c r="M106" s="38" t="n">
        <f aca="false">Thesis!$M$103*(1-Seg!$M$54)</f>
        <v>13.5455860755423</v>
      </c>
      <c r="N106" s="38" t="n">
        <f aca="false">Thesis!$N$103*(1-Seg!$N$54)</f>
        <v>0.141739115596548</v>
      </c>
      <c r="O106" s="38" t="n">
        <f aca="false">Thesis!$O$103*(1-Seg!$O$54)</f>
        <v>0.190445576353059</v>
      </c>
    </row>
    <row r="107" customFormat="false" ht="17.15" hidden="false" customHeight="false" outlineLevel="0" collapsed="false">
      <c r="A107" s="0" t="s">
        <v>681</v>
      </c>
      <c r="B107" s="0" t="s">
        <v>52</v>
      </c>
      <c r="C107" s="28" t="n">
        <f aca="false">(PL!$C$108-PL!$C$104+PL!$C$106)/PL!$C$105</f>
        <v>-0.0292364215826579</v>
      </c>
      <c r="D107" s="28" t="n">
        <f aca="false">(PL!$D$108-PL!$D$104+PL!$D$106)/PL!$D$105</f>
        <v>-0.0305125352740778</v>
      </c>
      <c r="E107" s="28" t="n">
        <f aca="false">(PL!$E$108-PL!$E$104+PL!$E$106)/PL!$E$105</f>
        <v>-0.019490056934994</v>
      </c>
      <c r="F107" s="28" t="n">
        <f aca="false">PL!$O$107+(PL!$E$107-PL!$N$107)</f>
        <v>-0.0367332293992226</v>
      </c>
      <c r="G107" s="28" t="n">
        <f aca="false">(PL!$G$108-PL!$G$104+PL!$G$106)/PL!$G$105</f>
        <v>-0.0288599526442178</v>
      </c>
      <c r="H107" s="28" t="n">
        <f aca="false">PL!$G$107+step_in</f>
        <v>-0.0288599526442178</v>
      </c>
      <c r="I107" s="28" t="n">
        <f aca="false">PL!$H$107+step_in</f>
        <v>-0.0288599526442178</v>
      </c>
      <c r="J107" s="28" t="n">
        <f aca="false">PL!$I$107+step_in</f>
        <v>-0.0288599526442178</v>
      </c>
      <c r="K107" s="28" t="n">
        <f aca="false">PL!$J$107+step_in</f>
        <v>-0.0288599526442178</v>
      </c>
      <c r="L107" s="28" t="n">
        <f aca="false">PL!$K$107</f>
        <v>-0.0288599526442178</v>
      </c>
      <c r="M107" s="28" t="n">
        <f aca="false">PL!$L$107</f>
        <v>-0.0288599526442178</v>
      </c>
      <c r="N107" s="28" t="n">
        <f aca="false">(PL!$N$108-PL!$N$104+PL!$N$106)/PL!$N$105</f>
        <v>-0.02085061789158</v>
      </c>
      <c r="O107" s="28" t="n">
        <f aca="false">(PL!$O$108-PL!$O$104+PL!$O$106)/PL!$O$105</f>
        <v>-0.0380937903558086</v>
      </c>
      <c r="P107" s="8" t="s">
        <v>676</v>
      </c>
    </row>
    <row r="108" customFormat="false" ht="17.15" hidden="false" customHeight="false" outlineLevel="0" collapsed="false">
      <c r="A108" s="1" t="s">
        <v>682</v>
      </c>
      <c r="B108" s="8" t="s">
        <v>73</v>
      </c>
      <c r="C108" s="38" t="n">
        <f aca="false">Q!$D$23</f>
        <v>3.792</v>
      </c>
      <c r="D108" s="38" t="n">
        <f aca="false">Q!$E$23</f>
        <v>4.75</v>
      </c>
      <c r="E108" s="38" t="n">
        <f aca="false">Q!$P$23</f>
        <v>3.141</v>
      </c>
      <c r="F108" s="38" t="n">
        <f aca="false">PL!$F$104+PL!$F$105*PL!$F$107-PL!$F$106</f>
        <v>2.99414447978375</v>
      </c>
      <c r="G108" s="38" t="n">
        <f aca="false">PL!$E$108+PL!$F$108</f>
        <v>6.13514447978375</v>
      </c>
      <c r="H108" s="38" t="n">
        <f aca="false">PL!$H$104+PL!$H$105*PL!$H$107-PL!$H$106</f>
        <v>6.31919151351322</v>
      </c>
      <c r="I108" s="38" t="n">
        <f aca="false">PL!$I$104+PL!$I$105*PL!$I$107-PL!$I$106</f>
        <v>6.16506534077027</v>
      </c>
      <c r="J108" s="38" t="n">
        <f aca="false">PL!$J$104+PL!$J$105*PL!$J$107-PL!$J$106</f>
        <v>5.8250313653213</v>
      </c>
      <c r="K108" s="38" t="n">
        <f aca="false">PL!$K$104+PL!$K$105*PL!$K$107-PL!$K$106</f>
        <v>5.15468540810514</v>
      </c>
      <c r="L108" s="38" t="n">
        <f aca="false">PL!$L$104+PL!$L$105*PL!$L$107-PL!$L$106</f>
        <v>4.76324944463266</v>
      </c>
      <c r="M108" s="38" t="n">
        <f aca="false">PL!$M$104+PL!$M$105*PL!$M$107-PL!$M$106</f>
        <v>4.51657755537829</v>
      </c>
      <c r="N108" s="38" t="n">
        <f aca="false">Q!$N$23</f>
        <v>2.511</v>
      </c>
      <c r="O108" s="38" t="n">
        <f aca="false">Q!$O$23</f>
        <v>2.239</v>
      </c>
    </row>
    <row r="109" customFormat="false" ht="17.15" hidden="false" customHeight="false" outlineLevel="0" collapsed="false">
      <c r="A109" s="0" t="s">
        <v>683</v>
      </c>
      <c r="B109" s="0" t="s">
        <v>73</v>
      </c>
      <c r="C109" s="38" t="n">
        <f aca="false">Thesis!$C$100</f>
        <v>1.64417882953695</v>
      </c>
      <c r="D109" s="38" t="n">
        <f aca="false">Thesis!$D$100</f>
        <v>3.8781008067718</v>
      </c>
      <c r="E109" s="38" t="n">
        <f aca="false">Thesis!$E$100</f>
        <v>1.41270258088753</v>
      </c>
      <c r="F109" s="38" t="n">
        <f aca="false">Thesis!$F$100</f>
        <v>6.50727700583486</v>
      </c>
      <c r="G109" s="38" t="n">
        <f aca="false">Thesis!$G$100</f>
        <v>7.9199795867224</v>
      </c>
      <c r="H109" s="38" t="n">
        <f aca="false">Thesis!$H$100</f>
        <v>19.2818189481807</v>
      </c>
      <c r="I109" s="38" t="n">
        <f aca="false">Thesis!$I$100</f>
        <v>30.140114407202</v>
      </c>
      <c r="J109" s="38" t="n">
        <f aca="false">Thesis!$J$100</f>
        <v>40.3569468829854</v>
      </c>
      <c r="K109" s="38" t="n">
        <f aca="false">Thesis!$K$100</f>
        <v>50.0782975081929</v>
      </c>
      <c r="L109" s="38" t="n">
        <f aca="false">Thesis!$L$100</f>
        <v>61.443331993499</v>
      </c>
      <c r="M109" s="38" t="n">
        <f aca="false">Thesis!$M$100</f>
        <v>72.2498791587849</v>
      </c>
      <c r="N109" s="38" t="n">
        <f aca="false">Thesis!$N$100</f>
        <v>0.92264103489199</v>
      </c>
      <c r="O109" s="38" t="n">
        <f aca="false">Thesis!$O$100</f>
        <v>2.95545977187981</v>
      </c>
    </row>
    <row r="110" customFormat="false" ht="17.15" hidden="false" customHeight="false" outlineLevel="0" collapsed="false">
      <c r="A110" s="0" t="s">
        <v>603</v>
      </c>
      <c r="B110" s="0" t="s">
        <v>73</v>
      </c>
      <c r="C110" s="38" t="n">
        <f aca="false">Thesis!$C$105</f>
        <v>38.1898211704631</v>
      </c>
      <c r="D110" s="38" t="n">
        <f aca="false">Thesis!$D$105</f>
        <v>41.7278991932282</v>
      </c>
      <c r="E110" s="38" t="n">
        <f aca="false">Thesis!$E$105</f>
        <v>29.3692974191125</v>
      </c>
      <c r="F110" s="38" t="n">
        <f aca="false">Thesis!$F$105</f>
        <v>29.458060516894</v>
      </c>
      <c r="G110" s="38" t="n">
        <f aca="false">Thesis!$G$105</f>
        <v>58.8273579360065</v>
      </c>
      <c r="H110" s="38" t="n">
        <f aca="false">Thesis!$H$105</f>
        <v>67.8004040185081</v>
      </c>
      <c r="I110" s="38" t="n">
        <f aca="false">Thesis!$I$105</f>
        <v>78.9527630302702</v>
      </c>
      <c r="J110" s="38" t="n">
        <f aca="false">Thesis!$J$105</f>
        <v>88.6042681781841</v>
      </c>
      <c r="K110" s="38" t="n">
        <f aca="false">Thesis!$K$105</f>
        <v>95.6926096324389</v>
      </c>
      <c r="L110" s="38" t="n">
        <f aca="false">Thesis!$L$105</f>
        <v>103.348018403034</v>
      </c>
      <c r="M110" s="38" t="n">
        <f aca="false">Thesis!$M$105</f>
        <v>111.615859875277</v>
      </c>
      <c r="N110" s="38" t="n">
        <f aca="false">Thesis!$N$105</f>
        <v>20.784358965108</v>
      </c>
      <c r="O110" s="38" t="n">
        <f aca="false">Thesis!$O$105</f>
        <v>20.9435402281202</v>
      </c>
    </row>
    <row r="111" customFormat="false" ht="17.15" hidden="false" customHeight="false" outlineLevel="0" collapsed="false">
      <c r="A111" s="1" t="s">
        <v>684</v>
      </c>
      <c r="B111" s="8" t="s">
        <v>73</v>
      </c>
      <c r="C111" s="38" t="n">
        <f aca="false">Q!$D$24</f>
        <v>39.834</v>
      </c>
      <c r="D111" s="38" t="n">
        <f aca="false">Q!$E$24</f>
        <v>45.606</v>
      </c>
      <c r="E111" s="38" t="n">
        <f aca="false">Q!$P$24</f>
        <v>30.782</v>
      </c>
      <c r="F111" s="38" t="n">
        <f aca="false">PL!$F$109+PL!$F$110</f>
        <v>35.9653375227289</v>
      </c>
      <c r="G111" s="38" t="n">
        <f aca="false">PL!$G$109+PL!$G$110</f>
        <v>66.7473375227289</v>
      </c>
      <c r="H111" s="38" t="n">
        <f aca="false">PL!$H$109+PL!$H$110</f>
        <v>87.0822229666888</v>
      </c>
      <c r="I111" s="38" t="n">
        <f aca="false">PL!$I$109+PL!$I$110</f>
        <v>109.092877437472</v>
      </c>
      <c r="J111" s="38" t="n">
        <f aca="false">PL!$J$109+PL!$J$110</f>
        <v>128.96121506117</v>
      </c>
      <c r="K111" s="38" t="n">
        <f aca="false">PL!$K$109+PL!$K$110</f>
        <v>145.770907140632</v>
      </c>
      <c r="L111" s="38" t="n">
        <f aca="false">PL!$L$109+PL!$L$110</f>
        <v>164.791350396533</v>
      </c>
      <c r="M111" s="38" t="n">
        <f aca="false">PL!$M$109+PL!$M$110</f>
        <v>183.865739034062</v>
      </c>
      <c r="N111" s="38" t="n">
        <f aca="false">Q!$N$24</f>
        <v>21.707</v>
      </c>
      <c r="O111" s="38" t="n">
        <f aca="false">Q!$O$24</f>
        <v>23.899</v>
      </c>
    </row>
    <row r="112" customFormat="false" ht="17.15" hidden="false" customHeight="false" outlineLevel="0" collapsed="false">
      <c r="A112" s="5" t="s">
        <v>685</v>
      </c>
      <c r="B112" s="0" t="s">
        <v>73</v>
      </c>
      <c r="C112" s="38" t="n">
        <f aca="false">Q!$D$26</f>
        <v>0</v>
      </c>
      <c r="D112" s="38" t="n">
        <f aca="false">Q!$E$26</f>
        <v>0</v>
      </c>
      <c r="E112" s="38" t="n">
        <f aca="false">Q!$P$26</f>
        <v>0</v>
      </c>
      <c r="F112" s="41" t="n">
        <v>0</v>
      </c>
      <c r="G112" s="38" t="n">
        <f aca="false">PL!$E$112+PL!$F$112</f>
        <v>0</v>
      </c>
      <c r="H112" s="41" t="n">
        <v>0</v>
      </c>
      <c r="I112" s="41" t="n">
        <v>0</v>
      </c>
      <c r="J112" s="41" t="n">
        <v>0</v>
      </c>
      <c r="K112" s="41" t="n">
        <v>0</v>
      </c>
      <c r="L112" s="41" t="n">
        <v>0</v>
      </c>
      <c r="M112" s="41" t="n">
        <v>0</v>
      </c>
      <c r="N112" s="38" t="n">
        <f aca="false">Q!$N$26</f>
        <v>0</v>
      </c>
      <c r="O112" s="38" t="n">
        <f aca="false">Q!$O$26</f>
        <v>0</v>
      </c>
    </row>
    <row r="113" customFormat="false" ht="15" hidden="false" customHeight="false" outlineLevel="0" collapsed="false">
      <c r="A113" s="3" t="s">
        <v>494</v>
      </c>
      <c r="B113" s="8" t="s">
        <v>73</v>
      </c>
      <c r="C113" s="38" t="n">
        <f aca="false">Q!$D$25</f>
        <v>68.593</v>
      </c>
      <c r="D113" s="38" t="n">
        <f aca="false">Q!$E$25</f>
        <v>79.975</v>
      </c>
      <c r="E113" s="38" t="n">
        <f aca="false">Q!$P$25</f>
        <v>51.313</v>
      </c>
      <c r="F113" s="38" t="n">
        <f aca="false">PL!$F$103+PL!$F$108+PL!$F$111+PL!$F$112</f>
        <v>59.8825772328462</v>
      </c>
      <c r="G113" s="38" t="n">
        <f aca="false">PL!$G$103+PL!$G$108+PL!$G$111+PL!$G$112</f>
        <v>111.195577232846</v>
      </c>
      <c r="H113" s="38" t="n">
        <f aca="false">PL!$H$103+PL!$H$108+PL!$H$111+PL!$H$112</f>
        <v>135.638701042513</v>
      </c>
      <c r="I113" s="38" t="n">
        <f aca="false">PL!$I$103+PL!$I$108+PL!$I$111+PL!$I$112</f>
        <v>160.668634334764</v>
      </c>
      <c r="J113" s="38" t="n">
        <f aca="false">PL!$J$103+PL!$J$108+PL!$J$111+PL!$J$112</f>
        <v>182.936501499731</v>
      </c>
      <c r="K113" s="38" t="n">
        <f aca="false">PL!$K$103+PL!$K$108+PL!$K$111+PL!$K$112</f>
        <v>200.911616858058</v>
      </c>
      <c r="L113" s="38" t="n">
        <f aca="false">PL!$L$103+PL!$L$108+PL!$L$111+PL!$L$112</f>
        <v>220.650126048945</v>
      </c>
      <c r="M113" s="38" t="n">
        <f aca="false">PL!$M$103+PL!$M$108+PL!$M$111+PL!$M$112</f>
        <v>241.09409709983</v>
      </c>
      <c r="N113" s="38" t="n">
        <f aca="false">Q!$N$25</f>
        <v>37.576</v>
      </c>
      <c r="O113" s="38" t="n">
        <f aca="false">Q!$O$25</f>
        <v>42.399</v>
      </c>
    </row>
    <row r="114" customFormat="false" ht="17.15" hidden="false" customHeight="false" outlineLevel="0" collapsed="false">
      <c r="A114" s="24" t="s">
        <v>711</v>
      </c>
      <c r="B114" s="25" t="s">
        <v>73</v>
      </c>
      <c r="C114" s="39" t="n">
        <f aca="false">PL!$C$103+PL!$C$108+PL!$C$111+PL!$C$112-PL!$C$113</f>
        <v>0</v>
      </c>
      <c r="D114" s="39" t="n">
        <f aca="false">PL!$D$103+PL!$D$108+PL!$D$111+PL!$D$112-PL!$D$113</f>
        <v>0</v>
      </c>
      <c r="E114" s="39" t="n">
        <f aca="false">PL!$E$103+PL!$E$108+PL!$E$111+PL!$E$112-PL!$E$113</f>
        <v>0</v>
      </c>
      <c r="F114" s="39" t="n">
        <f aca="false">PL!$F$103+PL!$F$108+PL!$F$111+PL!$F$112-PL!$F$113</f>
        <v>0</v>
      </c>
      <c r="G114" s="39" t="n">
        <f aca="false">PL!$G$103+PL!$G$108+PL!$G$111+PL!$G$112-PL!$G$113</f>
        <v>0</v>
      </c>
      <c r="H114" s="39" t="n">
        <f aca="false">PL!$H$103+PL!$H$108+PL!$H$111+PL!$H$112-PL!$H$113</f>
        <v>0</v>
      </c>
      <c r="I114" s="39" t="n">
        <f aca="false">PL!$I$103+PL!$I$108+PL!$I$111+PL!$I$112-PL!$I$113</f>
        <v>0</v>
      </c>
      <c r="J114" s="39" t="n">
        <f aca="false">PL!$J$103+PL!$J$108+PL!$J$111+PL!$J$112-PL!$J$113</f>
        <v>0</v>
      </c>
      <c r="K114" s="39" t="n">
        <f aca="false">PL!$K$103+PL!$K$108+PL!$K$111+PL!$K$112-PL!$K$113</f>
        <v>0</v>
      </c>
      <c r="L114" s="39" t="n">
        <f aca="false">PL!$L$103+PL!$L$108+PL!$L$111+PL!$L$112-PL!$L$113</f>
        <v>0</v>
      </c>
      <c r="M114" s="39" t="n">
        <f aca="false">PL!$M$103+PL!$M$108+PL!$M$111+PL!$M$112-PL!$M$113</f>
        <v>0</v>
      </c>
      <c r="N114" s="39" t="n">
        <f aca="false">PL!$N$103+PL!$N$108+PL!$N$111+PL!$N$112-PL!$N$113</f>
        <v>0</v>
      </c>
      <c r="O114" s="39" t="n">
        <f aca="false">PL!$O$103+PL!$O$108+PL!$O$111+PL!$O$112-PL!$O$113</f>
        <v>0</v>
      </c>
    </row>
    <row r="115" customFormat="false" ht="17.15" hidden="false" customHeight="false" outlineLevel="0" collapsed="false">
      <c r="A115" s="0" t="s">
        <v>687</v>
      </c>
      <c r="B115" s="0" t="s">
        <v>52</v>
      </c>
      <c r="C115" s="12" t="n">
        <f aca="false">PL!$C$103/PL!$C$88</f>
        <v>0.0644314665661928</v>
      </c>
      <c r="D115" s="12" t="n">
        <f aca="false">PL!$D$103/PL!$D$88</f>
        <v>0.0694784250712518</v>
      </c>
      <c r="E115" s="12" t="n">
        <f aca="false">PL!$E$103/PL!$E$88</f>
        <v>0.0789306463326071</v>
      </c>
      <c r="F115" s="12" t="n">
        <f aca="false">PL!$F$103/PL!$F$88</f>
        <v>0.0816338957078875</v>
      </c>
      <c r="G115" s="12" t="n">
        <f aca="false">PL!$G$103/PL!$G$88</f>
        <v>0.080384315570057</v>
      </c>
      <c r="H115" s="12" t="n">
        <f aca="false">PL!$H$103/PL!$H$88</f>
        <v>0.080035122355679</v>
      </c>
      <c r="I115" s="12" t="n">
        <f aca="false">PL!$I$103/PL!$I$88</f>
        <v>0.0786798687862144</v>
      </c>
      <c r="J115" s="12" t="n">
        <f aca="false">PL!$J$103/PL!$J$88</f>
        <v>0.0772846370095153</v>
      </c>
      <c r="K115" s="12" t="n">
        <f aca="false">PL!$K$103/PL!$K$88</f>
        <v>0.0753502227686655</v>
      </c>
      <c r="L115" s="12" t="n">
        <f aca="false">PL!$L$103/PL!$L$88</f>
        <v>0.0723154067793922</v>
      </c>
      <c r="M115" s="12" t="n">
        <f aca="false">PL!$M$103/PL!$M$88</f>
        <v>0.070022386735876</v>
      </c>
      <c r="N115" s="12" t="n">
        <f aca="false">PL!$N$103/PL!$N$88</f>
        <v>0.069228576611127</v>
      </c>
      <c r="O115" s="12" t="n">
        <f aca="false">PL!$O$103/PL!$O$88</f>
        <v>0.069685022498393</v>
      </c>
    </row>
    <row r="116" customFormat="false" ht="17.15" hidden="false" customHeight="false" outlineLevel="0" collapsed="false">
      <c r="A116" s="0" t="s">
        <v>688</v>
      </c>
      <c r="B116" s="0" t="s">
        <v>52</v>
      </c>
      <c r="C116" s="12" t="n">
        <f aca="false">PL!$C$108/PL!$C$89</f>
        <v>0.026534925055631</v>
      </c>
      <c r="D116" s="12" t="n">
        <f aca="false">PL!$D$108/PL!$D$89</f>
        <v>0.0293401855535103</v>
      </c>
      <c r="E116" s="12" t="n">
        <f aca="false">PL!$E$108/PL!$E$89</f>
        <v>0.03831141902276</v>
      </c>
      <c r="F116" s="12" t="n">
        <f aca="false">PL!$F$108/PL!$F$89</f>
        <v>0.0297532808235678</v>
      </c>
      <c r="G116" s="12" t="n">
        <f aca="false">PL!$G$108/PL!$G$89</f>
        <v>0.0335954317997163</v>
      </c>
      <c r="H116" s="12" t="n">
        <f aca="false">PL!$H$108/PL!$H$89</f>
        <v>0.0312519754292078</v>
      </c>
      <c r="I116" s="12" t="n">
        <f aca="false">PL!$I$108/PL!$I$89</f>
        <v>0.0278788303191397</v>
      </c>
      <c r="J116" s="12" t="n">
        <f aca="false">PL!$J$108/PL!$J$89</f>
        <v>0.0244019313573061</v>
      </c>
      <c r="K116" s="12" t="n">
        <f aca="false">PL!$K$108/PL!$K$89</f>
        <v>0.020280070641524</v>
      </c>
      <c r="L116" s="12" t="n">
        <f aca="false">PL!$L$108/PL!$L$89</f>
        <v>0.0175947312030086</v>
      </c>
      <c r="M116" s="12" t="n">
        <f aca="false">PL!$M$108/PL!$M$89</f>
        <v>0.0156592172424565</v>
      </c>
      <c r="N116" s="12" t="n">
        <f aca="false">PL!$N$108/PL!$N$89</f>
        <v>0.0357315650169337</v>
      </c>
      <c r="O116" s="12" t="n">
        <f aca="false">PL!$O$108/PL!$O$89</f>
        <v>0.0244378956559703</v>
      </c>
    </row>
    <row r="117" customFormat="false" ht="17.15" hidden="false" customHeight="false" outlineLevel="0" collapsed="false">
      <c r="A117" s="13" t="s">
        <v>689</v>
      </c>
      <c r="B117" s="13" t="s">
        <v>52</v>
      </c>
      <c r="C117" s="16" t="n">
        <f aca="false">PL!$C$111/PL!$C$90</f>
        <v>0.370355907620217</v>
      </c>
      <c r="D117" s="16" t="n">
        <f aca="false">PL!$D$111/PL!$D$90</f>
        <v>0.35429015342785</v>
      </c>
      <c r="E117" s="16" t="n">
        <f aca="false">PL!$E$111/PL!$E$90</f>
        <v>0.385647527531039</v>
      </c>
      <c r="F117" s="16" t="n">
        <f aca="false">PL!$F$111/PL!$F$90</f>
        <v>0.384415729470259</v>
      </c>
      <c r="G117" s="16" t="n">
        <f aca="false">PL!$G$111/PL!$G$90</f>
        <v>0.38498282105443</v>
      </c>
      <c r="H117" s="16" t="n">
        <f aca="false">PL!$H$111/PL!$H$90</f>
        <v>0.361247909668527</v>
      </c>
      <c r="I117" s="16" t="n">
        <f aca="false">PL!$I$111/PL!$I$90</f>
        <v>0.349486287974975</v>
      </c>
      <c r="J117" s="16" t="n">
        <f aca="false">PL!$J$111/PL!$J$90</f>
        <v>0.339886531832068</v>
      </c>
      <c r="K117" s="16" t="n">
        <f aca="false">PL!$K$111/PL!$K$90</f>
        <v>0.33135833762061</v>
      </c>
      <c r="L117" s="16" t="n">
        <f aca="false">PL!$L$111/PL!$L$90</f>
        <v>0.328299068185284</v>
      </c>
      <c r="M117" s="16" t="n">
        <f aca="false">PL!$M$111/PL!$M$90</f>
        <v>0.325058049465166</v>
      </c>
      <c r="N117" s="16" t="n">
        <f aca="false">PL!$N$111/PL!$N$90</f>
        <v>0.360941137346192</v>
      </c>
      <c r="O117" s="16" t="n">
        <f aca="false">PL!$O$111/PL!$O$90</f>
        <v>0.348458117664212</v>
      </c>
    </row>
    <row r="118" customFormat="false" ht="17.15" hidden="false" customHeight="false" outlineLevel="0" collapsed="false">
      <c r="A118" s="0" t="s">
        <v>690</v>
      </c>
      <c r="B118" s="0" t="s">
        <v>52</v>
      </c>
      <c r="C118" s="12" t="n">
        <f aca="false">PL!$C$109/PL!$C$91</f>
        <v>0.708390794789371</v>
      </c>
      <c r="D118" s="12" t="n">
        <f aca="false">PL!$D$109/PL!$D$91</f>
        <v>0.445565630441968</v>
      </c>
      <c r="E118" s="12" t="n">
        <f aca="false">PL!$E$109/PL!$E$91</f>
        <v>0.165998118402711</v>
      </c>
      <c r="F118" s="12" t="n">
        <f aca="false">PL!$F$109/PL!$F$91</f>
        <v>0.434878595403858</v>
      </c>
      <c r="G118" s="12" t="n">
        <f aca="false">PL!$G$109/PL!$G$91</f>
        <v>0.3373967615381</v>
      </c>
      <c r="H118" s="12" t="n">
        <f aca="false">PL!$H$109/PL!$H$91</f>
        <v>0.320477578041224</v>
      </c>
      <c r="I118" s="12" t="n">
        <f aca="false">PL!$I$109/PL!$I$91</f>
        <v>0.296936118226494</v>
      </c>
      <c r="J118" s="12" t="n">
        <f aca="false">PL!$J$109/PL!$J$91</f>
        <v>0.282166278613001</v>
      </c>
      <c r="K118" s="12" t="n">
        <f aca="false">PL!$K$109/PL!$K$91</f>
        <v>0.271267685694333</v>
      </c>
      <c r="L118" s="12" t="n">
        <f aca="false">PL!$L$109/PL!$L$91</f>
        <v>0.27160960915653</v>
      </c>
      <c r="M118" s="12" t="n">
        <f aca="false">PL!$M$109/PL!$M$91</f>
        <v>0.26974494804234</v>
      </c>
      <c r="N118" s="12" t="n">
        <f aca="false">PL!$N$109/PL!$N$91</f>
        <v>0.302870734830849</v>
      </c>
      <c r="O118" s="12" t="n">
        <f aca="false">PL!$O$109/PL!$O$91</f>
        <v>0.52240134346334</v>
      </c>
    </row>
    <row r="119" customFormat="false" ht="15" hidden="false" customHeight="false" outlineLevel="0" collapsed="false">
      <c r="A119" s="5" t="s">
        <v>691</v>
      </c>
      <c r="B119" s="0" t="s">
        <v>52</v>
      </c>
      <c r="C119" s="12" t="n">
        <f aca="false">PL!$C$113/PL!$C$93</f>
        <v>0.107519448742004</v>
      </c>
      <c r="D119" s="12" t="n">
        <f aca="false">PL!$D$113/PL!$D$93</f>
        <v>0.111552967957552</v>
      </c>
      <c r="E119" s="12" t="n">
        <f aca="false">PL!$E$113/PL!$E$93</f>
        <v>0.13428328426562</v>
      </c>
      <c r="F119" s="12" t="n">
        <f aca="false">PL!$F$113/PL!$F$93</f>
        <v>0.132926212451512</v>
      </c>
      <c r="G119" s="12" t="n">
        <f aca="false">PL!$G$113/PL!$G$93</f>
        <v>0.133549030959228</v>
      </c>
      <c r="H119" s="12" t="n">
        <f aca="false">PL!$H$113/PL!$H$93</f>
        <v>0.139690394514416</v>
      </c>
      <c r="I119" s="12" t="n">
        <f aca="false">PL!$I$113/PL!$I$93</f>
        <v>0.144688164284573</v>
      </c>
      <c r="J119" s="12" t="n">
        <f aca="false">PL!$J$113/PL!$J$93</f>
        <v>0.147391419021054</v>
      </c>
      <c r="K119" s="12" t="n">
        <f aca="false">PL!$K$113/PL!$K$93</f>
        <v>0.148003728177944</v>
      </c>
      <c r="L119" s="12" t="n">
        <f aca="false">PL!$L$113/PL!$L$93</f>
        <v>0.149164514525979</v>
      </c>
      <c r="M119" s="12" t="n">
        <f aca="false">PL!$M$113/PL!$M$93</f>
        <v>0.150041098108262</v>
      </c>
      <c r="N119" s="12" t="n">
        <f aca="false">PL!$N$113/PL!$N$93</f>
        <v>0.116201614873411</v>
      </c>
      <c r="O119" s="12" t="n">
        <f aca="false">PL!$O$113/PL!$O$93</f>
        <v>0.107733353660861</v>
      </c>
    </row>
    <row r="120" customFormat="false" ht="17.15" hidden="false" customHeight="false" outlineLevel="0" collapsed="false">
      <c r="A120" s="1" t="s">
        <v>692</v>
      </c>
    </row>
    <row r="121" customFormat="false" ht="17.15" hidden="false" customHeight="false" outlineLevel="0" collapsed="false">
      <c r="A121" s="5" t="s">
        <v>693</v>
      </c>
      <c r="B121" s="0" t="s">
        <v>52</v>
      </c>
      <c r="D121" s="28" t="n">
        <f aca="false">(Q!$E$29+Q!$E$30-(1-ext_sh)*Thesis!$D$96)/Seg!$D$53</f>
        <v>0.0334674312393194</v>
      </c>
    </row>
    <row r="122" customFormat="false" ht="17.15" hidden="false" customHeight="false" outlineLevel="0" collapsed="false">
      <c r="A122" s="0" t="s">
        <v>498</v>
      </c>
      <c r="B122" s="0" t="s">
        <v>73</v>
      </c>
      <c r="C122" s="38" t="n">
        <f aca="false">Q!$D$29</f>
        <v>14.285</v>
      </c>
      <c r="D122" s="38" t="n">
        <f aca="false">Q!$E$29</f>
        <v>15.503</v>
      </c>
      <c r="E122" s="38" t="n">
        <f aca="false">Q!$P$29</f>
        <v>8.78</v>
      </c>
      <c r="F122" s="38" t="n">
        <f aca="false">(PL!$D$121*Seg!$F$53+(1-ext_sh)*Thesis!$F$96)*Seg!$F$54</f>
        <v>9.51361751569285</v>
      </c>
      <c r="G122" s="38" t="n">
        <f aca="false">PL!$E$122+PL!$F$122</f>
        <v>18.2936175156929</v>
      </c>
      <c r="H122" s="38" t="n">
        <f aca="false">(PL!$D$121*Seg!$H$53+(1-ext_sh)*Thesis!$H$96)*Seg!$H$54</f>
        <v>22.7653661801943</v>
      </c>
      <c r="I122" s="38" t="n">
        <f aca="false">(PL!$D$121*Seg!$I$53+(1-ext_sh)*Thesis!$I$96)*Seg!$I$54</f>
        <v>28.4281317305062</v>
      </c>
      <c r="J122" s="38" t="n">
        <f aca="false">(PL!$D$121*Seg!$J$53+(1-ext_sh)*Thesis!$J$96)*Seg!$J$54</f>
        <v>34.1182922009732</v>
      </c>
      <c r="K122" s="38" t="n">
        <f aca="false">(PL!$D$121*Seg!$K$53+(1-ext_sh)*Thesis!$K$96)*Seg!$K$54</f>
        <v>39.7237727987046</v>
      </c>
      <c r="L122" s="38" t="n">
        <f aca="false">(PL!$D$121*Seg!$L$53+(1-ext_sh)*Thesis!$L$96)*Seg!$L$54</f>
        <v>45.1313127180263</v>
      </c>
      <c r="M122" s="38" t="n">
        <f aca="false">(PL!$D$121*Seg!$M$53+(1-ext_sh)*Thesis!$M$96)*Seg!$M$54</f>
        <v>50.743940615442</v>
      </c>
      <c r="N122" s="38" t="n">
        <f aca="false">Q!$N$29</f>
        <v>7.272</v>
      </c>
      <c r="O122" s="38" t="n">
        <f aca="false">Q!$O$29</f>
        <v>8.231</v>
      </c>
    </row>
    <row r="123" customFormat="false" ht="17.15" hidden="false" customHeight="false" outlineLevel="0" collapsed="false">
      <c r="A123" s="0" t="s">
        <v>500</v>
      </c>
      <c r="B123" s="0" t="s">
        <v>73</v>
      </c>
      <c r="C123" s="38" t="n">
        <f aca="false">Q!$D$30</f>
        <v>4.462</v>
      </c>
      <c r="D123" s="38" t="n">
        <f aca="false">Q!$E$30</f>
        <v>4.907</v>
      </c>
      <c r="E123" s="38" t="n">
        <f aca="false">Q!$P$30</f>
        <v>2.57</v>
      </c>
      <c r="F123" s="38" t="n">
        <f aca="false">(PL!$D$121*Seg!$F$53+(1-ext_sh)*Thesis!$F$96)*(1-Seg!$F$54)</f>
        <v>3.7353230631574</v>
      </c>
      <c r="G123" s="38" t="n">
        <f aca="false">PL!$E$123+PL!$F$123</f>
        <v>6.3053230631574</v>
      </c>
      <c r="H123" s="38" t="n">
        <f aca="false">(PL!$D$121*Seg!$H$53+(1-ext_sh)*Thesis!$H$96)*(1-Seg!$H$54)</f>
        <v>8.72254636724805</v>
      </c>
      <c r="I123" s="38" t="n">
        <f aca="false">(PL!$D$121*Seg!$I$53+(1-ext_sh)*Thesis!$I$96)*(1-Seg!$I$54)</f>
        <v>10.8922340713019</v>
      </c>
      <c r="J123" s="38" t="n">
        <f aca="false">(PL!$D$121*Seg!$J$53+(1-ext_sh)*Thesis!$J$96)*(1-Seg!$J$54)</f>
        <v>13.0724181345791</v>
      </c>
      <c r="K123" s="38" t="n">
        <f aca="false">(PL!$D$121*Seg!$K$53+(1-ext_sh)*Thesis!$K$96)*(1-Seg!$K$54)</f>
        <v>15.2201571183236</v>
      </c>
      <c r="L123" s="38" t="n">
        <f aca="false">(PL!$D$121*Seg!$L$53+(1-ext_sh)*Thesis!$L$96)*(1-Seg!$L$54)</f>
        <v>17.2920551631732</v>
      </c>
      <c r="M123" s="38" t="n">
        <f aca="false">(PL!$D$121*Seg!$M$53+(1-ext_sh)*Thesis!$M$96)*(1-Seg!$M$54)</f>
        <v>19.4425326336348</v>
      </c>
      <c r="N123" s="38" t="n">
        <f aca="false">Q!$N$30</f>
        <v>2.316</v>
      </c>
      <c r="O123" s="38" t="n">
        <f aca="false">Q!$O$30</f>
        <v>2.591</v>
      </c>
    </row>
    <row r="124" customFormat="false" ht="17.15" hidden="false" customHeight="false" outlineLevel="0" collapsed="false">
      <c r="A124" s="0" t="s">
        <v>501</v>
      </c>
      <c r="B124" s="0" t="s">
        <v>73</v>
      </c>
      <c r="C124" s="38" t="n">
        <f aca="false">Thesis!$C$108</f>
        <v>13.32</v>
      </c>
      <c r="D124" s="38" t="n">
        <f aca="false">Thesis!$D$108</f>
        <v>21.45</v>
      </c>
      <c r="E124" s="38" t="n">
        <f aca="false">Thesis!$E$108</f>
        <v>15.353</v>
      </c>
      <c r="F124" s="38" t="n">
        <f aca="false">Thesis!$F$108</f>
        <v>17.3614451462707</v>
      </c>
      <c r="G124" s="38" t="n">
        <f aca="false">Thesis!$G$108</f>
        <v>32.7144451462707</v>
      </c>
      <c r="H124" s="38" t="n">
        <f aca="false">Thesis!$H$108</f>
        <v>56.1966092719415</v>
      </c>
      <c r="I124" s="38" t="n">
        <f aca="false">Thesis!$I$108</f>
        <v>82.9744039068297</v>
      </c>
      <c r="J124" s="38" t="n">
        <f aca="false">Thesis!$J$108</f>
        <v>109.943252237669</v>
      </c>
      <c r="K124" s="38" t="n">
        <f aca="false">Thesis!$K$108</f>
        <v>136.406703436571</v>
      </c>
      <c r="L124" s="38" t="n">
        <f aca="false">Thesis!$L$108</f>
        <v>161.485870454155</v>
      </c>
      <c r="M124" s="38" t="n">
        <f aca="false">Thesis!$M$108</f>
        <v>187.389846618199</v>
      </c>
      <c r="N124" s="38" t="n">
        <f aca="false">Thesis!$N$108</f>
        <v>9.234</v>
      </c>
      <c r="O124" s="38" t="n">
        <f aca="false">Thesis!$O$108</f>
        <v>12.216</v>
      </c>
    </row>
    <row r="125" customFormat="false" ht="17.15" hidden="false" customHeight="false" outlineLevel="0" collapsed="false">
      <c r="A125" s="5" t="s">
        <v>694</v>
      </c>
      <c r="B125" s="0" t="s">
        <v>73</v>
      </c>
      <c r="C125" s="38" t="n">
        <f aca="false">PL!$C$122+PL!$C$123+PL!$C$124</f>
        <v>32.067</v>
      </c>
      <c r="D125" s="38" t="n">
        <f aca="false">PL!$D$122+PL!$D$123+PL!$D$124</f>
        <v>41.86</v>
      </c>
      <c r="E125" s="38" t="n">
        <f aca="false">PL!$E$122+PL!$E$123+PL!$E$124</f>
        <v>26.703</v>
      </c>
      <c r="F125" s="38" t="n">
        <f aca="false">PL!$F$122+PL!$F$123+PL!$F$124</f>
        <v>30.6103857251209</v>
      </c>
      <c r="G125" s="38" t="n">
        <f aca="false">PL!$G$122+PL!$G$123+PL!$G$124</f>
        <v>57.3133857251209</v>
      </c>
      <c r="H125" s="38" t="n">
        <f aca="false">PL!$H$122+PL!$H$123+PL!$H$124</f>
        <v>87.6845218193838</v>
      </c>
      <c r="I125" s="38" t="n">
        <f aca="false">PL!$I$122+PL!$I$123+PL!$I$124</f>
        <v>122.294769708638</v>
      </c>
      <c r="J125" s="38" t="n">
        <f aca="false">PL!$J$122+PL!$J$123+PL!$J$124</f>
        <v>157.133962573221</v>
      </c>
      <c r="K125" s="38" t="n">
        <f aca="false">PL!$K$122+PL!$K$123+PL!$K$124</f>
        <v>191.350633353599</v>
      </c>
      <c r="L125" s="38" t="n">
        <f aca="false">PL!$L$122+PL!$L$123+PL!$L$124</f>
        <v>223.909238335354</v>
      </c>
      <c r="M125" s="38" t="n">
        <f aca="false">PL!$M$122+PL!$M$123+PL!$M$124</f>
        <v>257.576319867276</v>
      </c>
      <c r="N125" s="38" t="n">
        <f aca="false">PL!$N$122+PL!$N$123+PL!$N$124</f>
        <v>18.822</v>
      </c>
      <c r="O125" s="38" t="n">
        <f aca="false">PL!$O$122+PL!$O$123+PL!$O$124</f>
        <v>23.038</v>
      </c>
    </row>
    <row r="126" customFormat="false" ht="17.15" hidden="false" customHeight="false" outlineLevel="0" collapsed="false">
      <c r="A126" s="0" t="s">
        <v>695</v>
      </c>
      <c r="B126" s="0" t="s">
        <v>73</v>
      </c>
      <c r="C126" s="38" t="n">
        <f aca="false">PL!$C$99+PL!$C$104</f>
        <v>28.107</v>
      </c>
      <c r="D126" s="38" t="n">
        <f aca="false">PL!$D$99+PL!$D$104</f>
        <v>34.3175</v>
      </c>
      <c r="E126" s="38" t="n">
        <f aca="false">PL!$E$99+PL!$E$104</f>
        <v>18.526</v>
      </c>
      <c r="F126" s="38" t="n">
        <f aca="false">PL!$F$99+PL!$F$104</f>
        <v>24.0766690913691</v>
      </c>
      <c r="G126" s="38" t="n">
        <f aca="false">PL!$G$99+PL!$G$104</f>
        <v>42.6026690913691</v>
      </c>
      <c r="H126" s="38" t="n">
        <f aca="false">PL!$H$99+PL!$H$104</f>
        <v>51.1466809294702</v>
      </c>
      <c r="I126" s="38" t="n">
        <f aca="false">PL!$I$99+PL!$I$104</f>
        <v>59.6899187926205</v>
      </c>
      <c r="J126" s="38" t="n">
        <f aca="false">PL!$J$99+PL!$J$104</f>
        <v>67.6595395244221</v>
      </c>
      <c r="K126" s="38" t="n">
        <f aca="false">PL!$K$99+PL!$K$104</f>
        <v>74.4254934768643</v>
      </c>
      <c r="L126" s="38" t="n">
        <f aca="false">PL!$L$99+PL!$L$104</f>
        <v>81.8680428245508</v>
      </c>
      <c r="M126" s="38" t="n">
        <f aca="false">PL!$M$99+PL!$M$104</f>
        <v>90.0548471070059</v>
      </c>
      <c r="N126" s="38" t="n">
        <f aca="false">PL!$N$99+PL!$N$104</f>
        <v>14.8075</v>
      </c>
      <c r="O126" s="38" t="n">
        <f aca="false">PL!$O$99+PL!$O$104</f>
        <v>19.51</v>
      </c>
    </row>
    <row r="127" customFormat="false" ht="17.15" hidden="false" customHeight="false" outlineLevel="0" collapsed="false">
      <c r="A127" s="0" t="s">
        <v>696</v>
      </c>
      <c r="B127" s="0" t="s">
        <v>73</v>
      </c>
      <c r="C127" s="38" t="n">
        <f aca="false">PL!$C$103+PL!$C$108+PL!$C$122+PL!$C$123-PL!$C$126</f>
        <v>19.399</v>
      </c>
      <c r="D127" s="38" t="n">
        <f aca="false">PL!$D$103+PL!$D$108+PL!$D$122+PL!$D$123-PL!$D$126</f>
        <v>20.4615</v>
      </c>
      <c r="E127" s="38" t="n">
        <f aca="false">PL!$E$103+PL!$E$108+PL!$E$122+PL!$E$123-PL!$E$126</f>
        <v>13.355</v>
      </c>
      <c r="F127" s="38" t="n">
        <f aca="false">PL!$F$103+PL!$F$108+PL!$F$122+PL!$F$123-PL!$F$126</f>
        <v>13.0895111975985</v>
      </c>
      <c r="G127" s="38" t="n">
        <f aca="false">PL!$G$103+PL!$G$108+PL!$G$122+PL!$G$123-PL!$G$126</f>
        <v>26.4445111975985</v>
      </c>
      <c r="H127" s="38" t="n">
        <f aca="false">PL!$H$103+PL!$H$108+PL!$H$122+PL!$H$123-PL!$H$126</f>
        <v>28.8977096937968</v>
      </c>
      <c r="I127" s="38" t="n">
        <f aca="false">PL!$I$103+PL!$I$108+PL!$I$122+PL!$I$123-PL!$I$126</f>
        <v>31.2062039064791</v>
      </c>
      <c r="J127" s="38" t="n">
        <f aca="false">PL!$J$103+PL!$J$108+PL!$J$122+PL!$J$123-PL!$J$126</f>
        <v>33.5064572496913</v>
      </c>
      <c r="K127" s="38" t="n">
        <f aca="false">PL!$K$103+PL!$K$108+PL!$K$122+PL!$K$123-PL!$K$126</f>
        <v>35.6591461575899</v>
      </c>
      <c r="L127" s="38" t="n">
        <f aca="false">PL!$L$103+PL!$L$108+PL!$L$122+PL!$L$123-PL!$L$126</f>
        <v>36.4141007090604</v>
      </c>
      <c r="M127" s="38" t="n">
        <f aca="false">PL!$M$103+PL!$M$108+PL!$M$122+PL!$M$123-PL!$M$126</f>
        <v>37.359984207839</v>
      </c>
      <c r="N127" s="38" t="n">
        <f aca="false">PL!$N$103+PL!$N$108+PL!$N$122+PL!$N$123-PL!$N$126</f>
        <v>10.6495</v>
      </c>
      <c r="O127" s="38" t="n">
        <f aca="false">PL!$O$103+PL!$O$108+PL!$O$122+PL!$O$123-PL!$O$126</f>
        <v>9.81200000000001</v>
      </c>
    </row>
    <row r="128" customFormat="false" ht="17.15" hidden="false" customHeight="false" outlineLevel="0" collapsed="false">
      <c r="A128" s="0" t="s">
        <v>697</v>
      </c>
      <c r="B128" s="0" t="s">
        <v>73</v>
      </c>
      <c r="C128" s="38" t="n">
        <f aca="false">PL!$C$110+PL!$C$124-ext_sh*Thesis!$C$96</f>
        <v>51.3470500115664</v>
      </c>
      <c r="D128" s="38" t="n">
        <f aca="false">PL!$D$110+PL!$D$124-ext_sh*Thesis!$D$96</f>
        <v>60.2799375433739</v>
      </c>
      <c r="E128" s="38" t="n">
        <f aca="false">PL!$E$110+PL!$E$124-ext_sh*Thesis!$E$96</f>
        <v>39.5095167090767</v>
      </c>
      <c r="F128" s="38" t="n">
        <f aca="false">PL!$F$110+PL!$F$124-ext_sh*Thesis!$F$96</f>
        <v>41.606724953129</v>
      </c>
      <c r="G128" s="38" t="n">
        <f aca="false">PL!$G$110+PL!$G$124-ext_sh*Thesis!$G$96</f>
        <v>81.1162416622057</v>
      </c>
      <c r="H128" s="38" t="n">
        <f aca="false">PL!$H$110+PL!$H$124-ext_sh*Thesis!$H$96</f>
        <v>95.7616595325849</v>
      </c>
      <c r="I128" s="38" t="n">
        <f aca="false">PL!$I$110+PL!$I$124-ext_sh*Thesis!$I$96</f>
        <v>111.513312079935</v>
      </c>
      <c r="J128" s="38" t="n">
        <f aca="false">PL!$J$110+PL!$J$124-ext_sh*Thesis!$J$96</f>
        <v>125.145150463955</v>
      </c>
      <c r="K128" s="38" t="n">
        <f aca="false">PL!$K$110+PL!$K$124-ext_sh*Thesis!$K$96</f>
        <v>135.156762501071</v>
      </c>
      <c r="L128" s="38" t="n">
        <f aca="false">PL!$L$110+PL!$L$124-ext_sh*Thesis!$L$96</f>
        <v>145.969303501157</v>
      </c>
      <c r="M128" s="38" t="n">
        <f aca="false">PL!$M$110+PL!$M$124-ext_sh*Thesis!$M$96</f>
        <v>157.646847781249</v>
      </c>
      <c r="N128" s="38" t="n">
        <f aca="false">PL!$N$110+PL!$N$124-ext_sh*Thesis!$N$96</f>
        <v>28.5693781401809</v>
      </c>
      <c r="O128" s="38" t="n">
        <f aca="false">PL!$O$110+PL!$O$124-ext_sh*Thesis!$O$96</f>
        <v>31.7105594031931</v>
      </c>
    </row>
    <row r="129" customFormat="false" ht="17.15" hidden="false" customHeight="false" outlineLevel="0" collapsed="false">
      <c r="A129" s="0" t="s">
        <v>698</v>
      </c>
      <c r="B129" s="0" t="s">
        <v>73</v>
      </c>
      <c r="C129" s="38" t="n">
        <f aca="false">Thesis!$C$99</f>
        <v>1.80694998843362</v>
      </c>
      <c r="D129" s="38" t="n">
        <f aca="false">Thesis!$D$99</f>
        <v>6.77606245662607</v>
      </c>
      <c r="E129" s="38" t="n">
        <f aca="false">Thesis!$E$99</f>
        <v>6.62548329092326</v>
      </c>
      <c r="F129" s="38" t="n">
        <f aca="false">Thesis!$F$99</f>
        <v>11.7200577158706</v>
      </c>
      <c r="G129" s="38" t="n">
        <f aca="false">Thesis!$G$99</f>
        <v>18.3455410067939</v>
      </c>
      <c r="H129" s="38" t="n">
        <f aca="false">Thesis!$H$99</f>
        <v>47.5171727060453</v>
      </c>
      <c r="I129" s="38" t="n">
        <f aca="false">Thesis!$I$99</f>
        <v>80.5539692643667</v>
      </c>
      <c r="J129" s="38" t="n">
        <f aca="false">Thesis!$J$99</f>
        <v>113.759316834883</v>
      </c>
      <c r="K129" s="38" t="n">
        <f aca="false">Thesis!$K$99</f>
        <v>147.020848076132</v>
      </c>
      <c r="L129" s="38" t="n">
        <f aca="false">Thesis!$L$99</f>
        <v>180.307917349531</v>
      </c>
      <c r="M129" s="38" t="n">
        <f aca="false">Thesis!$M$99</f>
        <v>213.608737871012</v>
      </c>
      <c r="N129" s="38" t="n">
        <f aca="false">Thesis!$N$99</f>
        <v>2.37162185981912</v>
      </c>
      <c r="O129" s="38" t="n">
        <f aca="false">Thesis!$O$99</f>
        <v>4.40444059680694</v>
      </c>
    </row>
    <row r="130" customFormat="false" ht="17.15" hidden="false" customHeight="false" outlineLevel="0" collapsed="false">
      <c r="A130" s="0" t="s">
        <v>699</v>
      </c>
      <c r="B130" s="0" t="s">
        <v>73</v>
      </c>
      <c r="C130" s="38" t="n">
        <f aca="false">PL!$C$113+PL!$C$125</f>
        <v>100.66</v>
      </c>
      <c r="D130" s="38" t="n">
        <f aca="false">PL!$D$113+PL!$D$125</f>
        <v>121.835</v>
      </c>
      <c r="E130" s="38" t="n">
        <f aca="false">PL!$E$113+PL!$E$125</f>
        <v>78.016</v>
      </c>
      <c r="F130" s="38" t="n">
        <f aca="false">PL!$F$113+PL!$F$125</f>
        <v>90.4929629579672</v>
      </c>
      <c r="G130" s="38" t="n">
        <f aca="false">PL!$G$113+PL!$G$125</f>
        <v>168.508962957967</v>
      </c>
      <c r="H130" s="38" t="n">
        <f aca="false">PL!$H$113+PL!$H$125</f>
        <v>223.323222861897</v>
      </c>
      <c r="I130" s="38" t="n">
        <f aca="false">PL!$I$113+PL!$I$125</f>
        <v>282.963404043402</v>
      </c>
      <c r="J130" s="38" t="n">
        <f aca="false">PL!$J$113+PL!$J$125</f>
        <v>340.070464072952</v>
      </c>
      <c r="K130" s="38" t="n">
        <f aca="false">PL!$K$113+PL!$K$125</f>
        <v>392.262250211657</v>
      </c>
      <c r="L130" s="38" t="n">
        <f aca="false">PL!$L$113+PL!$L$125</f>
        <v>444.559364384299</v>
      </c>
      <c r="M130" s="38" t="n">
        <f aca="false">PL!$M$113+PL!$M$125</f>
        <v>498.670416967106</v>
      </c>
      <c r="N130" s="38" t="n">
        <f aca="false">PL!$N$113+PL!$N$125</f>
        <v>56.398</v>
      </c>
      <c r="O130" s="38" t="n">
        <f aca="false">PL!$O$113+PL!$O$125</f>
        <v>65.437</v>
      </c>
    </row>
    <row r="131" customFormat="false" ht="17.15" hidden="false" customHeight="false" outlineLevel="0" collapsed="false">
      <c r="A131" s="1" t="s">
        <v>700</v>
      </c>
    </row>
    <row r="132" customFormat="false" ht="15" hidden="false" customHeight="false" outlineLevel="0" collapsed="false">
      <c r="A132" s="5" t="s">
        <v>504</v>
      </c>
      <c r="B132" s="0" t="s">
        <v>73</v>
      </c>
      <c r="C132" s="38" t="n">
        <f aca="false">Q!$D$34</f>
        <v>2.406</v>
      </c>
      <c r="D132" s="38" t="n">
        <f aca="false">Q!$E$34</f>
        <v>2.274</v>
      </c>
      <c r="E132" s="38" t="n">
        <f aca="false">Q!$P$34</f>
        <v>2.114</v>
      </c>
      <c r="F132" s="38" t="n">
        <f aca="false">CF!$F$68</f>
        <v>3.24888964316061</v>
      </c>
      <c r="G132" s="38" t="n">
        <f aca="false">PL!$E$132+PL!$F$132</f>
        <v>5.36288964316061</v>
      </c>
      <c r="H132" s="38" t="n">
        <f aca="false">CF!$H$68</f>
        <v>7.42354178632123</v>
      </c>
      <c r="I132" s="38" t="n">
        <f aca="false">CF!$I$68</f>
        <v>7.51827597635917</v>
      </c>
      <c r="J132" s="38" t="n">
        <f aca="false">CF!$J$68</f>
        <v>7.76994062068418</v>
      </c>
      <c r="K132" s="38" t="n">
        <f aca="false">CF!$K$68</f>
        <v>7.76994062068418</v>
      </c>
      <c r="L132" s="38" t="n">
        <f aca="false">CF!$L$68</f>
        <v>7.76994062068418</v>
      </c>
      <c r="M132" s="38" t="n">
        <f aca="false">CF!$M$68</f>
        <v>7.76994062068418</v>
      </c>
      <c r="N132" s="38" t="n">
        <f aca="false">Q!$N$34</f>
        <v>1.057</v>
      </c>
      <c r="O132" s="38" t="n">
        <f aca="false">Q!$O$34</f>
        <v>1.217</v>
      </c>
    </row>
    <row r="133" customFormat="false" ht="15" hidden="false" customHeight="false" outlineLevel="0" collapsed="false">
      <c r="A133" s="5" t="s">
        <v>701</v>
      </c>
      <c r="B133" s="0" t="s">
        <v>73</v>
      </c>
      <c r="F133" s="38" t="n">
        <f aca="false">CF!$F$69</f>
        <v>2.59</v>
      </c>
      <c r="H133" s="38" t="n">
        <f aca="false">CF!$H$69</f>
        <v>4.00971603121774</v>
      </c>
      <c r="I133" s="38" t="n">
        <f aca="false">CF!$I$69</f>
        <v>2.10589651022864</v>
      </c>
      <c r="J133" s="38" t="n">
        <f aca="false">CF!$J$69</f>
        <v>2.10589651022864</v>
      </c>
      <c r="K133" s="38" t="n">
        <f aca="false">CF!$K$69</f>
        <v>3.77985822695893</v>
      </c>
      <c r="L133" s="38" t="n">
        <f aca="false">CF!$L$69</f>
        <v>7.24081936505971</v>
      </c>
      <c r="M133" s="38" t="n">
        <f aca="false">CF!$M$69</f>
        <v>11.205150593419</v>
      </c>
    </row>
    <row r="134" customFormat="false" ht="17.15" hidden="false" customHeight="false" outlineLevel="0" collapsed="false">
      <c r="A134" s="5" t="s">
        <v>702</v>
      </c>
      <c r="B134" s="0" t="s">
        <v>73</v>
      </c>
      <c r="C134" s="38" t="n">
        <f aca="false">Q!$D$39</f>
        <v>2.427</v>
      </c>
      <c r="D134" s="38" t="n">
        <f aca="false">Q!$E$39</f>
        <v>19.61</v>
      </c>
      <c r="E134" s="38" t="n">
        <f aca="false">Q!$P$39</f>
        <v>71.492</v>
      </c>
      <c r="F134" s="41" t="n">
        <v>0</v>
      </c>
      <c r="G134" s="38" t="n">
        <f aca="false">PL!$E$134+PL!$F$134</f>
        <v>71.492</v>
      </c>
      <c r="H134" s="41" t="n">
        <v>0</v>
      </c>
      <c r="I134" s="41" t="n">
        <v>0</v>
      </c>
      <c r="J134" s="41" t="n">
        <v>0</v>
      </c>
      <c r="K134" s="41" t="n">
        <v>0</v>
      </c>
      <c r="L134" s="41" t="n">
        <v>0</v>
      </c>
      <c r="M134" s="41" t="n">
        <v>0</v>
      </c>
      <c r="N134" s="38" t="n">
        <f aca="false">Q!$N$39</f>
        <v>6.017</v>
      </c>
      <c r="O134" s="38" t="n">
        <f aca="false">Q!$O$39</f>
        <v>13.593</v>
      </c>
      <c r="P134" s="5" t="s">
        <v>703</v>
      </c>
    </row>
    <row r="135" customFormat="false" ht="15" hidden="false" customHeight="false" outlineLevel="0" collapsed="false">
      <c r="A135" s="5" t="s">
        <v>507</v>
      </c>
      <c r="B135" s="0" t="s">
        <v>73</v>
      </c>
      <c r="C135" s="38" t="n">
        <f aca="false">Q!$D$36</f>
        <v>68.614</v>
      </c>
      <c r="D135" s="38" t="n">
        <f aca="false">Q!$E$36</f>
        <v>97.311</v>
      </c>
      <c r="E135" s="38" t="n">
        <f aca="false">Q!$P$36</f>
        <v>120.691</v>
      </c>
      <c r="F135" s="38" t="n">
        <f aca="false">PL!$F$113-PL!$F$132+PL!$F$133+PL!$F$134</f>
        <v>59.2236875896856</v>
      </c>
      <c r="G135" s="38" t="n">
        <f aca="false">PL!$E$135+PL!$F$135</f>
        <v>179.914687589686</v>
      </c>
      <c r="H135" s="38" t="n">
        <f aca="false">PL!$H$113-PL!$H$132+PL!$H$133+PL!$H$134</f>
        <v>132.22487528741</v>
      </c>
      <c r="I135" s="38" t="n">
        <f aca="false">PL!$I$113-PL!$I$132+PL!$I$133+PL!$I$134</f>
        <v>155.256254868633</v>
      </c>
      <c r="J135" s="38" t="n">
        <f aca="false">PL!$J$113-PL!$J$132+PL!$J$133+PL!$J$134</f>
        <v>177.272457389275</v>
      </c>
      <c r="K135" s="38" t="n">
        <f aca="false">PL!$K$113-PL!$K$132+PL!$K$133+PL!$K$134</f>
        <v>196.921534464333</v>
      </c>
      <c r="L135" s="38" t="n">
        <f aca="false">PL!$L$113-PL!$L$132+PL!$L$133+PL!$L$134</f>
        <v>220.12100479332</v>
      </c>
      <c r="M135" s="38" t="n">
        <f aca="false">PL!$M$113-PL!$M$132+PL!$M$133+PL!$M$134</f>
        <v>244.529307072564</v>
      </c>
      <c r="N135" s="38" t="n">
        <f aca="false">Q!$N$36</f>
        <v>42.536</v>
      </c>
      <c r="O135" s="38" t="n">
        <f aca="false">Q!$O$36</f>
        <v>54.775</v>
      </c>
    </row>
    <row r="136" customFormat="false" ht="15" hidden="false" customHeight="false" outlineLevel="0" collapsed="false">
      <c r="A136" s="5" t="s">
        <v>508</v>
      </c>
      <c r="B136" s="0" t="s">
        <v>73</v>
      </c>
      <c r="C136" s="38" t="n">
        <f aca="false">Q!$D$37</f>
        <v>9.265</v>
      </c>
      <c r="D136" s="38" t="n">
        <f aca="false">Q!$E$37</f>
        <v>19.087</v>
      </c>
      <c r="E136" s="38" t="n">
        <f aca="false">Q!$P$37</f>
        <v>27.759</v>
      </c>
      <c r="F136" s="38" t="n">
        <f aca="false">PL!$F$135*tax</f>
        <v>10.2803157750071</v>
      </c>
      <c r="G136" s="38" t="n">
        <f aca="false">PL!$E$136+PL!$F$136</f>
        <v>38.0393157750071</v>
      </c>
      <c r="H136" s="38" t="n">
        <f aca="false">PL!$H$135*tax</f>
        <v>22.9521923842892</v>
      </c>
      <c r="I136" s="38" t="n">
        <f aca="false">PL!$I$135*tax</f>
        <v>26.9500835063251</v>
      </c>
      <c r="J136" s="38" t="n">
        <f aca="false">PL!$J$135*tax</f>
        <v>30.7717555988633</v>
      </c>
      <c r="K136" s="38" t="n">
        <f aca="false">PL!$K$135*tax</f>
        <v>34.1825313414772</v>
      </c>
      <c r="L136" s="38" t="n">
        <f aca="false">PL!$L$135*tax</f>
        <v>38.209600416393</v>
      </c>
      <c r="M136" s="38" t="n">
        <f aca="false">PL!$M$135*tax</f>
        <v>42.4465040131586</v>
      </c>
      <c r="N136" s="38" t="n">
        <f aca="false">Q!$N$37</f>
        <v>7.231</v>
      </c>
      <c r="O136" s="38" t="n">
        <f aca="false">Q!$O$37</f>
        <v>11.856</v>
      </c>
    </row>
    <row r="137" customFormat="false" ht="15" hidden="false" customHeight="false" outlineLevel="0" collapsed="false">
      <c r="A137" s="3" t="s">
        <v>509</v>
      </c>
      <c r="B137" s="8" t="s">
        <v>73</v>
      </c>
      <c r="C137" s="38" t="n">
        <f aca="false">Q!$D$38</f>
        <v>59.248</v>
      </c>
      <c r="D137" s="38" t="n">
        <f aca="false">Q!$E$38</f>
        <v>77.67</v>
      </c>
      <c r="E137" s="38" t="n">
        <f aca="false">Q!$P$38</f>
        <v>92.902</v>
      </c>
      <c r="F137" s="38" t="n">
        <f aca="false">PL!$F$135-PL!$F$136</f>
        <v>48.9433718146785</v>
      </c>
      <c r="G137" s="38" t="n">
        <f aca="false">PL!$E$137+PL!$F$137</f>
        <v>141.845371814679</v>
      </c>
      <c r="H137" s="38" t="n">
        <f aca="false">PL!$H$135-PL!$H$136</f>
        <v>109.272682903121</v>
      </c>
      <c r="I137" s="38" t="n">
        <f aca="false">PL!$I$135-PL!$I$136</f>
        <v>128.306171362308</v>
      </c>
      <c r="J137" s="38" t="n">
        <f aca="false">PL!$J$135-PL!$J$136</f>
        <v>146.500701790412</v>
      </c>
      <c r="K137" s="38" t="n">
        <f aca="false">PL!$K$135-PL!$K$136</f>
        <v>162.739003122855</v>
      </c>
      <c r="L137" s="38" t="n">
        <f aca="false">PL!$L$135-PL!$L$136</f>
        <v>181.911404376927</v>
      </c>
      <c r="M137" s="38" t="n">
        <f aca="false">PL!$M$135-PL!$M$136</f>
        <v>202.082803059406</v>
      </c>
      <c r="N137" s="38" t="n">
        <f aca="false">Q!$N$38</f>
        <v>35.291</v>
      </c>
      <c r="O137" s="38" t="n">
        <f aca="false">Q!$O$38</f>
        <v>42.379</v>
      </c>
    </row>
    <row r="138" customFormat="false" ht="17.15" hidden="false" customHeight="false" outlineLevel="0" collapsed="false">
      <c r="A138" s="5" t="s">
        <v>512</v>
      </c>
      <c r="B138" s="5" t="s">
        <v>33</v>
      </c>
      <c r="C138" s="22" t="n">
        <f aca="false">Q!$D$41</f>
        <v>10.721</v>
      </c>
      <c r="D138" s="22" t="n">
        <f aca="false">Q!$E$41</f>
        <v>10.827</v>
      </c>
      <c r="E138" s="22" t="n">
        <f aca="false">(Q!$L$41+Q!$M$41)/2</f>
        <v>10.8885</v>
      </c>
      <c r="F138" s="22" t="n">
        <f aca="false">PL!$G$138</f>
        <v>10.924806</v>
      </c>
      <c r="G138" s="22" t="n">
        <f aca="false">Q!$M$41*(1+sh_g*0.25)</f>
        <v>10.924806</v>
      </c>
      <c r="H138" s="22" t="n">
        <f aca="false">PL!$G$138*(1+sh_g)</f>
        <v>11.012204448</v>
      </c>
      <c r="I138" s="22" t="n">
        <f aca="false">PL!$H$138*(1+sh_g)</f>
        <v>11.100302083584</v>
      </c>
      <c r="J138" s="22" t="n">
        <f aca="false">PL!$I$138*(1+sh_g)</f>
        <v>11.1891045002527</v>
      </c>
      <c r="K138" s="22" t="n">
        <f aca="false">PL!$J$138*(1+sh_g)</f>
        <v>11.2786173362547</v>
      </c>
      <c r="L138" s="22" t="n">
        <f aca="false">PL!$K$138*(1+sh_g)</f>
        <v>11.3688462749447</v>
      </c>
      <c r="M138" s="22" t="n">
        <f aca="false">PL!$L$138*(1+sh_g)</f>
        <v>11.4597970451443</v>
      </c>
      <c r="P138" s="5" t="s">
        <v>704</v>
      </c>
    </row>
    <row r="139" customFormat="false" ht="17.15" hidden="false" customHeight="false" outlineLevel="0" collapsed="false">
      <c r="A139" s="42" t="s">
        <v>705</v>
      </c>
      <c r="B139" s="13" t="s">
        <v>27</v>
      </c>
      <c r="C139" s="43" t="n">
        <f aca="false">PL!$C$137/PL!$C$138</f>
        <v>5.52635015390355</v>
      </c>
      <c r="D139" s="43" t="n">
        <f aca="false">PL!$D$137/PL!$D$138</f>
        <v>7.1737323358271</v>
      </c>
      <c r="E139" s="43" t="n">
        <f aca="false">PL!$E$137/PL!$E$138</f>
        <v>8.53212104513937</v>
      </c>
      <c r="F139" s="13"/>
      <c r="G139" s="43" t="n">
        <f aca="false">PL!$G$137/PL!$G$138</f>
        <v>12.9837886196495</v>
      </c>
      <c r="H139" s="43" t="n">
        <f aca="false">PL!$H$137/PL!$H$138</f>
        <v>9.92287088558062</v>
      </c>
      <c r="I139" s="43" t="n">
        <f aca="false">PL!$I$137/PL!$I$138</f>
        <v>11.5587999674403</v>
      </c>
      <c r="J139" s="43" t="n">
        <f aca="false">PL!$J$137/PL!$J$138</f>
        <v>13.0931569892035</v>
      </c>
      <c r="K139" s="43" t="n">
        <f aca="false">PL!$K$137/PL!$K$138</f>
        <v>14.4289852444711</v>
      </c>
      <c r="L139" s="43" t="n">
        <f aca="false">PL!$L$137/PL!$L$138</f>
        <v>16.0008676322621</v>
      </c>
      <c r="M139" s="43" t="n">
        <f aca="false">PL!$M$137/PL!$M$138</f>
        <v>17.6340647450673</v>
      </c>
      <c r="N139" s="13"/>
      <c r="O139" s="13"/>
    </row>
    <row r="140" customFormat="false" ht="17.15" hidden="false" customHeight="false" outlineLevel="0" collapsed="false">
      <c r="A140" s="0" t="s">
        <v>706</v>
      </c>
      <c r="B140" s="0" t="s">
        <v>27</v>
      </c>
      <c r="C140" s="30" t="n">
        <f aca="false">(PL!$C$137-PL!$C$134*(1-tax))/PL!$C$138</f>
        <v>5.33926775917445</v>
      </c>
      <c r="D140" s="30" t="n">
        <f aca="false">(PL!$D$137-PL!$D$134*(1-tax))/PL!$D$138</f>
        <v>5.67691812755503</v>
      </c>
      <c r="E140" s="30" t="n">
        <f aca="false">(PL!$E$137-PL!$E$134*(1-tax))/PL!$E$138</f>
        <v>3.10602057006846</v>
      </c>
      <c r="G140" s="30" t="n">
        <f aca="false">(PL!$G$137-PL!$G$134*(1-tax))/PL!$G$138</f>
        <v>7.57572050175252</v>
      </c>
      <c r="H140" s="30" t="n">
        <f aca="false">(PL!$H$137-PL!$H$134*(1-tax))/PL!$H$138</f>
        <v>9.92287088558062</v>
      </c>
      <c r="I140" s="30" t="n">
        <f aca="false">(PL!$I$137-PL!$I$134*(1-tax))/PL!$I$138</f>
        <v>11.5587999674403</v>
      </c>
      <c r="J140" s="30" t="n">
        <f aca="false">(PL!$J$137-PL!$J$134*(1-tax))/PL!$J$138</f>
        <v>13.0931569892035</v>
      </c>
      <c r="K140" s="30" t="n">
        <f aca="false">(PL!$K$137-PL!$K$134*(1-tax))/PL!$K$138</f>
        <v>14.4289852444711</v>
      </c>
      <c r="L140" s="30" t="n">
        <f aca="false">(PL!$L$137-PL!$L$134*(1-tax))/PL!$L$138</f>
        <v>16.0008676322621</v>
      </c>
      <c r="M140" s="30" t="n">
        <f aca="false">(PL!$M$137-PL!$M$134*(1-tax))/PL!$M$138</f>
        <v>17.6340647450673</v>
      </c>
      <c r="P140" s="5" t="s">
        <v>707</v>
      </c>
    </row>
    <row r="141" customFormat="false" ht="17.15" hidden="false" customHeight="false" outlineLevel="0" collapsed="false">
      <c r="A141" s="0" t="s">
        <v>708</v>
      </c>
      <c r="B141" s="0" t="s">
        <v>52</v>
      </c>
      <c r="H141" s="12" t="n">
        <f aca="false">PL!$H$139/PL!$G$139-1</f>
        <v>-0.23574919645846</v>
      </c>
      <c r="I141" s="12" t="n">
        <f aca="false">PL!$I$139/PL!$H$139-1</f>
        <v>0.164864493423664</v>
      </c>
      <c r="J141" s="12" t="n">
        <f aca="false">PL!$J$139/PL!$I$139-1</f>
        <v>0.132743626162345</v>
      </c>
      <c r="K141" s="12" t="n">
        <f aca="false">PL!$K$139/PL!$J$139-1</f>
        <v>0.102024917013454</v>
      </c>
      <c r="L141" s="12" t="n">
        <f aca="false">PL!$L$139/PL!$K$139-1</f>
        <v>0.108939219297719</v>
      </c>
      <c r="M141" s="12" t="n">
        <f aca="false">PL!$M$139/PL!$L$139-1</f>
        <v>0.102069284637555</v>
      </c>
    </row>
    <row r="144" customFormat="false" ht="19.4" hidden="false" customHeight="false" outlineLevel="0" collapsed="false">
      <c r="A144" s="31" t="s">
        <v>712</v>
      </c>
    </row>
    <row r="145" customFormat="false" ht="17.15" hidden="false" customHeight="false" outlineLevel="0" collapsed="false">
      <c r="A145" s="6" t="s">
        <v>16</v>
      </c>
      <c r="B145" s="6" t="s">
        <v>17</v>
      </c>
      <c r="C145" s="20" t="s">
        <v>457</v>
      </c>
      <c r="D145" s="20" t="s">
        <v>458</v>
      </c>
      <c r="E145" s="20" t="s">
        <v>540</v>
      </c>
      <c r="F145" s="20" t="s">
        <v>541</v>
      </c>
      <c r="G145" s="20" t="s">
        <v>542</v>
      </c>
      <c r="H145" s="20" t="s">
        <v>543</v>
      </c>
      <c r="I145" s="20" t="s">
        <v>544</v>
      </c>
      <c r="J145" s="20" t="s">
        <v>545</v>
      </c>
      <c r="K145" s="20" t="s">
        <v>546</v>
      </c>
      <c r="L145" s="20" t="s">
        <v>547</v>
      </c>
      <c r="M145" s="20" t="s">
        <v>548</v>
      </c>
      <c r="N145" s="20" t="s">
        <v>549</v>
      </c>
      <c r="O145" s="20" t="s">
        <v>550</v>
      </c>
      <c r="P145" s="6" t="s">
        <v>23</v>
      </c>
      <c r="R145" s="20" t="n">
        <v>2023</v>
      </c>
      <c r="S145" s="20" t="n">
        <v>2024</v>
      </c>
      <c r="T145" s="20" t="n">
        <v>2025</v>
      </c>
      <c r="U145" s="20" t="n">
        <v>2026</v>
      </c>
      <c r="V145" s="20" t="n">
        <v>2027</v>
      </c>
      <c r="W145" s="20" t="n">
        <v>2028</v>
      </c>
      <c r="X145" s="20" t="n">
        <v>2029</v>
      </c>
      <c r="Y145" s="20" t="n">
        <v>2030</v>
      </c>
      <c r="Z145" s="20" t="n">
        <v>2031</v>
      </c>
      <c r="AA145" s="20" t="n">
        <v>2032</v>
      </c>
    </row>
    <row r="146" customFormat="false" ht="17.15" hidden="false" customHeight="false" outlineLevel="0" collapsed="false">
      <c r="A146" s="1" t="s">
        <v>668</v>
      </c>
    </row>
    <row r="147" customFormat="false" ht="15" hidden="false" customHeight="false" outlineLevel="0" collapsed="false">
      <c r="A147" s="0" t="s">
        <v>479</v>
      </c>
      <c r="B147" s="0" t="s">
        <v>73</v>
      </c>
      <c r="C147" s="38" t="n">
        <f aca="false">Seg!$C$75</f>
        <v>247.029</v>
      </c>
      <c r="D147" s="38" t="n">
        <f aca="false">Seg!$D$75</f>
        <v>269.287</v>
      </c>
      <c r="E147" s="38" t="n">
        <f aca="false">Seg!$E$75</f>
        <v>134.686</v>
      </c>
      <c r="F147" s="38" t="n">
        <f aca="false">Seg!$F$75</f>
        <v>160.728085930082</v>
      </c>
      <c r="G147" s="38" t="n">
        <f aca="false">Seg!$G$75</f>
        <v>295.414085930082</v>
      </c>
      <c r="H147" s="38" t="n">
        <f aca="false">Seg!$H$75</f>
        <v>320.828163943375</v>
      </c>
      <c r="I147" s="38" t="n">
        <f aca="false">Seg!$I$75</f>
        <v>344.575578072228</v>
      </c>
      <c r="J147" s="38" t="n">
        <f aca="false">Seg!$J$75</f>
        <v>365.942555779681</v>
      </c>
      <c r="K147" s="38" t="n">
        <f aca="false">Seg!$K$75</f>
        <v>384.239683568665</v>
      </c>
      <c r="L147" s="38" t="n">
        <f aca="false">Seg!$L$75</f>
        <v>403.451667747098</v>
      </c>
      <c r="M147" s="38" t="n">
        <f aca="false">Seg!$M$75</f>
        <v>423.624251134453</v>
      </c>
      <c r="N147" s="38" t="n">
        <f aca="false">Seg!$N$75</f>
        <v>118.892</v>
      </c>
      <c r="O147" s="38" t="n">
        <f aca="false">Seg!$O$75</f>
        <v>150.395</v>
      </c>
    </row>
    <row r="148" customFormat="false" ht="15" hidden="false" customHeight="false" outlineLevel="0" collapsed="false">
      <c r="A148" s="0" t="s">
        <v>480</v>
      </c>
      <c r="B148" s="0" t="s">
        <v>73</v>
      </c>
      <c r="C148" s="38" t="n">
        <f aca="false">Seg!$C$77</f>
        <v>21.215</v>
      </c>
      <c r="D148" s="38" t="n">
        <f aca="false">Seg!$D$77</f>
        <v>22.561</v>
      </c>
      <c r="E148" s="38" t="n">
        <f aca="false">Seg!$E$77</f>
        <v>11.579</v>
      </c>
      <c r="F148" s="38" t="n">
        <f aca="false">Seg!$F$77</f>
        <v>12.0952613121125</v>
      </c>
      <c r="G148" s="38" t="n">
        <f aca="false">Seg!$G$77</f>
        <v>23.6742613121125</v>
      </c>
      <c r="H148" s="38" t="n">
        <f aca="false">Seg!$H$77</f>
        <v>24.8803243963206</v>
      </c>
      <c r="I148" s="38" t="n">
        <f aca="false">Seg!$I$77</f>
        <v>25.9741308664154</v>
      </c>
      <c r="J148" s="38" t="n">
        <f aca="false">Seg!$J$77</f>
        <v>26.9346894124267</v>
      </c>
      <c r="K148" s="38" t="n">
        <f aca="false">Seg!$K$77</f>
        <v>27.7427300947995</v>
      </c>
      <c r="L148" s="38" t="n">
        <f aca="false">Seg!$L$77</f>
        <v>28.5750119976435</v>
      </c>
      <c r="M148" s="38" t="n">
        <f aca="false">Seg!$M$77</f>
        <v>29.4322623575728</v>
      </c>
      <c r="N148" s="38" t="n">
        <f aca="false">Seg!$N$77</f>
        <v>11.128</v>
      </c>
      <c r="O148" s="38" t="n">
        <f aca="false">Seg!$O$77</f>
        <v>11.433</v>
      </c>
    </row>
    <row r="149" customFormat="false" ht="15" hidden="false" customHeight="false" outlineLevel="0" collapsed="false">
      <c r="A149" s="0" t="s">
        <v>481</v>
      </c>
      <c r="B149" s="0" t="s">
        <v>73</v>
      </c>
      <c r="C149" s="38" t="n">
        <f aca="false">Seg!$C$79</f>
        <v>156.146</v>
      </c>
      <c r="D149" s="38" t="n">
        <f aca="false">Seg!$D$79</f>
        <v>172.162</v>
      </c>
      <c r="E149" s="38" t="n">
        <f aca="false">Seg!$E$79</f>
        <v>88.358</v>
      </c>
      <c r="F149" s="38" t="n">
        <f aca="false">Seg!$F$79</f>
        <v>103.62028337149</v>
      </c>
      <c r="G149" s="38" t="n">
        <f aca="false">Seg!$G$79</f>
        <v>191.97828337149</v>
      </c>
      <c r="H149" s="38" t="n">
        <f aca="false">Seg!$H$79</f>
        <v>212.128608444755</v>
      </c>
      <c r="I149" s="38" t="n">
        <f aca="false">Seg!$I$79</f>
        <v>231.92183134134</v>
      </c>
      <c r="J149" s="38" t="n">
        <f aca="false">Seg!$J$79</f>
        <v>250.859136487863</v>
      </c>
      <c r="K149" s="38" t="n">
        <f aca="false">Seg!$K$79</f>
        <v>268.419276042014</v>
      </c>
      <c r="L149" s="38" t="n">
        <f aca="false">Seg!$L$79</f>
        <v>287.208625364954</v>
      </c>
      <c r="M149" s="38" t="n">
        <f aca="false">Seg!$M$79</f>
        <v>307.313229140501</v>
      </c>
      <c r="N149" s="38" t="n">
        <f aca="false">Seg!$N$79</f>
        <v>76.86</v>
      </c>
      <c r="O149" s="38" t="n">
        <f aca="false">Seg!$O$79</f>
        <v>95.302</v>
      </c>
    </row>
    <row r="150" customFormat="false" ht="15" hidden="false" customHeight="false" outlineLevel="0" collapsed="false">
      <c r="A150" s="0" t="s">
        <v>482</v>
      </c>
      <c r="B150" s="0" t="s">
        <v>73</v>
      </c>
      <c r="C150" s="38" t="n">
        <f aca="false">Seg!$C$81</f>
        <v>56.214</v>
      </c>
      <c r="D150" s="38" t="n">
        <f aca="false">Seg!$D$81</f>
        <v>68.635</v>
      </c>
      <c r="E150" s="38" t="n">
        <f aca="false">Seg!$E$81</f>
        <v>37.052</v>
      </c>
      <c r="F150" s="38" t="n">
        <f aca="false">Seg!$F$81</f>
        <v>48.1533381827382</v>
      </c>
      <c r="G150" s="38" t="n">
        <f aca="false">Seg!$G$81</f>
        <v>85.2053381827382</v>
      </c>
      <c r="H150" s="38" t="n">
        <f aca="false">Seg!$H$81</f>
        <v>102.29336185894</v>
      </c>
      <c r="I150" s="38" t="n">
        <f aca="false">Seg!$I$81</f>
        <v>119.379837585241</v>
      </c>
      <c r="J150" s="38" t="n">
        <f aca="false">Seg!$J$81</f>
        <v>135.319079048844</v>
      </c>
      <c r="K150" s="38" t="n">
        <f aca="false">Seg!$K$81</f>
        <v>148.850986953729</v>
      </c>
      <c r="L150" s="38" t="n">
        <f aca="false">Seg!$L$81</f>
        <v>163.736085649102</v>
      </c>
      <c r="M150" s="38" t="n">
        <f aca="false">Seg!$M$81</f>
        <v>180.109694214012</v>
      </c>
      <c r="N150" s="38" t="n">
        <f aca="false">Seg!$N$81</f>
        <v>29.615</v>
      </c>
      <c r="O150" s="38" t="n">
        <f aca="false">Seg!$O$81</f>
        <v>39.02</v>
      </c>
    </row>
    <row r="151" customFormat="false" ht="15" hidden="false" customHeight="false" outlineLevel="0" collapsed="false">
      <c r="A151" s="0" t="s">
        <v>483</v>
      </c>
      <c r="B151" s="0" t="s">
        <v>73</v>
      </c>
      <c r="C151" s="38" t="n">
        <f aca="false">Seg!$C$83</f>
        <v>44.374</v>
      </c>
      <c r="D151" s="38" t="n">
        <f aca="false">Seg!$D$83</f>
        <v>49.619</v>
      </c>
      <c r="E151" s="38" t="n">
        <f aca="false">Seg!$E$83</f>
        <v>27.157</v>
      </c>
      <c r="F151" s="38" t="n">
        <f aca="false">Seg!$F$83</f>
        <v>28.9776360923374</v>
      </c>
      <c r="G151" s="38" t="n">
        <f aca="false">Seg!$G$83</f>
        <v>56.1346360923374</v>
      </c>
      <c r="H151" s="38" t="n">
        <f aca="false">Seg!$H$83</f>
        <v>62.4937078946075</v>
      </c>
      <c r="I151" s="38" t="n">
        <f aca="false">Seg!$I$83</f>
        <v>68.6715233062498</v>
      </c>
      <c r="J151" s="38" t="n">
        <f aca="false">Seg!$J$83</f>
        <v>74.4692882949818</v>
      </c>
      <c r="K151" s="38" t="n">
        <f aca="false">Seg!$K$83</f>
        <v>79.6821384756306</v>
      </c>
      <c r="L151" s="38" t="n">
        <f aca="false">Seg!$L$83</f>
        <v>85.2598881689247</v>
      </c>
      <c r="M151" s="38" t="n">
        <f aca="false">Seg!$M$83</f>
        <v>91.2280803407494</v>
      </c>
      <c r="N151" s="38" t="n">
        <f aca="false">Seg!$N$83</f>
        <v>23.923</v>
      </c>
      <c r="O151" s="38" t="n">
        <f aca="false">Seg!$O$83</f>
        <v>25.696</v>
      </c>
    </row>
    <row r="152" customFormat="false" ht="15" hidden="false" customHeight="false" outlineLevel="0" collapsed="false">
      <c r="A152" s="0" t="s">
        <v>484</v>
      </c>
      <c r="B152" s="0" t="s">
        <v>73</v>
      </c>
      <c r="C152" s="38" t="n">
        <f aca="false">Seg!$C$85</f>
        <v>5.425</v>
      </c>
      <c r="D152" s="38" t="n">
        <f aca="false">Seg!$D$85</f>
        <v>5.935</v>
      </c>
      <c r="E152" s="38" t="n">
        <f aca="false">Seg!$E$85</f>
        <v>3.474</v>
      </c>
      <c r="F152" s="38" t="n">
        <f aca="false">Seg!$F$85</f>
        <v>3.36182431966931</v>
      </c>
      <c r="G152" s="38" t="n">
        <f aca="false">Seg!$G$85</f>
        <v>6.83582431966931</v>
      </c>
      <c r="H152" s="38" t="n">
        <f aca="false">Seg!$H$85</f>
        <v>7.31157108370141</v>
      </c>
      <c r="I152" s="38" t="n">
        <f aca="false">Seg!$I$85</f>
        <v>7.77266852639815</v>
      </c>
      <c r="J152" s="38" t="n">
        <f aca="false">Seg!$J$85</f>
        <v>8.2120733019884</v>
      </c>
      <c r="K152" s="38" t="n">
        <f aca="false">Seg!$K$85</f>
        <v>8.62267696708783</v>
      </c>
      <c r="L152" s="38" t="n">
        <f aca="false">Seg!$L$85</f>
        <v>9.05381081544222</v>
      </c>
      <c r="M152" s="38" t="n">
        <f aca="false">Seg!$M$85</f>
        <v>9.50650135621433</v>
      </c>
      <c r="N152" s="38" t="n">
        <f aca="false">Seg!$N$85</f>
        <v>2.811</v>
      </c>
      <c r="O152" s="38" t="n">
        <f aca="false">Seg!$O$85</f>
        <v>3.124</v>
      </c>
    </row>
    <row r="153" customFormat="false" ht="17.15" hidden="false" customHeight="false" outlineLevel="0" collapsed="false">
      <c r="A153" s="0" t="s">
        <v>669</v>
      </c>
      <c r="B153" s="0" t="s">
        <v>73</v>
      </c>
      <c r="C153" s="38" t="n">
        <f aca="false">Seg!$C$96</f>
        <v>107.556</v>
      </c>
      <c r="D153" s="38" t="n">
        <f aca="false">Seg!$D$96</f>
        <v>128.725</v>
      </c>
      <c r="E153" s="38" t="n">
        <f aca="false">Seg!$E$96</f>
        <v>79.819</v>
      </c>
      <c r="F153" s="38" t="n">
        <f aca="false">Seg!$F$96</f>
        <v>92.7324277269991</v>
      </c>
      <c r="G153" s="38" t="n">
        <f aca="false">Seg!$G$96</f>
        <v>172.551427726999</v>
      </c>
      <c r="H153" s="38" t="n">
        <f aca="false">Seg!$H$96</f>
        <v>234.315850966005</v>
      </c>
      <c r="I153" s="38" t="n">
        <f aca="false">Seg!$I$96</f>
        <v>298.448143470312</v>
      </c>
      <c r="J153" s="38" t="n">
        <f aca="false">Seg!$J$96</f>
        <v>358.729046847807</v>
      </c>
      <c r="K153" s="38" t="n">
        <f aca="false">Seg!$K$96</f>
        <v>412.222329112395</v>
      </c>
      <c r="L153" s="38" t="n">
        <f aca="false">Seg!$L$96</f>
        <v>467.251736380559</v>
      </c>
      <c r="M153" s="38" t="n">
        <f aca="false">Seg!$M$96</f>
        <v>523.927610132494</v>
      </c>
      <c r="N153" s="38" t="n">
        <f aca="false">Seg!$N$96</f>
        <v>60.14</v>
      </c>
      <c r="O153" s="38" t="n">
        <f aca="false">Seg!$O$96</f>
        <v>68.585</v>
      </c>
    </row>
    <row r="154" customFormat="false" ht="15" hidden="false" customHeight="false" outlineLevel="0" collapsed="false">
      <c r="A154" s="1" t="s">
        <v>472</v>
      </c>
      <c r="B154" s="8" t="s">
        <v>73</v>
      </c>
      <c r="C154" s="38" t="n">
        <f aca="false">Seg!$C$89</f>
        <v>387.497</v>
      </c>
      <c r="D154" s="38" t="n">
        <f aca="false">Seg!$D$89</f>
        <v>426.305</v>
      </c>
      <c r="E154" s="38" t="n">
        <f aca="false">Seg!$E$89</f>
        <v>220.32</v>
      </c>
      <c r="F154" s="38" t="n">
        <f aca="false">Seg!$F$89</f>
        <v>256.304015003807</v>
      </c>
      <c r="G154" s="38" t="n">
        <f aca="false">Seg!$G$89</f>
        <v>476.624015003807</v>
      </c>
      <c r="H154" s="38" t="n">
        <f aca="false">Seg!$H$89</f>
        <v>527.734391091543</v>
      </c>
      <c r="I154" s="38" t="n">
        <f aca="false">Seg!$I$89</f>
        <v>577.157693029577</v>
      </c>
      <c r="J154" s="38" t="n">
        <f aca="false">Seg!$J$89</f>
        <v>623.024923663827</v>
      </c>
      <c r="K154" s="38" t="n">
        <f aca="false">Seg!$K$89</f>
        <v>663.382568393781</v>
      </c>
      <c r="L154" s="38" t="n">
        <f aca="false">Seg!$L$89</f>
        <v>706.564873010432</v>
      </c>
      <c r="M154" s="38" t="n">
        <f aca="false">Seg!$M$89</f>
        <v>752.784687406019</v>
      </c>
      <c r="N154" s="38" t="n">
        <f aca="false">Seg!$N$89</f>
        <v>192.955</v>
      </c>
      <c r="O154" s="38" t="n">
        <f aca="false">Seg!$O$89</f>
        <v>233.35</v>
      </c>
    </row>
    <row r="155" customFormat="false" ht="15" hidden="false" customHeight="false" outlineLevel="0" collapsed="false">
      <c r="A155" s="1" t="s">
        <v>475</v>
      </c>
      <c r="B155" s="8" t="s">
        <v>73</v>
      </c>
      <c r="C155" s="38" t="n">
        <f aca="false">Seg!$C$90</f>
        <v>142.906</v>
      </c>
      <c r="D155" s="38" t="n">
        <f aca="false">Seg!$D$90</f>
        <v>161.894</v>
      </c>
      <c r="E155" s="38" t="n">
        <f aca="false">Seg!$E$90</f>
        <v>81.986</v>
      </c>
      <c r="F155" s="38" t="n">
        <f aca="false">Seg!$F$90</f>
        <v>100.632414204623</v>
      </c>
      <c r="G155" s="38" t="n">
        <f aca="false">Seg!$G$90</f>
        <v>182.618414204623</v>
      </c>
      <c r="H155" s="38" t="n">
        <f aca="false">Seg!$H$90</f>
        <v>202.201346530158</v>
      </c>
      <c r="I155" s="38" t="n">
        <f aca="false">Seg!$I$90</f>
        <v>221.137876668296</v>
      </c>
      <c r="J155" s="38" t="n">
        <f aca="false">Seg!$J$90</f>
        <v>238.711898661958</v>
      </c>
      <c r="K155" s="38" t="n">
        <f aca="false">Seg!$K$90</f>
        <v>254.174923708144</v>
      </c>
      <c r="L155" s="38" t="n">
        <f aca="false">Seg!$L$90</f>
        <v>270.720216732733</v>
      </c>
      <c r="M155" s="38" t="n">
        <f aca="false">Seg!$M$90</f>
        <v>288.429331137484</v>
      </c>
      <c r="N155" s="38" t="n">
        <f aca="false">Seg!$N$90</f>
        <v>70.274</v>
      </c>
      <c r="O155" s="38" t="n">
        <f aca="false">Seg!$O$90</f>
        <v>91.62</v>
      </c>
    </row>
    <row r="156" customFormat="false" ht="15" hidden="false" customHeight="false" outlineLevel="0" collapsed="false">
      <c r="A156" s="1" t="s">
        <v>476</v>
      </c>
      <c r="B156" s="8" t="s">
        <v>73</v>
      </c>
      <c r="C156" s="38" t="n">
        <f aca="false">Seg!$C$96</f>
        <v>107.556</v>
      </c>
      <c r="D156" s="38" t="n">
        <f aca="false">Seg!$D$96</f>
        <v>128.725</v>
      </c>
      <c r="E156" s="38" t="n">
        <f aca="false">Seg!$E$96</f>
        <v>79.819</v>
      </c>
      <c r="F156" s="38" t="n">
        <f aca="false">Seg!$F$96</f>
        <v>92.7324277269991</v>
      </c>
      <c r="G156" s="38" t="n">
        <f aca="false">Seg!$G$96</f>
        <v>172.551427726999</v>
      </c>
      <c r="H156" s="38" t="n">
        <f aca="false">Seg!$H$96</f>
        <v>234.315850966005</v>
      </c>
      <c r="I156" s="38" t="n">
        <f aca="false">Seg!$I$96</f>
        <v>298.448143470312</v>
      </c>
      <c r="J156" s="38" t="n">
        <f aca="false">Seg!$J$96</f>
        <v>358.729046847807</v>
      </c>
      <c r="K156" s="38" t="n">
        <f aca="false">Seg!$K$96</f>
        <v>412.222329112395</v>
      </c>
      <c r="L156" s="38" t="n">
        <f aca="false">Seg!$L$96</f>
        <v>467.251736380559</v>
      </c>
      <c r="M156" s="38" t="n">
        <f aca="false">Seg!$M$96</f>
        <v>523.927610132494</v>
      </c>
      <c r="N156" s="38" t="n">
        <f aca="false">Seg!$N$96</f>
        <v>60.14</v>
      </c>
      <c r="O156" s="38" t="n">
        <f aca="false">Seg!$O$96</f>
        <v>68.585</v>
      </c>
    </row>
    <row r="157" customFormat="false" ht="17.15" hidden="false" customHeight="false" outlineLevel="0" collapsed="false">
      <c r="A157" s="0" t="s">
        <v>643</v>
      </c>
      <c r="B157" s="0" t="s">
        <v>73</v>
      </c>
      <c r="C157" s="38" t="n">
        <f aca="false">Seg!$C$94</f>
        <v>2.32100535697364</v>
      </c>
      <c r="D157" s="38" t="n">
        <f aca="false">Seg!$D$94</f>
        <v>8.70377008865116</v>
      </c>
      <c r="E157" s="38" t="n">
        <f aca="false">Seg!$E$94</f>
        <v>8.51035297557002</v>
      </c>
      <c r="F157" s="38" t="n">
        <f aca="false">Seg!$F$94</f>
        <v>14.1374173083338</v>
      </c>
      <c r="G157" s="38" t="n">
        <f aca="false">Seg!$G$94</f>
        <v>22.6477702839038</v>
      </c>
      <c r="H157" s="38" t="n">
        <f aca="false">Seg!$H$94</f>
        <v>53.4222901978634</v>
      </c>
      <c r="I157" s="38" t="n">
        <f aca="false">Seg!$I$94</f>
        <v>87.7997462553011</v>
      </c>
      <c r="J157" s="38" t="n">
        <f aca="false">Seg!$J$94</f>
        <v>122.330137401312</v>
      </c>
      <c r="K157" s="38" t="n">
        <f aca="false">Seg!$K$94</f>
        <v>156.911506910181</v>
      </c>
      <c r="L157" s="38" t="n">
        <f aca="false">Seg!$L$94</f>
        <v>191.516048402167</v>
      </c>
      <c r="M157" s="38" t="n">
        <f aca="false">Seg!$M$94</f>
        <v>226.133067115831</v>
      </c>
      <c r="N157" s="38" t="n">
        <f aca="false">Seg!$N$94</f>
        <v>3.04631953102791</v>
      </c>
      <c r="O157" s="38" t="n">
        <f aca="false">Seg!$O$94</f>
        <v>5.65745055762326</v>
      </c>
    </row>
    <row r="158" customFormat="false" ht="17.15" hidden="false" customHeight="false" outlineLevel="0" collapsed="false">
      <c r="A158" s="0" t="s">
        <v>645</v>
      </c>
      <c r="B158" s="0" t="s">
        <v>73</v>
      </c>
      <c r="C158" s="38" t="n">
        <f aca="false">Seg!$C$95</f>
        <v>105.234994643026</v>
      </c>
      <c r="D158" s="38" t="n">
        <f aca="false">Seg!$D$95</f>
        <v>120.021229911349</v>
      </c>
      <c r="E158" s="38" t="n">
        <f aca="false">Seg!$E$95</f>
        <v>71.30864702443</v>
      </c>
      <c r="F158" s="38" t="n">
        <f aca="false">Seg!$F$95</f>
        <v>78.5950104186653</v>
      </c>
      <c r="G158" s="38" t="n">
        <f aca="false">Seg!$G$95</f>
        <v>149.903657443095</v>
      </c>
      <c r="H158" s="38" t="n">
        <f aca="false">Seg!$H$95</f>
        <v>180.893560768142</v>
      </c>
      <c r="I158" s="38" t="n">
        <f aca="false">Seg!$I$95</f>
        <v>210.64839721501</v>
      </c>
      <c r="J158" s="38" t="n">
        <f aca="false">Seg!$J$95</f>
        <v>236.398909446495</v>
      </c>
      <c r="K158" s="38" t="n">
        <f aca="false">Seg!$K$95</f>
        <v>255.310822202215</v>
      </c>
      <c r="L158" s="38" t="n">
        <f aca="false">Seg!$L$95</f>
        <v>275.735687978392</v>
      </c>
      <c r="M158" s="38" t="n">
        <f aca="false">Seg!$M$95</f>
        <v>297.794543016663</v>
      </c>
      <c r="N158" s="38" t="n">
        <f aca="false">Seg!$N$95</f>
        <v>57.0936804689721</v>
      </c>
      <c r="O158" s="38" t="n">
        <f aca="false">Seg!$O$95</f>
        <v>62.9275494423768</v>
      </c>
    </row>
    <row r="159" customFormat="false" ht="15" hidden="false" customHeight="false" outlineLevel="0" collapsed="false">
      <c r="A159" s="3" t="s">
        <v>477</v>
      </c>
      <c r="B159" s="8" t="s">
        <v>73</v>
      </c>
      <c r="C159" s="38" t="n">
        <f aca="false">Seg!$C$97</f>
        <v>637.959</v>
      </c>
      <c r="D159" s="38" t="n">
        <f aca="false">Seg!$D$97</f>
        <v>716.924</v>
      </c>
      <c r="E159" s="38" t="n">
        <f aca="false">Seg!$E$97</f>
        <v>382.125</v>
      </c>
      <c r="F159" s="38" t="n">
        <f aca="false">Seg!$F$97</f>
        <v>449.668856935429</v>
      </c>
      <c r="G159" s="38" t="n">
        <f aca="false">Seg!$G$97</f>
        <v>831.793856935429</v>
      </c>
      <c r="H159" s="38" t="n">
        <f aca="false">Seg!$H$97</f>
        <v>964.251588587706</v>
      </c>
      <c r="I159" s="38" t="n">
        <f aca="false">Seg!$I$97</f>
        <v>1096.74371316818</v>
      </c>
      <c r="J159" s="38" t="n">
        <f aca="false">Seg!$J$97</f>
        <v>1220.46586917359</v>
      </c>
      <c r="K159" s="38" t="n">
        <f aca="false">Seg!$K$97</f>
        <v>1329.77982121432</v>
      </c>
      <c r="L159" s="38" t="n">
        <f aca="false">Seg!$L$97</f>
        <v>1444.53682612372</v>
      </c>
      <c r="M159" s="38" t="n">
        <f aca="false">Seg!$M$97</f>
        <v>1565.141628676</v>
      </c>
      <c r="N159" s="38" t="n">
        <f aca="false">Seg!$N$97</f>
        <v>323.369</v>
      </c>
      <c r="O159" s="38" t="n">
        <f aca="false">Seg!$O$97</f>
        <v>393.555</v>
      </c>
    </row>
    <row r="160" customFormat="false" ht="17.15" hidden="false" customHeight="false" outlineLevel="0" collapsed="false">
      <c r="A160" s="24" t="s">
        <v>659</v>
      </c>
      <c r="B160" s="25" t="s">
        <v>73</v>
      </c>
      <c r="C160" s="39" t="n">
        <f aca="false">PL!$C$147+PL!$C$148+PL!$C$149+PL!$C$150+PL!$C$151+PL!$C$152-(PL!$C$154+PL!$C$155)</f>
        <v>0</v>
      </c>
      <c r="D160" s="39" t="n">
        <f aca="false">PL!$D$147+PL!$D$148+PL!$D$149+PL!$D$150+PL!$D$151+PL!$D$152-(PL!$D$154+PL!$D$155)</f>
        <v>0</v>
      </c>
      <c r="E160" s="39" t="n">
        <f aca="false">PL!$E$147+PL!$E$148+PL!$E$149+PL!$E$150+PL!$E$151+PL!$E$152-(PL!$E$154+PL!$E$155)</f>
        <v>0</v>
      </c>
      <c r="F160" s="39" t="n">
        <f aca="false">PL!$F$147+PL!$F$148+PL!$F$149+PL!$F$150+PL!$F$151+PL!$F$152-(PL!$F$154+PL!$F$155)</f>
        <v>0</v>
      </c>
      <c r="G160" s="39" t="n">
        <f aca="false">PL!$G$147+PL!$G$148+PL!$G$149+PL!$G$150+PL!$G$151+PL!$G$152-(PL!$G$154+PL!$G$155)</f>
        <v>0</v>
      </c>
      <c r="H160" s="39" t="n">
        <f aca="false">PL!$H$147+PL!$H$148+PL!$H$149+PL!$H$150+PL!$H$151+PL!$H$152-(PL!$H$154+PL!$H$155)</f>
        <v>0</v>
      </c>
      <c r="I160" s="39" t="n">
        <f aca="false">PL!$I$147+PL!$I$148+PL!$I$149+PL!$I$150+PL!$I$151+PL!$I$152-(PL!$I$154+PL!$I$155)</f>
        <v>0</v>
      </c>
      <c r="J160" s="39" t="n">
        <f aca="false">PL!$J$147+PL!$J$148+PL!$J$149+PL!$J$150+PL!$J$151+PL!$J$152-(PL!$J$154+PL!$J$155)</f>
        <v>0</v>
      </c>
      <c r="K160" s="39" t="n">
        <f aca="false">PL!$K$147+PL!$K$148+PL!$K$149+PL!$K$150+PL!$K$151+PL!$K$152-(PL!$K$154+PL!$K$155)</f>
        <v>0</v>
      </c>
      <c r="L160" s="39" t="n">
        <f aca="false">PL!$L$147+PL!$L$148+PL!$L$149+PL!$L$150+PL!$L$151+PL!$L$152-(PL!$L$154+PL!$L$155)</f>
        <v>0</v>
      </c>
      <c r="M160" s="39" t="n">
        <f aca="false">PL!$M$147+PL!$M$148+PL!$M$149+PL!$M$150+PL!$M$151+PL!$M$152-(PL!$M$154+PL!$M$155)</f>
        <v>0</v>
      </c>
      <c r="N160" s="39" t="n">
        <f aca="false">PL!$N$147+PL!$N$148+PL!$N$149+PL!$N$150+PL!$N$151+PL!$N$152-(PL!$N$154+PL!$N$155)</f>
        <v>0</v>
      </c>
      <c r="O160" s="39" t="n">
        <f aca="false">PL!$O$147+PL!$O$148+PL!$O$149+PL!$O$150+PL!$O$151+PL!$O$152-(PL!$O$154+PL!$O$155)</f>
        <v>0</v>
      </c>
    </row>
    <row r="161" customFormat="false" ht="17.15" hidden="false" customHeight="false" outlineLevel="0" collapsed="false">
      <c r="A161" s="24" t="s">
        <v>660</v>
      </c>
      <c r="B161" s="25" t="s">
        <v>73</v>
      </c>
      <c r="C161" s="39" t="n">
        <f aca="false">PL!$C$157+PL!$C$158-PL!$C$156</f>
        <v>0</v>
      </c>
      <c r="D161" s="39" t="n">
        <f aca="false">PL!$D$157+PL!$D$158-PL!$D$156</f>
        <v>0</v>
      </c>
      <c r="E161" s="39" t="n">
        <f aca="false">PL!$E$157+PL!$E$158-PL!$E$156</f>
        <v>0</v>
      </c>
      <c r="F161" s="39" t="n">
        <f aca="false">PL!$F$157+PL!$F$158-PL!$F$156</f>
        <v>0</v>
      </c>
      <c r="G161" s="39" t="n">
        <f aca="false">PL!$G$157+PL!$G$158-PL!$G$156</f>
        <v>0</v>
      </c>
      <c r="H161" s="39" t="n">
        <f aca="false">PL!$H$157+PL!$H$158-PL!$H$156</f>
        <v>0</v>
      </c>
      <c r="I161" s="39" t="n">
        <f aca="false">PL!$I$157+PL!$I$158-PL!$I$156</f>
        <v>0</v>
      </c>
      <c r="J161" s="39" t="n">
        <f aca="false">PL!$J$157+PL!$J$158-PL!$J$156</f>
        <v>0</v>
      </c>
      <c r="K161" s="39" t="n">
        <f aca="false">PL!$K$157+PL!$K$158-PL!$K$156</f>
        <v>0</v>
      </c>
      <c r="L161" s="39" t="n">
        <f aca="false">PL!$L$157+PL!$L$158-PL!$L$156</f>
        <v>0</v>
      </c>
      <c r="M161" s="39" t="n">
        <f aca="false">PL!$M$157+PL!$M$158-PL!$M$156</f>
        <v>0</v>
      </c>
      <c r="N161" s="39" t="n">
        <f aca="false">PL!$N$157+PL!$N$158-PL!$N$156</f>
        <v>0</v>
      </c>
      <c r="O161" s="39" t="n">
        <f aca="false">PL!$O$157+PL!$O$158-PL!$O$156</f>
        <v>0</v>
      </c>
    </row>
    <row r="162" customFormat="false" ht="17.15" hidden="false" customHeight="false" outlineLevel="0" collapsed="false">
      <c r="A162" s="24" t="s">
        <v>713</v>
      </c>
      <c r="B162" s="25" t="s">
        <v>73</v>
      </c>
      <c r="C162" s="39" t="n">
        <f aca="false">PL!$C$147+PL!$C$148+PL!$C$149+PL!$C$150+PL!$C$151+PL!$C$152+PL!$C$153-PL!$C$159</f>
        <v>0</v>
      </c>
      <c r="D162" s="39" t="n">
        <f aca="false">PL!$D$147+PL!$D$148+PL!$D$149+PL!$D$150+PL!$D$151+PL!$D$152+PL!$D$153-PL!$D$159</f>
        <v>0</v>
      </c>
      <c r="E162" s="39" t="n">
        <f aca="false">PL!$E$147+PL!$E$148+PL!$E$149+PL!$E$150+PL!$E$151+PL!$E$152+PL!$E$153-PL!$E$159</f>
        <v>0</v>
      </c>
      <c r="F162" s="39" t="n">
        <f aca="false">PL!$F$147+PL!$F$148+PL!$F$149+PL!$F$150+PL!$F$151+PL!$F$152+PL!$F$153-PL!$F$159</f>
        <v>0</v>
      </c>
      <c r="G162" s="39" t="n">
        <f aca="false">PL!$G$147+PL!$G$148+PL!$G$149+PL!$G$150+PL!$G$151+PL!$G$152+PL!$G$153-PL!$G$159</f>
        <v>0</v>
      </c>
      <c r="H162" s="39" t="n">
        <f aca="false">PL!$H$147+PL!$H$148+PL!$H$149+PL!$H$150+PL!$H$151+PL!$H$152+PL!$H$153-PL!$H$159</f>
        <v>0</v>
      </c>
      <c r="I162" s="39" t="n">
        <f aca="false">PL!$I$147+PL!$I$148+PL!$I$149+PL!$I$150+PL!$I$151+PL!$I$152+PL!$I$153-PL!$I$159</f>
        <v>0</v>
      </c>
      <c r="J162" s="39" t="n">
        <f aca="false">PL!$J$147+PL!$J$148+PL!$J$149+PL!$J$150+PL!$J$151+PL!$J$152+PL!$J$153-PL!$J$159</f>
        <v>0</v>
      </c>
      <c r="K162" s="39" t="n">
        <f aca="false">PL!$K$147+PL!$K$148+PL!$K$149+PL!$K$150+PL!$K$151+PL!$K$152+PL!$K$153-PL!$K$159</f>
        <v>0</v>
      </c>
      <c r="L162" s="39" t="n">
        <f aca="false">PL!$L$147+PL!$L$148+PL!$L$149+PL!$L$150+PL!$L$151+PL!$L$152+PL!$L$153-PL!$L$159</f>
        <v>0</v>
      </c>
      <c r="M162" s="39" t="n">
        <f aca="false">PL!$M$147+PL!$M$148+PL!$M$149+PL!$M$150+PL!$M$151+PL!$M$152+PL!$M$153-PL!$M$159</f>
        <v>0</v>
      </c>
      <c r="N162" s="39" t="n">
        <f aca="false">PL!$N$147+PL!$N$148+PL!$N$149+PL!$N$150+PL!$N$151+PL!$N$152+PL!$N$153-PL!$N$159</f>
        <v>0</v>
      </c>
      <c r="O162" s="39" t="n">
        <f aca="false">PL!$O$147+PL!$O$148+PL!$O$149+PL!$O$150+PL!$O$151+PL!$O$152+PL!$O$153-PL!$O$159</f>
        <v>0</v>
      </c>
    </row>
    <row r="163" customFormat="false" ht="17.15" hidden="false" customHeight="false" outlineLevel="0" collapsed="false">
      <c r="A163" s="24" t="s">
        <v>661</v>
      </c>
      <c r="B163" s="25" t="s">
        <v>73</v>
      </c>
      <c r="C163" s="39" t="n">
        <f aca="false">PL!$C$154+PL!$C$155+PL!$C$156-PL!$C$159</f>
        <v>0</v>
      </c>
      <c r="D163" s="39" t="n">
        <f aca="false">PL!$D$154+PL!$D$155+PL!$D$156-PL!$D$159</f>
        <v>0</v>
      </c>
      <c r="E163" s="39" t="n">
        <f aca="false">PL!$E$154+PL!$E$155+PL!$E$156-PL!$E$159</f>
        <v>0</v>
      </c>
      <c r="F163" s="39" t="n">
        <f aca="false">PL!$F$154+PL!$F$155+PL!$F$156-PL!$F$159</f>
        <v>0</v>
      </c>
      <c r="G163" s="39" t="n">
        <f aca="false">PL!$G$154+PL!$G$155+PL!$G$156-PL!$G$159</f>
        <v>0</v>
      </c>
      <c r="H163" s="39" t="n">
        <f aca="false">PL!$H$154+PL!$H$155+PL!$H$156-PL!$H$159</f>
        <v>0</v>
      </c>
      <c r="I163" s="39" t="n">
        <f aca="false">PL!$I$154+PL!$I$155+PL!$I$156-PL!$I$159</f>
        <v>0</v>
      </c>
      <c r="J163" s="39" t="n">
        <f aca="false">PL!$J$154+PL!$J$155+PL!$J$156-PL!$J$159</f>
        <v>0</v>
      </c>
      <c r="K163" s="39" t="n">
        <f aca="false">PL!$K$154+PL!$K$155+PL!$K$156-PL!$K$159</f>
        <v>0</v>
      </c>
      <c r="L163" s="39" t="n">
        <f aca="false">PL!$L$154+PL!$L$155+PL!$L$156-PL!$L$159</f>
        <v>0</v>
      </c>
      <c r="M163" s="39" t="n">
        <f aca="false">PL!$M$154+PL!$M$155+PL!$M$156-PL!$M$159</f>
        <v>0</v>
      </c>
      <c r="N163" s="39" t="n">
        <f aca="false">PL!$N$154+PL!$N$155+PL!$N$156-PL!$N$159</f>
        <v>0</v>
      </c>
      <c r="O163" s="39" t="n">
        <f aca="false">PL!$O$154+PL!$O$155+PL!$O$156-PL!$O$159</f>
        <v>0</v>
      </c>
    </row>
    <row r="164" customFormat="false" ht="17.15" hidden="false" customHeight="false" outlineLevel="0" collapsed="false">
      <c r="A164" s="1" t="s">
        <v>671</v>
      </c>
    </row>
    <row r="165" customFormat="false" ht="17.15" hidden="false" customHeight="false" outlineLevel="0" collapsed="false">
      <c r="A165" s="0" t="s">
        <v>672</v>
      </c>
      <c r="B165" s="0" t="s">
        <v>73</v>
      </c>
      <c r="C165" s="38" t="n">
        <f aca="false">Seg!$C$91*m_ad</f>
        <v>20.5341564414228</v>
      </c>
      <c r="D165" s="38" t="n">
        <f aca="false">Seg!$D$91*m_ad</f>
        <v>24.8720617299587</v>
      </c>
      <c r="E165" s="38" t="n">
        <f aca="false">Seg!$E$91*m_ad</f>
        <v>13.5017112462207</v>
      </c>
      <c r="F165" s="38" t="n">
        <f aca="false">Seg!$F$91*m_ad</f>
        <v>17.2886442824599</v>
      </c>
      <c r="G165" s="38" t="n">
        <f aca="false">Seg!$G$91*m_ad</f>
        <v>30.8011958765886</v>
      </c>
      <c r="H165" s="38" t="n">
        <f aca="false">Seg!$H$91*m_ad</f>
        <v>36.978409366026</v>
      </c>
      <c r="I165" s="38" t="n">
        <f aca="false">Seg!$I$91*m_ad</f>
        <v>43.155063281273</v>
      </c>
      <c r="J165" s="38" t="n">
        <f aca="false">Seg!$J$91*m_ad</f>
        <v>48.9169991988532</v>
      </c>
      <c r="K165" s="38" t="n">
        <f aca="false">Seg!$K$91*m_ad</f>
        <v>53.8086991187386</v>
      </c>
      <c r="L165" s="38" t="n">
        <f aca="false">Seg!$L$91*m_ad</f>
        <v>59.1895690306124</v>
      </c>
      <c r="M165" s="38" t="n">
        <f aca="false">Seg!$M$91*m_ad</f>
        <v>65.1085259336737</v>
      </c>
      <c r="N165" s="38" t="n">
        <f aca="false">Seg!$N$91*m_ad</f>
        <v>10.8543555706248</v>
      </c>
      <c r="O165" s="38" t="n">
        <f aca="false">Seg!$O$91*m_ad</f>
        <v>14.0094731821399</v>
      </c>
    </row>
    <row r="166" customFormat="false" ht="17.15" hidden="false" customHeight="false" outlineLevel="0" collapsed="false">
      <c r="A166" s="0" t="s">
        <v>673</v>
      </c>
      <c r="B166" s="0" t="s">
        <v>73</v>
      </c>
      <c r="C166" s="38" t="n">
        <f aca="false">Seg!$C$89-Seg!$C$91</f>
        <v>346.428687117154</v>
      </c>
      <c r="D166" s="38" t="n">
        <f aca="false">Seg!$D$89-Seg!$D$91</f>
        <v>376.560876540083</v>
      </c>
      <c r="E166" s="38" t="n">
        <f aca="false">Seg!$E$89-Seg!$E$91</f>
        <v>193.316577507559</v>
      </c>
      <c r="F166" s="38" t="n">
        <f aca="false">Seg!$F$89-Seg!$F$91</f>
        <v>221.726726438887</v>
      </c>
      <c r="G166" s="38" t="n">
        <f aca="false">Seg!$G$89-Seg!$G$91</f>
        <v>415.02162325063</v>
      </c>
      <c r="H166" s="38" t="n">
        <f aca="false">Seg!$H$89-Seg!$H$91</f>
        <v>453.777572359491</v>
      </c>
      <c r="I166" s="38" t="n">
        <f aca="false">Seg!$I$89-Seg!$I$91</f>
        <v>490.847566467031</v>
      </c>
      <c r="J166" s="38" t="n">
        <f aca="false">Seg!$J$89-Seg!$J$91</f>
        <v>525.190925266121</v>
      </c>
      <c r="K166" s="38" t="n">
        <f aca="false">Seg!$K$89-Seg!$K$91</f>
        <v>555.765170156304</v>
      </c>
      <c r="L166" s="38" t="n">
        <f aca="false">Seg!$L$89-Seg!$L$91</f>
        <v>588.185734949207</v>
      </c>
      <c r="M166" s="38" t="n">
        <f aca="false">Seg!$M$89-Seg!$M$91</f>
        <v>622.567635538672</v>
      </c>
      <c r="N166" s="38" t="n">
        <f aca="false">Seg!$N$89-Seg!$N$91</f>
        <v>171.24628885875</v>
      </c>
      <c r="O166" s="38" t="n">
        <f aca="false">Seg!$O$89-Seg!$O$91</f>
        <v>205.33105363572</v>
      </c>
    </row>
    <row r="167" customFormat="false" ht="17.15" hidden="false" customHeight="false" outlineLevel="0" collapsed="false">
      <c r="A167" s="0" t="s">
        <v>674</v>
      </c>
      <c r="B167" s="0" t="s">
        <v>73</v>
      </c>
      <c r="C167" s="38" t="n">
        <f aca="false">Thesis!$C$159*Seg!$C$88</f>
        <v>0.123617442257179</v>
      </c>
      <c r="D167" s="38" t="n">
        <f aca="false">Thesis!$D$159*Seg!$D$88</f>
        <v>0.874366899302609</v>
      </c>
      <c r="E167" s="38" t="n">
        <f aca="false">Thesis!$E$159*Seg!$E$88</f>
        <v>1.29318830502574</v>
      </c>
      <c r="F167" s="38" t="n">
        <f aca="false">Thesis!$F$159*Seg!$F$88</f>
        <v>1.51802024162534</v>
      </c>
      <c r="G167" s="38" t="n">
        <f aca="false">Thesis!$G$159*Seg!$G$88</f>
        <v>2.81130189308167</v>
      </c>
      <c r="H167" s="38" t="n">
        <f aca="false">Thesis!$H$159*Seg!$H$88</f>
        <v>7.38966789318209</v>
      </c>
      <c r="I167" s="38" t="n">
        <f aca="false">Thesis!$I$159*Seg!$I$88</f>
        <v>12.8987443661473</v>
      </c>
      <c r="J167" s="38" t="n">
        <f aca="false">Thesis!$J$159*Seg!$J$88</f>
        <v>18.5570025453645</v>
      </c>
      <c r="K167" s="38" t="n">
        <f aca="false">Thesis!$K$159*Seg!$K$88</f>
        <v>24.3158972773405</v>
      </c>
      <c r="L167" s="38" t="n">
        <f aca="false">Thesis!$L$159*Seg!$L$88</f>
        <v>29.7827375558674</v>
      </c>
      <c r="M167" s="38" t="n">
        <f aca="false">Thesis!$M$159*Seg!$M$88</f>
        <v>35.3532344973194</v>
      </c>
      <c r="N167" s="38" t="n">
        <f aca="false">Thesis!$N$159*Seg!$N$88</f>
        <v>0.389180508437431</v>
      </c>
      <c r="O167" s="38" t="n">
        <f aca="false">Thesis!$O$159*Seg!$O$88</f>
        <v>0.485052120082802</v>
      </c>
    </row>
    <row r="168" customFormat="false" ht="17.15" hidden="false" customHeight="false" outlineLevel="0" collapsed="false">
      <c r="A168" s="0" t="s">
        <v>675</v>
      </c>
      <c r="B168" s="0" t="s">
        <v>52</v>
      </c>
      <c r="C168" s="28" t="n">
        <f aca="false">(PL!$C$169-PL!$C$165+PL!$C$167)/PL!$C$166</f>
        <v>0.0131526665379575</v>
      </c>
      <c r="D168" s="28" t="n">
        <f aca="false">(PL!$D$169-PL!$D$165+PL!$D$167)/PL!$D$166</f>
        <v>0.0149280116962589</v>
      </c>
      <c r="E168" s="28" t="n">
        <f aca="false">(PL!$E$169-PL!$E$165+PL!$E$167)/PL!$E$166</f>
        <v>0.0268030663774938</v>
      </c>
      <c r="F168" s="28" t="n">
        <f aca="false">PL!$O$168+(PL!$E$168-PL!$N$168)</f>
        <v>0.0232379346966962</v>
      </c>
      <c r="G168" s="28" t="n">
        <f aca="false">(PL!$G$169-PL!$G$165+PL!$G$167)/PL!$G$166</f>
        <v>0.0248738876928168</v>
      </c>
      <c r="H168" s="28" t="n">
        <f aca="false">PL!$G$168+step_na</f>
        <v>0.0278738876928168</v>
      </c>
      <c r="I168" s="28" t="n">
        <f aca="false">PL!$H$168+step_na</f>
        <v>0.0308738876928168</v>
      </c>
      <c r="J168" s="28" t="n">
        <f aca="false">PL!$I$168+step_na</f>
        <v>0.0338738876928168</v>
      </c>
      <c r="K168" s="28" t="n">
        <f aca="false">PL!$J$168+step_na</f>
        <v>0.0368738876928168</v>
      </c>
      <c r="L168" s="28" t="n">
        <f aca="false">PL!$K$168</f>
        <v>0.0368738876928168</v>
      </c>
      <c r="M168" s="28" t="n">
        <f aca="false">PL!$L$168</f>
        <v>0.0368738876928168</v>
      </c>
      <c r="N168" s="28" t="n">
        <f aca="false">(PL!$N$169-PL!$N$165+PL!$N$167)/PL!$N$166</f>
        <v>0.0168927744775755</v>
      </c>
      <c r="O168" s="28" t="n">
        <f aca="false">(PL!$O$169-PL!$O$165+PL!$O$167)/PL!$O$166</f>
        <v>0.0133276427967779</v>
      </c>
      <c r="P168" s="8" t="s">
        <v>676</v>
      </c>
    </row>
    <row r="169" customFormat="false" ht="17.15" hidden="false" customHeight="false" outlineLevel="0" collapsed="false">
      <c r="A169" s="1" t="s">
        <v>677</v>
      </c>
      <c r="B169" s="8" t="s">
        <v>73</v>
      </c>
      <c r="C169" s="38" t="n">
        <f aca="false">Q!$D$22</f>
        <v>24.967</v>
      </c>
      <c r="D169" s="38" t="n">
        <f aca="false">Q!$E$22</f>
        <v>29.619</v>
      </c>
      <c r="E169" s="38" t="n">
        <f aca="false">Q!$P$22</f>
        <v>17.39</v>
      </c>
      <c r="F169" s="38" t="n">
        <f aca="false">PL!$F$165+PL!$F$166*PL!$F$168-PL!$F$167</f>
        <v>20.9230952303336</v>
      </c>
      <c r="G169" s="38" t="n">
        <f aca="false">PL!$E$169+PL!$F$169</f>
        <v>38.3130952303336</v>
      </c>
      <c r="H169" s="38" t="n">
        <f aca="false">PL!$H$165+PL!$H$166*PL!$H$168-PL!$H$167</f>
        <v>42.2372865623114</v>
      </c>
      <c r="I169" s="38" t="n">
        <f aca="false">PL!$I$165+PL!$I$166*PL!$I$168-PL!$I$167</f>
        <v>45.4106915565213</v>
      </c>
      <c r="J169" s="38" t="n">
        <f aca="false">PL!$J$165+PL!$J$166*PL!$J$168-PL!$J$167</f>
        <v>48.1502550732398</v>
      </c>
      <c r="K169" s="38" t="n">
        <f aca="false">PL!$K$165+PL!$K$166*PL!$K$168-PL!$K$167</f>
        <v>49.9860243093208</v>
      </c>
      <c r="L169" s="38" t="n">
        <f aca="false">PL!$L$165+PL!$L$166*PL!$L$168-PL!$L$167</f>
        <v>51.095526207779</v>
      </c>
      <c r="M169" s="38" t="n">
        <f aca="false">PL!$M$165+PL!$M$166*PL!$M$168-PL!$M$167</f>
        <v>52.7117805103898</v>
      </c>
      <c r="N169" s="38" t="n">
        <f aca="false">Q!$N$22</f>
        <v>13.358</v>
      </c>
      <c r="O169" s="38" t="n">
        <f aca="false">Q!$O$22</f>
        <v>16.261</v>
      </c>
    </row>
    <row r="170" customFormat="false" ht="17.15" hidden="false" customHeight="false" outlineLevel="0" collapsed="false">
      <c r="A170" s="0" t="s">
        <v>678</v>
      </c>
      <c r="B170" s="0" t="s">
        <v>73</v>
      </c>
      <c r="C170" s="38" t="n">
        <f aca="false">Seg!$C$92*m_ad</f>
        <v>7.57284355857716</v>
      </c>
      <c r="D170" s="38" t="n">
        <f aca="false">Seg!$D$92*m_ad</f>
        <v>9.44543827004127</v>
      </c>
      <c r="E170" s="38" t="n">
        <f aca="false">Seg!$E$92*m_ad</f>
        <v>5.02428875377928</v>
      </c>
      <c r="F170" s="38" t="n">
        <f aca="false">Seg!$F$92*m_ad</f>
        <v>6.78802480890925</v>
      </c>
      <c r="G170" s="38" t="n">
        <f aca="false">Seg!$G$92*m_ad</f>
        <v>11.8014732147805</v>
      </c>
      <c r="H170" s="38" t="n">
        <f aca="false">Seg!$H$92*m_ad</f>
        <v>14.1682715634442</v>
      </c>
      <c r="I170" s="38" t="n">
        <f aca="false">Seg!$I$92*m_ad</f>
        <v>16.5348555113474</v>
      </c>
      <c r="J170" s="38" t="n">
        <f aca="false">Seg!$J$92*m_ad</f>
        <v>18.7425403255689</v>
      </c>
      <c r="K170" s="38" t="n">
        <f aca="false">Seg!$K$92*m_ad</f>
        <v>20.6167943581258</v>
      </c>
      <c r="L170" s="38" t="n">
        <f aca="false">Seg!$L$92*m_ad</f>
        <v>22.6784737939383</v>
      </c>
      <c r="M170" s="38" t="n">
        <f aca="false">Seg!$M$92*m_ad</f>
        <v>24.9463211733322</v>
      </c>
      <c r="N170" s="38" t="n">
        <f aca="false">Seg!$N$92*m_ad</f>
        <v>3.95314442937518</v>
      </c>
      <c r="O170" s="38" t="n">
        <f aca="false">Seg!$O$92*m_ad</f>
        <v>5.50052681786011</v>
      </c>
    </row>
    <row r="171" customFormat="false" ht="17.15" hidden="false" customHeight="false" outlineLevel="0" collapsed="false">
      <c r="A171" s="0" t="s">
        <v>679</v>
      </c>
      <c r="B171" s="0" t="s">
        <v>73</v>
      </c>
      <c r="C171" s="38" t="n">
        <f aca="false">Seg!$C$90-Seg!$C$92</f>
        <v>127.760312882846</v>
      </c>
      <c r="D171" s="38" t="n">
        <f aca="false">Seg!$D$90-Seg!$D$92</f>
        <v>143.003123459917</v>
      </c>
      <c r="E171" s="38" t="n">
        <f aca="false">Seg!$E$90-Seg!$E$92</f>
        <v>71.9374224924414</v>
      </c>
      <c r="F171" s="38" t="n">
        <f aca="false">Seg!$F$90-Seg!$F$92</f>
        <v>87.0563645868046</v>
      </c>
      <c r="G171" s="38" t="n">
        <f aca="false">Seg!$G$90-Seg!$G$92</f>
        <v>159.015467775062</v>
      </c>
      <c r="H171" s="38" t="n">
        <f aca="false">Seg!$H$90-Seg!$H$92</f>
        <v>173.864803403269</v>
      </c>
      <c r="I171" s="38" t="n">
        <f aca="false">Seg!$I$90-Seg!$I$92</f>
        <v>188.068165645601</v>
      </c>
      <c r="J171" s="38" t="n">
        <f aca="false">Seg!$J$90-Seg!$J$92</f>
        <v>201.22681801082</v>
      </c>
      <c r="K171" s="38" t="n">
        <f aca="false">Seg!$K$90-Seg!$K$92</f>
        <v>212.941334991893</v>
      </c>
      <c r="L171" s="38" t="n">
        <f aca="false">Seg!$L$90-Seg!$L$92</f>
        <v>225.363269144856</v>
      </c>
      <c r="M171" s="38" t="n">
        <f aca="false">Seg!$M$90-Seg!$M$92</f>
        <v>238.536688790819</v>
      </c>
      <c r="N171" s="38" t="n">
        <f aca="false">Seg!$N$90-Seg!$N$92</f>
        <v>62.3677111412496</v>
      </c>
      <c r="O171" s="38" t="n">
        <f aca="false">Seg!$O$90-Seg!$O$92</f>
        <v>80.6189463642798</v>
      </c>
    </row>
    <row r="172" customFormat="false" ht="17.15" hidden="false" customHeight="false" outlineLevel="0" collapsed="false">
      <c r="A172" s="0" t="s">
        <v>680</v>
      </c>
      <c r="B172" s="0" t="s">
        <v>73</v>
      </c>
      <c r="C172" s="38" t="n">
        <f aca="false">Thesis!$C$159*(1-Seg!$C$88)</f>
        <v>0.0455891896019953</v>
      </c>
      <c r="D172" s="38" t="n">
        <f aca="false">Thesis!$D$159*(1-Seg!$D$88)</f>
        <v>0.332050421167231</v>
      </c>
      <c r="E172" s="38" t="n">
        <f aca="false">Thesis!$E$159*(1-Seg!$E$88)</f>
        <v>0.481224293644882</v>
      </c>
      <c r="F172" s="38" t="n">
        <f aca="false">Thesis!$F$159*(1-Seg!$F$88)</f>
        <v>0.596018918096053</v>
      </c>
      <c r="G172" s="38" t="n">
        <f aca="false">Thesis!$G$159*(1-Seg!$G$88)</f>
        <v>1.07714986531035</v>
      </c>
      <c r="H172" s="38" t="n">
        <f aca="false">Thesis!$H$159*(1-Seg!$H$88)</f>
        <v>2.83135005721638</v>
      </c>
      <c r="I172" s="38" t="n">
        <f aca="false">Thesis!$I$159*(1-Seg!$I$88)</f>
        <v>4.9421518161602</v>
      </c>
      <c r="J172" s="38" t="n">
        <f aca="false">Thesis!$J$159*(1-Seg!$J$88)</f>
        <v>7.11011252170866</v>
      </c>
      <c r="K172" s="38" t="n">
        <f aca="false">Thesis!$K$159*(1-Seg!$K$88)</f>
        <v>9.31663210615807</v>
      </c>
      <c r="L172" s="38" t="n">
        <f aca="false">Thesis!$L$159*(1-Seg!$L$88)</f>
        <v>11.411251074039</v>
      </c>
      <c r="M172" s="38" t="n">
        <f aca="false">Thesis!$M$159*(1-Seg!$M$88)</f>
        <v>13.5455860755423</v>
      </c>
      <c r="N172" s="38" t="n">
        <f aca="false">Thesis!$N$159*(1-Seg!$N$88)</f>
        <v>0.141739115596548</v>
      </c>
      <c r="O172" s="38" t="n">
        <f aca="false">Thesis!$O$159*(1-Seg!$O$88)</f>
        <v>0.190445576353059</v>
      </c>
    </row>
    <row r="173" customFormat="false" ht="17.15" hidden="false" customHeight="false" outlineLevel="0" collapsed="false">
      <c r="A173" s="0" t="s">
        <v>681</v>
      </c>
      <c r="B173" s="0" t="s">
        <v>52</v>
      </c>
      <c r="C173" s="28" t="n">
        <f aca="false">(PL!$C$174-PL!$C$170+PL!$C$172)/PL!$C$171</f>
        <v>-0.0292364215826579</v>
      </c>
      <c r="D173" s="28" t="n">
        <f aca="false">(PL!$D$174-PL!$D$170+PL!$D$172)/PL!$D$171</f>
        <v>-0.0305125352740778</v>
      </c>
      <c r="E173" s="28" t="n">
        <f aca="false">(PL!$E$174-PL!$E$170+PL!$E$172)/PL!$E$171</f>
        <v>-0.019490056934994</v>
      </c>
      <c r="F173" s="28" t="n">
        <f aca="false">PL!$O$173+(PL!$E$173-PL!$N$173)</f>
        <v>-0.0367332293992226</v>
      </c>
      <c r="G173" s="28" t="n">
        <f aca="false">(PL!$G$174-PL!$G$170+PL!$G$172)/PL!$G$171</f>
        <v>-0.0288599526442178</v>
      </c>
      <c r="H173" s="28" t="n">
        <f aca="false">PL!$G$173+step_in</f>
        <v>-0.0288599526442178</v>
      </c>
      <c r="I173" s="28" t="n">
        <f aca="false">PL!$H$173+step_in</f>
        <v>-0.0288599526442178</v>
      </c>
      <c r="J173" s="28" t="n">
        <f aca="false">PL!$I$173+step_in</f>
        <v>-0.0288599526442178</v>
      </c>
      <c r="K173" s="28" t="n">
        <f aca="false">PL!$J$173+step_in</f>
        <v>-0.0288599526442178</v>
      </c>
      <c r="L173" s="28" t="n">
        <f aca="false">PL!$K$173</f>
        <v>-0.0288599526442178</v>
      </c>
      <c r="M173" s="28" t="n">
        <f aca="false">PL!$L$173</f>
        <v>-0.0288599526442178</v>
      </c>
      <c r="N173" s="28" t="n">
        <f aca="false">(PL!$N$174-PL!$N$170+PL!$N$172)/PL!$N$171</f>
        <v>-0.02085061789158</v>
      </c>
      <c r="O173" s="28" t="n">
        <f aca="false">(PL!$O$174-PL!$O$170+PL!$O$172)/PL!$O$171</f>
        <v>-0.0380937903558086</v>
      </c>
      <c r="P173" s="8" t="s">
        <v>676</v>
      </c>
    </row>
    <row r="174" customFormat="false" ht="17.15" hidden="false" customHeight="false" outlineLevel="0" collapsed="false">
      <c r="A174" s="1" t="s">
        <v>682</v>
      </c>
      <c r="B174" s="8" t="s">
        <v>73</v>
      </c>
      <c r="C174" s="38" t="n">
        <f aca="false">Q!$D$23</f>
        <v>3.792</v>
      </c>
      <c r="D174" s="38" t="n">
        <f aca="false">Q!$E$23</f>
        <v>4.75</v>
      </c>
      <c r="E174" s="38" t="n">
        <f aca="false">Q!$P$23</f>
        <v>3.141</v>
      </c>
      <c r="F174" s="38" t="n">
        <f aca="false">PL!$F$170+PL!$F$171*PL!$F$173-PL!$F$172</f>
        <v>2.99414447978375</v>
      </c>
      <c r="G174" s="38" t="n">
        <f aca="false">PL!$E$174+PL!$F$174</f>
        <v>6.13514447978375</v>
      </c>
      <c r="H174" s="38" t="n">
        <f aca="false">PL!$H$170+PL!$H$171*PL!$H$173-PL!$H$172</f>
        <v>6.31919151351322</v>
      </c>
      <c r="I174" s="38" t="n">
        <f aca="false">PL!$I$170+PL!$I$171*PL!$I$173-PL!$I$172</f>
        <v>6.16506534077027</v>
      </c>
      <c r="J174" s="38" t="n">
        <f aca="false">PL!$J$170+PL!$J$171*PL!$J$173-PL!$J$172</f>
        <v>5.8250313653213</v>
      </c>
      <c r="K174" s="38" t="n">
        <f aca="false">PL!$K$170+PL!$K$171*PL!$K$173-PL!$K$172</f>
        <v>5.15468540810514</v>
      </c>
      <c r="L174" s="38" t="n">
        <f aca="false">PL!$L$170+PL!$L$171*PL!$L$173-PL!$L$172</f>
        <v>4.76324944463266</v>
      </c>
      <c r="M174" s="38" t="n">
        <f aca="false">PL!$M$170+PL!$M$171*PL!$M$173-PL!$M$172</f>
        <v>4.51657755537829</v>
      </c>
      <c r="N174" s="38" t="n">
        <f aca="false">Q!$N$23</f>
        <v>2.511</v>
      </c>
      <c r="O174" s="38" t="n">
        <f aca="false">Q!$O$23</f>
        <v>2.239</v>
      </c>
    </row>
    <row r="175" customFormat="false" ht="17.15" hidden="false" customHeight="false" outlineLevel="0" collapsed="false">
      <c r="A175" s="0" t="s">
        <v>683</v>
      </c>
      <c r="B175" s="0" t="s">
        <v>73</v>
      </c>
      <c r="C175" s="38" t="n">
        <f aca="false">Thesis!$C$156</f>
        <v>1.64417882953695</v>
      </c>
      <c r="D175" s="38" t="n">
        <f aca="false">Thesis!$D$156</f>
        <v>3.8781008067718</v>
      </c>
      <c r="E175" s="38" t="n">
        <f aca="false">Thesis!$E$156</f>
        <v>1.41270258088753</v>
      </c>
      <c r="F175" s="38" t="n">
        <f aca="false">Thesis!$F$156</f>
        <v>5.68126066944818</v>
      </c>
      <c r="G175" s="38" t="n">
        <f aca="false">Thesis!$G$156</f>
        <v>7.09396325033571</v>
      </c>
      <c r="H175" s="38" t="n">
        <f aca="false">Thesis!$H$156</f>
        <v>12.5382183962694</v>
      </c>
      <c r="I175" s="38" t="n">
        <f aca="false">Thesis!$I$156</f>
        <v>16.4361615260712</v>
      </c>
      <c r="J175" s="38" t="n">
        <f aca="false">Thesis!$J$156</f>
        <v>19.6616771330194</v>
      </c>
      <c r="K175" s="38" t="n">
        <f aca="false">Thesis!$K$156</f>
        <v>22.3813893761866</v>
      </c>
      <c r="L175" s="38" t="n">
        <f aca="false">Thesis!$L$156</f>
        <v>26.740093882541</v>
      </c>
      <c r="M175" s="38" t="n">
        <f aca="false">Thesis!$M$156</f>
        <v>30.5377848243843</v>
      </c>
      <c r="N175" s="38" t="n">
        <f aca="false">Thesis!$N$156</f>
        <v>0.92264103489199</v>
      </c>
      <c r="O175" s="38" t="n">
        <f aca="false">Thesis!$O$156</f>
        <v>2.95545977187981</v>
      </c>
    </row>
    <row r="176" customFormat="false" ht="17.15" hidden="false" customHeight="false" outlineLevel="0" collapsed="false">
      <c r="A176" s="0" t="s">
        <v>603</v>
      </c>
      <c r="B176" s="0" t="s">
        <v>73</v>
      </c>
      <c r="C176" s="38" t="n">
        <f aca="false">Thesis!$C$161</f>
        <v>38.1898211704631</v>
      </c>
      <c r="D176" s="38" t="n">
        <f aca="false">Thesis!$D$161</f>
        <v>41.7278991932282</v>
      </c>
      <c r="E176" s="38" t="n">
        <f aca="false">Thesis!$E$161</f>
        <v>29.3692974191125</v>
      </c>
      <c r="F176" s="38" t="n">
        <f aca="false">Thesis!$F$161</f>
        <v>29.458060516894</v>
      </c>
      <c r="G176" s="38" t="n">
        <f aca="false">Thesis!$G$161</f>
        <v>58.8273579360065</v>
      </c>
      <c r="H176" s="38" t="n">
        <f aca="false">Thesis!$H$161</f>
        <v>67.8004040185081</v>
      </c>
      <c r="I176" s="38" t="n">
        <f aca="false">Thesis!$I$161</f>
        <v>78.9527630302702</v>
      </c>
      <c r="J176" s="38" t="n">
        <f aca="false">Thesis!$J$161</f>
        <v>88.6042681781841</v>
      </c>
      <c r="K176" s="38" t="n">
        <f aca="false">Thesis!$K$161</f>
        <v>95.6926096324389</v>
      </c>
      <c r="L176" s="38" t="n">
        <f aca="false">Thesis!$L$161</f>
        <v>103.348018403034</v>
      </c>
      <c r="M176" s="38" t="n">
        <f aca="false">Thesis!$M$161</f>
        <v>111.615859875277</v>
      </c>
      <c r="N176" s="38" t="n">
        <f aca="false">Thesis!$N$161</f>
        <v>20.784358965108</v>
      </c>
      <c r="O176" s="38" t="n">
        <f aca="false">Thesis!$O$161</f>
        <v>20.9435402281202</v>
      </c>
    </row>
    <row r="177" customFormat="false" ht="17.15" hidden="false" customHeight="false" outlineLevel="0" collapsed="false">
      <c r="A177" s="1" t="s">
        <v>684</v>
      </c>
      <c r="B177" s="8" t="s">
        <v>73</v>
      </c>
      <c r="C177" s="38" t="n">
        <f aca="false">Q!$D$24</f>
        <v>39.834</v>
      </c>
      <c r="D177" s="38" t="n">
        <f aca="false">Q!$E$24</f>
        <v>45.606</v>
      </c>
      <c r="E177" s="38" t="n">
        <f aca="false">Q!$P$24</f>
        <v>30.782</v>
      </c>
      <c r="F177" s="38" t="n">
        <f aca="false">PL!$F$175+PL!$F$176</f>
        <v>35.1393211863422</v>
      </c>
      <c r="G177" s="38" t="n">
        <f aca="false">PL!$G$175+PL!$G$176</f>
        <v>65.9213211863422</v>
      </c>
      <c r="H177" s="38" t="n">
        <f aca="false">PL!$H$175+PL!$H$176</f>
        <v>80.3386224147775</v>
      </c>
      <c r="I177" s="38" t="n">
        <f aca="false">PL!$I$175+PL!$I$176</f>
        <v>95.3889245563414</v>
      </c>
      <c r="J177" s="38" t="n">
        <f aca="false">PL!$J$175+PL!$J$176</f>
        <v>108.265945311203</v>
      </c>
      <c r="K177" s="38" t="n">
        <f aca="false">PL!$K$175+PL!$K$176</f>
        <v>118.073999008625</v>
      </c>
      <c r="L177" s="38" t="n">
        <f aca="false">PL!$L$175+PL!$L$176</f>
        <v>130.088112285575</v>
      </c>
      <c r="M177" s="38" t="n">
        <f aca="false">PL!$M$175+PL!$M$176</f>
        <v>142.153644699661</v>
      </c>
      <c r="N177" s="38" t="n">
        <f aca="false">Q!$N$24</f>
        <v>21.707</v>
      </c>
      <c r="O177" s="38" t="n">
        <f aca="false">Q!$O$24</f>
        <v>23.899</v>
      </c>
    </row>
    <row r="178" customFormat="false" ht="17.15" hidden="false" customHeight="false" outlineLevel="0" collapsed="false">
      <c r="A178" s="5" t="s">
        <v>685</v>
      </c>
      <c r="B178" s="0" t="s">
        <v>73</v>
      </c>
      <c r="C178" s="38" t="n">
        <f aca="false">Q!$D$26</f>
        <v>0</v>
      </c>
      <c r="D178" s="38" t="n">
        <f aca="false">Q!$E$26</f>
        <v>0</v>
      </c>
      <c r="E178" s="38" t="n">
        <f aca="false">Q!$P$26</f>
        <v>0</v>
      </c>
      <c r="F178" s="41" t="n">
        <v>0</v>
      </c>
      <c r="G178" s="38" t="n">
        <f aca="false">PL!$E$178+PL!$F$178</f>
        <v>0</v>
      </c>
      <c r="H178" s="41" t="n">
        <v>0</v>
      </c>
      <c r="I178" s="41" t="n">
        <v>0</v>
      </c>
      <c r="J178" s="41" t="n">
        <v>0</v>
      </c>
      <c r="K178" s="41" t="n">
        <v>0</v>
      </c>
      <c r="L178" s="41" t="n">
        <v>0</v>
      </c>
      <c r="M178" s="41" t="n">
        <v>0</v>
      </c>
      <c r="N178" s="38" t="n">
        <f aca="false">Q!$N$26</f>
        <v>0</v>
      </c>
      <c r="O178" s="38" t="n">
        <f aca="false">Q!$O$26</f>
        <v>0</v>
      </c>
    </row>
    <row r="179" customFormat="false" ht="15" hidden="false" customHeight="false" outlineLevel="0" collapsed="false">
      <c r="A179" s="3" t="s">
        <v>494</v>
      </c>
      <c r="B179" s="8" t="s">
        <v>73</v>
      </c>
      <c r="C179" s="38" t="n">
        <f aca="false">Q!$D$25</f>
        <v>68.593</v>
      </c>
      <c r="D179" s="38" t="n">
        <f aca="false">Q!$E$25</f>
        <v>79.975</v>
      </c>
      <c r="E179" s="38" t="n">
        <f aca="false">Q!$P$25</f>
        <v>51.313</v>
      </c>
      <c r="F179" s="38" t="n">
        <f aca="false">PL!$F$169+PL!$F$174+PL!$F$177+PL!$F$178</f>
        <v>59.0565608964595</v>
      </c>
      <c r="G179" s="38" t="n">
        <f aca="false">PL!$G$169+PL!$G$174+PL!$G$177+PL!$G$178</f>
        <v>110.36956089646</v>
      </c>
      <c r="H179" s="38" t="n">
        <f aca="false">PL!$H$169+PL!$H$174+PL!$H$177+PL!$H$178</f>
        <v>128.895100490602</v>
      </c>
      <c r="I179" s="38" t="n">
        <f aca="false">PL!$I$169+PL!$I$174+PL!$I$177+PL!$I$178</f>
        <v>146.964681453633</v>
      </c>
      <c r="J179" s="38" t="n">
        <f aca="false">PL!$J$169+PL!$J$174+PL!$J$177+PL!$J$178</f>
        <v>162.241231749765</v>
      </c>
      <c r="K179" s="38" t="n">
        <f aca="false">PL!$K$169+PL!$K$174+PL!$K$177+PL!$K$178</f>
        <v>173.214708726051</v>
      </c>
      <c r="L179" s="38" t="n">
        <f aca="false">PL!$L$169+PL!$L$174+PL!$L$177+PL!$L$178</f>
        <v>185.946887937987</v>
      </c>
      <c r="M179" s="38" t="n">
        <f aca="false">PL!$M$169+PL!$M$174+PL!$M$177+PL!$M$178</f>
        <v>199.382002765429</v>
      </c>
      <c r="N179" s="38" t="n">
        <f aca="false">Q!$N$25</f>
        <v>37.576</v>
      </c>
      <c r="O179" s="38" t="n">
        <f aca="false">Q!$O$25</f>
        <v>42.399</v>
      </c>
    </row>
    <row r="180" customFormat="false" ht="17.15" hidden="false" customHeight="false" outlineLevel="0" collapsed="false">
      <c r="A180" s="24" t="s">
        <v>714</v>
      </c>
      <c r="B180" s="25" t="s">
        <v>73</v>
      </c>
      <c r="C180" s="39" t="n">
        <f aca="false">PL!$C$169+PL!$C$174+PL!$C$177+PL!$C$178-PL!$C$179</f>
        <v>0</v>
      </c>
      <c r="D180" s="39" t="n">
        <f aca="false">PL!$D$169+PL!$D$174+PL!$D$177+PL!$D$178-PL!$D$179</f>
        <v>0</v>
      </c>
      <c r="E180" s="39" t="n">
        <f aca="false">PL!$E$169+PL!$E$174+PL!$E$177+PL!$E$178-PL!$E$179</f>
        <v>0</v>
      </c>
      <c r="F180" s="39" t="n">
        <f aca="false">PL!$F$169+PL!$F$174+PL!$F$177+PL!$F$178-PL!$F$179</f>
        <v>0</v>
      </c>
      <c r="G180" s="39" t="n">
        <f aca="false">PL!$G$169+PL!$G$174+PL!$G$177+PL!$G$178-PL!$G$179</f>
        <v>0</v>
      </c>
      <c r="H180" s="39" t="n">
        <f aca="false">PL!$H$169+PL!$H$174+PL!$H$177+PL!$H$178-PL!$H$179</f>
        <v>0</v>
      </c>
      <c r="I180" s="39" t="n">
        <f aca="false">PL!$I$169+PL!$I$174+PL!$I$177+PL!$I$178-PL!$I$179</f>
        <v>0</v>
      </c>
      <c r="J180" s="39" t="n">
        <f aca="false">PL!$J$169+PL!$J$174+PL!$J$177+PL!$J$178-PL!$J$179</f>
        <v>0</v>
      </c>
      <c r="K180" s="39" t="n">
        <f aca="false">PL!$K$169+PL!$K$174+PL!$K$177+PL!$K$178-PL!$K$179</f>
        <v>0</v>
      </c>
      <c r="L180" s="39" t="n">
        <f aca="false">PL!$L$169+PL!$L$174+PL!$L$177+PL!$L$178-PL!$L$179</f>
        <v>0</v>
      </c>
      <c r="M180" s="39" t="n">
        <f aca="false">PL!$M$169+PL!$M$174+PL!$M$177+PL!$M$178-PL!$M$179</f>
        <v>0</v>
      </c>
      <c r="N180" s="39" t="n">
        <f aca="false">PL!$N$169+PL!$N$174+PL!$N$177+PL!$N$178-PL!$N$179</f>
        <v>0</v>
      </c>
      <c r="O180" s="39" t="n">
        <f aca="false">PL!$O$169+PL!$O$174+PL!$O$177+PL!$O$178-PL!$O$179</f>
        <v>0</v>
      </c>
    </row>
    <row r="181" customFormat="false" ht="17.15" hidden="false" customHeight="false" outlineLevel="0" collapsed="false">
      <c r="A181" s="0" t="s">
        <v>687</v>
      </c>
      <c r="B181" s="0" t="s">
        <v>52</v>
      </c>
      <c r="C181" s="12" t="n">
        <f aca="false">PL!$C$169/PL!$C$154</f>
        <v>0.0644314665661928</v>
      </c>
      <c r="D181" s="12" t="n">
        <f aca="false">PL!$D$169/PL!$D$154</f>
        <v>0.0694784250712518</v>
      </c>
      <c r="E181" s="12" t="n">
        <f aca="false">PL!$E$169/PL!$E$154</f>
        <v>0.0789306463326071</v>
      </c>
      <c r="F181" s="12" t="n">
        <f aca="false">PL!$F$169/PL!$F$154</f>
        <v>0.0816338957078875</v>
      </c>
      <c r="G181" s="12" t="n">
        <f aca="false">PL!$G$169/PL!$G$154</f>
        <v>0.080384315570057</v>
      </c>
      <c r="H181" s="12" t="n">
        <f aca="false">PL!$H$169/PL!$H$154</f>
        <v>0.080035122355679</v>
      </c>
      <c r="I181" s="12" t="n">
        <f aca="false">PL!$I$169/PL!$I$154</f>
        <v>0.0786798687862144</v>
      </c>
      <c r="J181" s="12" t="n">
        <f aca="false">PL!$J$169/PL!$J$154</f>
        <v>0.0772846370095153</v>
      </c>
      <c r="K181" s="12" t="n">
        <f aca="false">PL!$K$169/PL!$K$154</f>
        <v>0.0753502227686655</v>
      </c>
      <c r="L181" s="12" t="n">
        <f aca="false">PL!$L$169/PL!$L$154</f>
        <v>0.0723154067793922</v>
      </c>
      <c r="M181" s="12" t="n">
        <f aca="false">PL!$M$169/PL!$M$154</f>
        <v>0.070022386735876</v>
      </c>
      <c r="N181" s="12" t="n">
        <f aca="false">PL!$N$169/PL!$N$154</f>
        <v>0.069228576611127</v>
      </c>
      <c r="O181" s="12" t="n">
        <f aca="false">PL!$O$169/PL!$O$154</f>
        <v>0.069685022498393</v>
      </c>
    </row>
    <row r="182" customFormat="false" ht="17.15" hidden="false" customHeight="false" outlineLevel="0" collapsed="false">
      <c r="A182" s="0" t="s">
        <v>688</v>
      </c>
      <c r="B182" s="0" t="s">
        <v>52</v>
      </c>
      <c r="C182" s="12" t="n">
        <f aca="false">PL!$C$174/PL!$C$155</f>
        <v>0.026534925055631</v>
      </c>
      <c r="D182" s="12" t="n">
        <f aca="false">PL!$D$174/PL!$D$155</f>
        <v>0.0293401855535103</v>
      </c>
      <c r="E182" s="12" t="n">
        <f aca="false">PL!$E$174/PL!$E$155</f>
        <v>0.03831141902276</v>
      </c>
      <c r="F182" s="12" t="n">
        <f aca="false">PL!$F$174/PL!$F$155</f>
        <v>0.0297532808235678</v>
      </c>
      <c r="G182" s="12" t="n">
        <f aca="false">PL!$G$174/PL!$G$155</f>
        <v>0.0335954317997163</v>
      </c>
      <c r="H182" s="12" t="n">
        <f aca="false">PL!$H$174/PL!$H$155</f>
        <v>0.0312519754292078</v>
      </c>
      <c r="I182" s="12" t="n">
        <f aca="false">PL!$I$174/PL!$I$155</f>
        <v>0.0278788303191397</v>
      </c>
      <c r="J182" s="12" t="n">
        <f aca="false">PL!$J$174/PL!$J$155</f>
        <v>0.0244019313573061</v>
      </c>
      <c r="K182" s="12" t="n">
        <f aca="false">PL!$K$174/PL!$K$155</f>
        <v>0.020280070641524</v>
      </c>
      <c r="L182" s="12" t="n">
        <f aca="false">PL!$L$174/PL!$L$155</f>
        <v>0.0175947312030086</v>
      </c>
      <c r="M182" s="12" t="n">
        <f aca="false">PL!$M$174/PL!$M$155</f>
        <v>0.0156592172424565</v>
      </c>
      <c r="N182" s="12" t="n">
        <f aca="false">PL!$N$174/PL!$N$155</f>
        <v>0.0357315650169337</v>
      </c>
      <c r="O182" s="12" t="n">
        <f aca="false">PL!$O$174/PL!$O$155</f>
        <v>0.0244378956559703</v>
      </c>
    </row>
    <row r="183" customFormat="false" ht="17.15" hidden="false" customHeight="false" outlineLevel="0" collapsed="false">
      <c r="A183" s="13" t="s">
        <v>689</v>
      </c>
      <c r="B183" s="13" t="s">
        <v>52</v>
      </c>
      <c r="C183" s="16" t="n">
        <f aca="false">PL!$C$177/PL!$C$156</f>
        <v>0.370355907620217</v>
      </c>
      <c r="D183" s="16" t="n">
        <f aca="false">PL!$D$177/PL!$D$156</f>
        <v>0.35429015342785</v>
      </c>
      <c r="E183" s="16" t="n">
        <f aca="false">PL!$E$177/PL!$E$156</f>
        <v>0.385647527531039</v>
      </c>
      <c r="F183" s="16" t="n">
        <f aca="false">PL!$F$177/PL!$F$156</f>
        <v>0.378932397734599</v>
      </c>
      <c r="G183" s="16" t="n">
        <f aca="false">PL!$G$177/PL!$G$156</f>
        <v>0.382038688724379</v>
      </c>
      <c r="H183" s="16" t="n">
        <f aca="false">PL!$H$177/PL!$H$156</f>
        <v>0.342864650784693</v>
      </c>
      <c r="I183" s="16" t="n">
        <f aca="false">PL!$I$177/PL!$I$156</f>
        <v>0.319616411237051</v>
      </c>
      <c r="J183" s="16" t="n">
        <f aca="false">PL!$J$177/PL!$J$156</f>
        <v>0.301804234317094</v>
      </c>
      <c r="K183" s="16" t="n">
        <f aca="false">PL!$K$177/PL!$K$156</f>
        <v>0.286432807419396</v>
      </c>
      <c r="L183" s="16" t="n">
        <f aca="false">PL!$L$177/PL!$L$156</f>
        <v>0.278411190706894</v>
      </c>
      <c r="M183" s="16" t="n">
        <f aca="false">PL!$M$177/PL!$M$156</f>
        <v>0.271323064389968</v>
      </c>
      <c r="N183" s="16" t="n">
        <f aca="false">PL!$N$177/PL!$N$156</f>
        <v>0.360941137346192</v>
      </c>
      <c r="O183" s="16" t="n">
        <f aca="false">PL!$O$177/PL!$O$156</f>
        <v>0.348458117664212</v>
      </c>
    </row>
    <row r="184" customFormat="false" ht="17.15" hidden="false" customHeight="false" outlineLevel="0" collapsed="false">
      <c r="A184" s="0" t="s">
        <v>690</v>
      </c>
      <c r="B184" s="0" t="s">
        <v>52</v>
      </c>
      <c r="C184" s="12" t="n">
        <f aca="false">PL!$C$175/PL!$C$157</f>
        <v>0.708390794789371</v>
      </c>
      <c r="D184" s="12" t="n">
        <f aca="false">PL!$D$175/PL!$D$157</f>
        <v>0.445565630441968</v>
      </c>
      <c r="E184" s="12" t="n">
        <f aca="false">PL!$E$175/PL!$E$157</f>
        <v>0.165998118402711</v>
      </c>
      <c r="F184" s="12" t="n">
        <f aca="false">PL!$F$175/PL!$F$157</f>
        <v>0.401859869136011</v>
      </c>
      <c r="G184" s="12" t="n">
        <f aca="false">PL!$G$175/PL!$G$157</f>
        <v>0.313230095563868</v>
      </c>
      <c r="H184" s="12" t="n">
        <f aca="false">PL!$H$175/PL!$H$157</f>
        <v>0.23470012891306</v>
      </c>
      <c r="I184" s="12" t="n">
        <f aca="false">PL!$I$175/PL!$I$157</f>
        <v>0.187200558396588</v>
      </c>
      <c r="J184" s="12" t="n">
        <f aca="false">PL!$J$175/PL!$J$157</f>
        <v>0.160726355342167</v>
      </c>
      <c r="K184" s="12" t="n">
        <f aca="false">PL!$K$175/PL!$K$157</f>
        <v>0.142637017621647</v>
      </c>
      <c r="L184" s="12" t="n">
        <f aca="false">PL!$L$175/PL!$L$157</f>
        <v>0.139623254059572</v>
      </c>
      <c r="M184" s="12" t="n">
        <f aca="false">PL!$M$175/PL!$M$157</f>
        <v>0.135043429136094</v>
      </c>
      <c r="N184" s="12" t="n">
        <f aca="false">PL!$N$175/PL!$N$157</f>
        <v>0.302870734830849</v>
      </c>
      <c r="O184" s="12" t="n">
        <f aca="false">PL!$O$175/PL!$O$157</f>
        <v>0.52240134346334</v>
      </c>
    </row>
    <row r="185" customFormat="false" ht="15" hidden="false" customHeight="false" outlineLevel="0" collapsed="false">
      <c r="A185" s="5" t="s">
        <v>691</v>
      </c>
      <c r="B185" s="0" t="s">
        <v>52</v>
      </c>
      <c r="C185" s="12" t="n">
        <f aca="false">PL!$C$179/PL!$C$159</f>
        <v>0.107519448742004</v>
      </c>
      <c r="D185" s="12" t="n">
        <f aca="false">PL!$D$179/PL!$D$159</f>
        <v>0.111552967957552</v>
      </c>
      <c r="E185" s="12" t="n">
        <f aca="false">PL!$E$179/PL!$E$159</f>
        <v>0.13428328426562</v>
      </c>
      <c r="F185" s="12" t="n">
        <f aca="false">PL!$F$179/PL!$F$159</f>
        <v>0.131333446792247</v>
      </c>
      <c r="G185" s="12" t="n">
        <f aca="false">PL!$G$179/PL!$G$159</f>
        <v>0.132688598234054</v>
      </c>
      <c r="H185" s="12" t="n">
        <f aca="false">PL!$H$179/PL!$H$159</f>
        <v>0.133673723762684</v>
      </c>
      <c r="I185" s="12" t="n">
        <f aca="false">PL!$I$179/PL!$I$159</f>
        <v>0.134000933571886</v>
      </c>
      <c r="J185" s="12" t="n">
        <f aca="false">PL!$J$179/PL!$J$159</f>
        <v>0.132933854069694</v>
      </c>
      <c r="K185" s="12" t="n">
        <f aca="false">PL!$K$179/PL!$K$159</f>
        <v>0.130258187079329</v>
      </c>
      <c r="L185" s="12" t="n">
        <f aca="false">PL!$L$179/PL!$L$159</f>
        <v>0.128724228122974</v>
      </c>
      <c r="M185" s="12" t="n">
        <f aca="false">PL!$M$179/PL!$M$159</f>
        <v>0.127389112341285</v>
      </c>
      <c r="N185" s="12" t="n">
        <f aca="false">PL!$N$179/PL!$N$159</f>
        <v>0.116201614873411</v>
      </c>
      <c r="O185" s="12" t="n">
        <f aca="false">PL!$O$179/PL!$O$159</f>
        <v>0.107733353660861</v>
      </c>
    </row>
    <row r="186" customFormat="false" ht="17.15" hidden="false" customHeight="false" outlineLevel="0" collapsed="false">
      <c r="A186" s="1" t="s">
        <v>692</v>
      </c>
    </row>
    <row r="187" customFormat="false" ht="17.15" hidden="false" customHeight="false" outlineLevel="0" collapsed="false">
      <c r="A187" s="5" t="s">
        <v>693</v>
      </c>
      <c r="B187" s="0" t="s">
        <v>52</v>
      </c>
      <c r="D187" s="28" t="n">
        <f aca="false">(Q!$E$29+Q!$E$30-(1-ext_sh)*Thesis!$D$152)/Seg!$D$87</f>
        <v>0.0334674312393194</v>
      </c>
    </row>
    <row r="188" customFormat="false" ht="17.15" hidden="false" customHeight="false" outlineLevel="0" collapsed="false">
      <c r="A188" s="0" t="s">
        <v>498</v>
      </c>
      <c r="B188" s="0" t="s">
        <v>73</v>
      </c>
      <c r="C188" s="38" t="n">
        <f aca="false">Q!$D$29</f>
        <v>14.285</v>
      </c>
      <c r="D188" s="38" t="n">
        <f aca="false">Q!$E$29</f>
        <v>15.503</v>
      </c>
      <c r="E188" s="38" t="n">
        <f aca="false">Q!$P$29</f>
        <v>8.78</v>
      </c>
      <c r="F188" s="38" t="n">
        <f aca="false">(PL!$D$187*Seg!$F$87+(1-ext_sh)*Thesis!$F$152)*Seg!$F$88</f>
        <v>9.51361751569285</v>
      </c>
      <c r="G188" s="38" t="n">
        <f aca="false">PL!$E$188+PL!$F$188</f>
        <v>18.2936175156929</v>
      </c>
      <c r="H188" s="38" t="n">
        <f aca="false">(PL!$D$187*Seg!$H$87+(1-ext_sh)*Thesis!$H$152)*Seg!$H$88</f>
        <v>22.7653661801943</v>
      </c>
      <c r="I188" s="38" t="n">
        <f aca="false">(PL!$D$187*Seg!$I$87+(1-ext_sh)*Thesis!$I$152)*Seg!$I$88</f>
        <v>28.4281317305062</v>
      </c>
      <c r="J188" s="38" t="n">
        <f aca="false">(PL!$D$187*Seg!$J$87+(1-ext_sh)*Thesis!$J$152)*Seg!$J$88</f>
        <v>34.1182922009732</v>
      </c>
      <c r="K188" s="38" t="n">
        <f aca="false">(PL!$D$187*Seg!$K$87+(1-ext_sh)*Thesis!$K$152)*Seg!$K$88</f>
        <v>39.7237727987046</v>
      </c>
      <c r="L188" s="38" t="n">
        <f aca="false">(PL!$D$187*Seg!$L$87+(1-ext_sh)*Thesis!$L$152)*Seg!$L$88</f>
        <v>45.1313127180263</v>
      </c>
      <c r="M188" s="38" t="n">
        <f aca="false">(PL!$D$187*Seg!$M$87+(1-ext_sh)*Thesis!$M$152)*Seg!$M$88</f>
        <v>50.743940615442</v>
      </c>
      <c r="N188" s="38" t="n">
        <f aca="false">Q!$N$29</f>
        <v>7.272</v>
      </c>
      <c r="O188" s="38" t="n">
        <f aca="false">Q!$O$29</f>
        <v>8.231</v>
      </c>
    </row>
    <row r="189" customFormat="false" ht="17.15" hidden="false" customHeight="false" outlineLevel="0" collapsed="false">
      <c r="A189" s="0" t="s">
        <v>500</v>
      </c>
      <c r="B189" s="0" t="s">
        <v>73</v>
      </c>
      <c r="C189" s="38" t="n">
        <f aca="false">Q!$D$30</f>
        <v>4.462</v>
      </c>
      <c r="D189" s="38" t="n">
        <f aca="false">Q!$E$30</f>
        <v>4.907</v>
      </c>
      <c r="E189" s="38" t="n">
        <f aca="false">Q!$P$30</f>
        <v>2.57</v>
      </c>
      <c r="F189" s="38" t="n">
        <f aca="false">(PL!$D$187*Seg!$F$87+(1-ext_sh)*Thesis!$F$152)*(1-Seg!$F$88)</f>
        <v>3.7353230631574</v>
      </c>
      <c r="G189" s="38" t="n">
        <f aca="false">PL!$E$189+PL!$F$189</f>
        <v>6.3053230631574</v>
      </c>
      <c r="H189" s="38" t="n">
        <f aca="false">(PL!$D$187*Seg!$H$87+(1-ext_sh)*Thesis!$H$152)*(1-Seg!$H$88)</f>
        <v>8.72254636724805</v>
      </c>
      <c r="I189" s="38" t="n">
        <f aca="false">(PL!$D$187*Seg!$I$87+(1-ext_sh)*Thesis!$I$152)*(1-Seg!$I$88)</f>
        <v>10.8922340713019</v>
      </c>
      <c r="J189" s="38" t="n">
        <f aca="false">(PL!$D$187*Seg!$J$87+(1-ext_sh)*Thesis!$J$152)*(1-Seg!$J$88)</f>
        <v>13.0724181345791</v>
      </c>
      <c r="K189" s="38" t="n">
        <f aca="false">(PL!$D$187*Seg!$K$87+(1-ext_sh)*Thesis!$K$152)*(1-Seg!$K$88)</f>
        <v>15.2201571183236</v>
      </c>
      <c r="L189" s="38" t="n">
        <f aca="false">(PL!$D$187*Seg!$L$87+(1-ext_sh)*Thesis!$L$152)*(1-Seg!$L$88)</f>
        <v>17.2920551631732</v>
      </c>
      <c r="M189" s="38" t="n">
        <f aca="false">(PL!$D$187*Seg!$M$87+(1-ext_sh)*Thesis!$M$152)*(1-Seg!$M$88)</f>
        <v>19.4425326336348</v>
      </c>
      <c r="N189" s="38" t="n">
        <f aca="false">Q!$N$30</f>
        <v>2.316</v>
      </c>
      <c r="O189" s="38" t="n">
        <f aca="false">Q!$O$30</f>
        <v>2.591</v>
      </c>
    </row>
    <row r="190" customFormat="false" ht="17.15" hidden="false" customHeight="false" outlineLevel="0" collapsed="false">
      <c r="A190" s="0" t="s">
        <v>501</v>
      </c>
      <c r="B190" s="0" t="s">
        <v>73</v>
      </c>
      <c r="C190" s="38" t="n">
        <f aca="false">Thesis!$C$164</f>
        <v>13.32</v>
      </c>
      <c r="D190" s="38" t="n">
        <f aca="false">Thesis!$D$164</f>
        <v>21.45</v>
      </c>
      <c r="E190" s="38" t="n">
        <f aca="false">Thesis!$E$164</f>
        <v>15.353</v>
      </c>
      <c r="F190" s="38" t="n">
        <f aca="false">Thesis!$F$164</f>
        <v>17.3614451462707</v>
      </c>
      <c r="G190" s="38" t="n">
        <f aca="false">Thesis!$G$164</f>
        <v>32.7144451462707</v>
      </c>
      <c r="H190" s="38" t="n">
        <f aca="false">Thesis!$H$164</f>
        <v>56.1966092719415</v>
      </c>
      <c r="I190" s="38" t="n">
        <f aca="false">Thesis!$I$164</f>
        <v>82.9744039068297</v>
      </c>
      <c r="J190" s="38" t="n">
        <f aca="false">Thesis!$J$164</f>
        <v>109.943252237669</v>
      </c>
      <c r="K190" s="38" t="n">
        <f aca="false">Thesis!$K$164</f>
        <v>136.406703436571</v>
      </c>
      <c r="L190" s="38" t="n">
        <f aca="false">Thesis!$L$164</f>
        <v>161.485870454155</v>
      </c>
      <c r="M190" s="38" t="n">
        <f aca="false">Thesis!$M$164</f>
        <v>187.389846618199</v>
      </c>
      <c r="N190" s="38" t="n">
        <f aca="false">Thesis!$N$164</f>
        <v>9.234</v>
      </c>
      <c r="O190" s="38" t="n">
        <f aca="false">Thesis!$O$164</f>
        <v>12.216</v>
      </c>
    </row>
    <row r="191" customFormat="false" ht="17.15" hidden="false" customHeight="false" outlineLevel="0" collapsed="false">
      <c r="A191" s="5" t="s">
        <v>694</v>
      </c>
      <c r="B191" s="0" t="s">
        <v>73</v>
      </c>
      <c r="C191" s="38" t="n">
        <f aca="false">PL!$C$188+PL!$C$189+PL!$C$190</f>
        <v>32.067</v>
      </c>
      <c r="D191" s="38" t="n">
        <f aca="false">PL!$D$188+PL!$D$189+PL!$D$190</f>
        <v>41.86</v>
      </c>
      <c r="E191" s="38" t="n">
        <f aca="false">PL!$E$188+PL!$E$189+PL!$E$190</f>
        <v>26.703</v>
      </c>
      <c r="F191" s="38" t="n">
        <f aca="false">PL!$F$188+PL!$F$189+PL!$F$190</f>
        <v>30.6103857251209</v>
      </c>
      <c r="G191" s="38" t="n">
        <f aca="false">PL!$G$188+PL!$G$189+PL!$G$190</f>
        <v>57.3133857251209</v>
      </c>
      <c r="H191" s="38" t="n">
        <f aca="false">PL!$H$188+PL!$H$189+PL!$H$190</f>
        <v>87.6845218193838</v>
      </c>
      <c r="I191" s="38" t="n">
        <f aca="false">PL!$I$188+PL!$I$189+PL!$I$190</f>
        <v>122.294769708638</v>
      </c>
      <c r="J191" s="38" t="n">
        <f aca="false">PL!$J$188+PL!$J$189+PL!$J$190</f>
        <v>157.133962573221</v>
      </c>
      <c r="K191" s="38" t="n">
        <f aca="false">PL!$K$188+PL!$K$189+PL!$K$190</f>
        <v>191.350633353599</v>
      </c>
      <c r="L191" s="38" t="n">
        <f aca="false">PL!$L$188+PL!$L$189+PL!$L$190</f>
        <v>223.909238335354</v>
      </c>
      <c r="M191" s="38" t="n">
        <f aca="false">PL!$M$188+PL!$M$189+PL!$M$190</f>
        <v>257.576319867276</v>
      </c>
      <c r="N191" s="38" t="n">
        <f aca="false">PL!$N$188+PL!$N$189+PL!$N$190</f>
        <v>18.822</v>
      </c>
      <c r="O191" s="38" t="n">
        <f aca="false">PL!$O$188+PL!$O$189+PL!$O$190</f>
        <v>23.038</v>
      </c>
    </row>
    <row r="192" customFormat="false" ht="17.15" hidden="false" customHeight="false" outlineLevel="0" collapsed="false">
      <c r="A192" s="0" t="s">
        <v>695</v>
      </c>
      <c r="B192" s="0" t="s">
        <v>73</v>
      </c>
      <c r="C192" s="38" t="n">
        <f aca="false">PL!$C$165+PL!$C$170</f>
        <v>28.107</v>
      </c>
      <c r="D192" s="38" t="n">
        <f aca="false">PL!$D$165+PL!$D$170</f>
        <v>34.3175</v>
      </c>
      <c r="E192" s="38" t="n">
        <f aca="false">PL!$E$165+PL!$E$170</f>
        <v>18.526</v>
      </c>
      <c r="F192" s="38" t="n">
        <f aca="false">PL!$F$165+PL!$F$170</f>
        <v>24.0766690913691</v>
      </c>
      <c r="G192" s="38" t="n">
        <f aca="false">PL!$G$165+PL!$G$170</f>
        <v>42.6026690913691</v>
      </c>
      <c r="H192" s="38" t="n">
        <f aca="false">PL!$H$165+PL!$H$170</f>
        <v>51.1466809294702</v>
      </c>
      <c r="I192" s="38" t="n">
        <f aca="false">PL!$I$165+PL!$I$170</f>
        <v>59.6899187926205</v>
      </c>
      <c r="J192" s="38" t="n">
        <f aca="false">PL!$J$165+PL!$J$170</f>
        <v>67.6595395244221</v>
      </c>
      <c r="K192" s="38" t="n">
        <f aca="false">PL!$K$165+PL!$K$170</f>
        <v>74.4254934768643</v>
      </c>
      <c r="L192" s="38" t="n">
        <f aca="false">PL!$L$165+PL!$L$170</f>
        <v>81.8680428245508</v>
      </c>
      <c r="M192" s="38" t="n">
        <f aca="false">PL!$M$165+PL!$M$170</f>
        <v>90.0548471070059</v>
      </c>
      <c r="N192" s="38" t="n">
        <f aca="false">PL!$N$165+PL!$N$170</f>
        <v>14.8075</v>
      </c>
      <c r="O192" s="38" t="n">
        <f aca="false">PL!$O$165+PL!$O$170</f>
        <v>19.51</v>
      </c>
    </row>
    <row r="193" customFormat="false" ht="17.15" hidden="false" customHeight="false" outlineLevel="0" collapsed="false">
      <c r="A193" s="0" t="s">
        <v>696</v>
      </c>
      <c r="B193" s="0" t="s">
        <v>73</v>
      </c>
      <c r="C193" s="38" t="n">
        <f aca="false">PL!$C$169+PL!$C$174+PL!$C$188+PL!$C$189-PL!$C$192</f>
        <v>19.399</v>
      </c>
      <c r="D193" s="38" t="n">
        <f aca="false">PL!$D$169+PL!$D$174+PL!$D$188+PL!$D$189-PL!$D$192</f>
        <v>20.4615</v>
      </c>
      <c r="E193" s="38" t="n">
        <f aca="false">PL!$E$169+PL!$E$174+PL!$E$188+PL!$E$189-PL!$E$192</f>
        <v>13.355</v>
      </c>
      <c r="F193" s="38" t="n">
        <f aca="false">PL!$F$169+PL!$F$174+PL!$F$188+PL!$F$189-PL!$F$192</f>
        <v>13.0895111975985</v>
      </c>
      <c r="G193" s="38" t="n">
        <f aca="false">PL!$G$169+PL!$G$174+PL!$G$188+PL!$G$189-PL!$G$192</f>
        <v>26.4445111975985</v>
      </c>
      <c r="H193" s="38" t="n">
        <f aca="false">PL!$H$169+PL!$H$174+PL!$H$188+PL!$H$189-PL!$H$192</f>
        <v>28.8977096937968</v>
      </c>
      <c r="I193" s="38" t="n">
        <f aca="false">PL!$I$169+PL!$I$174+PL!$I$188+PL!$I$189-PL!$I$192</f>
        <v>31.2062039064791</v>
      </c>
      <c r="J193" s="38" t="n">
        <f aca="false">PL!$J$169+PL!$J$174+PL!$J$188+PL!$J$189-PL!$J$192</f>
        <v>33.5064572496913</v>
      </c>
      <c r="K193" s="38" t="n">
        <f aca="false">PL!$K$169+PL!$K$174+PL!$K$188+PL!$K$189-PL!$K$192</f>
        <v>35.6591461575899</v>
      </c>
      <c r="L193" s="38" t="n">
        <f aca="false">PL!$L$169+PL!$L$174+PL!$L$188+PL!$L$189-PL!$L$192</f>
        <v>36.4141007090604</v>
      </c>
      <c r="M193" s="38" t="n">
        <f aca="false">PL!$M$169+PL!$M$174+PL!$M$188+PL!$M$189-PL!$M$192</f>
        <v>37.359984207839</v>
      </c>
      <c r="N193" s="38" t="n">
        <f aca="false">PL!$N$169+PL!$N$174+PL!$N$188+PL!$N$189-PL!$N$192</f>
        <v>10.6495</v>
      </c>
      <c r="O193" s="38" t="n">
        <f aca="false">PL!$O$169+PL!$O$174+PL!$O$188+PL!$O$189-PL!$O$192</f>
        <v>9.81200000000001</v>
      </c>
    </row>
    <row r="194" customFormat="false" ht="17.15" hidden="false" customHeight="false" outlineLevel="0" collapsed="false">
      <c r="A194" s="0" t="s">
        <v>697</v>
      </c>
      <c r="B194" s="0" t="s">
        <v>73</v>
      </c>
      <c r="C194" s="38" t="n">
        <f aca="false">PL!$C$176+PL!$C$190-ext_sh*Thesis!$C$152</f>
        <v>51.3470500115664</v>
      </c>
      <c r="D194" s="38" t="n">
        <f aca="false">PL!$D$176+PL!$D$190-ext_sh*Thesis!$D$152</f>
        <v>60.2799375433739</v>
      </c>
      <c r="E194" s="38" t="n">
        <f aca="false">PL!$E$176+PL!$E$190-ext_sh*Thesis!$E$152</f>
        <v>39.5095167090767</v>
      </c>
      <c r="F194" s="38" t="n">
        <f aca="false">PL!$F$176+PL!$F$190-ext_sh*Thesis!$F$152</f>
        <v>41.606724953129</v>
      </c>
      <c r="G194" s="38" t="n">
        <f aca="false">PL!$G$176+PL!$G$190-ext_sh*Thesis!$G$152</f>
        <v>81.1162416622057</v>
      </c>
      <c r="H194" s="38" t="n">
        <f aca="false">PL!$H$176+PL!$H$190-ext_sh*Thesis!$H$152</f>
        <v>95.7616595325849</v>
      </c>
      <c r="I194" s="38" t="n">
        <f aca="false">PL!$I$176+PL!$I$190-ext_sh*Thesis!$I$152</f>
        <v>111.513312079935</v>
      </c>
      <c r="J194" s="38" t="n">
        <f aca="false">PL!$J$176+PL!$J$190-ext_sh*Thesis!$J$152</f>
        <v>125.145150463955</v>
      </c>
      <c r="K194" s="38" t="n">
        <f aca="false">PL!$K$176+PL!$K$190-ext_sh*Thesis!$K$152</f>
        <v>135.156762501071</v>
      </c>
      <c r="L194" s="38" t="n">
        <f aca="false">PL!$L$176+PL!$L$190-ext_sh*Thesis!$L$152</f>
        <v>145.969303501157</v>
      </c>
      <c r="M194" s="38" t="n">
        <f aca="false">PL!$M$176+PL!$M$190-ext_sh*Thesis!$M$152</f>
        <v>157.646847781249</v>
      </c>
      <c r="N194" s="38" t="n">
        <f aca="false">PL!$N$176+PL!$N$190-ext_sh*Thesis!$N$152</f>
        <v>28.5693781401809</v>
      </c>
      <c r="O194" s="38" t="n">
        <f aca="false">PL!$O$176+PL!$O$190-ext_sh*Thesis!$O$152</f>
        <v>31.7105594031931</v>
      </c>
    </row>
    <row r="195" customFormat="false" ht="17.15" hidden="false" customHeight="false" outlineLevel="0" collapsed="false">
      <c r="A195" s="0" t="s">
        <v>698</v>
      </c>
      <c r="B195" s="0" t="s">
        <v>73</v>
      </c>
      <c r="C195" s="38" t="n">
        <f aca="false">Thesis!$C$155</f>
        <v>1.80694998843362</v>
      </c>
      <c r="D195" s="38" t="n">
        <f aca="false">Thesis!$D$155</f>
        <v>6.77606245662607</v>
      </c>
      <c r="E195" s="38" t="n">
        <f aca="false">Thesis!$E$155</f>
        <v>6.62548329092326</v>
      </c>
      <c r="F195" s="38" t="n">
        <f aca="false">Thesis!$F$155</f>
        <v>10.8940413794839</v>
      </c>
      <c r="G195" s="38" t="n">
        <f aca="false">Thesis!$G$155</f>
        <v>17.5195246704072</v>
      </c>
      <c r="H195" s="38" t="n">
        <f aca="false">Thesis!$H$155</f>
        <v>40.7735721541341</v>
      </c>
      <c r="I195" s="38" t="n">
        <f aca="false">Thesis!$I$155</f>
        <v>66.8500163832358</v>
      </c>
      <c r="J195" s="38" t="n">
        <f aca="false">Thesis!$J$155</f>
        <v>93.0640470849174</v>
      </c>
      <c r="K195" s="38" t="n">
        <f aca="false">Thesis!$K$155</f>
        <v>119.323939944126</v>
      </c>
      <c r="L195" s="38" t="n">
        <f aca="false">Thesis!$L$155</f>
        <v>145.604679238573</v>
      </c>
      <c r="M195" s="38" t="n">
        <f aca="false">Thesis!$M$155</f>
        <v>171.896643536611</v>
      </c>
      <c r="N195" s="38" t="n">
        <f aca="false">Thesis!$N$155</f>
        <v>2.37162185981912</v>
      </c>
      <c r="O195" s="38" t="n">
        <f aca="false">Thesis!$O$155</f>
        <v>4.40444059680694</v>
      </c>
    </row>
    <row r="196" customFormat="false" ht="17.15" hidden="false" customHeight="false" outlineLevel="0" collapsed="false">
      <c r="A196" s="0" t="s">
        <v>699</v>
      </c>
      <c r="B196" s="0" t="s">
        <v>73</v>
      </c>
      <c r="C196" s="38" t="n">
        <f aca="false">PL!$C$179+PL!$C$191</f>
        <v>100.66</v>
      </c>
      <c r="D196" s="38" t="n">
        <f aca="false">PL!$D$179+PL!$D$191</f>
        <v>121.835</v>
      </c>
      <c r="E196" s="38" t="n">
        <f aca="false">PL!$E$179+PL!$E$191</f>
        <v>78.016</v>
      </c>
      <c r="F196" s="38" t="n">
        <f aca="false">PL!$F$179+PL!$F$191</f>
        <v>89.6669466215805</v>
      </c>
      <c r="G196" s="38" t="n">
        <f aca="false">PL!$G$179+PL!$G$191</f>
        <v>167.68294662158</v>
      </c>
      <c r="H196" s="38" t="n">
        <f aca="false">PL!$H$179+PL!$H$191</f>
        <v>216.579622309986</v>
      </c>
      <c r="I196" s="38" t="n">
        <f aca="false">PL!$I$179+PL!$I$191</f>
        <v>269.259451162271</v>
      </c>
      <c r="J196" s="38" t="n">
        <f aca="false">PL!$J$179+PL!$J$191</f>
        <v>319.375194322985</v>
      </c>
      <c r="K196" s="38" t="n">
        <f aca="false">PL!$K$179+PL!$K$191</f>
        <v>364.565342079651</v>
      </c>
      <c r="L196" s="38" t="n">
        <f aca="false">PL!$L$179+PL!$L$191</f>
        <v>409.856126273341</v>
      </c>
      <c r="M196" s="38" t="n">
        <f aca="false">PL!$M$179+PL!$M$191</f>
        <v>456.958322632705</v>
      </c>
      <c r="N196" s="38" t="n">
        <f aca="false">PL!$N$179+PL!$N$191</f>
        <v>56.398</v>
      </c>
      <c r="O196" s="38" t="n">
        <f aca="false">PL!$O$179+PL!$O$191</f>
        <v>65.437</v>
      </c>
    </row>
    <row r="197" customFormat="false" ht="17.15" hidden="false" customHeight="false" outlineLevel="0" collapsed="false">
      <c r="A197" s="1" t="s">
        <v>700</v>
      </c>
    </row>
    <row r="198" customFormat="false" ht="15" hidden="false" customHeight="false" outlineLevel="0" collapsed="false">
      <c r="A198" s="5" t="s">
        <v>504</v>
      </c>
      <c r="B198" s="0" t="s">
        <v>73</v>
      </c>
      <c r="C198" s="38" t="n">
        <f aca="false">Q!$D$34</f>
        <v>2.406</v>
      </c>
      <c r="D198" s="38" t="n">
        <f aca="false">Q!$E$34</f>
        <v>2.274</v>
      </c>
      <c r="E198" s="38" t="n">
        <f aca="false">Q!$P$34</f>
        <v>2.114</v>
      </c>
      <c r="F198" s="38" t="n">
        <f aca="false">CF!$F$98</f>
        <v>3.24888964316061</v>
      </c>
      <c r="G198" s="38" t="n">
        <f aca="false">PL!$E$198+PL!$F$198</f>
        <v>5.36288964316061</v>
      </c>
      <c r="H198" s="38" t="n">
        <f aca="false">CF!$H$98</f>
        <v>7.42354178632123</v>
      </c>
      <c r="I198" s="38" t="n">
        <f aca="false">CF!$I$98</f>
        <v>7.93350291307667</v>
      </c>
      <c r="J198" s="38" t="n">
        <f aca="false">CF!$J$98</f>
        <v>8.95576692016377</v>
      </c>
      <c r="K198" s="38" t="n">
        <f aca="false">CF!$K$98</f>
        <v>8.95576692016377</v>
      </c>
      <c r="L198" s="38" t="n">
        <f aca="false">CF!$L$98</f>
        <v>8.95576692016377</v>
      </c>
      <c r="M198" s="38" t="n">
        <f aca="false">CF!$M$98</f>
        <v>8.95576692016377</v>
      </c>
      <c r="N198" s="38" t="n">
        <f aca="false">Q!$N$34</f>
        <v>1.057</v>
      </c>
      <c r="O198" s="38" t="n">
        <f aca="false">Q!$O$34</f>
        <v>1.217</v>
      </c>
    </row>
    <row r="199" customFormat="false" ht="15" hidden="false" customHeight="false" outlineLevel="0" collapsed="false">
      <c r="A199" s="5" t="s">
        <v>701</v>
      </c>
      <c r="B199" s="0" t="s">
        <v>73</v>
      </c>
      <c r="F199" s="38" t="n">
        <f aca="false">CF!$F$99</f>
        <v>2.59</v>
      </c>
      <c r="H199" s="38" t="n">
        <f aca="false">CF!$H$99</f>
        <v>3.97968175674031</v>
      </c>
      <c r="I199" s="38" t="n">
        <f aca="false">CF!$I$99</f>
        <v>2.10589651022864</v>
      </c>
      <c r="J199" s="38" t="n">
        <f aca="false">CF!$J$99</f>
        <v>2.10589651022864</v>
      </c>
      <c r="K199" s="38" t="n">
        <f aca="false">CF!$K$99</f>
        <v>2.9860952409183</v>
      </c>
      <c r="L199" s="38" t="n">
        <f aca="false">CF!$L$99</f>
        <v>5.37108266863553</v>
      </c>
      <c r="M199" s="38" t="n">
        <f aca="false">CF!$M$99</f>
        <v>7.96723599091899</v>
      </c>
    </row>
    <row r="200" customFormat="false" ht="17.15" hidden="false" customHeight="false" outlineLevel="0" collapsed="false">
      <c r="A200" s="5" t="s">
        <v>702</v>
      </c>
      <c r="B200" s="0" t="s">
        <v>73</v>
      </c>
      <c r="C200" s="38" t="n">
        <f aca="false">Q!$D$39</f>
        <v>2.427</v>
      </c>
      <c r="D200" s="38" t="n">
        <f aca="false">Q!$E$39</f>
        <v>19.61</v>
      </c>
      <c r="E200" s="38" t="n">
        <f aca="false">Q!$P$39</f>
        <v>71.492</v>
      </c>
      <c r="F200" s="41" t="n">
        <v>0</v>
      </c>
      <c r="G200" s="38" t="n">
        <f aca="false">PL!$E$200+PL!$F$200</f>
        <v>71.492</v>
      </c>
      <c r="H200" s="41" t="n">
        <v>0</v>
      </c>
      <c r="I200" s="41" t="n">
        <v>0</v>
      </c>
      <c r="J200" s="41" t="n">
        <v>0</v>
      </c>
      <c r="K200" s="41" t="n">
        <v>0</v>
      </c>
      <c r="L200" s="41" t="n">
        <v>0</v>
      </c>
      <c r="M200" s="41" t="n">
        <v>0</v>
      </c>
      <c r="N200" s="38" t="n">
        <f aca="false">Q!$N$39</f>
        <v>6.017</v>
      </c>
      <c r="O200" s="38" t="n">
        <f aca="false">Q!$O$39</f>
        <v>13.593</v>
      </c>
      <c r="P200" s="5" t="s">
        <v>703</v>
      </c>
    </row>
    <row r="201" customFormat="false" ht="15" hidden="false" customHeight="false" outlineLevel="0" collapsed="false">
      <c r="A201" s="5" t="s">
        <v>507</v>
      </c>
      <c r="B201" s="0" t="s">
        <v>73</v>
      </c>
      <c r="C201" s="38" t="n">
        <f aca="false">Q!$D$36</f>
        <v>68.614</v>
      </c>
      <c r="D201" s="38" t="n">
        <f aca="false">Q!$E$36</f>
        <v>97.311</v>
      </c>
      <c r="E201" s="38" t="n">
        <f aca="false">Q!$P$36</f>
        <v>120.691</v>
      </c>
      <c r="F201" s="38" t="n">
        <f aca="false">PL!$F$179-PL!$F$198+PL!$F$199+PL!$F$200</f>
        <v>58.3976712532989</v>
      </c>
      <c r="G201" s="38" t="n">
        <f aca="false">PL!$E$201+PL!$F$201</f>
        <v>179.088671253299</v>
      </c>
      <c r="H201" s="38" t="n">
        <f aca="false">PL!$H$179-PL!$H$198+PL!$H$199+PL!$H$200</f>
        <v>125.451240461021</v>
      </c>
      <c r="I201" s="38" t="n">
        <f aca="false">PL!$I$179-PL!$I$198+PL!$I$199+PL!$I$200</f>
        <v>141.137075050785</v>
      </c>
      <c r="J201" s="38" t="n">
        <f aca="false">PL!$J$179-PL!$J$198+PL!$J$199+PL!$J$200</f>
        <v>155.391361339829</v>
      </c>
      <c r="K201" s="38" t="n">
        <f aca="false">PL!$K$179-PL!$K$198+PL!$K$199+PL!$K$200</f>
        <v>167.245037046806</v>
      </c>
      <c r="L201" s="38" t="n">
        <f aca="false">PL!$L$179-PL!$L$198+PL!$L$199+PL!$L$200</f>
        <v>182.362203686458</v>
      </c>
      <c r="M201" s="38" t="n">
        <f aca="false">PL!$M$179-PL!$M$198+PL!$M$199+PL!$M$200</f>
        <v>198.393471836184</v>
      </c>
      <c r="N201" s="38" t="n">
        <f aca="false">Q!$N$36</f>
        <v>42.536</v>
      </c>
      <c r="O201" s="38" t="n">
        <f aca="false">Q!$O$36</f>
        <v>54.775</v>
      </c>
    </row>
    <row r="202" customFormat="false" ht="15" hidden="false" customHeight="false" outlineLevel="0" collapsed="false">
      <c r="A202" s="5" t="s">
        <v>508</v>
      </c>
      <c r="B202" s="0" t="s">
        <v>73</v>
      </c>
      <c r="C202" s="38" t="n">
        <f aca="false">Q!$D$37</f>
        <v>9.265</v>
      </c>
      <c r="D202" s="38" t="n">
        <f aca="false">Q!$E$37</f>
        <v>19.087</v>
      </c>
      <c r="E202" s="38" t="n">
        <f aca="false">Q!$P$37</f>
        <v>27.759</v>
      </c>
      <c r="F202" s="38" t="n">
        <f aca="false">PL!$F$201*tax</f>
        <v>10.1369321202742</v>
      </c>
      <c r="G202" s="38" t="n">
        <f aca="false">PL!$E$202+PL!$F$202</f>
        <v>37.8959321202742</v>
      </c>
      <c r="H202" s="38" t="n">
        <f aca="false">PL!$H$201*tax</f>
        <v>21.7763941894468</v>
      </c>
      <c r="I202" s="38" t="n">
        <f aca="false">PL!$I$201*tax</f>
        <v>24.4992123613667</v>
      </c>
      <c r="J202" s="38" t="n">
        <f aca="false">PL!$J$201*tax</f>
        <v>26.9735358991711</v>
      </c>
      <c r="K202" s="38" t="n">
        <f aca="false">PL!$K$201*tax</f>
        <v>29.0311505854857</v>
      </c>
      <c r="L202" s="38" t="n">
        <f aca="false">PL!$L$201*tax</f>
        <v>31.655256800481</v>
      </c>
      <c r="M202" s="38" t="n">
        <f aca="false">PL!$M$201*tax</f>
        <v>34.4380368933859</v>
      </c>
      <c r="N202" s="38" t="n">
        <f aca="false">Q!$N$37</f>
        <v>7.231</v>
      </c>
      <c r="O202" s="38" t="n">
        <f aca="false">Q!$O$37</f>
        <v>11.856</v>
      </c>
    </row>
    <row r="203" customFormat="false" ht="15" hidden="false" customHeight="false" outlineLevel="0" collapsed="false">
      <c r="A203" s="3" t="s">
        <v>509</v>
      </c>
      <c r="B203" s="8" t="s">
        <v>73</v>
      </c>
      <c r="C203" s="38" t="n">
        <f aca="false">Q!$D$38</f>
        <v>59.248</v>
      </c>
      <c r="D203" s="38" t="n">
        <f aca="false">Q!$E$38</f>
        <v>77.67</v>
      </c>
      <c r="E203" s="38" t="n">
        <f aca="false">Q!$P$38</f>
        <v>92.902</v>
      </c>
      <c r="F203" s="38" t="n">
        <f aca="false">PL!$F$201-PL!$F$202</f>
        <v>48.2607391330247</v>
      </c>
      <c r="G203" s="38" t="n">
        <f aca="false">PL!$E$203+PL!$F$203</f>
        <v>141.162739133025</v>
      </c>
      <c r="H203" s="38" t="n">
        <f aca="false">PL!$H$201-PL!$H$202</f>
        <v>103.674846271574</v>
      </c>
      <c r="I203" s="38" t="n">
        <f aca="false">PL!$I$201-PL!$I$202</f>
        <v>116.637862689418</v>
      </c>
      <c r="J203" s="38" t="n">
        <f aca="false">PL!$J$201-PL!$J$202</f>
        <v>128.417825440658</v>
      </c>
      <c r="K203" s="38" t="n">
        <f aca="false">PL!$K$201-PL!$K$202</f>
        <v>138.21388646132</v>
      </c>
      <c r="L203" s="38" t="n">
        <f aca="false">PL!$L$201-PL!$L$202</f>
        <v>150.706946885977</v>
      </c>
      <c r="M203" s="38" t="n">
        <f aca="false">PL!$M$201-PL!$M$202</f>
        <v>163.955434942798</v>
      </c>
      <c r="N203" s="38" t="n">
        <f aca="false">Q!$N$38</f>
        <v>35.291</v>
      </c>
      <c r="O203" s="38" t="n">
        <f aca="false">Q!$O$38</f>
        <v>42.379</v>
      </c>
    </row>
    <row r="204" customFormat="false" ht="17.15" hidden="false" customHeight="false" outlineLevel="0" collapsed="false">
      <c r="A204" s="5" t="s">
        <v>512</v>
      </c>
      <c r="B204" s="5" t="s">
        <v>33</v>
      </c>
      <c r="C204" s="22" t="n">
        <f aca="false">Q!$D$41</f>
        <v>10.721</v>
      </c>
      <c r="D204" s="22" t="n">
        <f aca="false">Q!$E$41</f>
        <v>10.827</v>
      </c>
      <c r="E204" s="22" t="n">
        <f aca="false">(Q!$L$41+Q!$M$41)/2</f>
        <v>10.8885</v>
      </c>
      <c r="F204" s="22" t="n">
        <f aca="false">PL!$G$204</f>
        <v>10.924806</v>
      </c>
      <c r="G204" s="22" t="n">
        <f aca="false">Q!$M$41*(1+sh_g*0.25)</f>
        <v>10.924806</v>
      </c>
      <c r="H204" s="22" t="n">
        <f aca="false">PL!$G$204*(1+sh_g)</f>
        <v>11.012204448</v>
      </c>
      <c r="I204" s="22" t="n">
        <f aca="false">PL!$H$204*(1+sh_g)</f>
        <v>11.100302083584</v>
      </c>
      <c r="J204" s="22" t="n">
        <f aca="false">PL!$I$204*(1+sh_g)</f>
        <v>11.1891045002527</v>
      </c>
      <c r="K204" s="22" t="n">
        <f aca="false">PL!$J$204*(1+sh_g)</f>
        <v>11.2786173362547</v>
      </c>
      <c r="L204" s="22" t="n">
        <f aca="false">PL!$K$204*(1+sh_g)</f>
        <v>11.3688462749447</v>
      </c>
      <c r="M204" s="22" t="n">
        <f aca="false">PL!$L$204*(1+sh_g)</f>
        <v>11.4597970451443</v>
      </c>
      <c r="P204" s="5" t="s">
        <v>704</v>
      </c>
    </row>
    <row r="205" customFormat="false" ht="17.15" hidden="false" customHeight="false" outlineLevel="0" collapsed="false">
      <c r="A205" s="42" t="s">
        <v>705</v>
      </c>
      <c r="B205" s="13" t="s">
        <v>27</v>
      </c>
      <c r="C205" s="43" t="n">
        <f aca="false">PL!$C$203/PL!$C$204</f>
        <v>5.52635015390355</v>
      </c>
      <c r="D205" s="43" t="n">
        <f aca="false">PL!$D$203/PL!$D$204</f>
        <v>7.1737323358271</v>
      </c>
      <c r="E205" s="43" t="n">
        <f aca="false">PL!$E$203/PL!$E$204</f>
        <v>8.53212104513937</v>
      </c>
      <c r="F205" s="13"/>
      <c r="G205" s="43" t="n">
        <f aca="false">PL!$G$203/PL!$G$204</f>
        <v>12.9213039694274</v>
      </c>
      <c r="H205" s="43" t="n">
        <f aca="false">PL!$H$203/PL!$H$204</f>
        <v>9.41454063635764</v>
      </c>
      <c r="I205" s="43" t="n">
        <f aca="false">PL!$I$203/PL!$I$204</f>
        <v>10.5076295952262</v>
      </c>
      <c r="J205" s="43" t="n">
        <f aca="false">PL!$J$203/PL!$J$204</f>
        <v>11.4770422814228</v>
      </c>
      <c r="K205" s="43" t="n">
        <f aca="false">PL!$K$203/PL!$K$204</f>
        <v>12.2545062342914</v>
      </c>
      <c r="L205" s="43" t="n">
        <f aca="false">PL!$L$203/PL!$L$204</f>
        <v>13.2561337572233</v>
      </c>
      <c r="M205" s="43" t="n">
        <f aca="false">PL!$M$203/PL!$M$204</f>
        <v>14.3070103507871</v>
      </c>
      <c r="N205" s="13"/>
      <c r="O205" s="13"/>
    </row>
    <row r="206" customFormat="false" ht="17.15" hidden="false" customHeight="false" outlineLevel="0" collapsed="false">
      <c r="A206" s="0" t="s">
        <v>706</v>
      </c>
      <c r="B206" s="0" t="s">
        <v>27</v>
      </c>
      <c r="C206" s="30" t="n">
        <f aca="false">(PL!$C$203-PL!$C$200*(1-tax))/PL!$C$204</f>
        <v>5.33926775917445</v>
      </c>
      <c r="D206" s="30" t="n">
        <f aca="false">(PL!$D$203-PL!$D$200*(1-tax))/PL!$D$204</f>
        <v>5.67691812755503</v>
      </c>
      <c r="E206" s="30" t="n">
        <f aca="false">(PL!$E$203-PL!$E$200*(1-tax))/PL!$E$204</f>
        <v>3.10602057006846</v>
      </c>
      <c r="G206" s="30" t="n">
        <f aca="false">(PL!$G$203-PL!$G$200*(1-tax))/PL!$G$204</f>
        <v>7.51323585153046</v>
      </c>
      <c r="H206" s="30" t="n">
        <f aca="false">(PL!$H$203-PL!$H$200*(1-tax))/PL!$H$204</f>
        <v>9.41454063635764</v>
      </c>
      <c r="I206" s="30" t="n">
        <f aca="false">(PL!$I$203-PL!$I$200*(1-tax))/PL!$I$204</f>
        <v>10.5076295952262</v>
      </c>
      <c r="J206" s="30" t="n">
        <f aca="false">(PL!$J$203-PL!$J$200*(1-tax))/PL!$J$204</f>
        <v>11.4770422814228</v>
      </c>
      <c r="K206" s="30" t="n">
        <f aca="false">(PL!$K$203-PL!$K$200*(1-tax))/PL!$K$204</f>
        <v>12.2545062342914</v>
      </c>
      <c r="L206" s="30" t="n">
        <f aca="false">(PL!$L$203-PL!$L$200*(1-tax))/PL!$L$204</f>
        <v>13.2561337572233</v>
      </c>
      <c r="M206" s="30" t="n">
        <f aca="false">(PL!$M$203-PL!$M$200*(1-tax))/PL!$M$204</f>
        <v>14.3070103507871</v>
      </c>
      <c r="P206" s="5" t="s">
        <v>707</v>
      </c>
    </row>
    <row r="207" customFormat="false" ht="17.15" hidden="false" customHeight="false" outlineLevel="0" collapsed="false">
      <c r="A207" s="0" t="s">
        <v>708</v>
      </c>
      <c r="B207" s="0" t="s">
        <v>52</v>
      </c>
      <c r="H207" s="12" t="n">
        <f aca="false">PL!$H$205/PL!$G$205-1</f>
        <v>-0.271393919790681</v>
      </c>
      <c r="I207" s="12" t="n">
        <f aca="false">PL!$I$205/PL!$H$205-1</f>
        <v>0.11610645713793</v>
      </c>
      <c r="J207" s="12" t="n">
        <f aca="false">PL!$J$205/PL!$I$205-1</f>
        <v>0.0922579804903911</v>
      </c>
      <c r="K207" s="12" t="n">
        <f aca="false">PL!$K$205/PL!$J$205-1</f>
        <v>0.0677407936474195</v>
      </c>
      <c r="L207" s="12" t="n">
        <f aca="false">PL!$L$205/PL!$K$205-1</f>
        <v>0.0817354452135402</v>
      </c>
      <c r="M207" s="12" t="n">
        <f aca="false">PL!$M$205/PL!$L$205-1</f>
        <v>0.0792747427575651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715</v>
      </c>
    </row>
    <row r="4" customFormat="false" ht="15" hidden="false" customHeight="false" outlineLevel="0" collapsed="false">
      <c r="A4" s="3" t="s">
        <v>716</v>
      </c>
    </row>
    <row r="5" customFormat="false" ht="17.15" hidden="false" customHeight="false" outlineLevel="0" collapsed="false">
      <c r="A5" s="6" t="s">
        <v>16</v>
      </c>
      <c r="B5" s="20" t="s">
        <v>717</v>
      </c>
      <c r="C5" s="20" t="s">
        <v>718</v>
      </c>
      <c r="D5" s="20" t="s">
        <v>719</v>
      </c>
      <c r="E5" s="6" t="s">
        <v>720</v>
      </c>
      <c r="F5" s="6" t="s">
        <v>23</v>
      </c>
    </row>
    <row r="6" customFormat="false" ht="17.15" hidden="false" customHeight="false" outlineLevel="0" collapsed="false">
      <c r="A6" s="14" t="s">
        <v>721</v>
      </c>
      <c r="B6" s="44" t="n">
        <f aca="false">CF!$G$40</f>
        <v>194.303407425881</v>
      </c>
      <c r="C6" s="44" t="n">
        <f aca="false">CF!$G$70</f>
        <v>9.81640432587554</v>
      </c>
      <c r="D6" s="44" t="n">
        <f aca="false">CF!$G$100</f>
        <v>-53.3099198032599</v>
      </c>
      <c r="E6" s="44" t="n">
        <f aca="false">w_A*B6+w_B*C6+w_C*D6</f>
        <v>40.1565740685931</v>
      </c>
      <c r="F6" s="13" t="s">
        <v>722</v>
      </c>
    </row>
    <row r="7" customFormat="false" ht="17.15" hidden="false" customHeight="false" outlineLevel="0" collapsed="false">
      <c r="A7" s="0" t="s">
        <v>723</v>
      </c>
      <c r="B7" s="45" t="n">
        <f aca="false">CF!$G$41</f>
        <v>0</v>
      </c>
      <c r="C7" s="45" t="n">
        <f aca="false">CF!$G$71</f>
        <v>5.47233545597079</v>
      </c>
      <c r="D7" s="45" t="n">
        <f aca="false">CF!$G$101</f>
        <v>24.2057683071491</v>
      </c>
    </row>
    <row r="8" customFormat="false" ht="17.15" hidden="false" customHeight="false" outlineLevel="0" collapsed="false">
      <c r="A8" s="5" t="s">
        <v>724</v>
      </c>
      <c r="B8" s="0" t="str">
        <f aca="false">IF(B7&gt;0,"需要舉債","不需要（現金足以支應）")</f>
        <v>不需要（現金足以支應）</v>
      </c>
      <c r="C8" s="0" t="str">
        <f aca="false">IF(C7&gt;0,"需要舉債","不需要（現金足以支應）")</f>
        <v>需要舉債</v>
      </c>
      <c r="D8" s="0" t="str">
        <f aca="false">IF(D7&gt;0,"需要舉債","不需要（現金足以支應）")</f>
        <v>需要舉債</v>
      </c>
      <c r="F8" s="5" t="s">
        <v>725</v>
      </c>
    </row>
    <row r="9" customFormat="false" ht="17.15" hidden="false" customHeight="false" outlineLevel="0" collapsed="false">
      <c r="A9" s="5" t="s">
        <v>726</v>
      </c>
      <c r="B9" s="5" t="s">
        <v>727</v>
      </c>
      <c r="C9" s="5" t="s">
        <v>727</v>
      </c>
      <c r="D9" s="5" t="s">
        <v>727</v>
      </c>
    </row>
    <row r="10" customFormat="false" ht="17.15" hidden="false" customHeight="false" outlineLevel="0" collapsed="false">
      <c r="A10" s="0" t="s">
        <v>728</v>
      </c>
      <c r="B10" s="45" t="n">
        <f aca="false">CF!$I$29</f>
        <v>30.9169363385503</v>
      </c>
      <c r="C10" s="45" t="n">
        <f aca="false">CF!$I$59</f>
        <v>-3.97574477606648</v>
      </c>
      <c r="D10" s="45" t="n">
        <f aca="false">CF!$I$89</f>
        <v>-16.1495103805229</v>
      </c>
    </row>
    <row r="14" customFormat="false" ht="19.4" hidden="false" customHeight="false" outlineLevel="0" collapsed="false">
      <c r="A14" s="31" t="s">
        <v>729</v>
      </c>
    </row>
    <row r="15" customFormat="false" ht="17.15" hidden="false" customHeight="false" outlineLevel="0" collapsed="false">
      <c r="A15" s="6" t="s">
        <v>16</v>
      </c>
      <c r="B15" s="6" t="s">
        <v>17</v>
      </c>
      <c r="C15" s="20" t="s">
        <v>457</v>
      </c>
      <c r="D15" s="20" t="s">
        <v>458</v>
      </c>
      <c r="E15" s="20" t="s">
        <v>540</v>
      </c>
      <c r="F15" s="20" t="s">
        <v>541</v>
      </c>
      <c r="G15" s="20" t="s">
        <v>542</v>
      </c>
      <c r="H15" s="20" t="s">
        <v>543</v>
      </c>
      <c r="I15" s="20" t="s">
        <v>544</v>
      </c>
      <c r="J15" s="20" t="s">
        <v>545</v>
      </c>
      <c r="K15" s="20" t="s">
        <v>546</v>
      </c>
      <c r="L15" s="20" t="s">
        <v>547</v>
      </c>
      <c r="M15" s="20" t="s">
        <v>548</v>
      </c>
      <c r="N15" s="20" t="s">
        <v>549</v>
      </c>
      <c r="O15" s="20" t="s">
        <v>550</v>
      </c>
      <c r="P15" s="6" t="s">
        <v>23</v>
      </c>
      <c r="R15" s="20" t="n">
        <v>2023</v>
      </c>
      <c r="S15" s="20" t="n">
        <v>2024</v>
      </c>
      <c r="T15" s="20" t="n">
        <v>2025</v>
      </c>
      <c r="U15" s="20" t="n">
        <v>2026</v>
      </c>
      <c r="V15" s="20" t="n">
        <v>2027</v>
      </c>
      <c r="W15" s="20" t="n">
        <v>2028</v>
      </c>
      <c r="X15" s="20" t="n">
        <v>2029</v>
      </c>
      <c r="Y15" s="20" t="n">
        <v>2030</v>
      </c>
      <c r="Z15" s="20" t="n">
        <v>2031</v>
      </c>
      <c r="AA15" s="20" t="n">
        <v>2032</v>
      </c>
    </row>
    <row r="16" customFormat="false" ht="15" hidden="false" customHeight="false" outlineLevel="0" collapsed="false">
      <c r="A16" s="5" t="s">
        <v>509</v>
      </c>
      <c r="B16" s="0" t="s">
        <v>73</v>
      </c>
      <c r="C16" s="38" t="n">
        <f aca="false">PL!$C$71</f>
        <v>59.248</v>
      </c>
      <c r="D16" s="38" t="n">
        <f aca="false">PL!$D$71</f>
        <v>77.67</v>
      </c>
      <c r="E16" s="38" t="n">
        <f aca="false">PL!$E$71</f>
        <v>92.902</v>
      </c>
      <c r="F16" s="38" t="n">
        <f aca="false">PL!$F$71</f>
        <v>51.2347864989923</v>
      </c>
      <c r="G16" s="38" t="n">
        <f aca="false">PL!$G$71</f>
        <v>144.136786498992</v>
      </c>
      <c r="H16" s="38" t="n">
        <f aca="false">PL!$H$71</f>
        <v>127.675227697787</v>
      </c>
      <c r="I16" s="38" t="n">
        <f aca="false">PL!$I$71</f>
        <v>165.923234260384</v>
      </c>
      <c r="J16" s="38" t="n">
        <f aca="false">PL!$J$71</f>
        <v>204.1591209523</v>
      </c>
      <c r="K16" s="38" t="n">
        <f aca="false">PL!$K$71</f>
        <v>241.153271705763</v>
      </c>
      <c r="L16" s="38" t="n">
        <f aca="false">PL!$L$71</f>
        <v>281.874792397161</v>
      </c>
      <c r="M16" s="38" t="n">
        <f aca="false">PL!$M$71</f>
        <v>324.410160879885</v>
      </c>
    </row>
    <row r="17" customFormat="false" ht="17.15" hidden="false" customHeight="false" outlineLevel="0" collapsed="false">
      <c r="A17" s="5" t="s">
        <v>730</v>
      </c>
      <c r="B17" s="0" t="s">
        <v>73</v>
      </c>
      <c r="C17" s="38" t="n">
        <f aca="false">PL!$C$59</f>
        <v>32.067</v>
      </c>
      <c r="D17" s="38" t="n">
        <f aca="false">PL!$D$59</f>
        <v>41.86</v>
      </c>
      <c r="E17" s="38" t="n">
        <f aca="false">PL!$E$59</f>
        <v>26.703</v>
      </c>
      <c r="F17" s="38" t="n">
        <f aca="false">PL!$F$59</f>
        <v>30.6103857251209</v>
      </c>
      <c r="G17" s="38" t="n">
        <f aca="false">PL!$G$59</f>
        <v>57.3133857251209</v>
      </c>
      <c r="H17" s="38" t="n">
        <f aca="false">PL!$H$59</f>
        <v>88.0472240036338</v>
      </c>
      <c r="I17" s="38" t="n">
        <f aca="false">PL!$I$59</f>
        <v>123.410374122513</v>
      </c>
      <c r="J17" s="38" t="n">
        <f aca="false">PL!$J$59</f>
        <v>159.029967077846</v>
      </c>
      <c r="K17" s="38" t="n">
        <f aca="false">PL!$K$59</f>
        <v>194.027037948974</v>
      </c>
      <c r="L17" s="38" t="n">
        <f aca="false">PL!$L$59</f>
        <v>227.366043021479</v>
      </c>
      <c r="M17" s="38" t="n">
        <f aca="false">PL!$M$59</f>
        <v>261.813524644151</v>
      </c>
    </row>
    <row r="18" customFormat="false" ht="15" hidden="false" customHeight="false" outlineLevel="0" collapsed="false">
      <c r="A18" s="5" t="s">
        <v>731</v>
      </c>
      <c r="B18" s="0" t="s">
        <v>73</v>
      </c>
      <c r="C18" s="38" t="n">
        <f aca="false">Q!$D$48</f>
        <v>22.011</v>
      </c>
      <c r="D18" s="38" t="n">
        <f aca="false">Q!$E$48</f>
        <v>19.467</v>
      </c>
      <c r="E18" s="38" t="n">
        <f aca="false">Q!$P$48</f>
        <v>10.07</v>
      </c>
      <c r="F18" s="38" t="n">
        <f aca="false">sbc_r*Seg!$F$29</f>
        <v>11.2869691411456</v>
      </c>
      <c r="G18" s="38" t="n">
        <f aca="false">CF!$E$18+CF!$F$18</f>
        <v>21.3569691411456</v>
      </c>
      <c r="H18" s="38" t="n">
        <f aca="false">sbc_r*Seg!$H$29</f>
        <v>24.74788445192</v>
      </c>
      <c r="I18" s="38" t="n">
        <f aca="false">sbc_r*Seg!$I$29</f>
        <v>28.8091600658898</v>
      </c>
      <c r="J18" s="38" t="n">
        <f aca="false">sbc_r*Seg!$J$29</f>
        <v>32.6554595728128</v>
      </c>
      <c r="K18" s="38" t="n">
        <f aca="false">sbc_r*Seg!$K$29</f>
        <v>36.1441332341223</v>
      </c>
      <c r="L18" s="38" t="n">
        <f aca="false">sbc_r*Seg!$L$29</f>
        <v>39.7688497026112</v>
      </c>
      <c r="M18" s="38" t="n">
        <f aca="false">sbc_r*Seg!$M$29</f>
        <v>43.5394497490565</v>
      </c>
    </row>
    <row r="19" customFormat="false" ht="17.15" hidden="false" customHeight="false" outlineLevel="0" collapsed="false">
      <c r="A19" s="5" t="s">
        <v>732</v>
      </c>
      <c r="B19" s="0" t="s">
        <v>73</v>
      </c>
      <c r="C19" s="38" t="n">
        <f aca="false">Q!$D$44-CF!$C$16-CF!$C$17-CF!$C$18</f>
        <v>2.551</v>
      </c>
      <c r="D19" s="38" t="n">
        <f aca="false">Q!$E$44-CF!$D$16-CF!$D$17-CF!$D$18</f>
        <v>0.51700000000001</v>
      </c>
      <c r="E19" s="38" t="n">
        <f aca="false">Q!$P$44-CF!$E$16-CF!$E$17-CF!$E$18</f>
        <v>-58.256</v>
      </c>
      <c r="F19" s="38" t="n">
        <f aca="false">wc_2h26+oth_r*Seg!$F$29</f>
        <v>7.3796355231992</v>
      </c>
      <c r="G19" s="38" t="n">
        <f aca="false">CF!$E$19+CF!$F$19</f>
        <v>-50.8763644768008</v>
      </c>
      <c r="H19" s="38" t="n">
        <f aca="false">oth_r*Seg!$H$29</f>
        <v>11.9116331865761</v>
      </c>
      <c r="I19" s="38" t="n">
        <f aca="false">oth_r*Seg!$I$29</f>
        <v>13.8664033196426</v>
      </c>
      <c r="J19" s="38" t="n">
        <f aca="false">oth_r*Seg!$J$29</f>
        <v>15.7177013140706</v>
      </c>
      <c r="K19" s="38" t="n">
        <f aca="false">oth_r*Seg!$K$29</f>
        <v>17.3968671046626</v>
      </c>
      <c r="L19" s="38" t="n">
        <f aca="false">oth_r*Seg!$L$29</f>
        <v>19.1415129171911</v>
      </c>
      <c r="M19" s="38" t="n">
        <f aca="false">oth_r*Seg!$M$29</f>
        <v>20.9563753040671</v>
      </c>
      <c r="P19" s="8" t="s">
        <v>733</v>
      </c>
    </row>
    <row r="20" customFormat="false" ht="15" hidden="false" customHeight="false" outlineLevel="0" collapsed="false">
      <c r="A20" s="3" t="s">
        <v>515</v>
      </c>
      <c r="B20" s="8" t="s">
        <v>73</v>
      </c>
      <c r="C20" s="38" t="n">
        <f aca="false">Q!$D$44</f>
        <v>115.877</v>
      </c>
      <c r="D20" s="38" t="n">
        <f aca="false">Q!$E$44</f>
        <v>139.514</v>
      </c>
      <c r="E20" s="38" t="n">
        <f aca="false">Q!$P$44</f>
        <v>71.419</v>
      </c>
      <c r="F20" s="38" t="n">
        <f aca="false">CF!$F$16+CF!$F$17+CF!$F$18+CF!$F$19</f>
        <v>100.511776888458</v>
      </c>
      <c r="G20" s="38" t="n">
        <f aca="false">CF!$E$20+CF!$F$20</f>
        <v>171.930776888458</v>
      </c>
      <c r="H20" s="38" t="n">
        <f aca="false">CF!$H$16+CF!$H$17+CF!$H$18+CF!$H$19</f>
        <v>252.381969339917</v>
      </c>
      <c r="I20" s="38" t="n">
        <f aca="false">CF!$I$16+CF!$I$17+CF!$I$18+CF!$I$19</f>
        <v>332.009171768429</v>
      </c>
      <c r="J20" s="38" t="n">
        <f aca="false">CF!$J$16+CF!$J$17+CF!$J$18+CF!$J$19</f>
        <v>411.562248917029</v>
      </c>
      <c r="K20" s="38" t="n">
        <f aca="false">CF!$K$16+CF!$K$17+CF!$K$18+CF!$K$19</f>
        <v>488.721309993522</v>
      </c>
      <c r="L20" s="38" t="n">
        <f aca="false">CF!$L$16+CF!$L$17+CF!$L$18+CF!$L$19</f>
        <v>568.151198038442</v>
      </c>
      <c r="M20" s="38" t="n">
        <f aca="false">CF!$M$16+CF!$M$17+CF!$M$18+CF!$M$19</f>
        <v>650.71951057716</v>
      </c>
    </row>
    <row r="21" customFormat="false" ht="17.15" hidden="false" customHeight="false" outlineLevel="0" collapsed="false">
      <c r="A21" s="5" t="s">
        <v>734</v>
      </c>
      <c r="B21" s="0" t="s">
        <v>73</v>
      </c>
      <c r="C21" s="38" t="n">
        <f aca="false">Thesis!$C$34</f>
        <v>25.2781053077374</v>
      </c>
      <c r="D21" s="38" t="n">
        <f aca="false">Thesis!$D$34</f>
        <v>69.5686316310026</v>
      </c>
      <c r="E21" s="38" t="n">
        <f aca="false">Thesis!$E$34</f>
        <v>64.1899206485108</v>
      </c>
      <c r="F21" s="38" t="n">
        <f aca="false">Thesis!$F$34</f>
        <v>98.862028245</v>
      </c>
      <c r="G21" s="38" t="n">
        <f aca="false">Thesis!$G$34</f>
        <v>163.051948893511</v>
      </c>
      <c r="H21" s="38" t="n">
        <f aca="false">Thesis!$H$34</f>
        <v>203.9641486225</v>
      </c>
      <c r="I21" s="38" t="n">
        <f aca="false">Thesis!$I$34</f>
        <v>210.204240755</v>
      </c>
      <c r="J21" s="38" t="n">
        <f aca="false">Thesis!$J$34</f>
        <v>215.441008955</v>
      </c>
      <c r="K21" s="38" t="n">
        <f aca="false">Thesis!$K$34</f>
        <v>220.677777155</v>
      </c>
      <c r="L21" s="38" t="n">
        <f aca="false">Thesis!$L$34</f>
        <v>257.335154555</v>
      </c>
      <c r="M21" s="38" t="n">
        <f aca="false">Thesis!$M$34</f>
        <v>319.5872365325</v>
      </c>
    </row>
    <row r="22" customFormat="false" ht="17.15" hidden="false" customHeight="false" outlineLevel="0" collapsed="false">
      <c r="A22" s="5" t="s">
        <v>735</v>
      </c>
      <c r="B22" s="0" t="s">
        <v>73</v>
      </c>
      <c r="C22" s="38" t="n">
        <f aca="false">cx_awso*Seg!$C$27</f>
        <v>21.0469989286053</v>
      </c>
      <c r="D22" s="38" t="n">
        <f aca="false">cx_awso*Seg!$D$27</f>
        <v>24.0042459822698</v>
      </c>
      <c r="E22" s="38" t="n">
        <f aca="false">cx_awso*Seg!$E$27</f>
        <v>14.261729404886</v>
      </c>
      <c r="F22" s="38" t="n">
        <f aca="false">cx_awso*Seg!$F$27</f>
        <v>15.7190020837331</v>
      </c>
      <c r="G22" s="38" t="n">
        <f aca="false">CF!$E$22+CF!$F$22</f>
        <v>29.9807314886191</v>
      </c>
      <c r="H22" s="38" t="n">
        <f aca="false">cx_awso*Seg!$H$27</f>
        <v>36.1787121536283</v>
      </c>
      <c r="I22" s="38" t="n">
        <f aca="false">cx_awso*Seg!$I$27</f>
        <v>42.1296794430021</v>
      </c>
      <c r="J22" s="38" t="n">
        <f aca="false">cx_awso*Seg!$J$27</f>
        <v>47.279781889299</v>
      </c>
      <c r="K22" s="38" t="n">
        <f aca="false">cx_awso*Seg!$K$27</f>
        <v>51.0621644404429</v>
      </c>
      <c r="L22" s="38" t="n">
        <f aca="false">cx_awso*Seg!$L$27</f>
        <v>55.1471375956783</v>
      </c>
      <c r="M22" s="38" t="n">
        <f aca="false">cx_awso*Seg!$M$27</f>
        <v>59.5589086033326</v>
      </c>
    </row>
    <row r="23" customFormat="false" ht="17.15" hidden="false" customHeight="false" outlineLevel="0" collapsed="false">
      <c r="A23" s="5" t="s">
        <v>736</v>
      </c>
      <c r="B23" s="0" t="s">
        <v>73</v>
      </c>
      <c r="C23" s="38" t="n">
        <f aca="false">Q!$D$46-CF!$C$21-CF!$C$22</f>
        <v>31.3328957636573</v>
      </c>
      <c r="D23" s="38" t="n">
        <f aca="false">Q!$E$46-CF!$D$21-CF!$D$22</f>
        <v>34.7471223867276</v>
      </c>
      <c r="E23" s="38" t="n">
        <f aca="false">Q!$P$46-CF!$E$21-CF!$E$22</f>
        <v>17.8583499466032</v>
      </c>
      <c r="F23" s="38" t="n">
        <f aca="false">cx_rt*Seg!$F$19</f>
        <v>21.0855744229195</v>
      </c>
      <c r="G23" s="38" t="n">
        <f aca="false">CF!$E$23+CF!$F$23</f>
        <v>38.9439243695228</v>
      </c>
      <c r="H23" s="38" t="n">
        <f aca="false">cx_rt*Seg!$H$19</f>
        <v>43.1200434029767</v>
      </c>
      <c r="I23" s="38" t="n">
        <f aca="false">cx_rt*Seg!$I$19</f>
        <v>47.1583152318763</v>
      </c>
      <c r="J23" s="38" t="n">
        <f aca="false">cx_rt*Seg!$J$19</f>
        <v>50.9060281137911</v>
      </c>
      <c r="K23" s="38" t="n">
        <f aca="false">cx_rt*Seg!$K$19</f>
        <v>54.2035645673053</v>
      </c>
      <c r="L23" s="38" t="n">
        <f aca="false">cx_rt*Seg!$L$19</f>
        <v>57.7318979121519</v>
      </c>
      <c r="M23" s="38" t="n">
        <f aca="false">cx_rt*Seg!$M$19</f>
        <v>61.5084196557756</v>
      </c>
    </row>
    <row r="24" customFormat="false" ht="15" hidden="false" customHeight="false" outlineLevel="0" collapsed="false">
      <c r="A24" s="3" t="s">
        <v>737</v>
      </c>
      <c r="B24" s="8" t="s">
        <v>73</v>
      </c>
      <c r="C24" s="38" t="n">
        <f aca="false">Q!$D$46</f>
        <v>77.658</v>
      </c>
      <c r="D24" s="38" t="n">
        <f aca="false">Q!$E$46</f>
        <v>128.32</v>
      </c>
      <c r="E24" s="38" t="n">
        <f aca="false">Q!$P$46</f>
        <v>96.31</v>
      </c>
      <c r="F24" s="38" t="n">
        <f aca="false">CF!$F$21+CF!$F$22+CF!$F$23</f>
        <v>135.666604751653</v>
      </c>
      <c r="G24" s="38" t="n">
        <f aca="false">CF!$E$24+CF!$F$24</f>
        <v>231.976604751653</v>
      </c>
      <c r="H24" s="38" t="n">
        <f aca="false">CF!$H$21+CF!$H$22+CF!$H$23</f>
        <v>283.262904179105</v>
      </c>
      <c r="I24" s="38" t="n">
        <f aca="false">CF!$I$21+CF!$I$22+CF!$I$23</f>
        <v>299.492235429878</v>
      </c>
      <c r="J24" s="38" t="n">
        <f aca="false">CF!$J$21+CF!$J$22+CF!$J$23</f>
        <v>313.62681895809</v>
      </c>
      <c r="K24" s="38" t="n">
        <f aca="false">CF!$K$21+CF!$K$22+CF!$K$23</f>
        <v>325.943506162748</v>
      </c>
      <c r="L24" s="38" t="n">
        <f aca="false">CF!$L$21+CF!$L$22+CF!$L$23</f>
        <v>370.21419006283</v>
      </c>
      <c r="M24" s="38" t="n">
        <f aca="false">CF!$M$21+CF!$M$22+CF!$M$23</f>
        <v>440.654564791608</v>
      </c>
    </row>
    <row r="25" customFormat="false" ht="17.15" hidden="false" customHeight="false" outlineLevel="0" collapsed="false">
      <c r="A25" s="5" t="s">
        <v>523</v>
      </c>
      <c r="B25" s="0" t="s">
        <v>73</v>
      </c>
      <c r="C25" s="38" t="n">
        <f aca="false">Q!$D$50</f>
        <v>2.043</v>
      </c>
      <c r="D25" s="38" t="n">
        <f aca="false">Q!$E$50</f>
        <v>1.557</v>
      </c>
      <c r="E25" s="38" t="n">
        <f aca="false">lease_pr/2</f>
        <v>0.8</v>
      </c>
      <c r="F25" s="38" t="n">
        <f aca="false">lease_pr/2</f>
        <v>0.8</v>
      </c>
      <c r="G25" s="38" t="n">
        <f aca="false">CF!$E$25+CF!$F$25</f>
        <v>1.6</v>
      </c>
      <c r="H25" s="38" t="n">
        <f aca="false">lease_pr</f>
        <v>1.6</v>
      </c>
      <c r="I25" s="38" t="n">
        <f aca="false">lease_pr</f>
        <v>1.6</v>
      </c>
      <c r="J25" s="38" t="n">
        <f aca="false">lease_pr</f>
        <v>1.6</v>
      </c>
      <c r="K25" s="38" t="n">
        <f aca="false">lease_pr</f>
        <v>1.6</v>
      </c>
      <c r="L25" s="38" t="n">
        <f aca="false">lease_pr</f>
        <v>1.6</v>
      </c>
      <c r="M25" s="38" t="n">
        <f aca="false">lease_pr</f>
        <v>1.6</v>
      </c>
      <c r="P25" s="8" t="s">
        <v>738</v>
      </c>
    </row>
    <row r="26" customFormat="false" ht="15" hidden="false" customHeight="false" outlineLevel="0" collapsed="false">
      <c r="A26" s="46" t="s">
        <v>739</v>
      </c>
      <c r="B26" s="13" t="s">
        <v>73</v>
      </c>
      <c r="C26" s="47" t="n">
        <f aca="false">CF!$C$20-CF!$C$24-CF!$C$25</f>
        <v>36.176</v>
      </c>
      <c r="D26" s="47" t="n">
        <f aca="false">CF!$D$20-CF!$D$24-CF!$D$25</f>
        <v>9.63700000000002</v>
      </c>
      <c r="E26" s="47" t="n">
        <f aca="false">CF!$E$20-CF!$E$24-CF!$E$25</f>
        <v>-25.691</v>
      </c>
      <c r="F26" s="47" t="n">
        <f aca="false">CF!$F$20-CF!$F$24-CF!$F$25</f>
        <v>-35.9548278631946</v>
      </c>
      <c r="G26" s="47" t="n">
        <f aca="false">CF!$G$20-CF!$G$24-CF!$G$25</f>
        <v>-61.6458278631946</v>
      </c>
      <c r="H26" s="47" t="n">
        <f aca="false">CF!$H$20-CF!$H$24-CF!$H$25</f>
        <v>-32.4809348391878</v>
      </c>
      <c r="I26" s="47" t="n">
        <f aca="false">CF!$I$20-CF!$I$24-CF!$I$25</f>
        <v>30.9169363385503</v>
      </c>
      <c r="J26" s="47" t="n">
        <f aca="false">CF!$J$20-CF!$J$24-CF!$J$25</f>
        <v>96.335429958939</v>
      </c>
      <c r="K26" s="47" t="n">
        <f aca="false">CF!$K$20-CF!$K$24-CF!$K$25</f>
        <v>161.177803830774</v>
      </c>
      <c r="L26" s="47" t="n">
        <f aca="false">CF!$L$20-CF!$L$24-CF!$L$25</f>
        <v>196.337007975612</v>
      </c>
      <c r="M26" s="47" t="n">
        <f aca="false">CF!$M$20-CF!$M$24-CF!$M$25</f>
        <v>208.464945785552</v>
      </c>
      <c r="N26" s="13"/>
      <c r="O26" s="13"/>
    </row>
    <row r="27" customFormat="false" ht="17.15" hidden="false" customHeight="false" outlineLevel="0" collapsed="false">
      <c r="A27" s="5" t="s">
        <v>740</v>
      </c>
      <c r="B27" s="0" t="s">
        <v>73</v>
      </c>
      <c r="C27" s="38" t="n">
        <f aca="false">dps*PL!$C$72</f>
        <v>0</v>
      </c>
      <c r="D27" s="38" t="n">
        <f aca="false">dps*PL!$D$72</f>
        <v>0</v>
      </c>
      <c r="E27" s="38" t="n">
        <f aca="false">dps*PL!$E$72</f>
        <v>0</v>
      </c>
      <c r="F27" s="38" t="n">
        <f aca="false">0</f>
        <v>0</v>
      </c>
      <c r="G27" s="38" t="n">
        <f aca="false">dps*PL!$G$72</f>
        <v>0</v>
      </c>
      <c r="H27" s="38" t="n">
        <f aca="false">dps*PL!$H$72</f>
        <v>0</v>
      </c>
      <c r="I27" s="38" t="n">
        <f aca="false">dps*PL!$I$72</f>
        <v>0</v>
      </c>
      <c r="J27" s="38" t="n">
        <f aca="false">dps*PL!$J$72</f>
        <v>0</v>
      </c>
      <c r="K27" s="38" t="n">
        <f aca="false">dps*PL!$K$72</f>
        <v>0</v>
      </c>
      <c r="L27" s="38" t="n">
        <f aca="false">dps*PL!$L$72</f>
        <v>0</v>
      </c>
      <c r="M27" s="38" t="n">
        <f aca="false">dps*PL!$M$72</f>
        <v>0</v>
      </c>
      <c r="P27" s="8" t="s">
        <v>741</v>
      </c>
    </row>
    <row r="28" customFormat="false" ht="17.15" hidden="false" customHeight="false" outlineLevel="0" collapsed="false">
      <c r="A28" s="5" t="s">
        <v>742</v>
      </c>
      <c r="B28" s="0" t="s">
        <v>73</v>
      </c>
      <c r="C28" s="38" t="n">
        <f aca="false">0</f>
        <v>0</v>
      </c>
      <c r="D28" s="38" t="n">
        <f aca="false">0</f>
        <v>0</v>
      </c>
      <c r="E28" s="38" t="n">
        <f aca="false">0</f>
        <v>0</v>
      </c>
      <c r="F28" s="38" t="n">
        <f aca="false">0</f>
        <v>0</v>
      </c>
      <c r="G28" s="38" t="n">
        <f aca="false">0</f>
        <v>0</v>
      </c>
      <c r="H28" s="38" t="n">
        <f aca="false">0</f>
        <v>0</v>
      </c>
      <c r="I28" s="38" t="n">
        <f aca="false">0</f>
        <v>0</v>
      </c>
      <c r="J28" s="38" t="n">
        <f aca="false">0</f>
        <v>0</v>
      </c>
      <c r="K28" s="38" t="n">
        <f aca="false">0</f>
        <v>0</v>
      </c>
      <c r="L28" s="38" t="n">
        <f aca="false">0</f>
        <v>0</v>
      </c>
      <c r="M28" s="38" t="n">
        <f aca="false">0</f>
        <v>0</v>
      </c>
      <c r="P28" s="8" t="s">
        <v>743</v>
      </c>
    </row>
    <row r="29" customFormat="false" ht="15" hidden="false" customHeight="false" outlineLevel="0" collapsed="false">
      <c r="A29" s="3" t="s">
        <v>744</v>
      </c>
      <c r="B29" s="8" t="s">
        <v>73</v>
      </c>
      <c r="C29" s="38" t="n">
        <f aca="false">CF!$C$26-CF!$C$27</f>
        <v>36.176</v>
      </c>
      <c r="D29" s="38" t="n">
        <f aca="false">CF!$D$26-CF!$D$27</f>
        <v>9.63700000000002</v>
      </c>
      <c r="E29" s="38" t="n">
        <f aca="false">CF!$E$26-CF!$E$27</f>
        <v>-25.691</v>
      </c>
      <c r="F29" s="38" t="n">
        <f aca="false">CF!$F$26-CF!$F$27</f>
        <v>-35.9548278631946</v>
      </c>
      <c r="G29" s="38" t="n">
        <f aca="false">CF!$G$26-CF!$G$27</f>
        <v>-61.6458278631946</v>
      </c>
      <c r="H29" s="38" t="n">
        <f aca="false">CF!$H$26-CF!$H$27</f>
        <v>-32.4809348391878</v>
      </c>
      <c r="I29" s="38" t="n">
        <f aca="false">CF!$I$26-CF!$I$27</f>
        <v>30.9169363385503</v>
      </c>
      <c r="J29" s="38" t="n">
        <f aca="false">CF!$J$26-CF!$J$27</f>
        <v>96.335429958939</v>
      </c>
      <c r="K29" s="38" t="n">
        <f aca="false">CF!$K$26-CF!$K$27</f>
        <v>161.177803830774</v>
      </c>
      <c r="L29" s="38" t="n">
        <f aca="false">CF!$L$26-CF!$L$27</f>
        <v>196.337007975612</v>
      </c>
      <c r="M29" s="38" t="n">
        <f aca="false">CF!$M$26-CF!$M$27</f>
        <v>208.464945785552</v>
      </c>
    </row>
    <row r="30" customFormat="false" ht="17.15" hidden="false" customHeight="false" outlineLevel="0" collapsed="false">
      <c r="A30" s="5" t="s">
        <v>745</v>
      </c>
      <c r="B30" s="0" t="s">
        <v>73</v>
      </c>
      <c r="E30" s="38" t="n">
        <f aca="false">Q!$P$53</f>
        <v>39.767</v>
      </c>
      <c r="F30" s="38" t="n">
        <f aca="false">inv_2h26</f>
        <v>21.3</v>
      </c>
      <c r="G30" s="38" t="n">
        <f aca="false">CF!$E$30+CF!$F$30</f>
        <v>61.067</v>
      </c>
      <c r="H30" s="41" t="n">
        <v>0</v>
      </c>
      <c r="I30" s="41" t="n">
        <v>0</v>
      </c>
      <c r="J30" s="41" t="n">
        <v>0</v>
      </c>
      <c r="K30" s="41" t="n">
        <v>0</v>
      </c>
      <c r="L30" s="41" t="n">
        <v>0</v>
      </c>
      <c r="M30" s="41" t="n">
        <v>0</v>
      </c>
    </row>
    <row r="31" customFormat="false" ht="17.15" hidden="false" customHeight="false" outlineLevel="0" collapsed="false">
      <c r="A31" s="5" t="s">
        <v>746</v>
      </c>
      <c r="B31" s="0" t="s">
        <v>73</v>
      </c>
      <c r="F31" s="38" t="n">
        <f aca="false">iss_2h26</f>
        <v>29.25</v>
      </c>
      <c r="G31" s="38" t="n">
        <f aca="false">CF!$F$31</f>
        <v>29.25</v>
      </c>
      <c r="H31" s="41" t="n">
        <v>0</v>
      </c>
      <c r="I31" s="41" t="n">
        <v>0</v>
      </c>
      <c r="J31" s="41" t="n">
        <v>0</v>
      </c>
      <c r="K31" s="41" t="n">
        <v>0</v>
      </c>
      <c r="L31" s="41" t="n">
        <v>0</v>
      </c>
      <c r="M31" s="41" t="n">
        <v>0</v>
      </c>
    </row>
    <row r="32" customFormat="false" ht="17.15" hidden="false" customHeight="false" outlineLevel="0" collapsed="false">
      <c r="A32" s="5" t="s">
        <v>747</v>
      </c>
      <c r="B32" s="0" t="s">
        <v>73</v>
      </c>
      <c r="F32" s="38" t="n">
        <f aca="false">cash_q2</f>
        <v>122.988</v>
      </c>
      <c r="G32" s="38" t="n">
        <f aca="false">cash_q2</f>
        <v>122.988</v>
      </c>
      <c r="H32" s="38" t="n">
        <f aca="false">CF!$G$35</f>
        <v>94.9831721368054</v>
      </c>
      <c r="I32" s="38" t="n">
        <f aca="false">CF!$H$35</f>
        <v>62.5022372976176</v>
      </c>
      <c r="J32" s="38" t="n">
        <f aca="false">CF!$I$35</f>
        <v>93.4191736361679</v>
      </c>
      <c r="K32" s="38" t="n">
        <f aca="false">CF!$J$35</f>
        <v>189.754603595107</v>
      </c>
      <c r="L32" s="38" t="n">
        <f aca="false">CF!$K$35</f>
        <v>350.932407425881</v>
      </c>
      <c r="M32" s="38" t="n">
        <f aca="false">CF!$L$35</f>
        <v>547.269415401493</v>
      </c>
    </row>
    <row r="33" customFormat="false" ht="15" hidden="false" customHeight="false" outlineLevel="0" collapsed="false">
      <c r="A33" s="5" t="s">
        <v>748</v>
      </c>
      <c r="B33" s="0" t="s">
        <v>73</v>
      </c>
      <c r="F33" s="38" t="n">
        <f aca="false">CF!$F$32+CF!$F$29-CF!$F$28-CF!$F$30+CF!$F$31</f>
        <v>94.9831721368054</v>
      </c>
      <c r="H33" s="38" t="n">
        <f aca="false">CF!$H$32+CF!$H$29-CF!$H$28-CF!$H$30+CF!$H$31</f>
        <v>62.5022372976176</v>
      </c>
      <c r="I33" s="38" t="n">
        <f aca="false">CF!$I$32+CF!$I$29-CF!$I$28-CF!$I$30+CF!$I$31</f>
        <v>93.4191736361679</v>
      </c>
      <c r="J33" s="38" t="n">
        <f aca="false">CF!$J$32+CF!$J$29-CF!$J$28-CF!$J$30+CF!$J$31</f>
        <v>189.754603595107</v>
      </c>
      <c r="K33" s="38" t="n">
        <f aca="false">CF!$K$32+CF!$K$29-CF!$K$28-CF!$K$30+CF!$K$31</f>
        <v>350.932407425881</v>
      </c>
      <c r="L33" s="38" t="n">
        <f aca="false">CF!$L$32+CF!$L$29-CF!$L$28-CF!$L$30+CF!$L$31</f>
        <v>547.269415401493</v>
      </c>
      <c r="M33" s="38" t="n">
        <f aca="false">CF!$M$32+CF!$M$29-CF!$M$28-CF!$M$30+CF!$M$31</f>
        <v>755.734361187045</v>
      </c>
    </row>
    <row r="34" customFormat="false" ht="17.15" hidden="false" customHeight="false" outlineLevel="0" collapsed="false">
      <c r="A34" s="5" t="s">
        <v>749</v>
      </c>
      <c r="B34" s="0" t="s">
        <v>73</v>
      </c>
      <c r="F34" s="38" t="n">
        <f aca="false">MAX(0,min_cash-CF!$F$33)</f>
        <v>0</v>
      </c>
      <c r="G34" s="38" t="n">
        <f aca="false">CF!$F$34</f>
        <v>0</v>
      </c>
      <c r="H34" s="38" t="n">
        <f aca="false">MAX(0,min_cash-CF!$H$33)</f>
        <v>0</v>
      </c>
      <c r="I34" s="38" t="n">
        <f aca="false">MAX(0,min_cash-CF!$I$33)</f>
        <v>0</v>
      </c>
      <c r="J34" s="38" t="n">
        <f aca="false">MAX(0,min_cash-CF!$J$33)</f>
        <v>0</v>
      </c>
      <c r="K34" s="38" t="n">
        <f aca="false">MAX(0,min_cash-CF!$K$33)</f>
        <v>0</v>
      </c>
      <c r="L34" s="38" t="n">
        <f aca="false">MAX(0,min_cash-CF!$L$33)</f>
        <v>0</v>
      </c>
      <c r="M34" s="38" t="n">
        <f aca="false">MAX(0,min_cash-CF!$M$33)</f>
        <v>0</v>
      </c>
      <c r="P34" s="5" t="s">
        <v>750</v>
      </c>
    </row>
    <row r="35" customFormat="false" ht="15" hidden="false" customHeight="false" outlineLevel="0" collapsed="false">
      <c r="A35" s="5" t="s">
        <v>751</v>
      </c>
      <c r="B35" s="0" t="s">
        <v>73</v>
      </c>
      <c r="D35" s="38" t="n">
        <f aca="false">Q!$E$61</f>
        <v>123.029</v>
      </c>
      <c r="E35" s="38" t="n">
        <f aca="false">Q!$M$61</f>
        <v>122.988</v>
      </c>
      <c r="F35" s="38" t="n">
        <f aca="false">CF!$F$33+CF!$F$34</f>
        <v>94.9831721368054</v>
      </c>
      <c r="G35" s="38" t="n">
        <f aca="false">CF!$F$35</f>
        <v>94.9831721368054</v>
      </c>
      <c r="H35" s="38" t="n">
        <f aca="false">CF!$H$33+CF!$H$34</f>
        <v>62.5022372976176</v>
      </c>
      <c r="I35" s="38" t="n">
        <f aca="false">CF!$I$33+CF!$I$34</f>
        <v>93.4191736361679</v>
      </c>
      <c r="J35" s="38" t="n">
        <f aca="false">CF!$J$33+CF!$J$34</f>
        <v>189.754603595107</v>
      </c>
      <c r="K35" s="38" t="n">
        <f aca="false">CF!$K$33+CF!$K$34</f>
        <v>350.932407425881</v>
      </c>
      <c r="L35" s="38" t="n">
        <f aca="false">CF!$L$33+CF!$L$34</f>
        <v>547.269415401493</v>
      </c>
      <c r="M35" s="38" t="n">
        <f aca="false">CF!$M$33+CF!$M$34</f>
        <v>755.734361187045</v>
      </c>
    </row>
    <row r="36" customFormat="false" ht="15" hidden="false" customHeight="false" outlineLevel="0" collapsed="false">
      <c r="A36" s="5" t="s">
        <v>752</v>
      </c>
      <c r="B36" s="0" t="s">
        <v>73</v>
      </c>
      <c r="D36" s="38" t="n">
        <f aca="false">Q!$E$62</f>
        <v>68.836</v>
      </c>
      <c r="E36" s="38" t="n">
        <f aca="false">Q!$M$62</f>
        <v>132.995</v>
      </c>
      <c r="F36" s="38" t="n">
        <f aca="false">debt_q2+CF!$F$31+CF!$F$34</f>
        <v>162.245</v>
      </c>
      <c r="G36" s="38" t="n">
        <f aca="false">CF!$F$36</f>
        <v>162.245</v>
      </c>
      <c r="H36" s="38" t="n">
        <f aca="false">CF!$G$36+CF!$H$34</f>
        <v>162.245</v>
      </c>
      <c r="I36" s="38" t="n">
        <f aca="false">CF!$H$36+CF!$I$34</f>
        <v>162.245</v>
      </c>
      <c r="J36" s="38" t="n">
        <f aca="false">CF!$I$36+CF!$J$34</f>
        <v>162.245</v>
      </c>
      <c r="K36" s="38" t="n">
        <f aca="false">CF!$J$36+CF!$K$34</f>
        <v>162.245</v>
      </c>
      <c r="L36" s="38" t="n">
        <f aca="false">CF!$K$36+CF!$L$34</f>
        <v>162.245</v>
      </c>
      <c r="M36" s="38" t="n">
        <f aca="false">CF!$L$36+CF!$M$34</f>
        <v>162.245</v>
      </c>
    </row>
    <row r="37" customFormat="false" ht="15" hidden="false" customHeight="false" outlineLevel="0" collapsed="false">
      <c r="A37" s="5" t="s">
        <v>753</v>
      </c>
      <c r="B37" s="0" t="s">
        <v>73</v>
      </c>
      <c r="D37" s="38" t="n">
        <f aca="false">CF!$D$36-CF!$D$35</f>
        <v>-54.193</v>
      </c>
      <c r="E37" s="38" t="n">
        <f aca="false">CF!$E$36-CF!$E$35</f>
        <v>10.007</v>
      </c>
      <c r="F37" s="38" t="n">
        <f aca="false">CF!$F$36-CF!$F$35</f>
        <v>67.2618278631946</v>
      </c>
      <c r="G37" s="38" t="n">
        <f aca="false">CF!$G$36-CF!$G$35</f>
        <v>67.2618278631946</v>
      </c>
      <c r="H37" s="38" t="n">
        <f aca="false">CF!$H$36-CF!$H$35</f>
        <v>99.7427627023824</v>
      </c>
      <c r="I37" s="38" t="n">
        <f aca="false">CF!$I$36-CF!$I$35</f>
        <v>68.8258263638321</v>
      </c>
      <c r="J37" s="38" t="n">
        <f aca="false">CF!$J$36-CF!$J$35</f>
        <v>-27.5096035951069</v>
      </c>
      <c r="K37" s="38" t="n">
        <f aca="false">CF!$K$36-CF!$K$35</f>
        <v>-188.687407425881</v>
      </c>
      <c r="L37" s="38" t="n">
        <f aca="false">CF!$L$36-CF!$L$35</f>
        <v>-385.024415401493</v>
      </c>
      <c r="M37" s="38" t="n">
        <f aca="false">CF!$M$36-CF!$M$35</f>
        <v>-593.489361187045</v>
      </c>
    </row>
    <row r="38" customFormat="false" ht="17.15" hidden="false" customHeight="false" outlineLevel="0" collapsed="false">
      <c r="A38" s="5" t="s">
        <v>754</v>
      </c>
      <c r="B38" s="0" t="s">
        <v>73</v>
      </c>
      <c r="F38" s="38" t="n">
        <f aca="false">debt_q2*kd_book*0.5+iss_2h26*kd_new*0.25</f>
        <v>3.24888964316061</v>
      </c>
      <c r="H38" s="38" t="n">
        <f aca="false">debt_q2*kd_book+(CF!$G$36-debt_q2)*kd_new</f>
        <v>7.42354178632123</v>
      </c>
      <c r="I38" s="38" t="n">
        <f aca="false">debt_q2*kd_book+(CF!$H$36-debt_q2)*kd_new</f>
        <v>7.42354178632123</v>
      </c>
      <c r="J38" s="38" t="n">
        <f aca="false">debt_q2*kd_book+(CF!$I$36-debt_q2)*kd_new</f>
        <v>7.42354178632123</v>
      </c>
      <c r="K38" s="38" t="n">
        <f aca="false">debt_q2*kd_book+(CF!$J$36-debt_q2)*kd_new</f>
        <v>7.42354178632123</v>
      </c>
      <c r="L38" s="38" t="n">
        <f aca="false">debt_q2*kd_book+(CF!$K$36-debt_q2)*kd_new</f>
        <v>7.42354178632123</v>
      </c>
      <c r="M38" s="38" t="n">
        <f aca="false">debt_q2*kd_book+(CF!$L$36-debt_q2)*kd_new</f>
        <v>7.42354178632123</v>
      </c>
    </row>
    <row r="39" customFormat="false" ht="17.15" hidden="false" customHeight="false" outlineLevel="0" collapsed="false">
      <c r="A39" s="5" t="s">
        <v>755</v>
      </c>
      <c r="B39" s="0" t="s">
        <v>73</v>
      </c>
      <c r="F39" s="38" t="n">
        <f aca="false">cash_q2*y_cash*0.5</f>
        <v>2.59</v>
      </c>
      <c r="H39" s="38" t="n">
        <f aca="false">CF!$G$35*y_cash</f>
        <v>4.00049461466689</v>
      </c>
      <c r="I39" s="38" t="n">
        <f aca="false">CF!$H$35*y_cash</f>
        <v>2.63246486813071</v>
      </c>
      <c r="J39" s="38" t="n">
        <f aca="false">CF!$I$35*y_cash</f>
        <v>3.93462223497699</v>
      </c>
      <c r="K39" s="38" t="n">
        <f aca="false">CF!$J$35*y_cash</f>
        <v>7.99207115021509</v>
      </c>
      <c r="L39" s="38" t="n">
        <f aca="false">CF!$K$35*y_cash</f>
        <v>14.780546642486</v>
      </c>
      <c r="M39" s="38" t="n">
        <f aca="false">CF!$L$35*y_cash</f>
        <v>23.0498550409775</v>
      </c>
    </row>
    <row r="40" customFormat="false" ht="17.15" hidden="false" customHeight="false" outlineLevel="0" collapsed="false">
      <c r="A40" s="46" t="s">
        <v>756</v>
      </c>
      <c r="B40" s="13" t="s">
        <v>73</v>
      </c>
      <c r="C40" s="13"/>
      <c r="D40" s="13"/>
      <c r="E40" s="13"/>
      <c r="F40" s="13"/>
      <c r="G40" s="47" t="n">
        <f aca="false">SUM(CF!$G$29:$K$29)</f>
        <v>194.303407425881</v>
      </c>
      <c r="H40" s="13"/>
      <c r="I40" s="13"/>
      <c r="J40" s="13"/>
      <c r="K40" s="13"/>
      <c r="L40" s="13"/>
      <c r="M40" s="13"/>
      <c r="N40" s="13"/>
      <c r="O40" s="13"/>
    </row>
    <row r="41" customFormat="false" ht="17.15" hidden="false" customHeight="false" outlineLevel="0" collapsed="false">
      <c r="A41" s="0" t="s">
        <v>723</v>
      </c>
      <c r="B41" s="0" t="s">
        <v>73</v>
      </c>
      <c r="G41" s="38" t="n">
        <f aca="false">SUM(CF!$G$34:$K$34)</f>
        <v>0</v>
      </c>
    </row>
    <row r="44" customFormat="false" ht="19.4" hidden="false" customHeight="false" outlineLevel="0" collapsed="false">
      <c r="A44" s="31" t="s">
        <v>757</v>
      </c>
    </row>
    <row r="45" customFormat="false" ht="17.15" hidden="false" customHeight="false" outlineLevel="0" collapsed="false">
      <c r="A45" s="6" t="s">
        <v>16</v>
      </c>
      <c r="B45" s="6" t="s">
        <v>17</v>
      </c>
      <c r="C45" s="20" t="s">
        <v>457</v>
      </c>
      <c r="D45" s="20" t="s">
        <v>458</v>
      </c>
      <c r="E45" s="20" t="s">
        <v>540</v>
      </c>
      <c r="F45" s="20" t="s">
        <v>541</v>
      </c>
      <c r="G45" s="20" t="s">
        <v>542</v>
      </c>
      <c r="H45" s="20" t="s">
        <v>543</v>
      </c>
      <c r="I45" s="20" t="s">
        <v>544</v>
      </c>
      <c r="J45" s="20" t="s">
        <v>545</v>
      </c>
      <c r="K45" s="20" t="s">
        <v>546</v>
      </c>
      <c r="L45" s="20" t="s">
        <v>547</v>
      </c>
      <c r="M45" s="20" t="s">
        <v>548</v>
      </c>
      <c r="N45" s="20" t="s">
        <v>549</v>
      </c>
      <c r="O45" s="20" t="s">
        <v>550</v>
      </c>
      <c r="P45" s="6" t="s">
        <v>23</v>
      </c>
      <c r="R45" s="20" t="n">
        <v>2023</v>
      </c>
      <c r="S45" s="20" t="n">
        <v>2024</v>
      </c>
      <c r="T45" s="20" t="n">
        <v>2025</v>
      </c>
      <c r="U45" s="20" t="n">
        <v>2026</v>
      </c>
      <c r="V45" s="20" t="n">
        <v>2027</v>
      </c>
      <c r="W45" s="20" t="n">
        <v>2028</v>
      </c>
      <c r="X45" s="20" t="n">
        <v>2029</v>
      </c>
      <c r="Y45" s="20" t="n">
        <v>2030</v>
      </c>
      <c r="Z45" s="20" t="n">
        <v>2031</v>
      </c>
      <c r="AA45" s="20" t="n">
        <v>2032</v>
      </c>
    </row>
    <row r="46" customFormat="false" ht="15" hidden="false" customHeight="false" outlineLevel="0" collapsed="false">
      <c r="A46" s="5" t="s">
        <v>509</v>
      </c>
      <c r="B46" s="0" t="s">
        <v>73</v>
      </c>
      <c r="C46" s="38" t="n">
        <f aca="false">PL!$C$137</f>
        <v>59.248</v>
      </c>
      <c r="D46" s="38" t="n">
        <f aca="false">PL!$D$137</f>
        <v>77.67</v>
      </c>
      <c r="E46" s="38" t="n">
        <f aca="false">PL!$E$137</f>
        <v>92.902</v>
      </c>
      <c r="F46" s="38" t="n">
        <f aca="false">PL!$F$137</f>
        <v>48.9433718146785</v>
      </c>
      <c r="G46" s="38" t="n">
        <f aca="false">PL!$G$137</f>
        <v>141.845371814679</v>
      </c>
      <c r="H46" s="38" t="n">
        <f aca="false">PL!$H$137</f>
        <v>109.272682903121</v>
      </c>
      <c r="I46" s="38" t="n">
        <f aca="false">PL!$I$137</f>
        <v>128.306171362308</v>
      </c>
      <c r="J46" s="38" t="n">
        <f aca="false">PL!$J$137</f>
        <v>146.500701790412</v>
      </c>
      <c r="K46" s="38" t="n">
        <f aca="false">PL!$K$137</f>
        <v>162.739003122855</v>
      </c>
      <c r="L46" s="38" t="n">
        <f aca="false">PL!$L$137</f>
        <v>181.911404376927</v>
      </c>
      <c r="M46" s="38" t="n">
        <f aca="false">PL!$M$137</f>
        <v>202.082803059406</v>
      </c>
    </row>
    <row r="47" customFormat="false" ht="17.15" hidden="false" customHeight="false" outlineLevel="0" collapsed="false">
      <c r="A47" s="5" t="s">
        <v>730</v>
      </c>
      <c r="B47" s="0" t="s">
        <v>73</v>
      </c>
      <c r="C47" s="38" t="n">
        <f aca="false">PL!$C$125</f>
        <v>32.067</v>
      </c>
      <c r="D47" s="38" t="n">
        <f aca="false">PL!$D$125</f>
        <v>41.86</v>
      </c>
      <c r="E47" s="38" t="n">
        <f aca="false">PL!$E$125</f>
        <v>26.703</v>
      </c>
      <c r="F47" s="38" t="n">
        <f aca="false">PL!$F$125</f>
        <v>30.6103857251209</v>
      </c>
      <c r="G47" s="38" t="n">
        <f aca="false">PL!$G$125</f>
        <v>57.3133857251209</v>
      </c>
      <c r="H47" s="38" t="n">
        <f aca="false">PL!$H$125</f>
        <v>87.6845218193838</v>
      </c>
      <c r="I47" s="38" t="n">
        <f aca="false">PL!$I$125</f>
        <v>122.294769708638</v>
      </c>
      <c r="J47" s="38" t="n">
        <f aca="false">PL!$J$125</f>
        <v>157.133962573221</v>
      </c>
      <c r="K47" s="38" t="n">
        <f aca="false">PL!$K$125</f>
        <v>191.350633353599</v>
      </c>
      <c r="L47" s="38" t="n">
        <f aca="false">PL!$L$125</f>
        <v>223.909238335354</v>
      </c>
      <c r="M47" s="38" t="n">
        <f aca="false">PL!$M$125</f>
        <v>257.576319867276</v>
      </c>
    </row>
    <row r="48" customFormat="false" ht="15" hidden="false" customHeight="false" outlineLevel="0" collapsed="false">
      <c r="A48" s="5" t="s">
        <v>731</v>
      </c>
      <c r="B48" s="0" t="s">
        <v>73</v>
      </c>
      <c r="C48" s="38" t="n">
        <f aca="false">Q!$D$48</f>
        <v>22.011</v>
      </c>
      <c r="D48" s="38" t="n">
        <f aca="false">Q!$E$48</f>
        <v>19.467</v>
      </c>
      <c r="E48" s="38" t="n">
        <f aca="false">Q!$P$48</f>
        <v>10.07</v>
      </c>
      <c r="F48" s="38" t="n">
        <f aca="false">sbc_r*Seg!$F$63</f>
        <v>11.2170714500462</v>
      </c>
      <c r="G48" s="38" t="n">
        <f aca="false">CF!$E$48+CF!$F$48</f>
        <v>21.2870714500462</v>
      </c>
      <c r="H48" s="38" t="n">
        <f aca="false">sbc_r*Seg!$H$63</f>
        <v>24.1772394325528</v>
      </c>
      <c r="I48" s="38" t="n">
        <f aca="false">sbc_r*Seg!$I$63</f>
        <v>27.6495284422397</v>
      </c>
      <c r="J48" s="38" t="n">
        <f aca="false">sbc_r*Seg!$J$63</f>
        <v>30.9042211184633</v>
      </c>
      <c r="K48" s="38" t="n">
        <f aca="false">sbc_r*Seg!$K$63</f>
        <v>33.8004145402678</v>
      </c>
      <c r="L48" s="38" t="n">
        <f aca="false">sbc_r*Seg!$L$63</f>
        <v>36.8322537652494</v>
      </c>
      <c r="M48" s="38" t="n">
        <f aca="false">sbc_r*Seg!$M$63</f>
        <v>40.0097627968013</v>
      </c>
    </row>
    <row r="49" customFormat="false" ht="17.15" hidden="false" customHeight="false" outlineLevel="0" collapsed="false">
      <c r="A49" s="5" t="s">
        <v>732</v>
      </c>
      <c r="B49" s="0" t="s">
        <v>73</v>
      </c>
      <c r="C49" s="38" t="n">
        <f aca="false">Q!$D$44-CF!$C$46-CF!$C$47-CF!$C$48</f>
        <v>2.551</v>
      </c>
      <c r="D49" s="38" t="n">
        <f aca="false">Q!$E$44-CF!$D$46-CF!$D$47-CF!$D$48</f>
        <v>0.51700000000001</v>
      </c>
      <c r="E49" s="38" t="n">
        <f aca="false">Q!$P$44-CF!$E$46-CF!$E$47-CF!$E$48</f>
        <v>-58.256</v>
      </c>
      <c r="F49" s="38" t="n">
        <f aca="false">wc_2h26+oth_r*Seg!$F$63</f>
        <v>7.34599241893378</v>
      </c>
      <c r="G49" s="38" t="n">
        <f aca="false">CF!$E$49+CF!$F$49</f>
        <v>-50.9100075810662</v>
      </c>
      <c r="H49" s="38" t="n">
        <f aca="false">oth_r*Seg!$H$63</f>
        <v>11.6369707537667</v>
      </c>
      <c r="I49" s="38" t="n">
        <f aca="false">oth_r*Seg!$I$63</f>
        <v>13.3082502961262</v>
      </c>
      <c r="J49" s="38" t="n">
        <f aca="false">oth_r*Seg!$J$63</f>
        <v>14.8747965344332</v>
      </c>
      <c r="K49" s="38" t="n">
        <f aca="false">oth_r*Seg!$K$63</f>
        <v>16.2687901804328</v>
      </c>
      <c r="L49" s="38" t="n">
        <f aca="false">oth_r*Seg!$L$63</f>
        <v>17.7280727627002</v>
      </c>
      <c r="M49" s="38" t="n">
        <f aca="false">oth_r*Seg!$M$63</f>
        <v>19.2574690270319</v>
      </c>
      <c r="P49" s="8" t="s">
        <v>733</v>
      </c>
    </row>
    <row r="50" customFormat="false" ht="15" hidden="false" customHeight="false" outlineLevel="0" collapsed="false">
      <c r="A50" s="3" t="s">
        <v>515</v>
      </c>
      <c r="B50" s="8" t="s">
        <v>73</v>
      </c>
      <c r="C50" s="38" t="n">
        <f aca="false">Q!$D$44</f>
        <v>115.877</v>
      </c>
      <c r="D50" s="38" t="n">
        <f aca="false">Q!$E$44</f>
        <v>139.514</v>
      </c>
      <c r="E50" s="38" t="n">
        <f aca="false">Q!$P$44</f>
        <v>71.419</v>
      </c>
      <c r="F50" s="38" t="n">
        <f aca="false">CF!$F$46+CF!$F$47+CF!$F$48+CF!$F$49</f>
        <v>98.1168214087795</v>
      </c>
      <c r="G50" s="38" t="n">
        <f aca="false">CF!$E$50+CF!$F$50</f>
        <v>169.535821408779</v>
      </c>
      <c r="H50" s="38" t="n">
        <f aca="false">CF!$H$46+CF!$H$47+CF!$H$48+CF!$H$49</f>
        <v>232.771414908824</v>
      </c>
      <c r="I50" s="38" t="n">
        <f aca="false">CF!$I$46+CF!$I$47+CF!$I$48+CF!$I$49</f>
        <v>291.558719809312</v>
      </c>
      <c r="J50" s="38" t="n">
        <f aca="false">CF!$J$46+CF!$J$47+CF!$J$48+CF!$J$49</f>
        <v>349.413682016529</v>
      </c>
      <c r="K50" s="38" t="n">
        <f aca="false">CF!$K$46+CF!$K$47+CF!$K$48+CF!$K$49</f>
        <v>404.158841197156</v>
      </c>
      <c r="L50" s="38" t="n">
        <f aca="false">CF!$L$46+CF!$L$47+CF!$L$48+CF!$L$49</f>
        <v>460.380969240231</v>
      </c>
      <c r="M50" s="38" t="n">
        <f aca="false">CF!$M$46+CF!$M$47+CF!$M$48+CF!$M$49</f>
        <v>518.926354750515</v>
      </c>
    </row>
    <row r="51" customFormat="false" ht="17.15" hidden="false" customHeight="false" outlineLevel="0" collapsed="false">
      <c r="A51" s="5" t="s">
        <v>734</v>
      </c>
      <c r="B51" s="0" t="s">
        <v>73</v>
      </c>
      <c r="C51" s="38" t="n">
        <f aca="false">Thesis!$C$90</f>
        <v>25.2781053077374</v>
      </c>
      <c r="D51" s="38" t="n">
        <f aca="false">Thesis!$D$90</f>
        <v>69.5686316310026</v>
      </c>
      <c r="E51" s="38" t="n">
        <f aca="false">Thesis!$E$90</f>
        <v>64.1899206485108</v>
      </c>
      <c r="F51" s="38" t="n">
        <f aca="false">Thesis!$F$90</f>
        <v>96.2481299895</v>
      </c>
      <c r="G51" s="38" t="n">
        <f aca="false">Thesis!$G$90</f>
        <v>160.438050638011</v>
      </c>
      <c r="H51" s="38" t="n">
        <f aca="false">Thesis!$H$90</f>
        <v>198.57136494475</v>
      </c>
      <c r="I51" s="38" t="n">
        <f aca="false">Thesis!$I$90</f>
        <v>204.6464699105</v>
      </c>
      <c r="J51" s="38" t="n">
        <f aca="false">Thesis!$J$90</f>
        <v>209.8832381105</v>
      </c>
      <c r="K51" s="38" t="n">
        <f aca="false">Thesis!$K$90</f>
        <v>215.1200063105</v>
      </c>
      <c r="L51" s="38" t="n">
        <f aca="false">Thesis!$L$90</f>
        <v>251.7773837105</v>
      </c>
      <c r="M51" s="38" t="n">
        <f aca="false">Thesis!$M$90</f>
        <v>311.87584476575</v>
      </c>
    </row>
    <row r="52" customFormat="false" ht="17.15" hidden="false" customHeight="false" outlineLevel="0" collapsed="false">
      <c r="A52" s="5" t="s">
        <v>735</v>
      </c>
      <c r="B52" s="0" t="s">
        <v>73</v>
      </c>
      <c r="C52" s="38" t="n">
        <f aca="false">cx_awso*Seg!$C$61</f>
        <v>21.0469989286053</v>
      </c>
      <c r="D52" s="38" t="n">
        <f aca="false">cx_awso*Seg!$D$61</f>
        <v>24.0042459822698</v>
      </c>
      <c r="E52" s="38" t="n">
        <f aca="false">cx_awso*Seg!$E$61</f>
        <v>14.261729404886</v>
      </c>
      <c r="F52" s="38" t="n">
        <f aca="false">cx_awso*Seg!$F$61</f>
        <v>15.7190020837331</v>
      </c>
      <c r="G52" s="38" t="n">
        <f aca="false">CF!$E$52+CF!$F$52</f>
        <v>29.9807314886191</v>
      </c>
      <c r="H52" s="38" t="n">
        <f aca="false">cx_awso*Seg!$H$61</f>
        <v>36.1787121536283</v>
      </c>
      <c r="I52" s="38" t="n">
        <f aca="false">cx_awso*Seg!$I$61</f>
        <v>42.1296794430021</v>
      </c>
      <c r="J52" s="38" t="n">
        <f aca="false">cx_awso*Seg!$J$61</f>
        <v>47.279781889299</v>
      </c>
      <c r="K52" s="38" t="n">
        <f aca="false">cx_awso*Seg!$K$61</f>
        <v>51.0621644404429</v>
      </c>
      <c r="L52" s="38" t="n">
        <f aca="false">cx_awso*Seg!$L$61</f>
        <v>55.1471375956783</v>
      </c>
      <c r="M52" s="38" t="n">
        <f aca="false">cx_awso*Seg!$M$61</f>
        <v>59.5589086033326</v>
      </c>
    </row>
    <row r="53" customFormat="false" ht="17.15" hidden="false" customHeight="false" outlineLevel="0" collapsed="false">
      <c r="A53" s="5" t="s">
        <v>736</v>
      </c>
      <c r="B53" s="0" t="s">
        <v>73</v>
      </c>
      <c r="C53" s="38" t="n">
        <f aca="false">Q!$D$46-CF!$C$51-CF!$C$52</f>
        <v>31.3328957636573</v>
      </c>
      <c r="D53" s="38" t="n">
        <f aca="false">Q!$E$46-CF!$D$51-CF!$D$52</f>
        <v>34.7471223867276</v>
      </c>
      <c r="E53" s="38" t="n">
        <f aca="false">Q!$P$46-CF!$E$51-CF!$E$52</f>
        <v>17.8583499466032</v>
      </c>
      <c r="F53" s="38" t="n">
        <f aca="false">cx_rt*Seg!$F$53</f>
        <v>21.0855744229195</v>
      </c>
      <c r="G53" s="38" t="n">
        <f aca="false">CF!$E$53+CF!$F$53</f>
        <v>38.9439243695228</v>
      </c>
      <c r="H53" s="38" t="n">
        <f aca="false">cx_rt*Seg!$H$53</f>
        <v>43.1200434029767</v>
      </c>
      <c r="I53" s="38" t="n">
        <f aca="false">cx_rt*Seg!$I$53</f>
        <v>47.1583152318763</v>
      </c>
      <c r="J53" s="38" t="n">
        <f aca="false">cx_rt*Seg!$J$53</f>
        <v>50.9060281137911</v>
      </c>
      <c r="K53" s="38" t="n">
        <f aca="false">cx_rt*Seg!$K$53</f>
        <v>54.2035645673053</v>
      </c>
      <c r="L53" s="38" t="n">
        <f aca="false">cx_rt*Seg!$L$53</f>
        <v>57.7318979121519</v>
      </c>
      <c r="M53" s="38" t="n">
        <f aca="false">cx_rt*Seg!$M$53</f>
        <v>61.5084196557756</v>
      </c>
    </row>
    <row r="54" customFormat="false" ht="15" hidden="false" customHeight="false" outlineLevel="0" collapsed="false">
      <c r="A54" s="3" t="s">
        <v>737</v>
      </c>
      <c r="B54" s="8" t="s">
        <v>73</v>
      </c>
      <c r="C54" s="38" t="n">
        <f aca="false">Q!$D$46</f>
        <v>77.658</v>
      </c>
      <c r="D54" s="38" t="n">
        <f aca="false">Q!$E$46</f>
        <v>128.32</v>
      </c>
      <c r="E54" s="38" t="n">
        <f aca="false">Q!$P$46</f>
        <v>96.31</v>
      </c>
      <c r="F54" s="38" t="n">
        <f aca="false">CF!$F$51+CF!$F$52+CF!$F$53</f>
        <v>133.052706496153</v>
      </c>
      <c r="G54" s="38" t="n">
        <f aca="false">CF!$E$54+CF!$F$54</f>
        <v>229.362706496153</v>
      </c>
      <c r="H54" s="38" t="n">
        <f aca="false">CF!$H$51+CF!$H$52+CF!$H$53</f>
        <v>277.870120501355</v>
      </c>
      <c r="I54" s="38" t="n">
        <f aca="false">CF!$I$51+CF!$I$52+CF!$I$53</f>
        <v>293.934464585378</v>
      </c>
      <c r="J54" s="38" t="n">
        <f aca="false">CF!$J$51+CF!$J$52+CF!$J$53</f>
        <v>308.06904811359</v>
      </c>
      <c r="K54" s="38" t="n">
        <f aca="false">CF!$K$51+CF!$K$52+CF!$K$53</f>
        <v>320.385735318248</v>
      </c>
      <c r="L54" s="38" t="n">
        <f aca="false">CF!$L$51+CF!$L$52+CF!$L$53</f>
        <v>364.65641921833</v>
      </c>
      <c r="M54" s="38" t="n">
        <f aca="false">CF!$M$51+CF!$M$52+CF!$M$53</f>
        <v>432.943173024858</v>
      </c>
    </row>
    <row r="55" customFormat="false" ht="17.15" hidden="false" customHeight="false" outlineLevel="0" collapsed="false">
      <c r="A55" s="5" t="s">
        <v>523</v>
      </c>
      <c r="B55" s="0" t="s">
        <v>73</v>
      </c>
      <c r="C55" s="38" t="n">
        <f aca="false">Q!$D$50</f>
        <v>2.043</v>
      </c>
      <c r="D55" s="38" t="n">
        <f aca="false">Q!$E$50</f>
        <v>1.557</v>
      </c>
      <c r="E55" s="38" t="n">
        <f aca="false">lease_pr/2</f>
        <v>0.8</v>
      </c>
      <c r="F55" s="38" t="n">
        <f aca="false">lease_pr/2</f>
        <v>0.8</v>
      </c>
      <c r="G55" s="38" t="n">
        <f aca="false">CF!$E$55+CF!$F$55</f>
        <v>1.6</v>
      </c>
      <c r="H55" s="38" t="n">
        <f aca="false">lease_pr</f>
        <v>1.6</v>
      </c>
      <c r="I55" s="38" t="n">
        <f aca="false">lease_pr</f>
        <v>1.6</v>
      </c>
      <c r="J55" s="38" t="n">
        <f aca="false">lease_pr</f>
        <v>1.6</v>
      </c>
      <c r="K55" s="38" t="n">
        <f aca="false">lease_pr</f>
        <v>1.6</v>
      </c>
      <c r="L55" s="38" t="n">
        <f aca="false">lease_pr</f>
        <v>1.6</v>
      </c>
      <c r="M55" s="38" t="n">
        <f aca="false">lease_pr</f>
        <v>1.6</v>
      </c>
      <c r="P55" s="8" t="s">
        <v>738</v>
      </c>
    </row>
    <row r="56" customFormat="false" ht="15" hidden="false" customHeight="false" outlineLevel="0" collapsed="false">
      <c r="A56" s="46" t="s">
        <v>739</v>
      </c>
      <c r="B56" s="13" t="s">
        <v>73</v>
      </c>
      <c r="C56" s="47" t="n">
        <f aca="false">CF!$C$50-CF!$C$54-CF!$C$55</f>
        <v>36.176</v>
      </c>
      <c r="D56" s="47" t="n">
        <f aca="false">CF!$D$50-CF!$D$54-CF!$D$55</f>
        <v>9.63700000000002</v>
      </c>
      <c r="E56" s="47" t="n">
        <f aca="false">CF!$E$50-CF!$E$54-CF!$E$55</f>
        <v>-25.691</v>
      </c>
      <c r="F56" s="47" t="n">
        <f aca="false">CF!$F$50-CF!$F$54-CF!$F$55</f>
        <v>-35.7358850873731</v>
      </c>
      <c r="G56" s="47" t="n">
        <f aca="false">CF!$G$50-CF!$G$54-CF!$G$55</f>
        <v>-61.4268850873731</v>
      </c>
      <c r="H56" s="47" t="n">
        <f aca="false">CF!$H$50-CF!$H$54-CF!$H$55</f>
        <v>-46.6987055925312</v>
      </c>
      <c r="I56" s="47" t="n">
        <f aca="false">CF!$I$50-CF!$I$54-CF!$I$55</f>
        <v>-3.97574477606648</v>
      </c>
      <c r="J56" s="47" t="n">
        <f aca="false">CF!$J$50-CF!$J$54-CF!$J$55</f>
        <v>39.7446339029391</v>
      </c>
      <c r="K56" s="47" t="n">
        <f aca="false">CF!$K$50-CF!$K$54-CF!$K$55</f>
        <v>82.1731058789073</v>
      </c>
      <c r="L56" s="47" t="n">
        <f aca="false">CF!$L$50-CF!$L$54-CF!$L$55</f>
        <v>94.1245500219009</v>
      </c>
      <c r="M56" s="47" t="n">
        <f aca="false">CF!$M$50-CF!$M$54-CF!$M$55</f>
        <v>84.3831817256571</v>
      </c>
      <c r="N56" s="13"/>
      <c r="O56" s="13"/>
    </row>
    <row r="57" customFormat="false" ht="17.15" hidden="false" customHeight="false" outlineLevel="0" collapsed="false">
      <c r="A57" s="5" t="s">
        <v>740</v>
      </c>
      <c r="B57" s="0" t="s">
        <v>73</v>
      </c>
      <c r="C57" s="38" t="n">
        <f aca="false">dps*PL!$C$138</f>
        <v>0</v>
      </c>
      <c r="D57" s="38" t="n">
        <f aca="false">dps*PL!$D$138</f>
        <v>0</v>
      </c>
      <c r="E57" s="38" t="n">
        <f aca="false">dps*PL!$E$138</f>
        <v>0</v>
      </c>
      <c r="F57" s="38" t="n">
        <f aca="false">0</f>
        <v>0</v>
      </c>
      <c r="G57" s="38" t="n">
        <f aca="false">dps*PL!$G$138</f>
        <v>0</v>
      </c>
      <c r="H57" s="38" t="n">
        <f aca="false">dps*PL!$H$138</f>
        <v>0</v>
      </c>
      <c r="I57" s="38" t="n">
        <f aca="false">dps*PL!$I$138</f>
        <v>0</v>
      </c>
      <c r="J57" s="38" t="n">
        <f aca="false">dps*PL!$J$138</f>
        <v>0</v>
      </c>
      <c r="K57" s="38" t="n">
        <f aca="false">dps*PL!$K$138</f>
        <v>0</v>
      </c>
      <c r="L57" s="38" t="n">
        <f aca="false">dps*PL!$L$138</f>
        <v>0</v>
      </c>
      <c r="M57" s="38" t="n">
        <f aca="false">dps*PL!$M$138</f>
        <v>0</v>
      </c>
      <c r="P57" s="8" t="s">
        <v>741</v>
      </c>
    </row>
    <row r="58" customFormat="false" ht="17.15" hidden="false" customHeight="false" outlineLevel="0" collapsed="false">
      <c r="A58" s="5" t="s">
        <v>742</v>
      </c>
      <c r="B58" s="0" t="s">
        <v>73</v>
      </c>
      <c r="C58" s="38" t="n">
        <f aca="false">0</f>
        <v>0</v>
      </c>
      <c r="D58" s="38" t="n">
        <f aca="false">0</f>
        <v>0</v>
      </c>
      <c r="E58" s="38" t="n">
        <f aca="false">0</f>
        <v>0</v>
      </c>
      <c r="F58" s="38" t="n">
        <f aca="false">0</f>
        <v>0</v>
      </c>
      <c r="G58" s="38" t="n">
        <f aca="false">0</f>
        <v>0</v>
      </c>
      <c r="H58" s="38" t="n">
        <f aca="false">0</f>
        <v>0</v>
      </c>
      <c r="I58" s="38" t="n">
        <f aca="false">0</f>
        <v>0</v>
      </c>
      <c r="J58" s="38" t="n">
        <f aca="false">0</f>
        <v>0</v>
      </c>
      <c r="K58" s="38" t="n">
        <f aca="false">0</f>
        <v>0</v>
      </c>
      <c r="L58" s="38" t="n">
        <f aca="false">0</f>
        <v>0</v>
      </c>
      <c r="M58" s="38" t="n">
        <f aca="false">0</f>
        <v>0</v>
      </c>
      <c r="P58" s="8" t="s">
        <v>743</v>
      </c>
    </row>
    <row r="59" customFormat="false" ht="15" hidden="false" customHeight="false" outlineLevel="0" collapsed="false">
      <c r="A59" s="3" t="s">
        <v>744</v>
      </c>
      <c r="B59" s="8" t="s">
        <v>73</v>
      </c>
      <c r="C59" s="38" t="n">
        <f aca="false">CF!$C$56-CF!$C$57</f>
        <v>36.176</v>
      </c>
      <c r="D59" s="38" t="n">
        <f aca="false">CF!$D$56-CF!$D$57</f>
        <v>9.63700000000002</v>
      </c>
      <c r="E59" s="38" t="n">
        <f aca="false">CF!$E$56-CF!$E$57</f>
        <v>-25.691</v>
      </c>
      <c r="F59" s="38" t="n">
        <f aca="false">CF!$F$56-CF!$F$57</f>
        <v>-35.7358850873731</v>
      </c>
      <c r="G59" s="38" t="n">
        <f aca="false">CF!$G$56-CF!$G$57</f>
        <v>-61.4268850873731</v>
      </c>
      <c r="H59" s="38" t="n">
        <f aca="false">CF!$H$56-CF!$H$57</f>
        <v>-46.6987055925312</v>
      </c>
      <c r="I59" s="38" t="n">
        <f aca="false">CF!$I$56-CF!$I$57</f>
        <v>-3.97574477606648</v>
      </c>
      <c r="J59" s="38" t="n">
        <f aca="false">CF!$J$56-CF!$J$57</f>
        <v>39.7446339029391</v>
      </c>
      <c r="K59" s="38" t="n">
        <f aca="false">CF!$K$56-CF!$K$57</f>
        <v>82.1731058789073</v>
      </c>
      <c r="L59" s="38" t="n">
        <f aca="false">CF!$L$56-CF!$L$57</f>
        <v>94.1245500219009</v>
      </c>
      <c r="M59" s="38" t="n">
        <f aca="false">CF!$M$56-CF!$M$57</f>
        <v>84.3831817256571</v>
      </c>
    </row>
    <row r="60" customFormat="false" ht="17.15" hidden="false" customHeight="false" outlineLevel="0" collapsed="false">
      <c r="A60" s="5" t="s">
        <v>745</v>
      </c>
      <c r="B60" s="0" t="s">
        <v>73</v>
      </c>
      <c r="E60" s="38" t="n">
        <f aca="false">Q!$P$53</f>
        <v>39.767</v>
      </c>
      <c r="F60" s="38" t="n">
        <f aca="false">inv_2h26</f>
        <v>21.3</v>
      </c>
      <c r="G60" s="38" t="n">
        <f aca="false">CF!$E$60+CF!$F$60</f>
        <v>61.067</v>
      </c>
      <c r="H60" s="41" t="n">
        <v>0</v>
      </c>
      <c r="I60" s="41" t="n">
        <v>0</v>
      </c>
      <c r="J60" s="41" t="n">
        <v>0</v>
      </c>
      <c r="K60" s="41" t="n">
        <v>0</v>
      </c>
      <c r="L60" s="41" t="n">
        <v>0</v>
      </c>
      <c r="M60" s="41" t="n">
        <v>0</v>
      </c>
    </row>
    <row r="61" customFormat="false" ht="17.15" hidden="false" customHeight="false" outlineLevel="0" collapsed="false">
      <c r="A61" s="5" t="s">
        <v>746</v>
      </c>
      <c r="B61" s="0" t="s">
        <v>73</v>
      </c>
      <c r="F61" s="38" t="n">
        <f aca="false">iss_2h26</f>
        <v>29.25</v>
      </c>
      <c r="G61" s="38" t="n">
        <f aca="false">CF!$F$61</f>
        <v>29.25</v>
      </c>
      <c r="H61" s="41" t="n">
        <v>0</v>
      </c>
      <c r="I61" s="41" t="n">
        <v>0</v>
      </c>
      <c r="J61" s="41" t="n">
        <v>0</v>
      </c>
      <c r="K61" s="41" t="n">
        <v>0</v>
      </c>
      <c r="L61" s="41" t="n">
        <v>0</v>
      </c>
      <c r="M61" s="41" t="n">
        <v>0</v>
      </c>
    </row>
    <row r="62" customFormat="false" ht="17.15" hidden="false" customHeight="false" outlineLevel="0" collapsed="false">
      <c r="A62" s="5" t="s">
        <v>747</v>
      </c>
      <c r="B62" s="0" t="s">
        <v>73</v>
      </c>
      <c r="F62" s="38" t="n">
        <f aca="false">cash_q2</f>
        <v>122.988</v>
      </c>
      <c r="G62" s="38" t="n">
        <f aca="false">cash_q2</f>
        <v>122.988</v>
      </c>
      <c r="H62" s="38" t="n">
        <f aca="false">CF!$G$65</f>
        <v>95.2021149126269</v>
      </c>
      <c r="I62" s="38" t="n">
        <f aca="false">CF!$H$65</f>
        <v>50</v>
      </c>
      <c r="J62" s="38" t="n">
        <f aca="false">CF!$I$65</f>
        <v>50</v>
      </c>
      <c r="K62" s="38" t="n">
        <f aca="false">CF!$J$65</f>
        <v>89.7446339029391</v>
      </c>
      <c r="L62" s="38" t="n">
        <f aca="false">CF!$K$65</f>
        <v>171.917739781846</v>
      </c>
      <c r="M62" s="38" t="n">
        <f aca="false">CF!$L$65</f>
        <v>266.042289803747</v>
      </c>
    </row>
    <row r="63" customFormat="false" ht="15" hidden="false" customHeight="false" outlineLevel="0" collapsed="false">
      <c r="A63" s="5" t="s">
        <v>748</v>
      </c>
      <c r="B63" s="0" t="s">
        <v>73</v>
      </c>
      <c r="F63" s="38" t="n">
        <f aca="false">CF!$F$62+CF!$F$59-CF!$F$58-CF!$F$60+CF!$F$61</f>
        <v>95.2021149126269</v>
      </c>
      <c r="H63" s="38" t="n">
        <f aca="false">CF!$H$62+CF!$H$59-CF!$H$58-CF!$H$60+CF!$H$61</f>
        <v>48.5034093200957</v>
      </c>
      <c r="I63" s="38" t="n">
        <f aca="false">CF!$I$62+CF!$I$59-CF!$I$58-CF!$I$60+CF!$I$61</f>
        <v>46.0242552239335</v>
      </c>
      <c r="J63" s="38" t="n">
        <f aca="false">CF!$J$62+CF!$J$59-CF!$J$58-CF!$J$60+CF!$J$61</f>
        <v>89.7446339029391</v>
      </c>
      <c r="K63" s="38" t="n">
        <f aca="false">CF!$K$62+CF!$K$59-CF!$K$58-CF!$K$60+CF!$K$61</f>
        <v>171.917739781846</v>
      </c>
      <c r="L63" s="38" t="n">
        <f aca="false">CF!$L$62+CF!$L$59-CF!$L$58-CF!$L$60+CF!$L$61</f>
        <v>266.042289803747</v>
      </c>
      <c r="M63" s="38" t="n">
        <f aca="false">CF!$M$62+CF!$M$59-CF!$M$58-CF!$M$60+CF!$M$61</f>
        <v>350.425471529404</v>
      </c>
    </row>
    <row r="64" customFormat="false" ht="17.15" hidden="false" customHeight="false" outlineLevel="0" collapsed="false">
      <c r="A64" s="5" t="s">
        <v>749</v>
      </c>
      <c r="B64" s="0" t="s">
        <v>73</v>
      </c>
      <c r="F64" s="38" t="n">
        <f aca="false">MAX(0,min_cash-CF!$F$63)</f>
        <v>0</v>
      </c>
      <c r="G64" s="38" t="n">
        <f aca="false">CF!$F$64</f>
        <v>0</v>
      </c>
      <c r="H64" s="38" t="n">
        <f aca="false">MAX(0,min_cash-CF!$H$63)</f>
        <v>1.49659067990431</v>
      </c>
      <c r="I64" s="38" t="n">
        <f aca="false">MAX(0,min_cash-CF!$I$63)</f>
        <v>3.97574477606648</v>
      </c>
      <c r="J64" s="38" t="n">
        <f aca="false">MAX(0,min_cash-CF!$J$63)</f>
        <v>0</v>
      </c>
      <c r="K64" s="38" t="n">
        <f aca="false">MAX(0,min_cash-CF!$K$63)</f>
        <v>0</v>
      </c>
      <c r="L64" s="38" t="n">
        <f aca="false">MAX(0,min_cash-CF!$L$63)</f>
        <v>0</v>
      </c>
      <c r="M64" s="38" t="n">
        <f aca="false">MAX(0,min_cash-CF!$M$63)</f>
        <v>0</v>
      </c>
      <c r="P64" s="5" t="s">
        <v>750</v>
      </c>
    </row>
    <row r="65" customFormat="false" ht="15" hidden="false" customHeight="false" outlineLevel="0" collapsed="false">
      <c r="A65" s="5" t="s">
        <v>751</v>
      </c>
      <c r="B65" s="0" t="s">
        <v>73</v>
      </c>
      <c r="D65" s="38" t="n">
        <f aca="false">Q!$E$61</f>
        <v>123.029</v>
      </c>
      <c r="E65" s="38" t="n">
        <f aca="false">Q!$M$61</f>
        <v>122.988</v>
      </c>
      <c r="F65" s="38" t="n">
        <f aca="false">CF!$F$63+CF!$F$64</f>
        <v>95.2021149126269</v>
      </c>
      <c r="G65" s="38" t="n">
        <f aca="false">CF!$F$65</f>
        <v>95.2021149126269</v>
      </c>
      <c r="H65" s="38" t="n">
        <f aca="false">CF!$H$63+CF!$H$64</f>
        <v>50</v>
      </c>
      <c r="I65" s="38" t="n">
        <f aca="false">CF!$I$63+CF!$I$64</f>
        <v>50</v>
      </c>
      <c r="J65" s="38" t="n">
        <f aca="false">CF!$J$63+CF!$J$64</f>
        <v>89.7446339029391</v>
      </c>
      <c r="K65" s="38" t="n">
        <f aca="false">CF!$K$63+CF!$K$64</f>
        <v>171.917739781846</v>
      </c>
      <c r="L65" s="38" t="n">
        <f aca="false">CF!$L$63+CF!$L$64</f>
        <v>266.042289803747</v>
      </c>
      <c r="M65" s="38" t="n">
        <f aca="false">CF!$M$63+CF!$M$64</f>
        <v>350.425471529404</v>
      </c>
    </row>
    <row r="66" customFormat="false" ht="15" hidden="false" customHeight="false" outlineLevel="0" collapsed="false">
      <c r="A66" s="5" t="s">
        <v>752</v>
      </c>
      <c r="B66" s="0" t="s">
        <v>73</v>
      </c>
      <c r="D66" s="38" t="n">
        <f aca="false">Q!$E$62</f>
        <v>68.836</v>
      </c>
      <c r="E66" s="38" t="n">
        <f aca="false">Q!$M$62</f>
        <v>132.995</v>
      </c>
      <c r="F66" s="38" t="n">
        <f aca="false">debt_q2+CF!$F$61+CF!$F$64</f>
        <v>162.245</v>
      </c>
      <c r="G66" s="38" t="n">
        <f aca="false">CF!$F$66</f>
        <v>162.245</v>
      </c>
      <c r="H66" s="38" t="n">
        <f aca="false">CF!$G$66+CF!$H$64</f>
        <v>163.741590679904</v>
      </c>
      <c r="I66" s="38" t="n">
        <f aca="false">CF!$H$66+CF!$I$64</f>
        <v>167.717335455971</v>
      </c>
      <c r="J66" s="38" t="n">
        <f aca="false">CF!$I$66+CF!$J$64</f>
        <v>167.717335455971</v>
      </c>
      <c r="K66" s="38" t="n">
        <f aca="false">CF!$J$66+CF!$K$64</f>
        <v>167.717335455971</v>
      </c>
      <c r="L66" s="38" t="n">
        <f aca="false">CF!$K$66+CF!$L$64</f>
        <v>167.717335455971</v>
      </c>
      <c r="M66" s="38" t="n">
        <f aca="false">CF!$L$66+CF!$M$64</f>
        <v>167.717335455971</v>
      </c>
    </row>
    <row r="67" customFormat="false" ht="15" hidden="false" customHeight="false" outlineLevel="0" collapsed="false">
      <c r="A67" s="5" t="s">
        <v>753</v>
      </c>
      <c r="B67" s="0" t="s">
        <v>73</v>
      </c>
      <c r="D67" s="38" t="n">
        <f aca="false">CF!$D$66-CF!$D$65</f>
        <v>-54.193</v>
      </c>
      <c r="E67" s="38" t="n">
        <f aca="false">CF!$E$66-CF!$E$65</f>
        <v>10.007</v>
      </c>
      <c r="F67" s="38" t="n">
        <f aca="false">CF!$F$66-CF!$F$65</f>
        <v>67.0428850873731</v>
      </c>
      <c r="G67" s="38" t="n">
        <f aca="false">CF!$G$66-CF!$G$65</f>
        <v>67.0428850873731</v>
      </c>
      <c r="H67" s="38" t="n">
        <f aca="false">CF!$H$66-CF!$H$65</f>
        <v>113.741590679904</v>
      </c>
      <c r="I67" s="38" t="n">
        <f aca="false">CF!$I$66-CF!$I$65</f>
        <v>117.717335455971</v>
      </c>
      <c r="J67" s="38" t="n">
        <f aca="false">CF!$J$66-CF!$J$65</f>
        <v>77.9727015530317</v>
      </c>
      <c r="K67" s="38" t="n">
        <f aca="false">CF!$K$66-CF!$K$65</f>
        <v>-4.20040432587558</v>
      </c>
      <c r="L67" s="38" t="n">
        <f aca="false">CF!$L$66-CF!$L$65</f>
        <v>-98.3249543477765</v>
      </c>
      <c r="M67" s="38" t="n">
        <f aca="false">CF!$M$66-CF!$M$65</f>
        <v>-182.708136073434</v>
      </c>
    </row>
    <row r="68" customFormat="false" ht="17.15" hidden="false" customHeight="false" outlineLevel="0" collapsed="false">
      <c r="A68" s="5" t="s">
        <v>754</v>
      </c>
      <c r="B68" s="0" t="s">
        <v>73</v>
      </c>
      <c r="F68" s="38" t="n">
        <f aca="false">debt_q2*kd_book*0.5+iss_2h26*kd_new*0.25</f>
        <v>3.24888964316061</v>
      </c>
      <c r="H68" s="38" t="n">
        <f aca="false">debt_q2*kd_book+(CF!$G$66-debt_q2)*kd_new</f>
        <v>7.42354178632123</v>
      </c>
      <c r="I68" s="38" t="n">
        <f aca="false">debt_q2*kd_book+(CF!$H$66-debt_q2)*kd_new</f>
        <v>7.51827597635917</v>
      </c>
      <c r="J68" s="38" t="n">
        <f aca="false">debt_q2*kd_book+(CF!$I$66-debt_q2)*kd_new</f>
        <v>7.76994062068418</v>
      </c>
      <c r="K68" s="38" t="n">
        <f aca="false">debt_q2*kd_book+(CF!$J$66-debt_q2)*kd_new</f>
        <v>7.76994062068418</v>
      </c>
      <c r="L68" s="38" t="n">
        <f aca="false">debt_q2*kd_book+(CF!$K$66-debt_q2)*kd_new</f>
        <v>7.76994062068418</v>
      </c>
      <c r="M68" s="38" t="n">
        <f aca="false">debt_q2*kd_book+(CF!$L$66-debt_q2)*kd_new</f>
        <v>7.76994062068418</v>
      </c>
    </row>
    <row r="69" customFormat="false" ht="17.15" hidden="false" customHeight="false" outlineLevel="0" collapsed="false">
      <c r="A69" s="5" t="s">
        <v>755</v>
      </c>
      <c r="B69" s="0" t="s">
        <v>73</v>
      </c>
      <c r="F69" s="38" t="n">
        <f aca="false">cash_q2*y_cash*0.5</f>
        <v>2.59</v>
      </c>
      <c r="H69" s="38" t="n">
        <f aca="false">CF!$G$65*y_cash</f>
        <v>4.00971603121774</v>
      </c>
      <c r="I69" s="38" t="n">
        <f aca="false">CF!$H$65*y_cash</f>
        <v>2.10589651022864</v>
      </c>
      <c r="J69" s="38" t="n">
        <f aca="false">CF!$I$65*y_cash</f>
        <v>2.10589651022864</v>
      </c>
      <c r="K69" s="38" t="n">
        <f aca="false">CF!$J$65*y_cash</f>
        <v>3.77985822695893</v>
      </c>
      <c r="L69" s="38" t="n">
        <f aca="false">CF!$K$65*y_cash</f>
        <v>7.24081936505971</v>
      </c>
      <c r="M69" s="38" t="n">
        <f aca="false">CF!$L$65*y_cash</f>
        <v>11.205150593419</v>
      </c>
    </row>
    <row r="70" customFormat="false" ht="17.15" hidden="false" customHeight="false" outlineLevel="0" collapsed="false">
      <c r="A70" s="46" t="s">
        <v>756</v>
      </c>
      <c r="B70" s="13" t="s">
        <v>73</v>
      </c>
      <c r="C70" s="13"/>
      <c r="D70" s="13"/>
      <c r="E70" s="13"/>
      <c r="F70" s="13"/>
      <c r="G70" s="47" t="n">
        <f aca="false">SUM(CF!$G$59:$K$59)</f>
        <v>9.81640432587554</v>
      </c>
      <c r="H70" s="13"/>
      <c r="I70" s="13"/>
      <c r="J70" s="13"/>
      <c r="K70" s="13"/>
      <c r="L70" s="13"/>
      <c r="M70" s="13"/>
      <c r="N70" s="13"/>
      <c r="O70" s="13"/>
    </row>
    <row r="71" customFormat="false" ht="17.15" hidden="false" customHeight="false" outlineLevel="0" collapsed="false">
      <c r="A71" s="0" t="s">
        <v>723</v>
      </c>
      <c r="B71" s="0" t="s">
        <v>73</v>
      </c>
      <c r="G71" s="38" t="n">
        <f aca="false">SUM(CF!$G$64:$K$64)</f>
        <v>5.47233545597079</v>
      </c>
    </row>
    <row r="74" customFormat="false" ht="19.4" hidden="false" customHeight="false" outlineLevel="0" collapsed="false">
      <c r="A74" s="31" t="s">
        <v>758</v>
      </c>
    </row>
    <row r="75" customFormat="false" ht="17.15" hidden="false" customHeight="false" outlineLevel="0" collapsed="false">
      <c r="A75" s="6" t="s">
        <v>16</v>
      </c>
      <c r="B75" s="6" t="s">
        <v>17</v>
      </c>
      <c r="C75" s="20" t="s">
        <v>457</v>
      </c>
      <c r="D75" s="20" t="s">
        <v>458</v>
      </c>
      <c r="E75" s="20" t="s">
        <v>540</v>
      </c>
      <c r="F75" s="20" t="s">
        <v>541</v>
      </c>
      <c r="G75" s="20" t="s">
        <v>542</v>
      </c>
      <c r="H75" s="20" t="s">
        <v>543</v>
      </c>
      <c r="I75" s="20" t="s">
        <v>544</v>
      </c>
      <c r="J75" s="20" t="s">
        <v>545</v>
      </c>
      <c r="K75" s="20" t="s">
        <v>546</v>
      </c>
      <c r="L75" s="20" t="s">
        <v>547</v>
      </c>
      <c r="M75" s="20" t="s">
        <v>548</v>
      </c>
      <c r="N75" s="20" t="s">
        <v>549</v>
      </c>
      <c r="O75" s="20" t="s">
        <v>550</v>
      </c>
      <c r="P75" s="6" t="s">
        <v>23</v>
      </c>
      <c r="R75" s="20" t="n">
        <v>2023</v>
      </c>
      <c r="S75" s="20" t="n">
        <v>2024</v>
      </c>
      <c r="T75" s="20" t="n">
        <v>2025</v>
      </c>
      <c r="U75" s="20" t="n">
        <v>2026</v>
      </c>
      <c r="V75" s="20" t="n">
        <v>2027</v>
      </c>
      <c r="W75" s="20" t="n">
        <v>2028</v>
      </c>
      <c r="X75" s="20" t="n">
        <v>2029</v>
      </c>
      <c r="Y75" s="20" t="n">
        <v>2030</v>
      </c>
      <c r="Z75" s="20" t="n">
        <v>2031</v>
      </c>
      <c r="AA75" s="20" t="n">
        <v>2032</v>
      </c>
    </row>
    <row r="76" customFormat="false" ht="15" hidden="false" customHeight="false" outlineLevel="0" collapsed="false">
      <c r="A76" s="5" t="s">
        <v>509</v>
      </c>
      <c r="B76" s="0" t="s">
        <v>73</v>
      </c>
      <c r="C76" s="38" t="n">
        <f aca="false">PL!$C$203</f>
        <v>59.248</v>
      </c>
      <c r="D76" s="38" t="n">
        <f aca="false">PL!$D$203</f>
        <v>77.67</v>
      </c>
      <c r="E76" s="38" t="n">
        <f aca="false">PL!$E$203</f>
        <v>92.902</v>
      </c>
      <c r="F76" s="38" t="n">
        <f aca="false">PL!$F$203</f>
        <v>48.2607391330247</v>
      </c>
      <c r="G76" s="38" t="n">
        <f aca="false">PL!$G$203</f>
        <v>141.162739133025</v>
      </c>
      <c r="H76" s="38" t="n">
        <f aca="false">PL!$H$203</f>
        <v>103.674846271574</v>
      </c>
      <c r="I76" s="38" t="n">
        <f aca="false">PL!$I$203</f>
        <v>116.637862689418</v>
      </c>
      <c r="J76" s="38" t="n">
        <f aca="false">PL!$J$203</f>
        <v>128.417825440658</v>
      </c>
      <c r="K76" s="38" t="n">
        <f aca="false">PL!$K$203</f>
        <v>138.21388646132</v>
      </c>
      <c r="L76" s="38" t="n">
        <f aca="false">PL!$L$203</f>
        <v>150.706946885977</v>
      </c>
      <c r="M76" s="38" t="n">
        <f aca="false">PL!$M$203</f>
        <v>163.955434942798</v>
      </c>
    </row>
    <row r="77" customFormat="false" ht="17.15" hidden="false" customHeight="false" outlineLevel="0" collapsed="false">
      <c r="A77" s="5" t="s">
        <v>730</v>
      </c>
      <c r="B77" s="0" t="s">
        <v>73</v>
      </c>
      <c r="C77" s="38" t="n">
        <f aca="false">PL!$C$191</f>
        <v>32.067</v>
      </c>
      <c r="D77" s="38" t="n">
        <f aca="false">PL!$D$191</f>
        <v>41.86</v>
      </c>
      <c r="E77" s="38" t="n">
        <f aca="false">PL!$E$191</f>
        <v>26.703</v>
      </c>
      <c r="F77" s="38" t="n">
        <f aca="false">PL!$F$191</f>
        <v>30.6103857251209</v>
      </c>
      <c r="G77" s="38" t="n">
        <f aca="false">PL!$G$191</f>
        <v>57.3133857251209</v>
      </c>
      <c r="H77" s="38" t="n">
        <f aca="false">PL!$H$191</f>
        <v>87.6845218193838</v>
      </c>
      <c r="I77" s="38" t="n">
        <f aca="false">PL!$I$191</f>
        <v>122.294769708638</v>
      </c>
      <c r="J77" s="38" t="n">
        <f aca="false">PL!$J$191</f>
        <v>157.133962573221</v>
      </c>
      <c r="K77" s="38" t="n">
        <f aca="false">PL!$K$191</f>
        <v>191.350633353599</v>
      </c>
      <c r="L77" s="38" t="n">
        <f aca="false">PL!$L$191</f>
        <v>223.909238335354</v>
      </c>
      <c r="M77" s="38" t="n">
        <f aca="false">PL!$M$191</f>
        <v>257.576319867276</v>
      </c>
    </row>
    <row r="78" customFormat="false" ht="15" hidden="false" customHeight="false" outlineLevel="0" collapsed="false">
      <c r="A78" s="5" t="s">
        <v>731</v>
      </c>
      <c r="B78" s="0" t="s">
        <v>73</v>
      </c>
      <c r="C78" s="38" t="n">
        <f aca="false">Q!$D$48</f>
        <v>22.011</v>
      </c>
      <c r="D78" s="38" t="n">
        <f aca="false">Q!$E$48</f>
        <v>19.467</v>
      </c>
      <c r="E78" s="38" t="n">
        <f aca="false">Q!$P$48</f>
        <v>10.07</v>
      </c>
      <c r="F78" s="38" t="n">
        <f aca="false">sbc_r*Seg!$F$97</f>
        <v>11.196504103304</v>
      </c>
      <c r="G78" s="38" t="n">
        <f aca="false">CF!$E$78+CF!$F$78</f>
        <v>21.266504103304</v>
      </c>
      <c r="H78" s="38" t="n">
        <f aca="false">sbc_r*Seg!$H$97</f>
        <v>24.0093275345283</v>
      </c>
      <c r="I78" s="38" t="n">
        <f aca="false">sbc_r*Seg!$I$97</f>
        <v>27.3083076476515</v>
      </c>
      <c r="J78" s="38" t="n">
        <f aca="false">sbc_r*Seg!$J$97</f>
        <v>30.3889204275201</v>
      </c>
      <c r="K78" s="38" t="n">
        <f aca="false">sbc_r*Seg!$K$97</f>
        <v>33.1107769530391</v>
      </c>
      <c r="L78" s="38" t="n">
        <f aca="false">sbc_r*Seg!$L$97</f>
        <v>35.968162463585</v>
      </c>
      <c r="M78" s="38" t="n">
        <f aca="false">sbc_r*Seg!$M$97</f>
        <v>38.9711548786203</v>
      </c>
    </row>
    <row r="79" customFormat="false" ht="17.15" hidden="false" customHeight="false" outlineLevel="0" collapsed="false">
      <c r="A79" s="5" t="s">
        <v>732</v>
      </c>
      <c r="B79" s="0" t="s">
        <v>73</v>
      </c>
      <c r="C79" s="38" t="n">
        <f aca="false">Q!$D$44-CF!$C$76-CF!$C$77-CF!$C$78</f>
        <v>2.551</v>
      </c>
      <c r="D79" s="38" t="n">
        <f aca="false">Q!$E$44-CF!$D$76-CF!$D$77-CF!$D$78</f>
        <v>0.51700000000001</v>
      </c>
      <c r="E79" s="38" t="n">
        <f aca="false">Q!$P$44-CF!$E$76-CF!$E$77-CF!$E$78</f>
        <v>-58.256</v>
      </c>
      <c r="F79" s="38" t="n">
        <f aca="false">wc_2h26+oth_r*Seg!$F$97</f>
        <v>7.33609295902278</v>
      </c>
      <c r="G79" s="38" t="n">
        <f aca="false">CF!$E$79+CF!$F$79</f>
        <v>-50.9199070409772</v>
      </c>
      <c r="H79" s="38" t="n">
        <f aca="false">oth_r*Seg!$H$97</f>
        <v>11.5561515249225</v>
      </c>
      <c r="I79" s="38" t="n">
        <f aca="false">oth_r*Seg!$I$97</f>
        <v>13.144014159148</v>
      </c>
      <c r="J79" s="38" t="n">
        <f aca="false">oth_r*Seg!$J$97</f>
        <v>14.6267723922795</v>
      </c>
      <c r="K79" s="38" t="n">
        <f aca="false">oth_r*Seg!$K$97</f>
        <v>15.93685433409</v>
      </c>
      <c r="L79" s="38" t="n">
        <f aca="false">oth_r*Seg!$L$97</f>
        <v>17.3121689853437</v>
      </c>
      <c r="M79" s="38" t="n">
        <f aca="false">oth_r*Seg!$M$97</f>
        <v>18.7575670426793</v>
      </c>
      <c r="P79" s="8" t="s">
        <v>733</v>
      </c>
    </row>
    <row r="80" customFormat="false" ht="15" hidden="false" customHeight="false" outlineLevel="0" collapsed="false">
      <c r="A80" s="3" t="s">
        <v>515</v>
      </c>
      <c r="B80" s="8" t="s">
        <v>73</v>
      </c>
      <c r="C80" s="38" t="n">
        <f aca="false">Q!$D$44</f>
        <v>115.877</v>
      </c>
      <c r="D80" s="38" t="n">
        <f aca="false">Q!$E$44</f>
        <v>139.514</v>
      </c>
      <c r="E80" s="38" t="n">
        <f aca="false">Q!$P$44</f>
        <v>71.419</v>
      </c>
      <c r="F80" s="38" t="n">
        <f aca="false">CF!$F$76+CF!$F$77+CF!$F$78+CF!$F$79</f>
        <v>97.4037219204725</v>
      </c>
      <c r="G80" s="38" t="n">
        <f aca="false">CF!$E$80+CF!$F$80</f>
        <v>168.822721920472</v>
      </c>
      <c r="H80" s="38" t="n">
        <f aca="false">CF!$H$76+CF!$H$77+CF!$H$78+CF!$H$79</f>
        <v>226.924847150409</v>
      </c>
      <c r="I80" s="38" t="n">
        <f aca="false">CF!$I$76+CF!$I$77+CF!$I$78+CF!$I$79</f>
        <v>279.384954204855</v>
      </c>
      <c r="J80" s="38" t="n">
        <f aca="false">CF!$J$76+CF!$J$77+CF!$J$78+CF!$J$79</f>
        <v>330.567480833679</v>
      </c>
      <c r="K80" s="38" t="n">
        <f aca="false">CF!$K$76+CF!$K$77+CF!$K$78+CF!$K$79</f>
        <v>378.612151102049</v>
      </c>
      <c r="L80" s="38" t="n">
        <f aca="false">CF!$L$76+CF!$L$77+CF!$L$78+CF!$L$79</f>
        <v>427.89651667026</v>
      </c>
      <c r="M80" s="38" t="n">
        <f aca="false">CF!$M$76+CF!$M$77+CF!$M$78+CF!$M$79</f>
        <v>479.260476731374</v>
      </c>
    </row>
    <row r="81" customFormat="false" ht="17.15" hidden="false" customHeight="false" outlineLevel="0" collapsed="false">
      <c r="A81" s="5" t="s">
        <v>734</v>
      </c>
      <c r="B81" s="0" t="s">
        <v>73</v>
      </c>
      <c r="C81" s="38" t="n">
        <f aca="false">Thesis!$C$146</f>
        <v>25.2781053077374</v>
      </c>
      <c r="D81" s="38" t="n">
        <f aca="false">Thesis!$D$146</f>
        <v>69.5686316310026</v>
      </c>
      <c r="E81" s="38" t="n">
        <f aca="false">Thesis!$E$146</f>
        <v>64.1899206485108</v>
      </c>
      <c r="F81" s="38" t="n">
        <f aca="false">Thesis!$F$146</f>
        <v>96.2481299895</v>
      </c>
      <c r="G81" s="38" t="n">
        <f aca="false">Thesis!$G$146</f>
        <v>160.438050638011</v>
      </c>
      <c r="H81" s="38" t="n">
        <f aca="false">Thesis!$H$146</f>
        <v>198.57136494475</v>
      </c>
      <c r="I81" s="38" t="n">
        <f aca="false">Thesis!$I$146</f>
        <v>204.6464699105</v>
      </c>
      <c r="J81" s="38" t="n">
        <f aca="false">Thesis!$J$146</f>
        <v>209.8832381105</v>
      </c>
      <c r="K81" s="38" t="n">
        <f aca="false">Thesis!$K$146</f>
        <v>215.1200063105</v>
      </c>
      <c r="L81" s="38" t="n">
        <f aca="false">Thesis!$L$146</f>
        <v>251.7773837105</v>
      </c>
      <c r="M81" s="38" t="n">
        <f aca="false">Thesis!$M$146</f>
        <v>311.87584476575</v>
      </c>
    </row>
    <row r="82" customFormat="false" ht="17.15" hidden="false" customHeight="false" outlineLevel="0" collapsed="false">
      <c r="A82" s="5" t="s">
        <v>735</v>
      </c>
      <c r="B82" s="0" t="s">
        <v>73</v>
      </c>
      <c r="C82" s="38" t="n">
        <f aca="false">cx_awso*Seg!$C$95</f>
        <v>21.0469989286053</v>
      </c>
      <c r="D82" s="38" t="n">
        <f aca="false">cx_awso*Seg!$D$95</f>
        <v>24.0042459822698</v>
      </c>
      <c r="E82" s="38" t="n">
        <f aca="false">cx_awso*Seg!$E$95</f>
        <v>14.261729404886</v>
      </c>
      <c r="F82" s="38" t="n">
        <f aca="false">cx_awso*Seg!$F$95</f>
        <v>15.7190020837331</v>
      </c>
      <c r="G82" s="38" t="n">
        <f aca="false">CF!$E$82+CF!$F$82</f>
        <v>29.9807314886191</v>
      </c>
      <c r="H82" s="38" t="n">
        <f aca="false">cx_awso*Seg!$H$95</f>
        <v>36.1787121536283</v>
      </c>
      <c r="I82" s="38" t="n">
        <f aca="false">cx_awso*Seg!$I$95</f>
        <v>42.1296794430021</v>
      </c>
      <c r="J82" s="38" t="n">
        <f aca="false">cx_awso*Seg!$J$95</f>
        <v>47.279781889299</v>
      </c>
      <c r="K82" s="38" t="n">
        <f aca="false">cx_awso*Seg!$K$95</f>
        <v>51.0621644404429</v>
      </c>
      <c r="L82" s="38" t="n">
        <f aca="false">cx_awso*Seg!$L$95</f>
        <v>55.1471375956783</v>
      </c>
      <c r="M82" s="38" t="n">
        <f aca="false">cx_awso*Seg!$M$95</f>
        <v>59.5589086033326</v>
      </c>
    </row>
    <row r="83" customFormat="false" ht="17.15" hidden="false" customHeight="false" outlineLevel="0" collapsed="false">
      <c r="A83" s="5" t="s">
        <v>736</v>
      </c>
      <c r="B83" s="0" t="s">
        <v>73</v>
      </c>
      <c r="C83" s="38" t="n">
        <f aca="false">Q!$D$46-CF!$C$81-CF!$C$82</f>
        <v>31.3328957636573</v>
      </c>
      <c r="D83" s="38" t="n">
        <f aca="false">Q!$E$46-CF!$D$81-CF!$D$82</f>
        <v>34.7471223867276</v>
      </c>
      <c r="E83" s="38" t="n">
        <f aca="false">Q!$P$46-CF!$E$81-CF!$E$82</f>
        <v>17.8583499466032</v>
      </c>
      <c r="F83" s="38" t="n">
        <f aca="false">cx_rt*Seg!$F$87</f>
        <v>21.0855744229195</v>
      </c>
      <c r="G83" s="38" t="n">
        <f aca="false">CF!$E$83+CF!$F$83</f>
        <v>38.9439243695228</v>
      </c>
      <c r="H83" s="38" t="n">
        <f aca="false">cx_rt*Seg!$H$87</f>
        <v>43.1200434029767</v>
      </c>
      <c r="I83" s="38" t="n">
        <f aca="false">cx_rt*Seg!$I$87</f>
        <v>47.1583152318763</v>
      </c>
      <c r="J83" s="38" t="n">
        <f aca="false">cx_rt*Seg!$J$87</f>
        <v>50.9060281137911</v>
      </c>
      <c r="K83" s="38" t="n">
        <f aca="false">cx_rt*Seg!$K$87</f>
        <v>54.2035645673053</v>
      </c>
      <c r="L83" s="38" t="n">
        <f aca="false">cx_rt*Seg!$L$87</f>
        <v>57.7318979121519</v>
      </c>
      <c r="M83" s="38" t="n">
        <f aca="false">cx_rt*Seg!$M$87</f>
        <v>61.5084196557756</v>
      </c>
    </row>
    <row r="84" customFormat="false" ht="15" hidden="false" customHeight="false" outlineLevel="0" collapsed="false">
      <c r="A84" s="3" t="s">
        <v>737</v>
      </c>
      <c r="B84" s="8" t="s">
        <v>73</v>
      </c>
      <c r="C84" s="38" t="n">
        <f aca="false">Q!$D$46</f>
        <v>77.658</v>
      </c>
      <c r="D84" s="38" t="n">
        <f aca="false">Q!$E$46</f>
        <v>128.32</v>
      </c>
      <c r="E84" s="38" t="n">
        <f aca="false">Q!$P$46</f>
        <v>96.31</v>
      </c>
      <c r="F84" s="38" t="n">
        <f aca="false">CF!$F$81+CF!$F$82+CF!$F$83</f>
        <v>133.052706496153</v>
      </c>
      <c r="G84" s="38" t="n">
        <f aca="false">CF!$E$84+CF!$F$84</f>
        <v>229.362706496153</v>
      </c>
      <c r="H84" s="38" t="n">
        <f aca="false">CF!$H$81+CF!$H$82+CF!$H$83</f>
        <v>277.870120501355</v>
      </c>
      <c r="I84" s="38" t="n">
        <f aca="false">CF!$I$81+CF!$I$82+CF!$I$83</f>
        <v>293.934464585378</v>
      </c>
      <c r="J84" s="38" t="n">
        <f aca="false">CF!$J$81+CF!$J$82+CF!$J$83</f>
        <v>308.06904811359</v>
      </c>
      <c r="K84" s="38" t="n">
        <f aca="false">CF!$K$81+CF!$K$82+CF!$K$83</f>
        <v>320.385735318248</v>
      </c>
      <c r="L84" s="38" t="n">
        <f aca="false">CF!$L$81+CF!$L$82+CF!$L$83</f>
        <v>364.65641921833</v>
      </c>
      <c r="M84" s="38" t="n">
        <f aca="false">CF!$M$81+CF!$M$82+CF!$M$83</f>
        <v>432.943173024858</v>
      </c>
    </row>
    <row r="85" customFormat="false" ht="17.15" hidden="false" customHeight="false" outlineLevel="0" collapsed="false">
      <c r="A85" s="5" t="s">
        <v>523</v>
      </c>
      <c r="B85" s="0" t="s">
        <v>73</v>
      </c>
      <c r="C85" s="38" t="n">
        <f aca="false">Q!$D$50</f>
        <v>2.043</v>
      </c>
      <c r="D85" s="38" t="n">
        <f aca="false">Q!$E$50</f>
        <v>1.557</v>
      </c>
      <c r="E85" s="38" t="n">
        <f aca="false">lease_pr/2</f>
        <v>0.8</v>
      </c>
      <c r="F85" s="38" t="n">
        <f aca="false">lease_pr/2</f>
        <v>0.8</v>
      </c>
      <c r="G85" s="38" t="n">
        <f aca="false">CF!$E$85+CF!$F$85</f>
        <v>1.6</v>
      </c>
      <c r="H85" s="38" t="n">
        <f aca="false">lease_pr</f>
        <v>1.6</v>
      </c>
      <c r="I85" s="38" t="n">
        <f aca="false">lease_pr</f>
        <v>1.6</v>
      </c>
      <c r="J85" s="38" t="n">
        <f aca="false">lease_pr</f>
        <v>1.6</v>
      </c>
      <c r="K85" s="38" t="n">
        <f aca="false">lease_pr</f>
        <v>1.6</v>
      </c>
      <c r="L85" s="38" t="n">
        <f aca="false">lease_pr</f>
        <v>1.6</v>
      </c>
      <c r="M85" s="38" t="n">
        <f aca="false">lease_pr</f>
        <v>1.6</v>
      </c>
      <c r="P85" s="8" t="s">
        <v>738</v>
      </c>
    </row>
    <row r="86" customFormat="false" ht="15" hidden="false" customHeight="false" outlineLevel="0" collapsed="false">
      <c r="A86" s="46" t="s">
        <v>739</v>
      </c>
      <c r="B86" s="13" t="s">
        <v>73</v>
      </c>
      <c r="C86" s="47" t="n">
        <f aca="false">CF!$C$80-CF!$C$84-CF!$C$85</f>
        <v>36.176</v>
      </c>
      <c r="D86" s="47" t="n">
        <f aca="false">CF!$D$80-CF!$D$84-CF!$D$85</f>
        <v>9.63700000000002</v>
      </c>
      <c r="E86" s="47" t="n">
        <f aca="false">CF!$E$80-CF!$E$84-CF!$E$85</f>
        <v>-25.691</v>
      </c>
      <c r="F86" s="47" t="n">
        <f aca="false">CF!$F$80-CF!$F$84-CF!$F$85</f>
        <v>-36.4489845756801</v>
      </c>
      <c r="G86" s="47" t="n">
        <f aca="false">CF!$G$80-CF!$G$84-CF!$G$85</f>
        <v>-62.1399845756801</v>
      </c>
      <c r="H86" s="47" t="n">
        <f aca="false">CF!$H$80-CF!$H$84-CF!$H$85</f>
        <v>-52.5452733509461</v>
      </c>
      <c r="I86" s="47" t="n">
        <f aca="false">CF!$I$80-CF!$I$84-CF!$I$85</f>
        <v>-16.1495103805229</v>
      </c>
      <c r="J86" s="47" t="n">
        <f aca="false">CF!$J$80-CF!$J$84-CF!$J$85</f>
        <v>20.8984327200888</v>
      </c>
      <c r="K86" s="47" t="n">
        <f aca="false">CF!$K$80-CF!$K$84-CF!$K$85</f>
        <v>56.6264157838005</v>
      </c>
      <c r="L86" s="47" t="n">
        <f aca="false">CF!$L$80-CF!$L$84-CF!$L$85</f>
        <v>61.6400974519302</v>
      </c>
      <c r="M86" s="47" t="n">
        <f aca="false">CF!$M$80-CF!$M$84-CF!$M$85</f>
        <v>44.717303706516</v>
      </c>
      <c r="N86" s="13"/>
      <c r="O86" s="13"/>
    </row>
    <row r="87" customFormat="false" ht="17.15" hidden="false" customHeight="false" outlineLevel="0" collapsed="false">
      <c r="A87" s="5" t="s">
        <v>740</v>
      </c>
      <c r="B87" s="0" t="s">
        <v>73</v>
      </c>
      <c r="C87" s="38" t="n">
        <f aca="false">dps*PL!$C$204</f>
        <v>0</v>
      </c>
      <c r="D87" s="38" t="n">
        <f aca="false">dps*PL!$D$204</f>
        <v>0</v>
      </c>
      <c r="E87" s="38" t="n">
        <f aca="false">dps*PL!$E$204</f>
        <v>0</v>
      </c>
      <c r="F87" s="38" t="n">
        <f aca="false">0</f>
        <v>0</v>
      </c>
      <c r="G87" s="38" t="n">
        <f aca="false">dps*PL!$G$204</f>
        <v>0</v>
      </c>
      <c r="H87" s="38" t="n">
        <f aca="false">dps*PL!$H$204</f>
        <v>0</v>
      </c>
      <c r="I87" s="38" t="n">
        <f aca="false">dps*PL!$I$204</f>
        <v>0</v>
      </c>
      <c r="J87" s="38" t="n">
        <f aca="false">dps*PL!$J$204</f>
        <v>0</v>
      </c>
      <c r="K87" s="38" t="n">
        <f aca="false">dps*PL!$K$204</f>
        <v>0</v>
      </c>
      <c r="L87" s="38" t="n">
        <f aca="false">dps*PL!$L$204</f>
        <v>0</v>
      </c>
      <c r="M87" s="38" t="n">
        <f aca="false">dps*PL!$M$204</f>
        <v>0</v>
      </c>
      <c r="P87" s="8" t="s">
        <v>741</v>
      </c>
    </row>
    <row r="88" customFormat="false" ht="17.15" hidden="false" customHeight="false" outlineLevel="0" collapsed="false">
      <c r="A88" s="5" t="s">
        <v>742</v>
      </c>
      <c r="B88" s="0" t="s">
        <v>73</v>
      </c>
      <c r="C88" s="38" t="n">
        <f aca="false">0</f>
        <v>0</v>
      </c>
      <c r="D88" s="38" t="n">
        <f aca="false">0</f>
        <v>0</v>
      </c>
      <c r="E88" s="38" t="n">
        <f aca="false">0</f>
        <v>0</v>
      </c>
      <c r="F88" s="38" t="n">
        <f aca="false">0</f>
        <v>0</v>
      </c>
      <c r="G88" s="38" t="n">
        <f aca="false">0</f>
        <v>0</v>
      </c>
      <c r="H88" s="38" t="n">
        <f aca="false">0</f>
        <v>0</v>
      </c>
      <c r="I88" s="38" t="n">
        <f aca="false">0</f>
        <v>0</v>
      </c>
      <c r="J88" s="38" t="n">
        <f aca="false">0</f>
        <v>0</v>
      </c>
      <c r="K88" s="38" t="n">
        <f aca="false">0</f>
        <v>0</v>
      </c>
      <c r="L88" s="38" t="n">
        <f aca="false">0</f>
        <v>0</v>
      </c>
      <c r="M88" s="38" t="n">
        <f aca="false">0</f>
        <v>0</v>
      </c>
      <c r="P88" s="8" t="s">
        <v>743</v>
      </c>
    </row>
    <row r="89" customFormat="false" ht="15" hidden="false" customHeight="false" outlineLevel="0" collapsed="false">
      <c r="A89" s="3" t="s">
        <v>744</v>
      </c>
      <c r="B89" s="8" t="s">
        <v>73</v>
      </c>
      <c r="C89" s="38" t="n">
        <f aca="false">CF!$C$86-CF!$C$87</f>
        <v>36.176</v>
      </c>
      <c r="D89" s="38" t="n">
        <f aca="false">CF!$D$86-CF!$D$87</f>
        <v>9.63700000000002</v>
      </c>
      <c r="E89" s="38" t="n">
        <f aca="false">CF!$E$86-CF!$E$87</f>
        <v>-25.691</v>
      </c>
      <c r="F89" s="38" t="n">
        <f aca="false">CF!$F$86-CF!$F$87</f>
        <v>-36.4489845756801</v>
      </c>
      <c r="G89" s="38" t="n">
        <f aca="false">CF!$G$86-CF!$G$87</f>
        <v>-62.1399845756801</v>
      </c>
      <c r="H89" s="38" t="n">
        <f aca="false">CF!$H$86-CF!$H$87</f>
        <v>-52.5452733509461</v>
      </c>
      <c r="I89" s="38" t="n">
        <f aca="false">CF!$I$86-CF!$I$87</f>
        <v>-16.1495103805229</v>
      </c>
      <c r="J89" s="38" t="n">
        <f aca="false">CF!$J$86-CF!$J$87</f>
        <v>20.8984327200888</v>
      </c>
      <c r="K89" s="38" t="n">
        <f aca="false">CF!$K$86-CF!$K$87</f>
        <v>56.6264157838005</v>
      </c>
      <c r="L89" s="38" t="n">
        <f aca="false">CF!$L$86-CF!$L$87</f>
        <v>61.6400974519302</v>
      </c>
      <c r="M89" s="38" t="n">
        <f aca="false">CF!$M$86-CF!$M$87</f>
        <v>44.717303706516</v>
      </c>
    </row>
    <row r="90" customFormat="false" ht="17.15" hidden="false" customHeight="false" outlineLevel="0" collapsed="false">
      <c r="A90" s="5" t="s">
        <v>745</v>
      </c>
      <c r="B90" s="0" t="s">
        <v>73</v>
      </c>
      <c r="E90" s="38" t="n">
        <f aca="false">Q!$P$53</f>
        <v>39.767</v>
      </c>
      <c r="F90" s="38" t="n">
        <f aca="false">inv_2h26</f>
        <v>21.3</v>
      </c>
      <c r="G90" s="38" t="n">
        <f aca="false">CF!$E$90+CF!$F$90</f>
        <v>61.067</v>
      </c>
      <c r="H90" s="41" t="n">
        <v>0</v>
      </c>
      <c r="I90" s="41" t="n">
        <v>0</v>
      </c>
      <c r="J90" s="41" t="n">
        <v>0</v>
      </c>
      <c r="K90" s="41" t="n">
        <v>0</v>
      </c>
      <c r="L90" s="41" t="n">
        <v>0</v>
      </c>
      <c r="M90" s="41" t="n">
        <v>0</v>
      </c>
    </row>
    <row r="91" customFormat="false" ht="17.15" hidden="false" customHeight="false" outlineLevel="0" collapsed="false">
      <c r="A91" s="5" t="s">
        <v>746</v>
      </c>
      <c r="B91" s="0" t="s">
        <v>73</v>
      </c>
      <c r="F91" s="38" t="n">
        <f aca="false">iss_2h26</f>
        <v>29.25</v>
      </c>
      <c r="G91" s="38" t="n">
        <f aca="false">CF!$F$91</f>
        <v>29.25</v>
      </c>
      <c r="H91" s="41" t="n">
        <v>0</v>
      </c>
      <c r="I91" s="41" t="n">
        <v>0</v>
      </c>
      <c r="J91" s="41" t="n">
        <v>0</v>
      </c>
      <c r="K91" s="41" t="n">
        <v>0</v>
      </c>
      <c r="L91" s="41" t="n">
        <v>0</v>
      </c>
      <c r="M91" s="41" t="n">
        <v>0</v>
      </c>
    </row>
    <row r="92" customFormat="false" ht="17.15" hidden="false" customHeight="false" outlineLevel="0" collapsed="false">
      <c r="A92" s="5" t="s">
        <v>747</v>
      </c>
      <c r="B92" s="0" t="s">
        <v>73</v>
      </c>
      <c r="F92" s="38" t="n">
        <f aca="false">cash_q2</f>
        <v>122.988</v>
      </c>
      <c r="G92" s="38" t="n">
        <f aca="false">cash_q2</f>
        <v>122.988</v>
      </c>
      <c r="H92" s="38" t="n">
        <f aca="false">CF!$G$95</f>
        <v>94.4890154243199</v>
      </c>
      <c r="I92" s="38" t="n">
        <f aca="false">CF!$H$95</f>
        <v>50</v>
      </c>
      <c r="J92" s="38" t="n">
        <f aca="false">CF!$I$95</f>
        <v>50</v>
      </c>
      <c r="K92" s="38" t="n">
        <f aca="false">CF!$J$95</f>
        <v>70.8984327200888</v>
      </c>
      <c r="L92" s="38" t="n">
        <f aca="false">CF!$K$95</f>
        <v>127.524848503889</v>
      </c>
      <c r="M92" s="38" t="n">
        <f aca="false">CF!$L$95</f>
        <v>189.16494595582</v>
      </c>
    </row>
    <row r="93" customFormat="false" ht="15" hidden="false" customHeight="false" outlineLevel="0" collapsed="false">
      <c r="A93" s="5" t="s">
        <v>748</v>
      </c>
      <c r="B93" s="0" t="s">
        <v>73</v>
      </c>
      <c r="F93" s="38" t="n">
        <f aca="false">CF!$F$92+CF!$F$89-CF!$F$88-CF!$F$90+CF!$F$91</f>
        <v>94.4890154243199</v>
      </c>
      <c r="H93" s="38" t="n">
        <f aca="false">CF!$H$92+CF!$H$89-CF!$H$88-CF!$H$90+CF!$H$91</f>
        <v>41.9437420733738</v>
      </c>
      <c r="I93" s="38" t="n">
        <f aca="false">CF!$I$92+CF!$I$89-CF!$I$88-CF!$I$90+CF!$I$91</f>
        <v>33.8504896194771</v>
      </c>
      <c r="J93" s="38" t="n">
        <f aca="false">CF!$J$92+CF!$J$89-CF!$J$88-CF!$J$90+CF!$J$91</f>
        <v>70.8984327200888</v>
      </c>
      <c r="K93" s="38" t="n">
        <f aca="false">CF!$K$92+CF!$K$89-CF!$K$88-CF!$K$90+CF!$K$91</f>
        <v>127.524848503889</v>
      </c>
      <c r="L93" s="38" t="n">
        <f aca="false">CF!$L$92+CF!$L$89-CF!$L$88-CF!$L$90+CF!$L$91</f>
        <v>189.16494595582</v>
      </c>
      <c r="M93" s="38" t="n">
        <f aca="false">CF!$M$92+CF!$M$89-CF!$M$88-CF!$M$90+CF!$M$91</f>
        <v>233.882249662336</v>
      </c>
    </row>
    <row r="94" customFormat="false" ht="17.15" hidden="false" customHeight="false" outlineLevel="0" collapsed="false">
      <c r="A94" s="5" t="s">
        <v>749</v>
      </c>
      <c r="B94" s="0" t="s">
        <v>73</v>
      </c>
      <c r="F94" s="38" t="n">
        <f aca="false">MAX(0,min_cash-CF!$F$93)</f>
        <v>0</v>
      </c>
      <c r="G94" s="38" t="n">
        <f aca="false">CF!$F$94</f>
        <v>0</v>
      </c>
      <c r="H94" s="38" t="n">
        <f aca="false">MAX(0,min_cash-CF!$H$93)</f>
        <v>8.0562579266262</v>
      </c>
      <c r="I94" s="38" t="n">
        <f aca="false">MAX(0,min_cash-CF!$I$93)</f>
        <v>16.1495103805229</v>
      </c>
      <c r="J94" s="38" t="n">
        <f aca="false">MAX(0,min_cash-CF!$J$93)</f>
        <v>0</v>
      </c>
      <c r="K94" s="38" t="n">
        <f aca="false">MAX(0,min_cash-CF!$K$93)</f>
        <v>0</v>
      </c>
      <c r="L94" s="38" t="n">
        <f aca="false">MAX(0,min_cash-CF!$L$93)</f>
        <v>0</v>
      </c>
      <c r="M94" s="38" t="n">
        <f aca="false">MAX(0,min_cash-CF!$M$93)</f>
        <v>0</v>
      </c>
      <c r="P94" s="5" t="s">
        <v>750</v>
      </c>
    </row>
    <row r="95" customFormat="false" ht="15" hidden="false" customHeight="false" outlineLevel="0" collapsed="false">
      <c r="A95" s="5" t="s">
        <v>751</v>
      </c>
      <c r="B95" s="0" t="s">
        <v>73</v>
      </c>
      <c r="D95" s="38" t="n">
        <f aca="false">Q!$E$61</f>
        <v>123.029</v>
      </c>
      <c r="E95" s="38" t="n">
        <f aca="false">Q!$M$61</f>
        <v>122.988</v>
      </c>
      <c r="F95" s="38" t="n">
        <f aca="false">CF!$F$93+CF!$F$94</f>
        <v>94.4890154243199</v>
      </c>
      <c r="G95" s="38" t="n">
        <f aca="false">CF!$F$95</f>
        <v>94.4890154243199</v>
      </c>
      <c r="H95" s="38" t="n">
        <f aca="false">CF!$H$93+CF!$H$94</f>
        <v>50</v>
      </c>
      <c r="I95" s="38" t="n">
        <f aca="false">CF!$I$93+CF!$I$94</f>
        <v>50</v>
      </c>
      <c r="J95" s="38" t="n">
        <f aca="false">CF!$J$93+CF!$J$94</f>
        <v>70.8984327200888</v>
      </c>
      <c r="K95" s="38" t="n">
        <f aca="false">CF!$K$93+CF!$K$94</f>
        <v>127.524848503889</v>
      </c>
      <c r="L95" s="38" t="n">
        <f aca="false">CF!$L$93+CF!$L$94</f>
        <v>189.16494595582</v>
      </c>
      <c r="M95" s="38" t="n">
        <f aca="false">CF!$M$93+CF!$M$94</f>
        <v>233.882249662336</v>
      </c>
    </row>
    <row r="96" customFormat="false" ht="15" hidden="false" customHeight="false" outlineLevel="0" collapsed="false">
      <c r="A96" s="5" t="s">
        <v>752</v>
      </c>
      <c r="B96" s="0" t="s">
        <v>73</v>
      </c>
      <c r="D96" s="38" t="n">
        <f aca="false">Q!$E$62</f>
        <v>68.836</v>
      </c>
      <c r="E96" s="38" t="n">
        <f aca="false">Q!$M$62</f>
        <v>132.995</v>
      </c>
      <c r="F96" s="38" t="n">
        <f aca="false">debt_q2+CF!$F$91+CF!$F$94</f>
        <v>162.245</v>
      </c>
      <c r="G96" s="38" t="n">
        <f aca="false">CF!$F$96</f>
        <v>162.245</v>
      </c>
      <c r="H96" s="38" t="n">
        <f aca="false">CF!$G$96+CF!$H$94</f>
        <v>170.301257926626</v>
      </c>
      <c r="I96" s="38" t="n">
        <f aca="false">CF!$H$96+CF!$I$94</f>
        <v>186.450768307149</v>
      </c>
      <c r="J96" s="38" t="n">
        <f aca="false">CF!$I$96+CF!$J$94</f>
        <v>186.450768307149</v>
      </c>
      <c r="K96" s="38" t="n">
        <f aca="false">CF!$J$96+CF!$K$94</f>
        <v>186.450768307149</v>
      </c>
      <c r="L96" s="38" t="n">
        <f aca="false">CF!$K$96+CF!$L$94</f>
        <v>186.450768307149</v>
      </c>
      <c r="M96" s="38" t="n">
        <f aca="false">CF!$L$96+CF!$M$94</f>
        <v>186.450768307149</v>
      </c>
    </row>
    <row r="97" customFormat="false" ht="15" hidden="false" customHeight="false" outlineLevel="0" collapsed="false">
      <c r="A97" s="5" t="s">
        <v>753</v>
      </c>
      <c r="B97" s="0" t="s">
        <v>73</v>
      </c>
      <c r="D97" s="38" t="n">
        <f aca="false">CF!$D$96-CF!$D$95</f>
        <v>-54.193</v>
      </c>
      <c r="E97" s="38" t="n">
        <f aca="false">CF!$E$96-CF!$E$95</f>
        <v>10.007</v>
      </c>
      <c r="F97" s="38" t="n">
        <f aca="false">CF!$F$96-CF!$F$95</f>
        <v>67.7559845756801</v>
      </c>
      <c r="G97" s="38" t="n">
        <f aca="false">CF!$G$96-CF!$G$95</f>
        <v>67.7559845756801</v>
      </c>
      <c r="H97" s="38" t="n">
        <f aca="false">CF!$H$96-CF!$H$95</f>
        <v>120.301257926626</v>
      </c>
      <c r="I97" s="38" t="n">
        <f aca="false">CF!$I$96-CF!$I$95</f>
        <v>136.450768307149</v>
      </c>
      <c r="J97" s="38" t="n">
        <f aca="false">CF!$J$96-CF!$J$95</f>
        <v>115.55233558706</v>
      </c>
      <c r="K97" s="38" t="n">
        <f aca="false">CF!$K$96-CF!$K$95</f>
        <v>58.9259198032598</v>
      </c>
      <c r="L97" s="38" t="n">
        <f aca="false">CF!$L$96-CF!$L$95</f>
        <v>-2.71417764867039</v>
      </c>
      <c r="M97" s="38" t="n">
        <f aca="false">CF!$M$96-CF!$M$95</f>
        <v>-47.4314813551864</v>
      </c>
    </row>
    <row r="98" customFormat="false" ht="17.15" hidden="false" customHeight="false" outlineLevel="0" collapsed="false">
      <c r="A98" s="5" t="s">
        <v>754</v>
      </c>
      <c r="B98" s="0" t="s">
        <v>73</v>
      </c>
      <c r="F98" s="38" t="n">
        <f aca="false">debt_q2*kd_book*0.5+iss_2h26*kd_new*0.25</f>
        <v>3.24888964316061</v>
      </c>
      <c r="H98" s="38" t="n">
        <f aca="false">debt_q2*kd_book+(CF!$G$96-debt_q2)*kd_new</f>
        <v>7.42354178632123</v>
      </c>
      <c r="I98" s="38" t="n">
        <f aca="false">debt_q2*kd_book+(CF!$H$96-debt_q2)*kd_new</f>
        <v>7.93350291307667</v>
      </c>
      <c r="J98" s="38" t="n">
        <f aca="false">debt_q2*kd_book+(CF!$I$96-debt_q2)*kd_new</f>
        <v>8.95576692016377</v>
      </c>
      <c r="K98" s="38" t="n">
        <f aca="false">debt_q2*kd_book+(CF!$J$96-debt_q2)*kd_new</f>
        <v>8.95576692016377</v>
      </c>
      <c r="L98" s="38" t="n">
        <f aca="false">debt_q2*kd_book+(CF!$K$96-debt_q2)*kd_new</f>
        <v>8.95576692016377</v>
      </c>
      <c r="M98" s="38" t="n">
        <f aca="false">debt_q2*kd_book+(CF!$L$96-debt_q2)*kd_new</f>
        <v>8.95576692016377</v>
      </c>
    </row>
    <row r="99" customFormat="false" ht="17.15" hidden="false" customHeight="false" outlineLevel="0" collapsed="false">
      <c r="A99" s="5" t="s">
        <v>755</v>
      </c>
      <c r="B99" s="0" t="s">
        <v>73</v>
      </c>
      <c r="F99" s="38" t="n">
        <f aca="false">cash_q2*y_cash*0.5</f>
        <v>2.59</v>
      </c>
      <c r="H99" s="38" t="n">
        <f aca="false">CF!$G$95*y_cash</f>
        <v>3.97968175674031</v>
      </c>
      <c r="I99" s="38" t="n">
        <f aca="false">CF!$H$95*y_cash</f>
        <v>2.10589651022864</v>
      </c>
      <c r="J99" s="38" t="n">
        <f aca="false">CF!$I$95*y_cash</f>
        <v>2.10589651022864</v>
      </c>
      <c r="K99" s="38" t="n">
        <f aca="false">CF!$J$95*y_cash</f>
        <v>2.9860952409183</v>
      </c>
      <c r="L99" s="38" t="n">
        <f aca="false">CF!$K$95*y_cash</f>
        <v>5.37108266863553</v>
      </c>
      <c r="M99" s="38" t="n">
        <f aca="false">CF!$L$95*y_cash</f>
        <v>7.96723599091899</v>
      </c>
    </row>
    <row r="100" customFormat="false" ht="17.15" hidden="false" customHeight="false" outlineLevel="0" collapsed="false">
      <c r="A100" s="46" t="s">
        <v>756</v>
      </c>
      <c r="B100" s="13" t="s">
        <v>73</v>
      </c>
      <c r="C100" s="13"/>
      <c r="D100" s="13"/>
      <c r="E100" s="13"/>
      <c r="F100" s="13"/>
      <c r="G100" s="47" t="n">
        <f aca="false">SUM(CF!$G$89:$K$89)</f>
        <v>-53.3099198032599</v>
      </c>
      <c r="H100" s="13"/>
      <c r="I100" s="13"/>
      <c r="J100" s="13"/>
      <c r="K100" s="13"/>
      <c r="L100" s="13"/>
      <c r="M100" s="13"/>
      <c r="N100" s="13"/>
      <c r="O100" s="13"/>
    </row>
    <row r="101" customFormat="false" ht="17.15" hidden="false" customHeight="false" outlineLevel="0" collapsed="false">
      <c r="A101" s="0" t="s">
        <v>723</v>
      </c>
      <c r="B101" s="0" t="s">
        <v>73</v>
      </c>
      <c r="G101" s="38" t="n">
        <f aca="false">SUM(CF!$G$94:$K$94)</f>
        <v>24.2057683071491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70"/>
  </cols>
  <sheetData>
    <row r="1" customFormat="false" ht="17.15" hidden="false" customHeight="false" outlineLevel="0" collapsed="false">
      <c r="A1" s="0" t="s">
        <v>759</v>
      </c>
    </row>
    <row r="3" customFormat="false" ht="19.4" hidden="false" customHeight="false" outlineLevel="0" collapsed="false">
      <c r="A3" s="31" t="s">
        <v>760</v>
      </c>
    </row>
    <row r="4" customFormat="false" ht="17.15" hidden="false" customHeight="false" outlineLevel="0" collapsed="false">
      <c r="A4" s="6" t="s">
        <v>16</v>
      </c>
      <c r="B4" s="20" t="s">
        <v>717</v>
      </c>
      <c r="C4" s="20" t="s">
        <v>718</v>
      </c>
      <c r="D4" s="20" t="s">
        <v>719</v>
      </c>
      <c r="E4" s="6" t="s">
        <v>23</v>
      </c>
    </row>
    <row r="5" customFormat="false" ht="17.15" hidden="false" customHeight="false" outlineLevel="0" collapsed="false">
      <c r="A5" s="0" t="s">
        <v>761</v>
      </c>
      <c r="B5" s="38" t="n">
        <f aca="false">Val!$C$110</f>
        <v>163.594734640718</v>
      </c>
      <c r="C5" s="38" t="n">
        <f aca="false">Val!$C$152</f>
        <v>93.7319373662158</v>
      </c>
      <c r="D5" s="38" t="n">
        <f aca="false">Val!$C$194</f>
        <v>71.728234858627</v>
      </c>
      <c r="E5" s="8" t="s">
        <v>762</v>
      </c>
    </row>
    <row r="6" customFormat="false" ht="17.15" hidden="false" customHeight="false" outlineLevel="0" collapsed="false">
      <c r="A6" s="0" t="s">
        <v>763</v>
      </c>
      <c r="B6" s="38" t="n">
        <f aca="false">Val!$C$127</f>
        <v>299.773549262865</v>
      </c>
      <c r="C6" s="38" t="n">
        <f aca="false">Val!$C$169</f>
        <v>276.758058137828</v>
      </c>
      <c r="D6" s="38" t="n">
        <f aca="false">Val!$C$211</f>
        <v>269.655553527381</v>
      </c>
      <c r="E6" s="5" t="s">
        <v>764</v>
      </c>
    </row>
    <row r="7" customFormat="false" ht="17.15" hidden="false" customHeight="false" outlineLevel="0" collapsed="false">
      <c r="A7" s="5" t="s">
        <v>765</v>
      </c>
      <c r="B7" s="47" t="n">
        <f aca="false">Val!$C$128</f>
        <v>231.684141951792</v>
      </c>
      <c r="C7" s="47" t="n">
        <f aca="false">Val!$C$170</f>
        <v>185.244997752022</v>
      </c>
      <c r="D7" s="47" t="n">
        <f aca="false">Val!$C$212</f>
        <v>170.691894193004</v>
      </c>
    </row>
    <row r="8" customFormat="false" ht="17.15" hidden="false" customHeight="false" outlineLevel="0" collapsed="false">
      <c r="A8" s="5" t="s">
        <v>766</v>
      </c>
      <c r="B8" s="12" t="n">
        <f aca="false">Val!$C$105</f>
        <v>0.833068334870714</v>
      </c>
      <c r="C8" s="12" t="n">
        <f aca="false">Val!$C$147</f>
        <v>0.984087777039521</v>
      </c>
      <c r="D8" s="12" t="n">
        <f aca="false">Val!$C$189</f>
        <v>1.10839285041436</v>
      </c>
    </row>
    <row r="9" customFormat="false" ht="15" hidden="false" customHeight="false" outlineLevel="0" collapsed="false">
      <c r="A9" s="5" t="s">
        <v>767</v>
      </c>
      <c r="B9" s="35" t="n">
        <f aca="false">w_A</f>
        <v>0.25</v>
      </c>
      <c r="C9" s="35" t="n">
        <f aca="false">w_B</f>
        <v>0.5</v>
      </c>
      <c r="D9" s="35" t="n">
        <f aca="false">w_C</f>
        <v>0.25</v>
      </c>
    </row>
    <row r="10" customFormat="false" ht="17.15" hidden="false" customHeight="false" outlineLevel="0" collapsed="false">
      <c r="A10" s="0" t="s">
        <v>768</v>
      </c>
      <c r="B10" s="12" t="n">
        <f aca="false">PL!$I$51</f>
        <v>0.430204647026498</v>
      </c>
      <c r="C10" s="12" t="n">
        <f aca="false">PL!$I$117</f>
        <v>0.349486287974975</v>
      </c>
      <c r="D10" s="12" t="n">
        <f aca="false">PL!$I$183</f>
        <v>0.319616411237051</v>
      </c>
      <c r="E10" s="5" t="s">
        <v>769</v>
      </c>
    </row>
    <row r="11" customFormat="false" ht="17.15" hidden="false" customHeight="false" outlineLevel="0" collapsed="false">
      <c r="A11" s="0" t="s">
        <v>770</v>
      </c>
      <c r="B11" s="45" t="n">
        <f aca="false">CF!$I$29</f>
        <v>30.9169363385503</v>
      </c>
      <c r="C11" s="45" t="n">
        <f aca="false">CF!$I$59</f>
        <v>-3.97574477606648</v>
      </c>
      <c r="D11" s="45" t="n">
        <f aca="false">CF!$I$89</f>
        <v>-16.1495103805229</v>
      </c>
      <c r="E11" s="5" t="s">
        <v>771</v>
      </c>
    </row>
    <row r="12" customFormat="false" ht="17.15" hidden="false" customHeight="false" outlineLevel="0" collapsed="false">
      <c r="A12" s="0" t="s">
        <v>772</v>
      </c>
      <c r="B12" s="12" t="n">
        <f aca="false">Thesis!$I$54</f>
        <v>0.160907075308678</v>
      </c>
      <c r="C12" s="12" t="n">
        <f aca="false">Thesis!$I$110</f>
        <v>0.0656831488051666</v>
      </c>
      <c r="D12" s="12" t="n">
        <f aca="false">Thesis!$I$166</f>
        <v>0.0358186710480674</v>
      </c>
      <c r="E12" s="5" t="s">
        <v>773</v>
      </c>
    </row>
    <row r="13" customFormat="false" ht="15" hidden="false" customHeight="false" outlineLevel="0" collapsed="false">
      <c r="A13" s="0" t="s">
        <v>774</v>
      </c>
      <c r="B13" s="30" t="n">
        <f aca="false">PL!$I$73</f>
        <v>14.9476323266701</v>
      </c>
      <c r="C13" s="30" t="n">
        <f aca="false">PL!$I$139</f>
        <v>11.5587999674403</v>
      </c>
      <c r="D13" s="30" t="n">
        <f aca="false">PL!$I$205</f>
        <v>10.5076295952262</v>
      </c>
    </row>
    <row r="14" customFormat="false" ht="17.15" hidden="false" customHeight="false" outlineLevel="0" collapsed="false">
      <c r="A14" s="5" t="s">
        <v>775</v>
      </c>
      <c r="B14" s="45" t="n">
        <f aca="false">CF!$G$40</f>
        <v>194.303407425881</v>
      </c>
      <c r="C14" s="45" t="n">
        <f aca="false">CF!$G$70</f>
        <v>9.81640432587554</v>
      </c>
      <c r="D14" s="45" t="n">
        <f aca="false">CF!$G$100</f>
        <v>-53.3099198032599</v>
      </c>
      <c r="E14" s="8" t="s">
        <v>776</v>
      </c>
    </row>
    <row r="16" customFormat="false" ht="15" hidden="false" customHeight="false" outlineLevel="0" collapsed="false">
      <c r="A16" s="6" t="s">
        <v>16</v>
      </c>
      <c r="B16" s="6" t="s">
        <v>777</v>
      </c>
      <c r="E16" s="6" t="s">
        <v>23</v>
      </c>
    </row>
    <row r="17" customFormat="false" ht="17.15" hidden="false" customHeight="false" outlineLevel="0" collapsed="false">
      <c r="A17" s="0" t="s">
        <v>778</v>
      </c>
      <c r="B17" s="38" t="n">
        <f aca="false">w_A*B5+w_B*C5+w_C*D5</f>
        <v>105.696711057944</v>
      </c>
    </row>
    <row r="18" customFormat="false" ht="17.15" hidden="false" customHeight="false" outlineLevel="0" collapsed="false">
      <c r="A18" s="0" t="s">
        <v>779</v>
      </c>
      <c r="B18" s="38" t="n">
        <f aca="false">w_A*B6+w_B*C6+w_C*D6</f>
        <v>280.736304766476</v>
      </c>
      <c r="E18" s="5" t="s">
        <v>780</v>
      </c>
    </row>
    <row r="19" customFormat="false" ht="17.15" hidden="false" customHeight="false" outlineLevel="0" collapsed="false">
      <c r="A19" s="14" t="s">
        <v>781</v>
      </c>
      <c r="B19" s="47" t="n">
        <f aca="false">w_dcf*B17+(1-w_dcf)*B18</f>
        <v>193.21650791221</v>
      </c>
      <c r="E19" s="5" t="s">
        <v>782</v>
      </c>
    </row>
    <row r="20" customFormat="false" ht="17.15" hidden="false" customHeight="false" outlineLevel="0" collapsed="false">
      <c r="A20" s="5" t="s">
        <v>783</v>
      </c>
      <c r="B20" s="38" t="n">
        <f aca="false">px</f>
        <v>249.09</v>
      </c>
      <c r="E20" s="8" t="s">
        <v>784</v>
      </c>
    </row>
    <row r="21" customFormat="false" ht="15" hidden="false" customHeight="false" outlineLevel="0" collapsed="false">
      <c r="A21" s="14" t="s">
        <v>785</v>
      </c>
      <c r="B21" s="16" t="n">
        <f aca="false">B19/px-1</f>
        <v>-0.224310458419809</v>
      </c>
    </row>
    <row r="22" customFormat="false" ht="17.15" hidden="false" customHeight="false" outlineLevel="0" collapsed="false">
      <c r="A22" s="5" t="s">
        <v>786</v>
      </c>
      <c r="B22" s="12" t="n">
        <f aca="false">B18/px-1</f>
        <v>0.127047672594145</v>
      </c>
    </row>
    <row r="23" customFormat="false" ht="17.15" hidden="false" customHeight="false" outlineLevel="0" collapsed="false">
      <c r="A23" s="5" t="s">
        <v>787</v>
      </c>
      <c r="B23" s="48" t="str">
        <f aca="false">IF(B21&gt;=0.5,"大於 50%",IF(B21&gt;=0.25,"25%–50%",IF(B21&gt;=0,"0%–25%",IF(B21&gt;-0.25,"0%～−25%",IF(B21&gt;-0.5,"−25%～−50%","小於 −50%")))))</f>
        <v>0%～−25%</v>
      </c>
    </row>
    <row r="24" customFormat="false" ht="17.15" hidden="false" customHeight="false" outlineLevel="0" collapsed="false">
      <c r="A24" s="14" t="s">
        <v>788</v>
      </c>
      <c r="B24" s="49" t="str">
        <f aca="false">IF(B21&gt;=0.5,"強力買進",IF(B21&gt;=0.25,"買進",IF(B21&gt;-0.25,"中立",IF(B21&gt;-0.5,"放空","強力放空"))))</f>
        <v>中立</v>
      </c>
      <c r="E24" s="5" t="s">
        <v>789</v>
      </c>
    </row>
    <row r="25" customFormat="false" ht="17.15" hidden="false" customHeight="false" outlineLevel="0" collapsed="false">
      <c r="A25" s="5" t="s">
        <v>790</v>
      </c>
      <c r="B25" s="38" t="n">
        <f aca="false">cons_tp</f>
        <v>332.24</v>
      </c>
      <c r="E25" s="8" t="s">
        <v>791</v>
      </c>
    </row>
    <row r="26" customFormat="false" ht="15" hidden="false" customHeight="false" outlineLevel="0" collapsed="false">
      <c r="A26" s="5" t="s">
        <v>792</v>
      </c>
      <c r="B26" s="12" t="n">
        <f aca="false">B25/px-1</f>
        <v>0.333815086916376</v>
      </c>
    </row>
    <row r="27" customFormat="false" ht="17.15" hidden="false" customHeight="false" outlineLevel="0" collapsed="false">
      <c r="A27" s="5" t="s">
        <v>793</v>
      </c>
      <c r="B27" s="38" t="n">
        <f aca="false">D5</f>
        <v>71.728234858627</v>
      </c>
    </row>
    <row r="28" customFormat="false" ht="17.15" hidden="false" customHeight="false" outlineLevel="0" collapsed="false">
      <c r="A28" s="5" t="s">
        <v>794</v>
      </c>
      <c r="B28" s="48" t="str">
        <f aca="false">TEXT(D5,"#,##0")&amp;"～"&amp;TEXT(B5,"#,##0")</f>
        <v>72～164</v>
      </c>
      <c r="E28" s="8" t="s">
        <v>795</v>
      </c>
    </row>
    <row r="29" customFormat="false" ht="17.15" hidden="false" customHeight="false" outlineLevel="0" collapsed="false">
      <c r="A29" s="5" t="s">
        <v>796</v>
      </c>
      <c r="B29" s="45" t="n">
        <f aca="false">CF!E6</f>
        <v>40.1565740685931</v>
      </c>
    </row>
    <row r="30" customFormat="false" ht="17.15" hidden="false" customHeight="false" outlineLevel="0" collapsed="false">
      <c r="A30" s="0" t="s">
        <v>797</v>
      </c>
      <c r="B30" s="28" t="n">
        <f aca="false">wacc</f>
        <v>0.124882746650253</v>
      </c>
      <c r="C30" s="28" t="n">
        <f aca="false">ke</f>
        <v>0.128475</v>
      </c>
      <c r="D30" s="28" t="n">
        <f aca="false">tg</f>
        <v>0.03</v>
      </c>
    </row>
    <row r="31" customFormat="false" ht="17.15" hidden="false" customHeight="false" outlineLevel="0" collapsed="false">
      <c r="A31" s="5" t="s">
        <v>798</v>
      </c>
      <c r="B31" s="0" t="s">
        <v>799</v>
      </c>
    </row>
    <row r="34" customFormat="false" ht="17.15" hidden="false" customHeight="false" outlineLevel="0" collapsed="false">
      <c r="A34" s="3" t="s">
        <v>800</v>
      </c>
    </row>
    <row r="35" customFormat="false" ht="15" hidden="false" customHeight="false" outlineLevel="0" collapsed="false">
      <c r="A35" s="6" t="s">
        <v>801</v>
      </c>
      <c r="B35" s="6" t="s">
        <v>802</v>
      </c>
      <c r="C35" s="20" t="s">
        <v>803</v>
      </c>
      <c r="D35" s="6" t="s">
        <v>804</v>
      </c>
      <c r="E35" s="6" t="s">
        <v>22</v>
      </c>
      <c r="F35" s="6" t="s">
        <v>21</v>
      </c>
    </row>
    <row r="36" customFormat="false" ht="15" hidden="false" customHeight="false" outlineLevel="0" collapsed="false">
      <c r="A36" s="0" t="s">
        <v>805</v>
      </c>
      <c r="B36" s="0" t="s">
        <v>806</v>
      </c>
      <c r="C36" s="50" t="n">
        <v>17.72</v>
      </c>
      <c r="D36" s="5" t="s">
        <v>807</v>
      </c>
      <c r="E36" s="8" t="s">
        <v>808</v>
      </c>
      <c r="F36" s="8" t="s">
        <v>41</v>
      </c>
    </row>
    <row r="37" customFormat="false" ht="15" hidden="false" customHeight="false" outlineLevel="0" collapsed="false">
      <c r="A37" s="0" t="s">
        <v>809</v>
      </c>
      <c r="B37" s="0" t="s">
        <v>810</v>
      </c>
      <c r="C37" s="50" t="n">
        <v>25.33</v>
      </c>
      <c r="D37" s="5" t="s">
        <v>807</v>
      </c>
      <c r="E37" s="8" t="s">
        <v>808</v>
      </c>
      <c r="F37" s="8" t="s">
        <v>41</v>
      </c>
    </row>
    <row r="38" customFormat="false" ht="15" hidden="false" customHeight="false" outlineLevel="0" collapsed="false">
      <c r="A38" s="0" t="s">
        <v>811</v>
      </c>
      <c r="B38" s="0" t="s">
        <v>812</v>
      </c>
      <c r="C38" s="50" t="n">
        <v>8.77</v>
      </c>
      <c r="D38" s="5" t="s">
        <v>807</v>
      </c>
      <c r="E38" s="8" t="s">
        <v>808</v>
      </c>
      <c r="F38" s="8" t="s">
        <v>41</v>
      </c>
    </row>
    <row r="39" customFormat="false" ht="17.15" hidden="false" customHeight="false" outlineLevel="0" collapsed="false">
      <c r="A39" s="0" t="s">
        <v>813</v>
      </c>
      <c r="B39" s="0" t="s">
        <v>814</v>
      </c>
      <c r="C39" s="50" t="n">
        <v>10.79</v>
      </c>
      <c r="D39" s="5" t="s">
        <v>815</v>
      </c>
      <c r="E39" s="8" t="s">
        <v>816</v>
      </c>
      <c r="F39" s="8" t="s">
        <v>41</v>
      </c>
    </row>
    <row r="40" customFormat="false" ht="17.15" hidden="false" customHeight="false" outlineLevel="0" collapsed="false">
      <c r="A40" s="0" t="s">
        <v>817</v>
      </c>
      <c r="B40" s="0" t="s">
        <v>818</v>
      </c>
      <c r="C40" s="50" t="n">
        <v>6.91</v>
      </c>
      <c r="D40" s="5" t="s">
        <v>815</v>
      </c>
      <c r="E40" s="8" t="s">
        <v>816</v>
      </c>
      <c r="F40" s="8" t="s">
        <v>41</v>
      </c>
    </row>
    <row r="41" customFormat="false" ht="17.15" hidden="false" customHeight="false" outlineLevel="0" collapsed="false">
      <c r="A41" s="0" t="s">
        <v>819</v>
      </c>
      <c r="B41" s="0" t="s">
        <v>820</v>
      </c>
      <c r="C41" s="50" t="n">
        <v>6.53</v>
      </c>
      <c r="D41" s="5" t="s">
        <v>815</v>
      </c>
      <c r="E41" s="8" t="s">
        <v>816</v>
      </c>
      <c r="F41" s="8" t="s">
        <v>41</v>
      </c>
    </row>
    <row r="42" customFormat="false" ht="17.15" hidden="false" customHeight="false" outlineLevel="0" collapsed="false">
      <c r="A42" s="0" t="s">
        <v>821</v>
      </c>
      <c r="B42" s="0" t="s">
        <v>822</v>
      </c>
      <c r="C42" s="50" t="n">
        <v>11.38</v>
      </c>
      <c r="D42" s="5" t="s">
        <v>815</v>
      </c>
      <c r="E42" s="8" t="s">
        <v>816</v>
      </c>
      <c r="F42" s="8" t="s">
        <v>41</v>
      </c>
    </row>
    <row r="43" customFormat="false" ht="17.15" hidden="false" customHeight="false" outlineLevel="0" collapsed="false">
      <c r="A43" s="0" t="s">
        <v>823</v>
      </c>
      <c r="B43" s="0" t="s">
        <v>824</v>
      </c>
      <c r="C43" s="50" t="n">
        <v>13.63</v>
      </c>
      <c r="D43" s="5" t="s">
        <v>815</v>
      </c>
      <c r="E43" s="8" t="s">
        <v>816</v>
      </c>
      <c r="F43" s="8" t="s">
        <v>41</v>
      </c>
    </row>
    <row r="44" customFormat="false" ht="17.15" hidden="false" customHeight="false" outlineLevel="0" collapsed="false">
      <c r="A44" s="0" t="s">
        <v>825</v>
      </c>
      <c r="B44" s="0" t="s">
        <v>826</v>
      </c>
      <c r="C44" s="50" t="n">
        <v>7.43</v>
      </c>
      <c r="D44" s="5" t="s">
        <v>815</v>
      </c>
      <c r="E44" s="8" t="s">
        <v>816</v>
      </c>
      <c r="F44" s="8" t="s">
        <v>41</v>
      </c>
    </row>
    <row r="45" customFormat="false" ht="17.15" hidden="false" customHeight="false" outlineLevel="0" collapsed="false">
      <c r="A45" s="0" t="s">
        <v>827</v>
      </c>
      <c r="B45" s="0" t="s">
        <v>828</v>
      </c>
      <c r="C45" s="50" t="n">
        <v>9.49</v>
      </c>
      <c r="D45" s="5" t="s">
        <v>829</v>
      </c>
      <c r="E45" s="8" t="s">
        <v>830</v>
      </c>
      <c r="F45" s="8" t="s">
        <v>41</v>
      </c>
    </row>
    <row r="46" customFormat="false" ht="17.15" hidden="false" customHeight="false" outlineLevel="0" collapsed="false">
      <c r="A46" s="0" t="s">
        <v>831</v>
      </c>
      <c r="B46" s="0" t="s">
        <v>831</v>
      </c>
      <c r="C46" s="50" t="n">
        <v>12.51</v>
      </c>
      <c r="D46" s="5" t="s">
        <v>829</v>
      </c>
      <c r="E46" s="8" t="s">
        <v>830</v>
      </c>
      <c r="F46" s="8" t="s">
        <v>41</v>
      </c>
    </row>
    <row r="47" customFormat="false" ht="17.15" hidden="false" customHeight="false" outlineLevel="0" collapsed="false">
      <c r="A47" s="0" t="s">
        <v>832</v>
      </c>
      <c r="B47" s="0" t="s">
        <v>832</v>
      </c>
      <c r="C47" s="50" t="n">
        <v>15.13</v>
      </c>
      <c r="D47" s="5" t="s">
        <v>829</v>
      </c>
      <c r="E47" s="8" t="s">
        <v>830</v>
      </c>
      <c r="F47" s="8" t="s">
        <v>41</v>
      </c>
    </row>
    <row r="48" customFormat="false" ht="17.15" hidden="false" customHeight="false" outlineLevel="0" collapsed="false">
      <c r="A48" s="0" t="s">
        <v>833</v>
      </c>
      <c r="B48" s="0" t="s">
        <v>834</v>
      </c>
      <c r="C48" s="50" t="n">
        <v>10.81</v>
      </c>
      <c r="D48" s="5" t="s">
        <v>829</v>
      </c>
      <c r="E48" s="8" t="s">
        <v>830</v>
      </c>
      <c r="F48" s="8" t="s">
        <v>41</v>
      </c>
    </row>
    <row r="49" customFormat="false" ht="17.15" hidden="false" customHeight="false" outlineLevel="0" collapsed="false">
      <c r="A49" s="0" t="s">
        <v>835</v>
      </c>
      <c r="B49" s="0" t="s">
        <v>836</v>
      </c>
      <c r="C49" s="50" t="n">
        <v>20.63</v>
      </c>
      <c r="D49" s="5" t="s">
        <v>829</v>
      </c>
      <c r="E49" s="8" t="s">
        <v>830</v>
      </c>
      <c r="F49" s="8" t="s">
        <v>41</v>
      </c>
    </row>
    <row r="50" customFormat="false" ht="17.15" hidden="false" customHeight="false" outlineLevel="0" collapsed="false">
      <c r="A50" s="0" t="s">
        <v>837</v>
      </c>
      <c r="B50" s="0" t="s">
        <v>838</v>
      </c>
      <c r="C50" s="50" t="n">
        <v>9.7</v>
      </c>
      <c r="D50" s="5" t="s">
        <v>829</v>
      </c>
      <c r="E50" s="8" t="s">
        <v>830</v>
      </c>
      <c r="F50" s="8" t="s">
        <v>41</v>
      </c>
    </row>
    <row r="51" customFormat="false" ht="17.15" hidden="false" customHeight="false" outlineLevel="0" collapsed="false">
      <c r="A51" s="0" t="s">
        <v>839</v>
      </c>
      <c r="B51" s="0" t="s">
        <v>840</v>
      </c>
      <c r="C51" s="50" t="n">
        <v>21.2</v>
      </c>
      <c r="D51" s="5" t="s">
        <v>829</v>
      </c>
      <c r="E51" s="8" t="s">
        <v>830</v>
      </c>
      <c r="F51" s="8" t="s">
        <v>41</v>
      </c>
    </row>
    <row r="52" customFormat="false" ht="17.15" hidden="false" customHeight="false" outlineLevel="0" collapsed="false">
      <c r="A52" s="0" t="s">
        <v>841</v>
      </c>
      <c r="B52" s="0" t="s">
        <v>842</v>
      </c>
      <c r="C52" s="50" t="n">
        <v>24.49</v>
      </c>
      <c r="D52" s="5" t="s">
        <v>829</v>
      </c>
      <c r="E52" s="8" t="s">
        <v>830</v>
      </c>
      <c r="F52" s="8" t="s">
        <v>41</v>
      </c>
    </row>
    <row r="53" customFormat="false" ht="17.15" hidden="false" customHeight="false" outlineLevel="0" collapsed="false">
      <c r="A53" s="3" t="s">
        <v>843</v>
      </c>
      <c r="C53" s="30" t="n">
        <f aca="false">MEDIAN(C36:C38)</f>
        <v>17.72</v>
      </c>
      <c r="D53" s="8" t="s">
        <v>844</v>
      </c>
    </row>
    <row r="54" customFormat="false" ht="17.15" hidden="false" customHeight="false" outlineLevel="0" collapsed="false">
      <c r="A54" s="3" t="s">
        <v>845</v>
      </c>
      <c r="C54" s="30" t="n">
        <f aca="false">MEDIAN(C39:C44)</f>
        <v>9.11</v>
      </c>
      <c r="D54" s="8" t="s">
        <v>846</v>
      </c>
    </row>
    <row r="55" customFormat="false" ht="17.15" hidden="false" customHeight="false" outlineLevel="0" collapsed="false">
      <c r="A55" s="3" t="s">
        <v>847</v>
      </c>
      <c r="C55" s="30" t="n">
        <f aca="false">MEDIAN(C45:C52)</f>
        <v>13.82</v>
      </c>
      <c r="D55" s="8" t="s">
        <v>848</v>
      </c>
    </row>
    <row r="56" customFormat="false" ht="17.15" hidden="false" customHeight="false" outlineLevel="0" collapsed="false">
      <c r="A56" s="0" t="s">
        <v>849</v>
      </c>
    </row>
    <row r="90" customFormat="false" ht="19.4" hidden="false" customHeight="false" outlineLevel="0" collapsed="false">
      <c r="A90" s="31" t="s">
        <v>850</v>
      </c>
    </row>
    <row r="91" customFormat="false" ht="17.15" hidden="false" customHeight="false" outlineLevel="0" collapsed="false">
      <c r="A91" s="6" t="s">
        <v>16</v>
      </c>
      <c r="B91" s="6" t="s">
        <v>17</v>
      </c>
      <c r="C91" s="20" t="s">
        <v>457</v>
      </c>
      <c r="D91" s="20" t="s">
        <v>458</v>
      </c>
      <c r="E91" s="20" t="s">
        <v>540</v>
      </c>
      <c r="F91" s="20" t="s">
        <v>541</v>
      </c>
      <c r="G91" s="20" t="s">
        <v>542</v>
      </c>
      <c r="H91" s="20" t="s">
        <v>543</v>
      </c>
      <c r="I91" s="20" t="s">
        <v>544</v>
      </c>
      <c r="J91" s="20" t="s">
        <v>545</v>
      </c>
      <c r="K91" s="20" t="s">
        <v>546</v>
      </c>
      <c r="L91" s="20" t="s">
        <v>547</v>
      </c>
      <c r="M91" s="20" t="s">
        <v>548</v>
      </c>
      <c r="N91" s="20" t="s">
        <v>549</v>
      </c>
      <c r="O91" s="20" t="s">
        <v>550</v>
      </c>
      <c r="P91" s="6" t="s">
        <v>23</v>
      </c>
      <c r="R91" s="20" t="n">
        <v>2023</v>
      </c>
      <c r="S91" s="20" t="n">
        <v>2024</v>
      </c>
      <c r="T91" s="20" t="n">
        <v>2025</v>
      </c>
      <c r="U91" s="20" t="n">
        <v>2026</v>
      </c>
      <c r="V91" s="20" t="n">
        <v>2027</v>
      </c>
      <c r="W91" s="20" t="n">
        <v>2028</v>
      </c>
      <c r="X91" s="20" t="n">
        <v>2029</v>
      </c>
      <c r="Y91" s="20" t="n">
        <v>2030</v>
      </c>
      <c r="Z91" s="20" t="n">
        <v>2031</v>
      </c>
      <c r="AA91" s="20" t="n">
        <v>2032</v>
      </c>
    </row>
    <row r="92" customFormat="false" ht="17.15" hidden="false" customHeight="false" outlineLevel="0" collapsed="false">
      <c r="A92" s="1" t="s">
        <v>851</v>
      </c>
    </row>
    <row r="93" customFormat="false" ht="17.15" hidden="false" customHeight="false" outlineLevel="0" collapsed="false">
      <c r="A93" s="0" t="s">
        <v>852</v>
      </c>
      <c r="B93" s="0" t="s">
        <v>73</v>
      </c>
      <c r="H93" s="38" t="n">
        <f aca="false">PL!$H$47*(1-tax)</f>
        <v>130.504086846549</v>
      </c>
      <c r="I93" s="38" t="n">
        <f aca="false">PL!$I$47*(1-tax)</f>
        <v>169.882654359725</v>
      </c>
      <c r="J93" s="38" t="n">
        <f aca="false">PL!$J$47*(1-tax)</f>
        <v>207.042418054905</v>
      </c>
      <c r="K93" s="38" t="n">
        <f aca="false">PL!$K$47*(1-tax)</f>
        <v>240.683430242371</v>
      </c>
      <c r="L93" s="38" t="n">
        <f aca="false">PL!$L$47*(1-tax)</f>
        <v>275.794849746302</v>
      </c>
      <c r="M93" s="38" t="n">
        <f aca="false">PL!$M$47*(1-tax)</f>
        <v>311.496333814371</v>
      </c>
    </row>
    <row r="94" customFormat="false" ht="15" hidden="false" customHeight="false" outlineLevel="0" collapsed="false">
      <c r="A94" s="5" t="s">
        <v>853</v>
      </c>
      <c r="B94" s="0" t="s">
        <v>73</v>
      </c>
      <c r="H94" s="38" t="n">
        <f aca="false">PL!$H$59</f>
        <v>88.0472240036338</v>
      </c>
      <c r="I94" s="38" t="n">
        <f aca="false">PL!$I$59</f>
        <v>123.410374122513</v>
      </c>
      <c r="J94" s="38" t="n">
        <f aca="false">PL!$J$59</f>
        <v>159.029967077846</v>
      </c>
      <c r="K94" s="38" t="n">
        <f aca="false">PL!$K$59</f>
        <v>194.027037948974</v>
      </c>
      <c r="L94" s="38" t="n">
        <f aca="false">PL!$L$59</f>
        <v>227.366043021479</v>
      </c>
      <c r="M94" s="38" t="n">
        <f aca="false">PL!$M$59</f>
        <v>261.813524644151</v>
      </c>
    </row>
    <row r="95" customFormat="false" ht="15" hidden="false" customHeight="false" outlineLevel="0" collapsed="false">
      <c r="A95" s="5" t="s">
        <v>854</v>
      </c>
      <c r="B95" s="0" t="s">
        <v>73</v>
      </c>
      <c r="H95" s="38" t="n">
        <f aca="false">CF!$H$24</f>
        <v>283.262904179105</v>
      </c>
      <c r="I95" s="38" t="n">
        <f aca="false">CF!$I$24</f>
        <v>299.492235429878</v>
      </c>
      <c r="J95" s="38" t="n">
        <f aca="false">CF!$J$24</f>
        <v>313.62681895809</v>
      </c>
      <c r="K95" s="38" t="n">
        <f aca="false">CF!$K$24</f>
        <v>325.943506162748</v>
      </c>
      <c r="L95" s="38" t="n">
        <f aca="false">CF!$L$24</f>
        <v>370.21419006283</v>
      </c>
      <c r="M95" s="38" t="n">
        <f aca="false">CF!$M$24</f>
        <v>440.654564791608</v>
      </c>
    </row>
    <row r="96" customFormat="false" ht="15" hidden="false" customHeight="false" outlineLevel="0" collapsed="false">
      <c r="A96" s="5" t="s">
        <v>855</v>
      </c>
      <c r="B96" s="0" t="s">
        <v>73</v>
      </c>
      <c r="H96" s="38" t="n">
        <f aca="false">CF!$H$25</f>
        <v>1.6</v>
      </c>
      <c r="I96" s="38" t="n">
        <f aca="false">CF!$I$25</f>
        <v>1.6</v>
      </c>
      <c r="J96" s="38" t="n">
        <f aca="false">CF!$J$25</f>
        <v>1.6</v>
      </c>
      <c r="K96" s="38" t="n">
        <f aca="false">CF!$K$25</f>
        <v>1.6</v>
      </c>
      <c r="L96" s="38" t="n">
        <f aca="false">CF!$L$25</f>
        <v>1.6</v>
      </c>
      <c r="M96" s="38" t="n">
        <f aca="false">CF!$M$25</f>
        <v>1.6</v>
      </c>
    </row>
    <row r="97" customFormat="false" ht="15" hidden="false" customHeight="false" outlineLevel="0" collapsed="false">
      <c r="A97" s="5" t="s">
        <v>856</v>
      </c>
      <c r="B97" s="0" t="s">
        <v>73</v>
      </c>
      <c r="H97" s="38" t="n">
        <f aca="false">CF!$H$19</f>
        <v>11.9116331865761</v>
      </c>
      <c r="I97" s="38" t="n">
        <f aca="false">CF!$I$19</f>
        <v>13.8664033196426</v>
      </c>
      <c r="J97" s="38" t="n">
        <f aca="false">CF!$J$19</f>
        <v>15.7177013140706</v>
      </c>
      <c r="K97" s="38" t="n">
        <f aca="false">CF!$K$19</f>
        <v>17.3968671046626</v>
      </c>
      <c r="L97" s="38" t="n">
        <f aca="false">CF!$L$19</f>
        <v>19.1415129171911</v>
      </c>
      <c r="M97" s="38" t="n">
        <f aca="false">CF!$M$19</f>
        <v>20.9563753040671</v>
      </c>
    </row>
    <row r="98" customFormat="false" ht="17.15" hidden="false" customHeight="false" outlineLevel="0" collapsed="false">
      <c r="A98" s="1" t="s">
        <v>857</v>
      </c>
      <c r="B98" s="8" t="s">
        <v>73</v>
      </c>
      <c r="H98" s="38" t="n">
        <f aca="false">Val!$H$93+Val!$H$94-Val!$H$95-Val!$H$96+Val!$H$97</f>
        <v>-54.3999601423466</v>
      </c>
      <c r="I98" s="38" t="n">
        <f aca="false">Val!$I$93+Val!$I$94-Val!$I$95-Val!$I$96+Val!$I$97</f>
        <v>6.06719637200203</v>
      </c>
      <c r="J98" s="38" t="n">
        <f aca="false">Val!$J$93+Val!$J$94-Val!$J$95-Val!$J$96+Val!$J$97</f>
        <v>66.5632674887314</v>
      </c>
      <c r="K98" s="38" t="n">
        <f aca="false">Val!$K$93+Val!$K$94-Val!$K$95-Val!$K$96+Val!$K$97</f>
        <v>124.56382913326</v>
      </c>
      <c r="L98" s="38" t="n">
        <f aca="false">Val!$L$93+Val!$L$94-Val!$L$95-Val!$L$96+Val!$L$97</f>
        <v>150.488215622142</v>
      </c>
      <c r="M98" s="38" t="n">
        <f aca="false">Val!$M$93+Val!$M$94-Val!$M$95-Val!$M$96+Val!$M$97</f>
        <v>152.011668970981</v>
      </c>
    </row>
    <row r="99" customFormat="false" ht="15" hidden="false" customHeight="false" outlineLevel="0" collapsed="false">
      <c r="A99" s="5" t="s">
        <v>858</v>
      </c>
      <c r="B99" s="0" t="s">
        <v>57</v>
      </c>
      <c r="H99" s="51" t="n">
        <f aca="false">1/(1+wacc)^(2027-2026-0.5)</f>
        <v>0.942858177653364</v>
      </c>
      <c r="I99" s="51" t="n">
        <f aca="false">1/(1+wacc)^(2028-2026-0.5)</f>
        <v>0.838183517758688</v>
      </c>
      <c r="J99" s="51" t="n">
        <f aca="false">1/(1+wacc)^(2029-2026-0.5)</f>
        <v>0.745129677074952</v>
      </c>
      <c r="K99" s="51" t="n">
        <f aca="false">1/(1+wacc)^(2030-2026-0.5)</f>
        <v>0.662406530186232</v>
      </c>
      <c r="L99" s="51" t="n">
        <f aca="false">1/(1+wacc)^(2031-2026-0.5)</f>
        <v>0.588867179409399</v>
      </c>
      <c r="M99" s="51" t="n">
        <f aca="false">1/(1+wacc)^(2032-2026-0.5)</f>
        <v>0.52349205387225</v>
      </c>
    </row>
    <row r="100" customFormat="false" ht="15" hidden="false" customHeight="false" outlineLevel="0" collapsed="false">
      <c r="A100" s="5" t="s">
        <v>859</v>
      </c>
      <c r="B100" s="0" t="s">
        <v>73</v>
      </c>
      <c r="H100" s="38" t="n">
        <f aca="false">Val!$H$98*Val!$H$99</f>
        <v>-51.2914472842285</v>
      </c>
      <c r="I100" s="38" t="n">
        <f aca="false">Val!$I$98*Val!$I$99</f>
        <v>5.08542399801741</v>
      </c>
      <c r="J100" s="38" t="n">
        <f aca="false">Val!$J$98*Val!$J$99</f>
        <v>49.5982660089321</v>
      </c>
      <c r="K100" s="38" t="n">
        <f aca="false">Val!$K$98*Val!$K$99</f>
        <v>82.5118938428732</v>
      </c>
      <c r="L100" s="38" t="n">
        <f aca="false">Val!$L$98*Val!$L$99</f>
        <v>88.6175710677643</v>
      </c>
      <c r="M100" s="38" t="n">
        <f aca="false">Val!$M$98*Val!$M$99</f>
        <v>79.5769008021672</v>
      </c>
    </row>
    <row r="101" customFormat="false" ht="15" hidden="false" customHeight="false" outlineLevel="0" collapsed="false">
      <c r="A101" s="5" t="s">
        <v>860</v>
      </c>
      <c r="B101" s="0" t="s">
        <v>73</v>
      </c>
      <c r="C101" s="38" t="n">
        <f aca="false">SUM(Val!$H$100:$M$100)</f>
        <v>254.098608435526</v>
      </c>
    </row>
    <row r="102" customFormat="false" ht="17.15" hidden="false" customHeight="false" outlineLevel="0" collapsed="false">
      <c r="A102" s="5" t="s">
        <v>861</v>
      </c>
      <c r="B102" s="0" t="s">
        <v>73</v>
      </c>
      <c r="C102" s="38" t="n">
        <f aca="false">Val!$M$93*(1+tg)*(1-tg/ronic)/(wacc-tg)</f>
        <v>2569.13971252852</v>
      </c>
    </row>
    <row r="103" customFormat="false" ht="15" hidden="false" customHeight="false" outlineLevel="0" collapsed="false">
      <c r="A103" s="5" t="s">
        <v>862</v>
      </c>
      <c r="B103" s="0" t="s">
        <v>73</v>
      </c>
      <c r="C103" s="38" t="n">
        <f aca="false">Val!$C$102/(1+wacc)^6</f>
        <v>1268.07280367332</v>
      </c>
    </row>
    <row r="104" customFormat="false" ht="17.15" hidden="false" customHeight="false" outlineLevel="0" collapsed="false">
      <c r="A104" s="5" t="s">
        <v>863</v>
      </c>
      <c r="B104" s="0" t="s">
        <v>73</v>
      </c>
      <c r="C104" s="38" t="n">
        <f aca="false">Val!$C$101+Val!$C$103</f>
        <v>1522.17141210884</v>
      </c>
    </row>
    <row r="105" customFormat="false" ht="17.15" hidden="false" customHeight="false" outlineLevel="0" collapsed="false">
      <c r="A105" s="5" t="s">
        <v>864</v>
      </c>
      <c r="B105" s="0" t="s">
        <v>52</v>
      </c>
      <c r="C105" s="12" t="n">
        <f aca="false">Val!$C$103/Val!$C$104</f>
        <v>0.833068334870714</v>
      </c>
    </row>
    <row r="106" customFormat="false" ht="17.15" hidden="false" customHeight="false" outlineLevel="0" collapsed="false">
      <c r="A106" s="5" t="s">
        <v>865</v>
      </c>
      <c r="B106" s="0" t="s">
        <v>73</v>
      </c>
      <c r="C106" s="38" t="n">
        <f aca="false">CF!$G$37</f>
        <v>67.2618278631946</v>
      </c>
    </row>
    <row r="107" customFormat="false" ht="17.15" hidden="false" customHeight="false" outlineLevel="0" collapsed="false">
      <c r="A107" s="5" t="s">
        <v>866</v>
      </c>
      <c r="B107" s="0" t="s">
        <v>73</v>
      </c>
      <c r="C107" s="38" t="n">
        <f aca="false">(ant_val*ant_sh+oai_val*oai_sh)*(1-liq_disc)</f>
        <v>178.944</v>
      </c>
    </row>
    <row r="108" customFormat="false" ht="15" hidden="false" customHeight="false" outlineLevel="0" collapsed="false">
      <c r="A108" s="5" t="s">
        <v>867</v>
      </c>
      <c r="B108" s="0" t="s">
        <v>73</v>
      </c>
      <c r="C108" s="38" t="n">
        <f aca="false">Val!$C$104-Val!$C$106+Val!$C$107</f>
        <v>1633.85358424565</v>
      </c>
    </row>
    <row r="109" customFormat="false" ht="17.15" hidden="false" customHeight="false" outlineLevel="0" collapsed="false">
      <c r="A109" s="5" t="s">
        <v>868</v>
      </c>
      <c r="B109" s="0" t="s">
        <v>27</v>
      </c>
      <c r="C109" s="30" t="n">
        <f aca="false">Val!$C$108/sh_val</f>
        <v>148.123941371537</v>
      </c>
    </row>
    <row r="110" customFormat="false" ht="17.15" hidden="false" customHeight="false" outlineLevel="0" collapsed="false">
      <c r="A110" s="1" t="s">
        <v>869</v>
      </c>
      <c r="B110" s="8" t="s">
        <v>27</v>
      </c>
      <c r="C110" s="30" t="n">
        <f aca="false">Val!$C$109*(1+ke)^tp_yf</f>
        <v>163.594734640718</v>
      </c>
    </row>
    <row r="111" customFormat="false" ht="17.15" hidden="false" customHeight="false" outlineLevel="0" collapsed="false">
      <c r="A111" s="3" t="s">
        <v>870</v>
      </c>
    </row>
    <row r="112" customFormat="false" ht="17.15" hidden="false" customHeight="false" outlineLevel="0" collapsed="false">
      <c r="A112" s="5" t="s">
        <v>871</v>
      </c>
      <c r="B112" s="0" t="s">
        <v>73</v>
      </c>
      <c r="C112" s="38" t="n">
        <f aca="false">0.25*PL!$H$60+0.75*PL!$I$60</f>
        <v>57.5541093268329</v>
      </c>
    </row>
    <row r="113" customFormat="false" ht="15" hidden="false" customHeight="false" outlineLevel="0" collapsed="false">
      <c r="A113" s="5" t="s">
        <v>872</v>
      </c>
      <c r="B113" s="0" t="s">
        <v>57</v>
      </c>
      <c r="C113" s="30" t="n">
        <f aca="false">m_ads*m_x</f>
        <v>9.11</v>
      </c>
    </row>
    <row r="114" customFormat="false" ht="17.15" hidden="false" customHeight="false" outlineLevel="0" collapsed="false">
      <c r="A114" s="5" t="s">
        <v>873</v>
      </c>
      <c r="B114" s="0" t="s">
        <v>73</v>
      </c>
      <c r="C114" s="38" t="n">
        <f aca="false">Val!$C$112*Val!$C$113</f>
        <v>524.317935967448</v>
      </c>
    </row>
    <row r="115" customFormat="false" ht="17.15" hidden="false" customHeight="false" outlineLevel="0" collapsed="false">
      <c r="A115" s="5" t="s">
        <v>874</v>
      </c>
      <c r="B115" s="0" t="s">
        <v>73</v>
      </c>
      <c r="C115" s="38" t="n">
        <f aca="false">0.25*PL!$H$61+0.75*PL!$I$61</f>
        <v>30.531180626452</v>
      </c>
    </row>
    <row r="116" customFormat="false" ht="15" hidden="false" customHeight="false" outlineLevel="0" collapsed="false">
      <c r="A116" s="5" t="s">
        <v>875</v>
      </c>
      <c r="B116" s="0" t="s">
        <v>57</v>
      </c>
      <c r="C116" s="30" t="n">
        <f aca="false">m_retail*m_x</f>
        <v>17.72</v>
      </c>
    </row>
    <row r="117" customFormat="false" ht="17.15" hidden="false" customHeight="false" outlineLevel="0" collapsed="false">
      <c r="A117" s="5" t="s">
        <v>876</v>
      </c>
      <c r="B117" s="0" t="s">
        <v>73</v>
      </c>
      <c r="C117" s="38" t="n">
        <f aca="false">Val!$C$115*Val!$C$116</f>
        <v>541.012520700729</v>
      </c>
    </row>
    <row r="118" customFormat="false" ht="17.15" hidden="false" customHeight="false" outlineLevel="0" collapsed="false">
      <c r="A118" s="0" t="s">
        <v>877</v>
      </c>
      <c r="B118" s="0" t="s">
        <v>73</v>
      </c>
      <c r="C118" s="38" t="n">
        <f aca="false">0.25*PL!$H$62+0.75*PL!$I$62</f>
        <v>107.575398943098</v>
      </c>
    </row>
    <row r="119" customFormat="false" ht="17.15" hidden="false" customHeight="false" outlineLevel="0" collapsed="false">
      <c r="A119" s="0" t="s">
        <v>878</v>
      </c>
      <c r="B119" s="0" t="s">
        <v>57</v>
      </c>
      <c r="C119" s="30" t="n">
        <f aca="false">m_cloud*m_x</f>
        <v>13.82</v>
      </c>
    </row>
    <row r="120" customFormat="false" ht="17.15" hidden="false" customHeight="false" outlineLevel="0" collapsed="false">
      <c r="A120" s="0" t="s">
        <v>879</v>
      </c>
      <c r="B120" s="0" t="s">
        <v>73</v>
      </c>
      <c r="C120" s="38" t="n">
        <f aca="false">Val!$C$118*Val!$C$119</f>
        <v>1486.69201339361</v>
      </c>
    </row>
    <row r="121" customFormat="false" ht="17.15" hidden="false" customHeight="false" outlineLevel="0" collapsed="false">
      <c r="A121" s="0" t="s">
        <v>880</v>
      </c>
      <c r="B121" s="0" t="s">
        <v>73</v>
      </c>
      <c r="C121" s="38" t="n">
        <f aca="false">0.25*PL!$H$63+0.75*PL!$I$63</f>
        <v>112.562111650745</v>
      </c>
    </row>
    <row r="122" customFormat="false" ht="17.15" hidden="false" customHeight="false" outlineLevel="0" collapsed="false">
      <c r="A122" s="0" t="s">
        <v>881</v>
      </c>
      <c r="B122" s="0" t="s">
        <v>57</v>
      </c>
      <c r="C122" s="30" t="n">
        <f aca="false">m_ai</f>
        <v>6</v>
      </c>
    </row>
    <row r="123" customFormat="false" ht="17.15" hidden="false" customHeight="false" outlineLevel="0" collapsed="false">
      <c r="A123" s="0" t="s">
        <v>882</v>
      </c>
      <c r="B123" s="0" t="s">
        <v>73</v>
      </c>
      <c r="C123" s="38" t="n">
        <f aca="false">Val!$C$121*Val!$C$122</f>
        <v>675.372669904469</v>
      </c>
    </row>
    <row r="124" customFormat="false" ht="17.15" hidden="false" customHeight="false" outlineLevel="0" collapsed="false">
      <c r="A124" s="5" t="s">
        <v>883</v>
      </c>
      <c r="B124" s="0" t="s">
        <v>73</v>
      </c>
      <c r="C124" s="38" t="n">
        <f aca="false">Val!$C$114+Val!$C$117+Val!$C$120+Val!$C$123</f>
        <v>3227.39513996626</v>
      </c>
    </row>
    <row r="125" customFormat="false" ht="17.15" hidden="false" customHeight="false" outlineLevel="0" collapsed="false">
      <c r="A125" s="5" t="s">
        <v>884</v>
      </c>
      <c r="B125" s="0" t="s">
        <v>73</v>
      </c>
      <c r="C125" s="38" t="n">
        <f aca="false">CF!$H$37</f>
        <v>99.7427627023824</v>
      </c>
    </row>
    <row r="126" customFormat="false" ht="15" hidden="false" customHeight="false" outlineLevel="0" collapsed="false">
      <c r="A126" s="5" t="s">
        <v>885</v>
      </c>
      <c r="B126" s="0" t="s">
        <v>73</v>
      </c>
      <c r="C126" s="38" t="n">
        <f aca="false">Val!$C$124-Val!$C$125+Val!$C$107</f>
        <v>3306.59637726387</v>
      </c>
    </row>
    <row r="127" customFormat="false" ht="15" hidden="false" customHeight="false" outlineLevel="0" collapsed="false">
      <c r="A127" s="3" t="s">
        <v>886</v>
      </c>
      <c r="B127" s="8" t="s">
        <v>27</v>
      </c>
      <c r="C127" s="30" t="n">
        <f aca="false">Val!$C$126/sh_val</f>
        <v>299.773549262865</v>
      </c>
    </row>
    <row r="128" customFormat="false" ht="17.15" hidden="false" customHeight="false" outlineLevel="0" collapsed="false">
      <c r="A128" s="46" t="s">
        <v>887</v>
      </c>
      <c r="B128" s="13" t="s">
        <v>27</v>
      </c>
      <c r="C128" s="43" t="n">
        <f aca="false">w_dcf*Val!$C$110+(1-w_dcf)*Val!$C$127</f>
        <v>231.684141951792</v>
      </c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</row>
    <row r="129" customFormat="false" ht="17.15" hidden="false" customHeight="false" outlineLevel="0" collapsed="false">
      <c r="A129" s="5" t="s">
        <v>888</v>
      </c>
      <c r="B129" s="0" t="s">
        <v>27</v>
      </c>
      <c r="C129" s="30" t="n">
        <f aca="false">0.45*Val!$C$110+0.55*Val!$C$127</f>
        <v>238.493082682899</v>
      </c>
    </row>
    <row r="132" customFormat="false" ht="19.4" hidden="false" customHeight="false" outlineLevel="0" collapsed="false">
      <c r="A132" s="31" t="s">
        <v>889</v>
      </c>
    </row>
    <row r="133" customFormat="false" ht="17.15" hidden="false" customHeight="false" outlineLevel="0" collapsed="false">
      <c r="A133" s="6" t="s">
        <v>16</v>
      </c>
      <c r="B133" s="6" t="s">
        <v>17</v>
      </c>
      <c r="C133" s="20" t="s">
        <v>457</v>
      </c>
      <c r="D133" s="20" t="s">
        <v>458</v>
      </c>
      <c r="E133" s="20" t="s">
        <v>540</v>
      </c>
      <c r="F133" s="20" t="s">
        <v>541</v>
      </c>
      <c r="G133" s="20" t="s">
        <v>542</v>
      </c>
      <c r="H133" s="20" t="s">
        <v>543</v>
      </c>
      <c r="I133" s="20" t="s">
        <v>544</v>
      </c>
      <c r="J133" s="20" t="s">
        <v>545</v>
      </c>
      <c r="K133" s="20" t="s">
        <v>546</v>
      </c>
      <c r="L133" s="20" t="s">
        <v>547</v>
      </c>
      <c r="M133" s="20" t="s">
        <v>548</v>
      </c>
      <c r="N133" s="20" t="s">
        <v>549</v>
      </c>
      <c r="O133" s="20" t="s">
        <v>550</v>
      </c>
      <c r="P133" s="6" t="s">
        <v>23</v>
      </c>
      <c r="R133" s="20" t="n">
        <v>2023</v>
      </c>
      <c r="S133" s="20" t="n">
        <v>2024</v>
      </c>
      <c r="T133" s="20" t="n">
        <v>2025</v>
      </c>
      <c r="U133" s="20" t="n">
        <v>2026</v>
      </c>
      <c r="V133" s="20" t="n">
        <v>2027</v>
      </c>
      <c r="W133" s="20" t="n">
        <v>2028</v>
      </c>
      <c r="X133" s="20" t="n">
        <v>2029</v>
      </c>
      <c r="Y133" s="20" t="n">
        <v>2030</v>
      </c>
      <c r="Z133" s="20" t="n">
        <v>2031</v>
      </c>
      <c r="AA133" s="20" t="n">
        <v>2032</v>
      </c>
    </row>
    <row r="134" customFormat="false" ht="17.15" hidden="false" customHeight="false" outlineLevel="0" collapsed="false">
      <c r="A134" s="1" t="s">
        <v>851</v>
      </c>
    </row>
    <row r="135" customFormat="false" ht="17.15" hidden="false" customHeight="false" outlineLevel="0" collapsed="false">
      <c r="A135" s="0" t="s">
        <v>852</v>
      </c>
      <c r="B135" s="0" t="s">
        <v>73</v>
      </c>
      <c r="H135" s="38" t="n">
        <f aca="false">PL!$H$113*(1-tax)</f>
        <v>112.093921330558</v>
      </c>
      <c r="I135" s="38" t="n">
        <f aca="false">PL!$I$113*(1-tax)</f>
        <v>132.779045500917</v>
      </c>
      <c r="J135" s="38" t="n">
        <f aca="false">PL!$J$113*(1-tax)</f>
        <v>151.181555485193</v>
      </c>
      <c r="K135" s="38" t="n">
        <f aca="false">PL!$K$113*(1-tax)</f>
        <v>166.036468953087</v>
      </c>
      <c r="L135" s="38" t="n">
        <f aca="false">PL!$L$113*(1-tax)</f>
        <v>182.348678369869</v>
      </c>
      <c r="M135" s="38" t="n">
        <f aca="false">PL!$M$113*(1-tax)</f>
        <v>199.243892383632</v>
      </c>
    </row>
    <row r="136" customFormat="false" ht="15" hidden="false" customHeight="false" outlineLevel="0" collapsed="false">
      <c r="A136" s="5" t="s">
        <v>853</v>
      </c>
      <c r="B136" s="0" t="s">
        <v>73</v>
      </c>
      <c r="H136" s="38" t="n">
        <f aca="false">PL!$H$125</f>
        <v>87.6845218193838</v>
      </c>
      <c r="I136" s="38" t="n">
        <f aca="false">PL!$I$125</f>
        <v>122.294769708638</v>
      </c>
      <c r="J136" s="38" t="n">
        <f aca="false">PL!$J$125</f>
        <v>157.133962573221</v>
      </c>
      <c r="K136" s="38" t="n">
        <f aca="false">PL!$K$125</f>
        <v>191.350633353599</v>
      </c>
      <c r="L136" s="38" t="n">
        <f aca="false">PL!$L$125</f>
        <v>223.909238335354</v>
      </c>
      <c r="M136" s="38" t="n">
        <f aca="false">PL!$M$125</f>
        <v>257.576319867276</v>
      </c>
    </row>
    <row r="137" customFormat="false" ht="15" hidden="false" customHeight="false" outlineLevel="0" collapsed="false">
      <c r="A137" s="5" t="s">
        <v>854</v>
      </c>
      <c r="B137" s="0" t="s">
        <v>73</v>
      </c>
      <c r="H137" s="38" t="n">
        <f aca="false">CF!$H$54</f>
        <v>277.870120501355</v>
      </c>
      <c r="I137" s="38" t="n">
        <f aca="false">CF!$I$54</f>
        <v>293.934464585378</v>
      </c>
      <c r="J137" s="38" t="n">
        <f aca="false">CF!$J$54</f>
        <v>308.06904811359</v>
      </c>
      <c r="K137" s="38" t="n">
        <f aca="false">CF!$K$54</f>
        <v>320.385735318248</v>
      </c>
      <c r="L137" s="38" t="n">
        <f aca="false">CF!$L$54</f>
        <v>364.65641921833</v>
      </c>
      <c r="M137" s="38" t="n">
        <f aca="false">CF!$M$54</f>
        <v>432.943173024858</v>
      </c>
    </row>
    <row r="138" customFormat="false" ht="15" hidden="false" customHeight="false" outlineLevel="0" collapsed="false">
      <c r="A138" s="5" t="s">
        <v>855</v>
      </c>
      <c r="B138" s="0" t="s">
        <v>73</v>
      </c>
      <c r="H138" s="38" t="n">
        <f aca="false">CF!$H$55</f>
        <v>1.6</v>
      </c>
      <c r="I138" s="38" t="n">
        <f aca="false">CF!$I$55</f>
        <v>1.6</v>
      </c>
      <c r="J138" s="38" t="n">
        <f aca="false">CF!$J$55</f>
        <v>1.6</v>
      </c>
      <c r="K138" s="38" t="n">
        <f aca="false">CF!$K$55</f>
        <v>1.6</v>
      </c>
      <c r="L138" s="38" t="n">
        <f aca="false">CF!$L$55</f>
        <v>1.6</v>
      </c>
      <c r="M138" s="38" t="n">
        <f aca="false">CF!$M$55</f>
        <v>1.6</v>
      </c>
    </row>
    <row r="139" customFormat="false" ht="15" hidden="false" customHeight="false" outlineLevel="0" collapsed="false">
      <c r="A139" s="5" t="s">
        <v>856</v>
      </c>
      <c r="B139" s="0" t="s">
        <v>73</v>
      </c>
      <c r="H139" s="38" t="n">
        <f aca="false">CF!$H$49</f>
        <v>11.6369707537667</v>
      </c>
      <c r="I139" s="38" t="n">
        <f aca="false">CF!$I$49</f>
        <v>13.3082502961262</v>
      </c>
      <c r="J139" s="38" t="n">
        <f aca="false">CF!$J$49</f>
        <v>14.8747965344332</v>
      </c>
      <c r="K139" s="38" t="n">
        <f aca="false">CF!$K$49</f>
        <v>16.2687901804328</v>
      </c>
      <c r="L139" s="38" t="n">
        <f aca="false">CF!$L$49</f>
        <v>17.7280727627002</v>
      </c>
      <c r="M139" s="38" t="n">
        <f aca="false">CF!$M$49</f>
        <v>19.2574690270319</v>
      </c>
    </row>
    <row r="140" customFormat="false" ht="17.15" hidden="false" customHeight="false" outlineLevel="0" collapsed="false">
      <c r="A140" s="1" t="s">
        <v>857</v>
      </c>
      <c r="B140" s="8" t="s">
        <v>73</v>
      </c>
      <c r="H140" s="38" t="n">
        <f aca="false">Val!$H$135+Val!$H$136-Val!$H$137-Val!$H$138+Val!$H$139</f>
        <v>-68.0547065976468</v>
      </c>
      <c r="I140" s="38" t="n">
        <f aca="false">Val!$I$135+Val!$I$136-Val!$I$137-Val!$I$138+Val!$I$139</f>
        <v>-27.1523990796972</v>
      </c>
      <c r="J140" s="38" t="n">
        <f aca="false">Val!$J$135+Val!$J$136-Val!$J$137-Val!$J$138+Val!$J$139</f>
        <v>13.5212664792573</v>
      </c>
      <c r="K140" s="38" t="n">
        <f aca="false">Val!$K$135+Val!$K$136-Val!$K$137-Val!$K$138+Val!$K$139</f>
        <v>51.6701571688709</v>
      </c>
      <c r="L140" s="38" t="n">
        <f aca="false">Val!$L$135+Val!$L$136-Val!$L$137-Val!$L$138+Val!$L$139</f>
        <v>57.7295702495933</v>
      </c>
      <c r="M140" s="38" t="n">
        <f aca="false">Val!$M$135+Val!$M$136-Val!$M$137-Val!$M$138+Val!$M$139</f>
        <v>41.534508253082</v>
      </c>
    </row>
    <row r="141" customFormat="false" ht="15" hidden="false" customHeight="false" outlineLevel="0" collapsed="false">
      <c r="A141" s="5" t="s">
        <v>858</v>
      </c>
      <c r="B141" s="0" t="s">
        <v>57</v>
      </c>
      <c r="H141" s="51" t="n">
        <f aca="false">1/(1+wacc)^(2027-2026-0.5)</f>
        <v>0.942858177653364</v>
      </c>
      <c r="I141" s="51" t="n">
        <f aca="false">1/(1+wacc)^(2028-2026-0.5)</f>
        <v>0.838183517758688</v>
      </c>
      <c r="J141" s="51" t="n">
        <f aca="false">1/(1+wacc)^(2029-2026-0.5)</f>
        <v>0.745129677074952</v>
      </c>
      <c r="K141" s="51" t="n">
        <f aca="false">1/(1+wacc)^(2030-2026-0.5)</f>
        <v>0.662406530186232</v>
      </c>
      <c r="L141" s="51" t="n">
        <f aca="false">1/(1+wacc)^(2031-2026-0.5)</f>
        <v>0.588867179409399</v>
      </c>
      <c r="M141" s="51" t="n">
        <f aca="false">1/(1+wacc)^(2032-2026-0.5)</f>
        <v>0.52349205387225</v>
      </c>
    </row>
    <row r="142" customFormat="false" ht="15" hidden="false" customHeight="false" outlineLevel="0" collapsed="false">
      <c r="A142" s="5" t="s">
        <v>859</v>
      </c>
      <c r="B142" s="0" t="s">
        <v>73</v>
      </c>
      <c r="H142" s="38" t="n">
        <f aca="false">Val!$H$140*Val!$H$141</f>
        <v>-64.1659366433916</v>
      </c>
      <c r="I142" s="38" t="n">
        <f aca="false">Val!$I$140*Val!$I$141</f>
        <v>-22.7586933762084</v>
      </c>
      <c r="J142" s="38" t="n">
        <f aca="false">Val!$J$140*Val!$J$141</f>
        <v>10.0750969253334</v>
      </c>
      <c r="K142" s="38" t="n">
        <f aca="false">Val!$K$140*Val!$K$141</f>
        <v>34.226649524409</v>
      </c>
      <c r="L142" s="38" t="n">
        <f aca="false">Val!$L$140*Val!$L$141</f>
        <v>33.9950492013948</v>
      </c>
      <c r="M142" s="38" t="n">
        <f aca="false">Val!$M$140*Val!$M$141</f>
        <v>21.7429850319798</v>
      </c>
    </row>
    <row r="143" customFormat="false" ht="15" hidden="false" customHeight="false" outlineLevel="0" collapsed="false">
      <c r="A143" s="5" t="s">
        <v>860</v>
      </c>
      <c r="B143" s="0" t="s">
        <v>73</v>
      </c>
      <c r="C143" s="38" t="n">
        <f aca="false">SUM(Val!$H$142:$M$142)</f>
        <v>13.115150663517</v>
      </c>
    </row>
    <row r="144" customFormat="false" ht="17.15" hidden="false" customHeight="false" outlineLevel="0" collapsed="false">
      <c r="A144" s="5" t="s">
        <v>861</v>
      </c>
      <c r="B144" s="0" t="s">
        <v>73</v>
      </c>
      <c r="C144" s="38" t="n">
        <f aca="false">Val!$M$135*(1+tg)*(1-tg/ronic)/(wacc-tg)</f>
        <v>1643.3111431308</v>
      </c>
    </row>
    <row r="145" customFormat="false" ht="15" hidden="false" customHeight="false" outlineLevel="0" collapsed="false">
      <c r="A145" s="5" t="s">
        <v>862</v>
      </c>
      <c r="B145" s="0" t="s">
        <v>73</v>
      </c>
      <c r="C145" s="38" t="n">
        <f aca="false">Val!$C$144/(1+wacc)^6</f>
        <v>811.103482778908</v>
      </c>
    </row>
    <row r="146" customFormat="false" ht="17.15" hidden="false" customHeight="false" outlineLevel="0" collapsed="false">
      <c r="A146" s="5" t="s">
        <v>863</v>
      </c>
      <c r="B146" s="0" t="s">
        <v>73</v>
      </c>
      <c r="C146" s="38" t="n">
        <f aca="false">Val!$C$143+Val!$C$145</f>
        <v>824.218633442425</v>
      </c>
    </row>
    <row r="147" customFormat="false" ht="17.15" hidden="false" customHeight="false" outlineLevel="0" collapsed="false">
      <c r="A147" s="5" t="s">
        <v>864</v>
      </c>
      <c r="B147" s="0" t="s">
        <v>52</v>
      </c>
      <c r="C147" s="12" t="n">
        <f aca="false">Val!$C$145/Val!$C$146</f>
        <v>0.984087777039521</v>
      </c>
    </row>
    <row r="148" customFormat="false" ht="17.15" hidden="false" customHeight="false" outlineLevel="0" collapsed="false">
      <c r="A148" s="5" t="s">
        <v>865</v>
      </c>
      <c r="B148" s="0" t="s">
        <v>73</v>
      </c>
      <c r="C148" s="38" t="n">
        <f aca="false">CF!$G$67</f>
        <v>67.0428850873731</v>
      </c>
    </row>
    <row r="149" customFormat="false" ht="17.15" hidden="false" customHeight="false" outlineLevel="0" collapsed="false">
      <c r="A149" s="5" t="s">
        <v>866</v>
      </c>
      <c r="B149" s="0" t="s">
        <v>73</v>
      </c>
      <c r="C149" s="38" t="n">
        <f aca="false">(ant_val*ant_sh+oai_val*oai_sh)*(1-liq_disc)</f>
        <v>178.944</v>
      </c>
    </row>
    <row r="150" customFormat="false" ht="15" hidden="false" customHeight="false" outlineLevel="0" collapsed="false">
      <c r="A150" s="5" t="s">
        <v>867</v>
      </c>
      <c r="B150" s="0" t="s">
        <v>73</v>
      </c>
      <c r="C150" s="38" t="n">
        <f aca="false">Val!$C$146-Val!$C$148+Val!$C$149</f>
        <v>936.119748355051</v>
      </c>
    </row>
    <row r="151" customFormat="false" ht="17.15" hidden="false" customHeight="false" outlineLevel="0" collapsed="false">
      <c r="A151" s="5" t="s">
        <v>868</v>
      </c>
      <c r="B151" s="0" t="s">
        <v>27</v>
      </c>
      <c r="C151" s="30" t="n">
        <f aca="false">Val!$C$150/sh_val</f>
        <v>84.8679147624493</v>
      </c>
    </row>
    <row r="152" customFormat="false" ht="17.15" hidden="false" customHeight="false" outlineLevel="0" collapsed="false">
      <c r="A152" s="1" t="s">
        <v>869</v>
      </c>
      <c r="B152" s="8" t="s">
        <v>27</v>
      </c>
      <c r="C152" s="30" t="n">
        <f aca="false">Val!$C$151*(1+ke)^tp_yf</f>
        <v>93.7319373662158</v>
      </c>
    </row>
    <row r="153" customFormat="false" ht="17.15" hidden="false" customHeight="false" outlineLevel="0" collapsed="false">
      <c r="A153" s="3" t="s">
        <v>870</v>
      </c>
    </row>
    <row r="154" customFormat="false" ht="17.15" hidden="false" customHeight="false" outlineLevel="0" collapsed="false">
      <c r="A154" s="5" t="s">
        <v>871</v>
      </c>
      <c r="B154" s="0" t="s">
        <v>73</v>
      </c>
      <c r="C154" s="38" t="n">
        <f aca="false">0.25*PL!$H$126+0.75*PL!$I$126</f>
        <v>57.5541093268329</v>
      </c>
    </row>
    <row r="155" customFormat="false" ht="15" hidden="false" customHeight="false" outlineLevel="0" collapsed="false">
      <c r="A155" s="5" t="s">
        <v>872</v>
      </c>
      <c r="B155" s="0" t="s">
        <v>57</v>
      </c>
      <c r="C155" s="30" t="n">
        <f aca="false">m_ads*m_x</f>
        <v>9.11</v>
      </c>
    </row>
    <row r="156" customFormat="false" ht="17.15" hidden="false" customHeight="false" outlineLevel="0" collapsed="false">
      <c r="A156" s="5" t="s">
        <v>873</v>
      </c>
      <c r="B156" s="0" t="s">
        <v>73</v>
      </c>
      <c r="C156" s="38" t="n">
        <f aca="false">Val!$C$154*Val!$C$155</f>
        <v>524.317935967448</v>
      </c>
    </row>
    <row r="157" customFormat="false" ht="17.15" hidden="false" customHeight="false" outlineLevel="0" collapsed="false">
      <c r="A157" s="5" t="s">
        <v>874</v>
      </c>
      <c r="B157" s="0" t="s">
        <v>73</v>
      </c>
      <c r="C157" s="38" t="n">
        <f aca="false">0.25*PL!$H$127+0.75*PL!$I$127</f>
        <v>30.6290803533085</v>
      </c>
    </row>
    <row r="158" customFormat="false" ht="15" hidden="false" customHeight="false" outlineLevel="0" collapsed="false">
      <c r="A158" s="5" t="s">
        <v>875</v>
      </c>
      <c r="B158" s="0" t="s">
        <v>57</v>
      </c>
      <c r="C158" s="30" t="n">
        <f aca="false">m_retail*m_x</f>
        <v>17.72</v>
      </c>
    </row>
    <row r="159" customFormat="false" ht="17.15" hidden="false" customHeight="false" outlineLevel="0" collapsed="false">
      <c r="A159" s="5" t="s">
        <v>876</v>
      </c>
      <c r="B159" s="0" t="s">
        <v>73</v>
      </c>
      <c r="C159" s="38" t="n">
        <f aca="false">Val!$C$157*Val!$C$158</f>
        <v>542.747303860627</v>
      </c>
    </row>
    <row r="160" customFormat="false" ht="17.15" hidden="false" customHeight="false" outlineLevel="0" collapsed="false">
      <c r="A160" s="0" t="s">
        <v>877</v>
      </c>
      <c r="B160" s="0" t="s">
        <v>73</v>
      </c>
      <c r="C160" s="38" t="n">
        <f aca="false">0.25*PL!$H$128+0.75*PL!$I$128</f>
        <v>107.575398943098</v>
      </c>
    </row>
    <row r="161" customFormat="false" ht="17.15" hidden="false" customHeight="false" outlineLevel="0" collapsed="false">
      <c r="A161" s="0" t="s">
        <v>878</v>
      </c>
      <c r="B161" s="0" t="s">
        <v>57</v>
      </c>
      <c r="C161" s="30" t="n">
        <f aca="false">m_cloud*m_x</f>
        <v>13.82</v>
      </c>
    </row>
    <row r="162" customFormat="false" ht="17.15" hidden="false" customHeight="false" outlineLevel="0" collapsed="false">
      <c r="A162" s="0" t="s">
        <v>879</v>
      </c>
      <c r="B162" s="0" t="s">
        <v>73</v>
      </c>
      <c r="C162" s="38" t="n">
        <f aca="false">Val!$C$160*Val!$C$161</f>
        <v>1486.69201339361</v>
      </c>
    </row>
    <row r="163" customFormat="false" ht="17.15" hidden="false" customHeight="false" outlineLevel="0" collapsed="false">
      <c r="A163" s="0" t="s">
        <v>880</v>
      </c>
      <c r="B163" s="0" t="s">
        <v>73</v>
      </c>
      <c r="C163" s="38" t="n">
        <f aca="false">0.25*PL!$H$129+0.75*PL!$I$129</f>
        <v>72.2947701247864</v>
      </c>
    </row>
    <row r="164" customFormat="false" ht="17.15" hidden="false" customHeight="false" outlineLevel="0" collapsed="false">
      <c r="A164" s="0" t="s">
        <v>881</v>
      </c>
      <c r="B164" s="0" t="s">
        <v>57</v>
      </c>
      <c r="C164" s="30" t="n">
        <f aca="false">m_ai</f>
        <v>6</v>
      </c>
    </row>
    <row r="165" customFormat="false" ht="17.15" hidden="false" customHeight="false" outlineLevel="0" collapsed="false">
      <c r="A165" s="0" t="s">
        <v>882</v>
      </c>
      <c r="B165" s="0" t="s">
        <v>73</v>
      </c>
      <c r="C165" s="38" t="n">
        <f aca="false">Val!$C$163*Val!$C$164</f>
        <v>433.768620748718</v>
      </c>
    </row>
    <row r="166" customFormat="false" ht="17.15" hidden="false" customHeight="false" outlineLevel="0" collapsed="false">
      <c r="A166" s="5" t="s">
        <v>883</v>
      </c>
      <c r="B166" s="0" t="s">
        <v>73</v>
      </c>
      <c r="C166" s="38" t="n">
        <f aca="false">Val!$C$156+Val!$C$159+Val!$C$162+Val!$C$165</f>
        <v>2987.5258739704</v>
      </c>
    </row>
    <row r="167" customFormat="false" ht="17.15" hidden="false" customHeight="false" outlineLevel="0" collapsed="false">
      <c r="A167" s="5" t="s">
        <v>884</v>
      </c>
      <c r="B167" s="0" t="s">
        <v>73</v>
      </c>
      <c r="C167" s="38" t="n">
        <f aca="false">CF!$H$67</f>
        <v>113.741590679904</v>
      </c>
    </row>
    <row r="168" customFormat="false" ht="15" hidden="false" customHeight="false" outlineLevel="0" collapsed="false">
      <c r="A168" s="5" t="s">
        <v>885</v>
      </c>
      <c r="B168" s="0" t="s">
        <v>73</v>
      </c>
      <c r="C168" s="38" t="n">
        <f aca="false">Val!$C$166-Val!$C$167+Val!$C$149</f>
        <v>3052.7282832905</v>
      </c>
    </row>
    <row r="169" customFormat="false" ht="15" hidden="false" customHeight="false" outlineLevel="0" collapsed="false">
      <c r="A169" s="3" t="s">
        <v>886</v>
      </c>
      <c r="B169" s="8" t="s">
        <v>27</v>
      </c>
      <c r="C169" s="30" t="n">
        <f aca="false">Val!$C$168/sh_val</f>
        <v>276.758058137828</v>
      </c>
    </row>
    <row r="170" customFormat="false" ht="17.15" hidden="false" customHeight="false" outlineLevel="0" collapsed="false">
      <c r="A170" s="46" t="s">
        <v>887</v>
      </c>
      <c r="B170" s="13" t="s">
        <v>27</v>
      </c>
      <c r="C170" s="43" t="n">
        <f aca="false">w_dcf*Val!$C$152+(1-w_dcf)*Val!$C$169</f>
        <v>185.244997752022</v>
      </c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</row>
    <row r="171" customFormat="false" ht="17.15" hidden="false" customHeight="false" outlineLevel="0" collapsed="false">
      <c r="A171" s="5" t="s">
        <v>888</v>
      </c>
      <c r="B171" s="0" t="s">
        <v>27</v>
      </c>
      <c r="C171" s="30" t="n">
        <f aca="false">0.45*Val!$C$152+0.55*Val!$C$169</f>
        <v>194.396303790603</v>
      </c>
    </row>
    <row r="174" customFormat="false" ht="19.4" hidden="false" customHeight="false" outlineLevel="0" collapsed="false">
      <c r="A174" s="31" t="s">
        <v>890</v>
      </c>
    </row>
    <row r="175" customFormat="false" ht="17.15" hidden="false" customHeight="false" outlineLevel="0" collapsed="false">
      <c r="A175" s="6" t="s">
        <v>16</v>
      </c>
      <c r="B175" s="6" t="s">
        <v>17</v>
      </c>
      <c r="C175" s="20" t="s">
        <v>457</v>
      </c>
      <c r="D175" s="20" t="s">
        <v>458</v>
      </c>
      <c r="E175" s="20" t="s">
        <v>540</v>
      </c>
      <c r="F175" s="20" t="s">
        <v>541</v>
      </c>
      <c r="G175" s="20" t="s">
        <v>542</v>
      </c>
      <c r="H175" s="20" t="s">
        <v>543</v>
      </c>
      <c r="I175" s="20" t="s">
        <v>544</v>
      </c>
      <c r="J175" s="20" t="s">
        <v>545</v>
      </c>
      <c r="K175" s="20" t="s">
        <v>546</v>
      </c>
      <c r="L175" s="20" t="s">
        <v>547</v>
      </c>
      <c r="M175" s="20" t="s">
        <v>548</v>
      </c>
      <c r="N175" s="20" t="s">
        <v>549</v>
      </c>
      <c r="O175" s="20" t="s">
        <v>550</v>
      </c>
      <c r="P175" s="6" t="s">
        <v>23</v>
      </c>
      <c r="R175" s="20" t="n">
        <v>2023</v>
      </c>
      <c r="S175" s="20" t="n">
        <v>2024</v>
      </c>
      <c r="T175" s="20" t="n">
        <v>2025</v>
      </c>
      <c r="U175" s="20" t="n">
        <v>2026</v>
      </c>
      <c r="V175" s="20" t="n">
        <v>2027</v>
      </c>
      <c r="W175" s="20" t="n">
        <v>2028</v>
      </c>
      <c r="X175" s="20" t="n">
        <v>2029</v>
      </c>
      <c r="Y175" s="20" t="n">
        <v>2030</v>
      </c>
      <c r="Z175" s="20" t="n">
        <v>2031</v>
      </c>
      <c r="AA175" s="20" t="n">
        <v>2032</v>
      </c>
    </row>
    <row r="176" customFormat="false" ht="17.15" hidden="false" customHeight="false" outlineLevel="0" collapsed="false">
      <c r="A176" s="1" t="s">
        <v>851</v>
      </c>
    </row>
    <row r="177" customFormat="false" ht="17.15" hidden="false" customHeight="false" outlineLevel="0" collapsed="false">
      <c r="A177" s="0" t="s">
        <v>852</v>
      </c>
      <c r="B177" s="0" t="s">
        <v>73</v>
      </c>
      <c r="H177" s="38" t="n">
        <f aca="false">PL!$H$179*(1-tax)</f>
        <v>106.520905488171</v>
      </c>
      <c r="I177" s="38" t="n">
        <f aca="false">PL!$I$179*(1-tax)</f>
        <v>121.453886793494</v>
      </c>
      <c r="J177" s="38" t="n">
        <f aca="false">PL!$J$179*(1-tax)</f>
        <v>134.07866433807</v>
      </c>
      <c r="K177" s="38" t="n">
        <f aca="false">PL!$K$179*(1-tax)</f>
        <v>143.147315508041</v>
      </c>
      <c r="L177" s="38" t="n">
        <f aca="false">PL!$L$179*(1-tax)</f>
        <v>153.669385418618</v>
      </c>
      <c r="M177" s="38" t="n">
        <f aca="false">PL!$M$179*(1-tax)</f>
        <v>164.77237219864</v>
      </c>
    </row>
    <row r="178" customFormat="false" ht="15" hidden="false" customHeight="false" outlineLevel="0" collapsed="false">
      <c r="A178" s="5" t="s">
        <v>853</v>
      </c>
      <c r="B178" s="0" t="s">
        <v>73</v>
      </c>
      <c r="H178" s="38" t="n">
        <f aca="false">PL!$H$191</f>
        <v>87.6845218193838</v>
      </c>
      <c r="I178" s="38" t="n">
        <f aca="false">PL!$I$191</f>
        <v>122.294769708638</v>
      </c>
      <c r="J178" s="38" t="n">
        <f aca="false">PL!$J$191</f>
        <v>157.133962573221</v>
      </c>
      <c r="K178" s="38" t="n">
        <f aca="false">PL!$K$191</f>
        <v>191.350633353599</v>
      </c>
      <c r="L178" s="38" t="n">
        <f aca="false">PL!$L$191</f>
        <v>223.909238335354</v>
      </c>
      <c r="M178" s="38" t="n">
        <f aca="false">PL!$M$191</f>
        <v>257.576319867276</v>
      </c>
    </row>
    <row r="179" customFormat="false" ht="15" hidden="false" customHeight="false" outlineLevel="0" collapsed="false">
      <c r="A179" s="5" t="s">
        <v>854</v>
      </c>
      <c r="B179" s="0" t="s">
        <v>73</v>
      </c>
      <c r="H179" s="38" t="n">
        <f aca="false">CF!$H$84</f>
        <v>277.870120501355</v>
      </c>
      <c r="I179" s="38" t="n">
        <f aca="false">CF!$I$84</f>
        <v>293.934464585378</v>
      </c>
      <c r="J179" s="38" t="n">
        <f aca="false">CF!$J$84</f>
        <v>308.06904811359</v>
      </c>
      <c r="K179" s="38" t="n">
        <f aca="false">CF!$K$84</f>
        <v>320.385735318248</v>
      </c>
      <c r="L179" s="38" t="n">
        <f aca="false">CF!$L$84</f>
        <v>364.65641921833</v>
      </c>
      <c r="M179" s="38" t="n">
        <f aca="false">CF!$M$84</f>
        <v>432.943173024858</v>
      </c>
    </row>
    <row r="180" customFormat="false" ht="15" hidden="false" customHeight="false" outlineLevel="0" collapsed="false">
      <c r="A180" s="5" t="s">
        <v>855</v>
      </c>
      <c r="B180" s="0" t="s">
        <v>73</v>
      </c>
      <c r="H180" s="38" t="n">
        <f aca="false">CF!$H$85</f>
        <v>1.6</v>
      </c>
      <c r="I180" s="38" t="n">
        <f aca="false">CF!$I$85</f>
        <v>1.6</v>
      </c>
      <c r="J180" s="38" t="n">
        <f aca="false">CF!$J$85</f>
        <v>1.6</v>
      </c>
      <c r="K180" s="38" t="n">
        <f aca="false">CF!$K$85</f>
        <v>1.6</v>
      </c>
      <c r="L180" s="38" t="n">
        <f aca="false">CF!$L$85</f>
        <v>1.6</v>
      </c>
      <c r="M180" s="38" t="n">
        <f aca="false">CF!$M$85</f>
        <v>1.6</v>
      </c>
    </row>
    <row r="181" customFormat="false" ht="15" hidden="false" customHeight="false" outlineLevel="0" collapsed="false">
      <c r="A181" s="5" t="s">
        <v>856</v>
      </c>
      <c r="B181" s="0" t="s">
        <v>73</v>
      </c>
      <c r="H181" s="38" t="n">
        <f aca="false">CF!$H$79</f>
        <v>11.5561515249225</v>
      </c>
      <c r="I181" s="38" t="n">
        <f aca="false">CF!$I$79</f>
        <v>13.144014159148</v>
      </c>
      <c r="J181" s="38" t="n">
        <f aca="false">CF!$J$79</f>
        <v>14.6267723922795</v>
      </c>
      <c r="K181" s="38" t="n">
        <f aca="false">CF!$K$79</f>
        <v>15.93685433409</v>
      </c>
      <c r="L181" s="38" t="n">
        <f aca="false">CF!$L$79</f>
        <v>17.3121689853437</v>
      </c>
      <c r="M181" s="38" t="n">
        <f aca="false">CF!$M$79</f>
        <v>18.7575670426793</v>
      </c>
    </row>
    <row r="182" customFormat="false" ht="17.15" hidden="false" customHeight="false" outlineLevel="0" collapsed="false">
      <c r="A182" s="1" t="s">
        <v>857</v>
      </c>
      <c r="B182" s="8" t="s">
        <v>73</v>
      </c>
      <c r="H182" s="38" t="n">
        <f aca="false">Val!$H$177+Val!$H$178-Val!$H$179-Val!$H$180+Val!$H$181</f>
        <v>-73.7085416688774</v>
      </c>
      <c r="I182" s="38" t="n">
        <f aca="false">Val!$I$177+Val!$I$178-Val!$I$179-Val!$I$180+Val!$I$181</f>
        <v>-38.6417939240984</v>
      </c>
      <c r="J182" s="38" t="n">
        <f aca="false">Val!$J$177+Val!$J$178-Val!$J$179-Val!$J$180+Val!$J$181</f>
        <v>-3.82964881002013</v>
      </c>
      <c r="K182" s="38" t="n">
        <f aca="false">Val!$K$177+Val!$K$178-Val!$K$179-Val!$K$180+Val!$K$181</f>
        <v>28.4490678774821</v>
      </c>
      <c r="L182" s="38" t="n">
        <f aca="false">Val!$L$177+Val!$L$178-Val!$L$179-Val!$L$180+Val!$L$181</f>
        <v>28.6343735209861</v>
      </c>
      <c r="M182" s="38" t="n">
        <f aca="false">Val!$M$177+Val!$M$178-Val!$M$179-Val!$M$180+Val!$M$181</f>
        <v>6.56308608373724</v>
      </c>
    </row>
    <row r="183" customFormat="false" ht="15" hidden="false" customHeight="false" outlineLevel="0" collapsed="false">
      <c r="A183" s="5" t="s">
        <v>858</v>
      </c>
      <c r="B183" s="0" t="s">
        <v>57</v>
      </c>
      <c r="H183" s="51" t="n">
        <f aca="false">1/(1+wacc)^(2027-2026-0.5)</f>
        <v>0.942858177653364</v>
      </c>
      <c r="I183" s="51" t="n">
        <f aca="false">1/(1+wacc)^(2028-2026-0.5)</f>
        <v>0.838183517758688</v>
      </c>
      <c r="J183" s="51" t="n">
        <f aca="false">1/(1+wacc)^(2029-2026-0.5)</f>
        <v>0.745129677074952</v>
      </c>
      <c r="K183" s="51" t="n">
        <f aca="false">1/(1+wacc)^(2030-2026-0.5)</f>
        <v>0.662406530186232</v>
      </c>
      <c r="L183" s="51" t="n">
        <f aca="false">1/(1+wacc)^(2031-2026-0.5)</f>
        <v>0.588867179409399</v>
      </c>
      <c r="M183" s="51" t="n">
        <f aca="false">1/(1+wacc)^(2032-2026-0.5)</f>
        <v>0.52349205387225</v>
      </c>
    </row>
    <row r="184" customFormat="false" ht="15" hidden="false" customHeight="false" outlineLevel="0" collapsed="false">
      <c r="A184" s="5" t="s">
        <v>859</v>
      </c>
      <c r="B184" s="0" t="s">
        <v>73</v>
      </c>
      <c r="H184" s="38" t="n">
        <f aca="false">Val!$H$182*Val!$H$183</f>
        <v>-69.4967012754048</v>
      </c>
      <c r="I184" s="38" t="n">
        <f aca="false">Val!$I$182*Val!$I$183</f>
        <v>-32.3889147638071</v>
      </c>
      <c r="J184" s="38" t="n">
        <f aca="false">Val!$J$182*Val!$J$183</f>
        <v>-2.85358498112078</v>
      </c>
      <c r="K184" s="38" t="n">
        <f aca="false">Val!$K$182*Val!$K$183</f>
        <v>18.8448483397555</v>
      </c>
      <c r="L184" s="38" t="n">
        <f aca="false">Val!$L$182*Val!$L$183</f>
        <v>16.8618427694583</v>
      </c>
      <c r="M184" s="38" t="n">
        <f aca="false">Val!$M$182*Val!$M$183</f>
        <v>3.43572341371599</v>
      </c>
    </row>
    <row r="185" customFormat="false" ht="15" hidden="false" customHeight="false" outlineLevel="0" collapsed="false">
      <c r="A185" s="5" t="s">
        <v>860</v>
      </c>
      <c r="B185" s="0" t="s">
        <v>73</v>
      </c>
      <c r="C185" s="38" t="n">
        <f aca="false">SUM(Val!$H$184:$M$184)</f>
        <v>-65.5967864974029</v>
      </c>
    </row>
    <row r="186" customFormat="false" ht="17.15" hidden="false" customHeight="false" outlineLevel="0" collapsed="false">
      <c r="A186" s="5" t="s">
        <v>861</v>
      </c>
      <c r="B186" s="0" t="s">
        <v>73</v>
      </c>
      <c r="C186" s="38" t="n">
        <f aca="false">Val!$M$177*(1+tg)*(1-tg/ronic)/(wacc-tg)</f>
        <v>1358.99912451402</v>
      </c>
    </row>
    <row r="187" customFormat="false" ht="15" hidden="false" customHeight="false" outlineLevel="0" collapsed="false">
      <c r="A187" s="5" t="s">
        <v>862</v>
      </c>
      <c r="B187" s="0" t="s">
        <v>73</v>
      </c>
      <c r="C187" s="38" t="n">
        <f aca="false">Val!$C$186/(1+wacc)^6</f>
        <v>670.77310805959</v>
      </c>
    </row>
    <row r="188" customFormat="false" ht="17.15" hidden="false" customHeight="false" outlineLevel="0" collapsed="false">
      <c r="A188" s="5" t="s">
        <v>863</v>
      </c>
      <c r="B188" s="0" t="s">
        <v>73</v>
      </c>
      <c r="C188" s="38" t="n">
        <f aca="false">Val!$C$185+Val!$C$187</f>
        <v>605.176321562187</v>
      </c>
    </row>
    <row r="189" customFormat="false" ht="17.15" hidden="false" customHeight="false" outlineLevel="0" collapsed="false">
      <c r="A189" s="5" t="s">
        <v>864</v>
      </c>
      <c r="B189" s="0" t="s">
        <v>52</v>
      </c>
      <c r="C189" s="12" t="n">
        <f aca="false">Val!$C$187/Val!$C$188</f>
        <v>1.10839285041436</v>
      </c>
    </row>
    <row r="190" customFormat="false" ht="17.15" hidden="false" customHeight="false" outlineLevel="0" collapsed="false">
      <c r="A190" s="5" t="s">
        <v>865</v>
      </c>
      <c r="B190" s="0" t="s">
        <v>73</v>
      </c>
      <c r="C190" s="38" t="n">
        <f aca="false">CF!$G$97</f>
        <v>67.7559845756801</v>
      </c>
    </row>
    <row r="191" customFormat="false" ht="17.15" hidden="false" customHeight="false" outlineLevel="0" collapsed="false">
      <c r="A191" s="5" t="s">
        <v>866</v>
      </c>
      <c r="B191" s="0" t="s">
        <v>73</v>
      </c>
      <c r="C191" s="38" t="n">
        <f aca="false">(ant_val*ant_sh+oai_val*oai_sh)*(1-liq_disc)</f>
        <v>178.944</v>
      </c>
    </row>
    <row r="192" customFormat="false" ht="15" hidden="false" customHeight="false" outlineLevel="0" collapsed="false">
      <c r="A192" s="5" t="s">
        <v>867</v>
      </c>
      <c r="B192" s="0" t="s">
        <v>73</v>
      </c>
      <c r="C192" s="38" t="n">
        <f aca="false">Val!$C$188-Val!$C$190+Val!$C$191</f>
        <v>716.364336986507</v>
      </c>
    </row>
    <row r="193" customFormat="false" ht="17.15" hidden="false" customHeight="false" outlineLevel="0" collapsed="false">
      <c r="A193" s="5" t="s">
        <v>868</v>
      </c>
      <c r="B193" s="0" t="s">
        <v>27</v>
      </c>
      <c r="C193" s="30" t="n">
        <f aca="false">Val!$C$192/sh_val</f>
        <v>64.9450538748495</v>
      </c>
    </row>
    <row r="194" customFormat="false" ht="17.15" hidden="false" customHeight="false" outlineLevel="0" collapsed="false">
      <c r="A194" s="1" t="s">
        <v>869</v>
      </c>
      <c r="B194" s="8" t="s">
        <v>27</v>
      </c>
      <c r="C194" s="30" t="n">
        <f aca="false">Val!$C$193*(1+ke)^tp_yf</f>
        <v>71.728234858627</v>
      </c>
    </row>
    <row r="195" customFormat="false" ht="17.15" hidden="false" customHeight="false" outlineLevel="0" collapsed="false">
      <c r="A195" s="3" t="s">
        <v>870</v>
      </c>
    </row>
    <row r="196" customFormat="false" ht="17.15" hidden="false" customHeight="false" outlineLevel="0" collapsed="false">
      <c r="A196" s="5" t="s">
        <v>871</v>
      </c>
      <c r="B196" s="0" t="s">
        <v>73</v>
      </c>
      <c r="C196" s="38" t="n">
        <f aca="false">0.25*PL!$H$192+0.75*PL!$I$192</f>
        <v>57.5541093268329</v>
      </c>
    </row>
    <row r="197" customFormat="false" ht="15" hidden="false" customHeight="false" outlineLevel="0" collapsed="false">
      <c r="A197" s="5" t="s">
        <v>872</v>
      </c>
      <c r="B197" s="0" t="s">
        <v>57</v>
      </c>
      <c r="C197" s="30" t="n">
        <f aca="false">m_ads*m_x</f>
        <v>9.11</v>
      </c>
    </row>
    <row r="198" customFormat="false" ht="17.15" hidden="false" customHeight="false" outlineLevel="0" collapsed="false">
      <c r="A198" s="5" t="s">
        <v>873</v>
      </c>
      <c r="B198" s="0" t="s">
        <v>73</v>
      </c>
      <c r="C198" s="38" t="n">
        <f aca="false">Val!$C$196*Val!$C$197</f>
        <v>524.317935967448</v>
      </c>
    </row>
    <row r="199" customFormat="false" ht="17.15" hidden="false" customHeight="false" outlineLevel="0" collapsed="false">
      <c r="A199" s="5" t="s">
        <v>874</v>
      </c>
      <c r="B199" s="0" t="s">
        <v>73</v>
      </c>
      <c r="C199" s="38" t="n">
        <f aca="false">0.25*PL!$H$193+0.75*PL!$I$193</f>
        <v>30.6290803533085</v>
      </c>
    </row>
    <row r="200" customFormat="false" ht="15" hidden="false" customHeight="false" outlineLevel="0" collapsed="false">
      <c r="A200" s="5" t="s">
        <v>875</v>
      </c>
      <c r="B200" s="0" t="s">
        <v>57</v>
      </c>
      <c r="C200" s="30" t="n">
        <f aca="false">m_retail*m_x</f>
        <v>17.72</v>
      </c>
    </row>
    <row r="201" customFormat="false" ht="17.15" hidden="false" customHeight="false" outlineLevel="0" collapsed="false">
      <c r="A201" s="5" t="s">
        <v>876</v>
      </c>
      <c r="B201" s="0" t="s">
        <v>73</v>
      </c>
      <c r="C201" s="38" t="n">
        <f aca="false">Val!$C$199*Val!$C$200</f>
        <v>542.747303860627</v>
      </c>
    </row>
    <row r="202" customFormat="false" ht="17.15" hidden="false" customHeight="false" outlineLevel="0" collapsed="false">
      <c r="A202" s="0" t="s">
        <v>877</v>
      </c>
      <c r="B202" s="0" t="s">
        <v>73</v>
      </c>
      <c r="C202" s="38" t="n">
        <f aca="false">0.25*PL!$H$194+0.75*PL!$I$194</f>
        <v>107.575398943098</v>
      </c>
    </row>
    <row r="203" customFormat="false" ht="17.15" hidden="false" customHeight="false" outlineLevel="0" collapsed="false">
      <c r="A203" s="0" t="s">
        <v>878</v>
      </c>
      <c r="B203" s="0" t="s">
        <v>57</v>
      </c>
      <c r="C203" s="30" t="n">
        <f aca="false">m_cloud*m_x</f>
        <v>13.82</v>
      </c>
    </row>
    <row r="204" customFormat="false" ht="17.15" hidden="false" customHeight="false" outlineLevel="0" collapsed="false">
      <c r="A204" s="0" t="s">
        <v>879</v>
      </c>
      <c r="B204" s="0" t="s">
        <v>73</v>
      </c>
      <c r="C204" s="38" t="n">
        <f aca="false">Val!$C$202*Val!$C$203</f>
        <v>1486.69201339361</v>
      </c>
    </row>
    <row r="205" customFormat="false" ht="17.15" hidden="false" customHeight="false" outlineLevel="0" collapsed="false">
      <c r="A205" s="0" t="s">
        <v>880</v>
      </c>
      <c r="B205" s="0" t="s">
        <v>73</v>
      </c>
      <c r="C205" s="38" t="n">
        <f aca="false">0.25*PL!$H$195+0.75*PL!$I$195</f>
        <v>60.3309053259604</v>
      </c>
    </row>
    <row r="206" customFormat="false" ht="17.15" hidden="false" customHeight="false" outlineLevel="0" collapsed="false">
      <c r="A206" s="0" t="s">
        <v>881</v>
      </c>
      <c r="B206" s="0" t="s">
        <v>57</v>
      </c>
      <c r="C206" s="30" t="n">
        <f aca="false">m_ai</f>
        <v>6</v>
      </c>
    </row>
    <row r="207" customFormat="false" ht="17.15" hidden="false" customHeight="false" outlineLevel="0" collapsed="false">
      <c r="A207" s="0" t="s">
        <v>882</v>
      </c>
      <c r="B207" s="0" t="s">
        <v>73</v>
      </c>
      <c r="C207" s="38" t="n">
        <f aca="false">Val!$C$205*Val!$C$206</f>
        <v>361.985431955762</v>
      </c>
    </row>
    <row r="208" customFormat="false" ht="17.15" hidden="false" customHeight="false" outlineLevel="0" collapsed="false">
      <c r="A208" s="5" t="s">
        <v>883</v>
      </c>
      <c r="B208" s="0" t="s">
        <v>73</v>
      </c>
      <c r="C208" s="38" t="n">
        <f aca="false">Val!$C$198+Val!$C$201+Val!$C$204+Val!$C$207</f>
        <v>2915.74268517745</v>
      </c>
    </row>
    <row r="209" customFormat="false" ht="17.15" hidden="false" customHeight="false" outlineLevel="0" collapsed="false">
      <c r="A209" s="5" t="s">
        <v>884</v>
      </c>
      <c r="B209" s="0" t="s">
        <v>73</v>
      </c>
      <c r="C209" s="38" t="n">
        <f aca="false">CF!$H$97</f>
        <v>120.301257926626</v>
      </c>
    </row>
    <row r="210" customFormat="false" ht="15" hidden="false" customHeight="false" outlineLevel="0" collapsed="false">
      <c r="A210" s="5" t="s">
        <v>885</v>
      </c>
      <c r="B210" s="0" t="s">
        <v>73</v>
      </c>
      <c r="C210" s="38" t="n">
        <f aca="false">Val!$C$208-Val!$C$209+Val!$C$191</f>
        <v>2974.38542725082</v>
      </c>
    </row>
    <row r="211" customFormat="false" ht="15" hidden="false" customHeight="false" outlineLevel="0" collapsed="false">
      <c r="A211" s="3" t="s">
        <v>886</v>
      </c>
      <c r="B211" s="8" t="s">
        <v>27</v>
      </c>
      <c r="C211" s="30" t="n">
        <f aca="false">Val!$C$210/sh_val</f>
        <v>269.655553527381</v>
      </c>
    </row>
    <row r="212" customFormat="false" ht="17.15" hidden="false" customHeight="false" outlineLevel="0" collapsed="false">
      <c r="A212" s="46" t="s">
        <v>887</v>
      </c>
      <c r="B212" s="13" t="s">
        <v>27</v>
      </c>
      <c r="C212" s="43" t="n">
        <f aca="false">w_dcf*Val!$C$194+(1-w_dcf)*Val!$C$211</f>
        <v>170.691894193004</v>
      </c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</row>
    <row r="213" customFormat="false" ht="17.15" hidden="false" customHeight="false" outlineLevel="0" collapsed="false">
      <c r="A213" s="5" t="s">
        <v>888</v>
      </c>
      <c r="B213" s="0" t="s">
        <v>27</v>
      </c>
      <c r="C213" s="30" t="n">
        <f aca="false">0.45*Val!$C$194+0.55*Val!$C$211</f>
        <v>180.588260126442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3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891</v>
      </c>
    </row>
    <row r="3" customFormat="false" ht="17.15" hidden="false" customHeight="false" outlineLevel="0" collapsed="false">
      <c r="A3" s="6" t="s">
        <v>16</v>
      </c>
      <c r="B3" s="6" t="s">
        <v>892</v>
      </c>
      <c r="C3" s="6" t="s">
        <v>893</v>
      </c>
      <c r="D3" s="6" t="s">
        <v>894</v>
      </c>
      <c r="E3" s="6" t="s">
        <v>895</v>
      </c>
      <c r="F3" s="6" t="s">
        <v>896</v>
      </c>
      <c r="G3" s="6" t="s">
        <v>22</v>
      </c>
      <c r="H3" s="6" t="s">
        <v>23</v>
      </c>
    </row>
    <row r="4" customFormat="false" ht="17.15" hidden="false" customHeight="false" outlineLevel="0" collapsed="false">
      <c r="A4" s="1" t="s">
        <v>897</v>
      </c>
    </row>
    <row r="5" customFormat="false" ht="17.15" hidden="false" customHeight="false" outlineLevel="0" collapsed="false">
      <c r="A5" s="0" t="s">
        <v>898</v>
      </c>
      <c r="B5" s="45" t="n">
        <f aca="false">c_rev26</f>
        <v>828.285</v>
      </c>
      <c r="C5" s="45" t="n">
        <f aca="false">PL!$G$27</f>
        <v>835.427072248307</v>
      </c>
      <c r="D5" s="45" t="n">
        <f aca="false">PL!$G$93</f>
        <v>832.619873271816</v>
      </c>
      <c r="E5" s="45" t="n">
        <f aca="false">PL!$G$159</f>
        <v>831.793856935429</v>
      </c>
      <c r="F5" s="12" t="n">
        <f aca="false">D5/B5-1</f>
        <v>0.00523355278897419</v>
      </c>
      <c r="G5" s="8" t="s">
        <v>899</v>
      </c>
      <c r="H5" s="8" t="s">
        <v>900</v>
      </c>
    </row>
    <row r="6" customFormat="false" ht="17.15" hidden="false" customHeight="false" outlineLevel="0" collapsed="false">
      <c r="A6" s="0" t="s">
        <v>901</v>
      </c>
      <c r="B6" s="45" t="n">
        <f aca="false">c_sprev26</f>
        <v>828.74</v>
      </c>
      <c r="C6" s="45" t="n">
        <f aca="false">PL!$G$27</f>
        <v>835.427072248307</v>
      </c>
      <c r="D6" s="45" t="n">
        <f aca="false">PL!$G$93</f>
        <v>832.619873271816</v>
      </c>
      <c r="E6" s="45" t="n">
        <f aca="false">PL!$G$159</f>
        <v>831.793856935429</v>
      </c>
      <c r="F6" s="12" t="n">
        <f aca="false">D6/B6-1</f>
        <v>0.00468165319860936</v>
      </c>
      <c r="G6" s="8" t="s">
        <v>902</v>
      </c>
    </row>
    <row r="7" customFormat="false" ht="17.15" hidden="false" customHeight="false" outlineLevel="0" collapsed="false">
      <c r="A7" s="0" t="s">
        <v>903</v>
      </c>
      <c r="B7" s="45" t="n">
        <f aca="false">c_ebitda26</f>
        <v>216.957</v>
      </c>
      <c r="C7" s="45" t="n">
        <f aca="false">PL!$G$64</f>
        <v>171.281678085075</v>
      </c>
      <c r="D7" s="45" t="n">
        <f aca="false">PL!$G$130</f>
        <v>168.508962957967</v>
      </c>
      <c r="E7" s="45" t="n">
        <f aca="false">PL!$G$196</f>
        <v>167.68294662158</v>
      </c>
      <c r="F7" s="12" t="n">
        <f aca="false">D7/B7-1</f>
        <v>-0.223307093304355</v>
      </c>
      <c r="G7" s="8" t="s">
        <v>899</v>
      </c>
      <c r="H7" s="5" t="s">
        <v>904</v>
      </c>
    </row>
    <row r="8" customFormat="false" ht="17.15" hidden="false" customHeight="false" outlineLevel="0" collapsed="false">
      <c r="A8" s="0" t="s">
        <v>905</v>
      </c>
      <c r="B8" s="45" t="n">
        <f aca="false">c_ebit26</f>
        <v>109.867</v>
      </c>
      <c r="C8" s="45" t="n">
        <f aca="false">PL!$G$47</f>
        <v>113.968292359954</v>
      </c>
      <c r="D8" s="45" t="n">
        <f aca="false">PL!$G$113</f>
        <v>111.195577232846</v>
      </c>
      <c r="E8" s="45" t="n">
        <f aca="false">PL!$G$179</f>
        <v>110.36956089646</v>
      </c>
      <c r="F8" s="12" t="n">
        <f aca="false">D8/B8-1</f>
        <v>0.0120925958918165</v>
      </c>
      <c r="G8" s="8" t="s">
        <v>899</v>
      </c>
    </row>
    <row r="9" customFormat="false" ht="17.15" hidden="false" customHeight="false" outlineLevel="0" collapsed="false">
      <c r="A9" s="0" t="s">
        <v>906</v>
      </c>
      <c r="B9" s="45" t="n">
        <f aca="false">c_ni26</f>
        <v>140.133</v>
      </c>
      <c r="C9" s="45" t="n">
        <f aca="false">PL!$G$71</f>
        <v>144.136786498992</v>
      </c>
      <c r="D9" s="45" t="n">
        <f aca="false">PL!$G$137</f>
        <v>141.845371814679</v>
      </c>
      <c r="E9" s="45" t="n">
        <f aca="false">PL!$G$203</f>
        <v>141.162739133025</v>
      </c>
      <c r="F9" s="12" t="n">
        <f aca="false">D9/B9-1</f>
        <v>0.0122196186100241</v>
      </c>
      <c r="G9" s="8" t="s">
        <v>899</v>
      </c>
      <c r="H9" s="8" t="s">
        <v>907</v>
      </c>
    </row>
    <row r="10" customFormat="false" ht="17.15" hidden="false" customHeight="false" outlineLevel="0" collapsed="false">
      <c r="A10" s="0" t="s">
        <v>908</v>
      </c>
      <c r="B10" s="30" t="n">
        <f aca="false">c_eps26</f>
        <v>12.88</v>
      </c>
      <c r="C10" s="30" t="n">
        <f aca="false">PL!$G$73</f>
        <v>13.1935328187056</v>
      </c>
      <c r="D10" s="30" t="n">
        <f aca="false">PL!$G$139</f>
        <v>12.9837886196495</v>
      </c>
      <c r="E10" s="30" t="n">
        <f aca="false">PL!$G$205</f>
        <v>12.9213039694274</v>
      </c>
      <c r="F10" s="12" t="n">
        <f aca="false">D10/B10-1</f>
        <v>0.00805812264359429</v>
      </c>
      <c r="G10" s="8" t="s">
        <v>899</v>
      </c>
    </row>
    <row r="11" customFormat="false" ht="17.15" hidden="false" customHeight="false" outlineLevel="0" collapsed="false">
      <c r="A11" s="0" t="s">
        <v>909</v>
      </c>
      <c r="B11" s="30" t="n">
        <f aca="false">c_speps26</f>
        <v>7.92</v>
      </c>
      <c r="C11" s="30" t="n">
        <f aca="false">PL!$G$74</f>
        <v>7.78546470080866</v>
      </c>
      <c r="D11" s="30" t="n">
        <f aca="false">PL!$G$140</f>
        <v>7.57572050175252</v>
      </c>
      <c r="E11" s="30" t="n">
        <f aca="false">PL!$G$206</f>
        <v>7.51323585153046</v>
      </c>
      <c r="F11" s="12" t="n">
        <f aca="false">D11/B11-1</f>
        <v>-0.0434696336171067</v>
      </c>
      <c r="G11" s="8" t="s">
        <v>910</v>
      </c>
      <c r="H11" s="5" t="s">
        <v>911</v>
      </c>
    </row>
    <row r="12" customFormat="false" ht="17.15" hidden="false" customHeight="false" outlineLevel="0" collapsed="false">
      <c r="A12" s="0" t="s">
        <v>912</v>
      </c>
      <c r="B12" s="45" t="n">
        <f aca="false">c_capex26</f>
        <v>220.5</v>
      </c>
      <c r="C12" s="45" t="n">
        <f aca="false">CF!$G$24</f>
        <v>231.976604751653</v>
      </c>
      <c r="D12" s="45" t="n">
        <f aca="false">CF!$G$54</f>
        <v>229.362706496153</v>
      </c>
      <c r="E12" s="45" t="n">
        <f aca="false">CF!$G$84</f>
        <v>229.362706496153</v>
      </c>
      <c r="F12" s="12" t="n">
        <f aca="false">D12/B12-1</f>
        <v>0.0401936802546603</v>
      </c>
      <c r="G12" s="8" t="s">
        <v>899</v>
      </c>
    </row>
    <row r="13" customFormat="false" ht="17.15" hidden="false" customHeight="false" outlineLevel="0" collapsed="false">
      <c r="A13" s="0" t="s">
        <v>913</v>
      </c>
      <c r="B13" s="45" t="n">
        <f aca="false">c_fcf26</f>
        <v>-34.027</v>
      </c>
      <c r="C13" s="45" t="n">
        <f aca="false">CF!$G$26</f>
        <v>-61.6458278631946</v>
      </c>
      <c r="D13" s="45" t="n">
        <f aca="false">CF!$G$56</f>
        <v>-61.4268850873731</v>
      </c>
      <c r="E13" s="45" t="n">
        <f aca="false">CF!$G$86</f>
        <v>-62.1399845756801</v>
      </c>
      <c r="G13" s="8" t="s">
        <v>899</v>
      </c>
      <c r="H13" s="5" t="s">
        <v>914</v>
      </c>
    </row>
    <row r="14" customFormat="false" ht="17.15" hidden="false" customHeight="false" outlineLevel="0" collapsed="false">
      <c r="A14" s="0" t="s">
        <v>915</v>
      </c>
      <c r="B14" s="45" t="n">
        <f aca="false">c_rev27</f>
        <v>947.853</v>
      </c>
      <c r="C14" s="45" t="n">
        <f aca="false">PL!$H$27</f>
        <v>993.913172396466</v>
      </c>
      <c r="D14" s="45" t="n">
        <f aca="false">PL!$H$93</f>
        <v>970.995189139617</v>
      </c>
      <c r="E14" s="45" t="n">
        <f aca="false">PL!$H$159</f>
        <v>964.251588587706</v>
      </c>
      <c r="F14" s="12" t="n">
        <f aca="false">D14/B14-1</f>
        <v>0.0244153778482705</v>
      </c>
      <c r="G14" s="8" t="s">
        <v>899</v>
      </c>
      <c r="H14" s="8" t="s">
        <v>900</v>
      </c>
    </row>
    <row r="15" customFormat="false" ht="17.15" hidden="false" customHeight="false" outlineLevel="0" collapsed="false">
      <c r="A15" s="0" t="s">
        <v>916</v>
      </c>
      <c r="B15" s="45" t="n">
        <f aca="false">c_sprev27</f>
        <v>949.92</v>
      </c>
      <c r="C15" s="45" t="n">
        <f aca="false">PL!$H$27</f>
        <v>993.913172396466</v>
      </c>
      <c r="D15" s="45" t="n">
        <f aca="false">PL!$H$93</f>
        <v>970.995189139617</v>
      </c>
      <c r="E15" s="45" t="n">
        <f aca="false">PL!$H$159</f>
        <v>964.251588587706</v>
      </c>
      <c r="F15" s="12" t="n">
        <f aca="false">D15/B15-1</f>
        <v>0.0221862779387914</v>
      </c>
      <c r="G15" s="8" t="s">
        <v>902</v>
      </c>
    </row>
    <row r="16" customFormat="false" ht="17.15" hidden="false" customHeight="false" outlineLevel="0" collapsed="false">
      <c r="A16" s="0" t="s">
        <v>917</v>
      </c>
      <c r="B16" s="45" t="n">
        <f aca="false">c_ebitda27</f>
        <v>273.452</v>
      </c>
      <c r="C16" s="45" t="n">
        <f aca="false">PL!$H$64</f>
        <v>245.963055749808</v>
      </c>
      <c r="D16" s="45" t="n">
        <f aca="false">PL!$H$130</f>
        <v>223.323222861897</v>
      </c>
      <c r="E16" s="45" t="n">
        <f aca="false">PL!$H$196</f>
        <v>216.579622309986</v>
      </c>
      <c r="F16" s="12" t="n">
        <f aca="false">D16/B16-1</f>
        <v>-0.18331837813621</v>
      </c>
      <c r="G16" s="8" t="s">
        <v>899</v>
      </c>
      <c r="H16" s="5" t="s">
        <v>904</v>
      </c>
    </row>
    <row r="17" customFormat="false" ht="17.15" hidden="false" customHeight="false" outlineLevel="0" collapsed="false">
      <c r="A17" s="0" t="s">
        <v>918</v>
      </c>
      <c r="B17" s="45" t="n">
        <f aca="false">c_ebit27</f>
        <v>140.372</v>
      </c>
      <c r="C17" s="45" t="n">
        <f aca="false">PL!$H$47</f>
        <v>157.915831746174</v>
      </c>
      <c r="D17" s="45" t="n">
        <f aca="false">PL!$H$113</f>
        <v>135.638701042513</v>
      </c>
      <c r="E17" s="45" t="n">
        <f aca="false">PL!$H$179</f>
        <v>128.895100490602</v>
      </c>
      <c r="F17" s="12" t="n">
        <f aca="false">D17/B17-1</f>
        <v>-0.0337196802602132</v>
      </c>
      <c r="G17" s="8" t="s">
        <v>899</v>
      </c>
    </row>
    <row r="18" customFormat="false" ht="17.15" hidden="false" customHeight="false" outlineLevel="0" collapsed="false">
      <c r="A18" s="0" t="s">
        <v>919</v>
      </c>
      <c r="B18" s="45" t="n">
        <f aca="false">c_ni27</f>
        <v>115.541</v>
      </c>
      <c r="C18" s="45" t="n">
        <f aca="false">PL!$H$71</f>
        <v>127.675227697787</v>
      </c>
      <c r="D18" s="45" t="n">
        <f aca="false">PL!$H$137</f>
        <v>109.272682903121</v>
      </c>
      <c r="E18" s="45" t="n">
        <f aca="false">PL!$H$203</f>
        <v>103.674846271574</v>
      </c>
      <c r="F18" s="12" t="n">
        <f aca="false">D18/B18-1</f>
        <v>-0.0542518854508732</v>
      </c>
      <c r="G18" s="8" t="s">
        <v>899</v>
      </c>
      <c r="H18" s="8" t="s">
        <v>907</v>
      </c>
    </row>
    <row r="19" customFormat="false" ht="17.15" hidden="false" customHeight="false" outlineLevel="0" collapsed="false">
      <c r="A19" s="0" t="s">
        <v>920</v>
      </c>
      <c r="B19" s="30" t="n">
        <f aca="false">c_eps27</f>
        <v>10.51</v>
      </c>
      <c r="C19" s="30" t="n">
        <f aca="false">PL!$H$73</f>
        <v>11.5939754206957</v>
      </c>
      <c r="D19" s="30" t="n">
        <f aca="false">PL!$H$139</f>
        <v>9.92287088558062</v>
      </c>
      <c r="E19" s="30" t="n">
        <f aca="false">PL!$H$205</f>
        <v>9.41454063635764</v>
      </c>
      <c r="F19" s="12" t="n">
        <f aca="false">D19/B19-1</f>
        <v>-0.0558638548448502</v>
      </c>
      <c r="G19" s="8" t="s">
        <v>899</v>
      </c>
    </row>
    <row r="20" customFormat="false" ht="17.15" hidden="false" customHeight="false" outlineLevel="0" collapsed="false">
      <c r="A20" s="0" t="s">
        <v>921</v>
      </c>
      <c r="B20" s="30" t="n">
        <f aca="false">c_speps27</f>
        <v>10.43</v>
      </c>
      <c r="C20" s="30" t="n">
        <f aca="false">PL!$H$74</f>
        <v>11.5939754206957</v>
      </c>
      <c r="D20" s="30" t="n">
        <f aca="false">PL!$H$140</f>
        <v>9.92287088558062</v>
      </c>
      <c r="E20" s="30" t="n">
        <f aca="false">PL!$H$206</f>
        <v>9.41454063635764</v>
      </c>
      <c r="F20" s="12" t="n">
        <f aca="false">D20/B20-1</f>
        <v>-0.048622158621225</v>
      </c>
      <c r="G20" s="8" t="s">
        <v>910</v>
      </c>
      <c r="H20" s="5" t="s">
        <v>911</v>
      </c>
    </row>
    <row r="21" customFormat="false" ht="17.15" hidden="false" customHeight="false" outlineLevel="0" collapsed="false">
      <c r="A21" s="0" t="s">
        <v>922</v>
      </c>
      <c r="B21" s="45" t="n">
        <f aca="false">c_capex27</f>
        <v>275.063</v>
      </c>
      <c r="C21" s="45" t="n">
        <f aca="false">CF!$H$24</f>
        <v>283.262904179105</v>
      </c>
      <c r="D21" s="45" t="n">
        <f aca="false">CF!$H$54</f>
        <v>277.870120501355</v>
      </c>
      <c r="E21" s="45" t="n">
        <f aca="false">CF!$H$84</f>
        <v>277.870120501355</v>
      </c>
      <c r="F21" s="12" t="n">
        <f aca="false">D21/B21-1</f>
        <v>0.0102053729558507</v>
      </c>
      <c r="G21" s="8" t="s">
        <v>899</v>
      </c>
    </row>
    <row r="22" customFormat="false" ht="17.15" hidden="false" customHeight="false" outlineLevel="0" collapsed="false">
      <c r="A22" s="0" t="s">
        <v>923</v>
      </c>
      <c r="B22" s="45" t="n">
        <f aca="false">c_fcf27</f>
        <v>-5.631</v>
      </c>
      <c r="C22" s="45" t="n">
        <f aca="false">CF!$H$26</f>
        <v>-32.4809348391878</v>
      </c>
      <c r="D22" s="45" t="n">
        <f aca="false">CF!$H$56</f>
        <v>-46.6987055925312</v>
      </c>
      <c r="E22" s="45" t="n">
        <f aca="false">CF!$H$86</f>
        <v>-52.5452733509461</v>
      </c>
      <c r="G22" s="8" t="s">
        <v>899</v>
      </c>
      <c r="H22" s="5" t="s">
        <v>914</v>
      </c>
    </row>
    <row r="23" customFormat="false" ht="17.15" hidden="false" customHeight="false" outlineLevel="0" collapsed="false">
      <c r="A23" s="0" t="s">
        <v>924</v>
      </c>
      <c r="B23" s="45" t="n">
        <f aca="false">c_rev28</f>
        <v>1097.389</v>
      </c>
      <c r="C23" s="45" t="n">
        <f aca="false">PL!$I$27</f>
        <v>1157.02025887488</v>
      </c>
      <c r="D23" s="45" t="n">
        <f aca="false">PL!$I$93</f>
        <v>1110.44766604932</v>
      </c>
      <c r="E23" s="45" t="n">
        <f aca="false">PL!$I$159</f>
        <v>1096.74371316818</v>
      </c>
      <c r="F23" s="12" t="n">
        <f aca="false">D23/B23-1</f>
        <v>0.0118997602940389</v>
      </c>
      <c r="G23" s="8" t="s">
        <v>899</v>
      </c>
      <c r="H23" s="8" t="s">
        <v>900</v>
      </c>
    </row>
    <row r="24" customFormat="false" ht="17.15" hidden="false" customHeight="false" outlineLevel="0" collapsed="false">
      <c r="A24" s="0" t="s">
        <v>925</v>
      </c>
      <c r="B24" s="45" t="n">
        <f aca="false">c_ebitda28</f>
        <v>355.29</v>
      </c>
      <c r="C24" s="45" t="n">
        <f aca="false">PL!$I$64</f>
        <v>328.976048812901</v>
      </c>
      <c r="D24" s="45" t="n">
        <f aca="false">PL!$I$130</f>
        <v>282.963404043402</v>
      </c>
      <c r="E24" s="45" t="n">
        <f aca="false">PL!$I$196</f>
        <v>269.259451162271</v>
      </c>
      <c r="F24" s="12" t="n">
        <f aca="false">D24/B24-1</f>
        <v>-0.203570592914516</v>
      </c>
      <c r="G24" s="8" t="s">
        <v>899</v>
      </c>
      <c r="H24" s="5" t="s">
        <v>904</v>
      </c>
    </row>
    <row r="25" customFormat="false" ht="17.15" hidden="false" customHeight="false" outlineLevel="0" collapsed="false">
      <c r="A25" s="0" t="s">
        <v>926</v>
      </c>
      <c r="B25" s="45" t="n">
        <f aca="false">c_ebit28</f>
        <v>182.749</v>
      </c>
      <c r="C25" s="45" t="n">
        <f aca="false">PL!$I$47</f>
        <v>205.565674690388</v>
      </c>
      <c r="D25" s="45" t="n">
        <f aca="false">PL!$I$113</f>
        <v>160.668634334764</v>
      </c>
      <c r="E25" s="45" t="n">
        <f aca="false">PL!$I$179</f>
        <v>146.964681453633</v>
      </c>
      <c r="F25" s="12" t="n">
        <f aca="false">D25/B25-1</f>
        <v>-0.120823455478477</v>
      </c>
      <c r="G25" s="8" t="s">
        <v>899</v>
      </c>
    </row>
    <row r="26" customFormat="false" ht="17.15" hidden="false" customHeight="false" outlineLevel="0" collapsed="false">
      <c r="A26" s="0" t="s">
        <v>927</v>
      </c>
      <c r="B26" s="45" t="n">
        <f aca="false">c_ni28</f>
        <v>147.701</v>
      </c>
      <c r="C26" s="45" t="n">
        <f aca="false">PL!$I$71</f>
        <v>165.923234260384</v>
      </c>
      <c r="D26" s="45" t="n">
        <f aca="false">PL!$I$137</f>
        <v>128.306171362308</v>
      </c>
      <c r="E26" s="45" t="n">
        <f aca="false">PL!$I$203</f>
        <v>116.637862689418</v>
      </c>
      <c r="F26" s="12" t="n">
        <f aca="false">D26/B26-1</f>
        <v>-0.131311424009937</v>
      </c>
      <c r="G26" s="8" t="s">
        <v>899</v>
      </c>
      <c r="H26" s="8" t="s">
        <v>907</v>
      </c>
    </row>
    <row r="27" customFormat="false" ht="17.15" hidden="false" customHeight="false" outlineLevel="0" collapsed="false">
      <c r="A27" s="0" t="s">
        <v>928</v>
      </c>
      <c r="B27" s="30" t="n">
        <f aca="false">c_eps28</f>
        <v>13.81</v>
      </c>
      <c r="C27" s="30" t="n">
        <f aca="false">PL!$I$73</f>
        <v>14.9476323266701</v>
      </c>
      <c r="D27" s="30" t="n">
        <f aca="false">PL!$I$139</f>
        <v>11.5587999674403</v>
      </c>
      <c r="E27" s="30" t="n">
        <f aca="false">PL!$I$205</f>
        <v>10.5076295952262</v>
      </c>
      <c r="F27" s="12" t="n">
        <f aca="false">D27/B27-1</f>
        <v>-0.163012312278038</v>
      </c>
      <c r="G27" s="8" t="s">
        <v>899</v>
      </c>
    </row>
    <row r="28" customFormat="false" ht="17.15" hidden="false" customHeight="false" outlineLevel="0" collapsed="false">
      <c r="A28" s="0" t="s">
        <v>929</v>
      </c>
      <c r="B28" s="45" t="n">
        <f aca="false">c_capex28</f>
        <v>292.927</v>
      </c>
      <c r="C28" s="45" t="n">
        <f aca="false">CF!$I$24</f>
        <v>299.492235429878</v>
      </c>
      <c r="D28" s="45" t="n">
        <f aca="false">CF!$I$54</f>
        <v>293.934464585378</v>
      </c>
      <c r="E28" s="45" t="n">
        <f aca="false">CF!$I$84</f>
        <v>293.934464585378</v>
      </c>
      <c r="F28" s="12" t="n">
        <f aca="false">D28/B28-1</f>
        <v>0.00343930257497038</v>
      </c>
      <c r="G28" s="8" t="s">
        <v>899</v>
      </c>
    </row>
    <row r="29" customFormat="false" ht="17.15" hidden="false" customHeight="false" outlineLevel="0" collapsed="false">
      <c r="A29" s="0" t="s">
        <v>930</v>
      </c>
      <c r="B29" s="45" t="n">
        <f aca="false">c_fcf28</f>
        <v>41.402</v>
      </c>
      <c r="C29" s="45" t="n">
        <f aca="false">CF!$I$26</f>
        <v>30.9169363385503</v>
      </c>
      <c r="D29" s="45" t="n">
        <f aca="false">CF!$I$56</f>
        <v>-3.97574477606648</v>
      </c>
      <c r="E29" s="45" t="n">
        <f aca="false">CF!$I$86</f>
        <v>-16.1495103805229</v>
      </c>
      <c r="G29" s="8" t="s">
        <v>899</v>
      </c>
      <c r="H29" s="5" t="s">
        <v>914</v>
      </c>
    </row>
    <row r="30" customFormat="false" ht="17.15" hidden="false" customHeight="false" outlineLevel="0" collapsed="false">
      <c r="A30" s="1" t="s">
        <v>931</v>
      </c>
    </row>
    <row r="31" customFormat="false" ht="15" hidden="false" customHeight="false" outlineLevel="0" collapsed="false">
      <c r="A31" s="0" t="s">
        <v>932</v>
      </c>
      <c r="B31" s="52" t="s">
        <v>933</v>
      </c>
      <c r="C31" s="45" t="n">
        <f aca="false">PL!$G$22</f>
        <v>476.624015003807</v>
      </c>
      <c r="D31" s="45" t="n">
        <f aca="false">PL!$G$88</f>
        <v>476.624015003807</v>
      </c>
      <c r="E31" s="45" t="n">
        <f aca="false">PL!$G$154</f>
        <v>476.624015003807</v>
      </c>
      <c r="G31" s="5" t="s">
        <v>934</v>
      </c>
    </row>
    <row r="32" customFormat="false" ht="15" hidden="false" customHeight="false" outlineLevel="0" collapsed="false">
      <c r="A32" s="0" t="s">
        <v>935</v>
      </c>
      <c r="B32" s="52" t="s">
        <v>933</v>
      </c>
      <c r="C32" s="45" t="n">
        <f aca="false">PL!$H$22</f>
        <v>527.734391091543</v>
      </c>
      <c r="D32" s="45" t="n">
        <f aca="false">PL!$H$88</f>
        <v>527.734391091543</v>
      </c>
      <c r="E32" s="45" t="n">
        <f aca="false">PL!$H$154</f>
        <v>527.734391091543</v>
      </c>
      <c r="G32" s="5" t="s">
        <v>934</v>
      </c>
    </row>
    <row r="33" customFormat="false" ht="15" hidden="false" customHeight="false" outlineLevel="0" collapsed="false">
      <c r="A33" s="0" t="s">
        <v>936</v>
      </c>
      <c r="B33" s="52" t="s">
        <v>933</v>
      </c>
      <c r="C33" s="45" t="n">
        <f aca="false">PL!$G$23</f>
        <v>182.618414204623</v>
      </c>
      <c r="D33" s="45" t="n">
        <f aca="false">PL!$G$89</f>
        <v>182.618414204623</v>
      </c>
      <c r="E33" s="45" t="n">
        <f aca="false">PL!$G$155</f>
        <v>182.618414204623</v>
      </c>
      <c r="G33" s="5" t="s">
        <v>934</v>
      </c>
    </row>
    <row r="34" customFormat="false" ht="15" hidden="false" customHeight="false" outlineLevel="0" collapsed="false">
      <c r="A34" s="0" t="s">
        <v>937</v>
      </c>
      <c r="B34" s="52" t="s">
        <v>933</v>
      </c>
      <c r="C34" s="45" t="n">
        <f aca="false">PL!$H$23</f>
        <v>202.201346530158</v>
      </c>
      <c r="D34" s="45" t="n">
        <f aca="false">PL!$H$89</f>
        <v>202.201346530158</v>
      </c>
      <c r="E34" s="45" t="n">
        <f aca="false">PL!$H$155</f>
        <v>202.201346530158</v>
      </c>
      <c r="G34" s="5" t="s">
        <v>934</v>
      </c>
    </row>
    <row r="35" customFormat="false" ht="15" hidden="false" customHeight="false" outlineLevel="0" collapsed="false">
      <c r="A35" s="0" t="s">
        <v>938</v>
      </c>
      <c r="B35" s="52" t="s">
        <v>933</v>
      </c>
      <c r="C35" s="45" t="n">
        <f aca="false">PL!$G$24</f>
        <v>176.184643039877</v>
      </c>
      <c r="D35" s="45" t="n">
        <f aca="false">PL!$G$90</f>
        <v>173.377444063386</v>
      </c>
      <c r="E35" s="45" t="n">
        <f aca="false">PL!$G$156</f>
        <v>172.551427726999</v>
      </c>
      <c r="G35" s="5" t="s">
        <v>934</v>
      </c>
    </row>
    <row r="36" customFormat="false" ht="15" hidden="false" customHeight="false" outlineLevel="0" collapsed="false">
      <c r="A36" s="0" t="s">
        <v>939</v>
      </c>
      <c r="B36" s="52" t="s">
        <v>933</v>
      </c>
      <c r="C36" s="45" t="n">
        <f aca="false">PL!$H$24</f>
        <v>263.977434774765</v>
      </c>
      <c r="D36" s="45" t="n">
        <f aca="false">PL!$H$90</f>
        <v>241.059451517916</v>
      </c>
      <c r="E36" s="45" t="n">
        <f aca="false">PL!$H$156</f>
        <v>234.315850966005</v>
      </c>
      <c r="G36" s="5" t="s">
        <v>934</v>
      </c>
    </row>
    <row r="37" customFormat="false" ht="15" hidden="false" customHeight="false" outlineLevel="0" collapsed="false">
      <c r="A37" s="0" t="s">
        <v>940</v>
      </c>
      <c r="B37" s="52" t="s">
        <v>933</v>
      </c>
      <c r="C37" s="45" t="n">
        <f aca="false">PL!$G$18</f>
        <v>85.2053381827382</v>
      </c>
      <c r="D37" s="45" t="n">
        <f aca="false">PL!$G$84</f>
        <v>85.2053381827382</v>
      </c>
      <c r="E37" s="45" t="n">
        <f aca="false">PL!$G$150</f>
        <v>85.2053381827382</v>
      </c>
      <c r="G37" s="5" t="s">
        <v>934</v>
      </c>
    </row>
    <row r="38" customFormat="false" ht="15" hidden="false" customHeight="false" outlineLevel="0" collapsed="false">
      <c r="A38" s="0" t="s">
        <v>941</v>
      </c>
      <c r="B38" s="52" t="s">
        <v>933</v>
      </c>
      <c r="C38" s="45" t="n">
        <f aca="false">PL!$H$18</f>
        <v>102.29336185894</v>
      </c>
      <c r="D38" s="45" t="n">
        <f aca="false">PL!$H$84</f>
        <v>102.29336185894</v>
      </c>
      <c r="E38" s="45" t="n">
        <f aca="false">PL!$H$150</f>
        <v>102.29336185894</v>
      </c>
      <c r="G38" s="5" t="s">
        <v>934</v>
      </c>
    </row>
    <row r="39" customFormat="false" ht="17.15" hidden="false" customHeight="false" outlineLevel="0" collapsed="false">
      <c r="A39" s="0" t="s">
        <v>942</v>
      </c>
      <c r="B39" s="52" t="s">
        <v>933</v>
      </c>
      <c r="C39" s="45" t="n">
        <f aca="false">PL!$G$25</f>
        <v>26.2809855967821</v>
      </c>
      <c r="D39" s="45" t="n">
        <f aca="false">PL!$G$91</f>
        <v>23.4737866202905</v>
      </c>
      <c r="E39" s="45" t="n">
        <f aca="false">PL!$G$157</f>
        <v>22.6477702839038</v>
      </c>
      <c r="G39" s="5" t="s">
        <v>934</v>
      </c>
      <c r="H39" s="5" t="s">
        <v>943</v>
      </c>
    </row>
    <row r="40" customFormat="false" ht="17.15" hidden="false" customHeight="false" outlineLevel="0" collapsed="false">
      <c r="A40" s="0" t="s">
        <v>944</v>
      </c>
      <c r="B40" s="52" t="s">
        <v>933</v>
      </c>
      <c r="C40" s="45" t="n">
        <f aca="false">PL!$H$25</f>
        <v>83.0838740066237</v>
      </c>
      <c r="D40" s="45" t="n">
        <f aca="false">PL!$H$91</f>
        <v>60.1658907497746</v>
      </c>
      <c r="E40" s="45" t="n">
        <f aca="false">PL!$H$157</f>
        <v>53.4222901978634</v>
      </c>
      <c r="G40" s="5" t="s">
        <v>934</v>
      </c>
      <c r="H40" s="5" t="s">
        <v>943</v>
      </c>
    </row>
    <row r="41" customFormat="false" ht="17.15" hidden="false" customHeight="false" outlineLevel="0" collapsed="false">
      <c r="A41" s="1" t="s">
        <v>945</v>
      </c>
    </row>
    <row r="42" customFormat="false" ht="17.15" hidden="false" customHeight="false" outlineLevel="0" collapsed="false">
      <c r="A42" s="0" t="s">
        <v>946</v>
      </c>
      <c r="B42" s="45" t="n">
        <f aca="false">capex_g26</f>
        <v>220</v>
      </c>
      <c r="C42" s="45" t="n">
        <f aca="false">CF!$G$24</f>
        <v>231.976604751653</v>
      </c>
      <c r="D42" s="45" t="n">
        <f aca="false">CF!$G$54</f>
        <v>229.362706496153</v>
      </c>
      <c r="E42" s="45" t="n">
        <f aca="false">CF!$G$84</f>
        <v>229.362706496153</v>
      </c>
      <c r="F42" s="12" t="n">
        <f aca="false">D42/B42-1</f>
        <v>0.0425577568006936</v>
      </c>
      <c r="G42" s="8" t="s">
        <v>947</v>
      </c>
      <c r="H42" s="8" t="s">
        <v>948</v>
      </c>
    </row>
    <row r="43" customFormat="false" ht="17.15" hidden="false" customHeight="false" outlineLevel="0" collapsed="false">
      <c r="A43" s="0" t="s">
        <v>949</v>
      </c>
      <c r="B43" s="45" t="n">
        <f aca="false">(g26q3_lo+g26q3_hi)/2</f>
        <v>199.5</v>
      </c>
      <c r="C43" s="45" t="n">
        <f aca="false">PL!$F$27/2</f>
        <v>226.651036124154</v>
      </c>
      <c r="D43" s="45" t="n">
        <f aca="false">PL!$F$93/2</f>
        <v>225.247436635908</v>
      </c>
      <c r="E43" s="45" t="n">
        <f aca="false">PL!$F$159/2</f>
        <v>224.834428467714</v>
      </c>
      <c r="F43" s="12" t="n">
        <f aca="false">D43/B43-1</f>
        <v>0.129059832761443</v>
      </c>
      <c r="G43" s="8" t="s">
        <v>950</v>
      </c>
      <c r="H43" s="8" t="s">
        <v>951</v>
      </c>
    </row>
    <row r="44" customFormat="false" ht="17.15" hidden="false" customHeight="false" outlineLevel="0" collapsed="false">
      <c r="A44" s="0" t="s">
        <v>952</v>
      </c>
      <c r="B44" s="45" t="n">
        <f aca="false">(g26q3_oilo+g26q3_oihi)/2</f>
        <v>24.5</v>
      </c>
      <c r="C44" s="45" t="n">
        <f aca="false">PL!$F$47/2</f>
        <v>31.327646179977</v>
      </c>
      <c r="D44" s="45" t="n">
        <f aca="false">PL!$F$113/2</f>
        <v>29.9412886164231</v>
      </c>
      <c r="E44" s="45" t="n">
        <f aca="false">PL!$F$179/2</f>
        <v>29.5282804482298</v>
      </c>
      <c r="F44" s="12" t="n">
        <f aca="false">D44/B44-1</f>
        <v>0.222093412915229</v>
      </c>
      <c r="G44" s="8" t="s">
        <v>950</v>
      </c>
      <c r="H44" s="5" t="s">
        <v>113</v>
      </c>
    </row>
    <row r="45" customFormat="false" ht="17.15" hidden="false" customHeight="false" outlineLevel="0" collapsed="false">
      <c r="A45" s="0" t="s">
        <v>953</v>
      </c>
      <c r="B45" s="45" t="n">
        <f aca="false">ai_rr</f>
        <v>25</v>
      </c>
      <c r="C45" s="45" t="n">
        <f aca="false">mw_open*rpm_open/1000</f>
        <v>20.1153797604382</v>
      </c>
      <c r="D45" s="45" t="n">
        <f aca="false">mw_open*rpm_open/1000</f>
        <v>20.1153797604382</v>
      </c>
      <c r="E45" s="45" t="n">
        <f aca="false">mw_open*rpm_open/1000</f>
        <v>20.1153797604382</v>
      </c>
      <c r="F45" s="12" t="n">
        <f aca="false">D45/B45-1</f>
        <v>-0.195384809582471</v>
      </c>
      <c r="G45" s="8" t="s">
        <v>954</v>
      </c>
      <c r="H45" s="8" t="s">
        <v>955</v>
      </c>
    </row>
    <row r="46" customFormat="false" ht="17.15" hidden="false" customHeight="false" outlineLevel="0" collapsed="false">
      <c r="A46" s="5" t="s">
        <v>956</v>
      </c>
      <c r="C46" s="36" t="n">
        <f aca="false">ai_rr*1000/(mw_open*he_open)</f>
        <v>1.23282411092991</v>
      </c>
      <c r="D46" s="36" t="n">
        <f aca="false">ai_rr*1000/(mw_open*he_open)</f>
        <v>1.23282411092991</v>
      </c>
      <c r="E46" s="36" t="n">
        <f aca="false">ai_rr*1000/(mw_open*he_open)</f>
        <v>1.23282411092991</v>
      </c>
      <c r="H46" s="5" t="s">
        <v>957</v>
      </c>
    </row>
    <row r="47" customFormat="false" ht="17.15" hidden="false" customHeight="false" outlineLevel="0" collapsed="false">
      <c r="A47" s="5" t="s">
        <v>958</v>
      </c>
      <c r="C47" s="33" t="n">
        <f aca="false">ai_rr*1000/rpm_open</f>
        <v>2585.08666598831</v>
      </c>
      <c r="D47" s="33" t="n">
        <f aca="false">ai_rr*1000/rpm_open</f>
        <v>2585.08666598831</v>
      </c>
      <c r="E47" s="33" t="n">
        <f aca="false">ai_rr*1000/rpm_open</f>
        <v>2585.08666598831</v>
      </c>
      <c r="H47" s="5" t="s">
        <v>959</v>
      </c>
    </row>
    <row r="48" customFormat="false" ht="17.15" hidden="false" customHeight="false" outlineLevel="0" collapsed="false">
      <c r="A48" s="5" t="s">
        <v>960</v>
      </c>
      <c r="C48" s="12" t="n">
        <f aca="false">Thesis!$I$57</f>
        <v>0.313283832077501</v>
      </c>
      <c r="D48" s="12" t="n">
        <f aca="false">Thesis!$I$113</f>
        <v>0.219285125475351</v>
      </c>
      <c r="E48" s="12" t="n">
        <f aca="false">Thesis!$I$169</f>
        <v>0.18967957363228</v>
      </c>
      <c r="G48" s="8" t="s">
        <v>961</v>
      </c>
      <c r="H48" s="5" t="s">
        <v>199</v>
      </c>
    </row>
    <row r="49" customFormat="false" ht="17.15" hidden="false" customHeight="false" outlineLevel="0" collapsed="false">
      <c r="A49" s="1" t="s">
        <v>962</v>
      </c>
    </row>
    <row r="50" customFormat="false" ht="17.15" hidden="false" customHeight="false" outlineLevel="0" collapsed="false">
      <c r="A50" s="0" t="s">
        <v>963</v>
      </c>
      <c r="B50" s="30" t="n">
        <f aca="false">v022_tp</f>
        <v>201.71</v>
      </c>
      <c r="G50" s="8" t="s">
        <v>453</v>
      </c>
    </row>
    <row r="51" customFormat="false" ht="17.15" hidden="false" customHeight="false" outlineLevel="0" collapsed="false">
      <c r="A51" s="0" t="s">
        <v>964</v>
      </c>
      <c r="B51" s="30" t="n">
        <f aca="false">Val!B19</f>
        <v>193.21650791221</v>
      </c>
      <c r="G51" s="8" t="s">
        <v>965</v>
      </c>
    </row>
    <row r="52" customFormat="false" ht="15" hidden="false" customHeight="false" outlineLevel="0" collapsed="false">
      <c r="A52" s="5" t="s">
        <v>966</v>
      </c>
      <c r="B52" s="30" t="n">
        <f aca="false">B51-B50</f>
        <v>-8.49349208779015</v>
      </c>
    </row>
    <row r="53" customFormat="false" ht="17.15" hidden="false" customHeight="false" outlineLevel="0" collapsed="false">
      <c r="A53" s="5" t="s">
        <v>967</v>
      </c>
      <c r="B53" s="30" t="n">
        <f aca="false">Val!$C$170-Val!$C$171</f>
        <v>-9.15130603858066</v>
      </c>
      <c r="H53" s="5" t="s">
        <v>968</v>
      </c>
    </row>
    <row r="54" customFormat="false" ht="17.15" hidden="false" customHeight="false" outlineLevel="0" collapsed="false">
      <c r="A54" s="5" t="s">
        <v>969</v>
      </c>
      <c r="B54" s="30" t="n">
        <f aca="false">Val!B19-Val!$C$170</f>
        <v>7.97151016018796</v>
      </c>
      <c r="H54" s="5" t="s">
        <v>968</v>
      </c>
    </row>
    <row r="55" customFormat="false" ht="17.15" hidden="false" customHeight="false" outlineLevel="0" collapsed="false">
      <c r="A55" s="5" t="s">
        <v>970</v>
      </c>
      <c r="B55" s="30" t="n">
        <f aca="false">B52-B53-B54</f>
        <v>-7.31369620939745</v>
      </c>
      <c r="H55" s="5" t="s">
        <v>971</v>
      </c>
    </row>
    <row r="56" customFormat="false" ht="17.15" hidden="false" customHeight="false" outlineLevel="0" collapsed="false">
      <c r="A56" s="0" t="s">
        <v>972</v>
      </c>
      <c r="B56" s="12" t="n">
        <f aca="false">v022_tp/v022_px-1</f>
        <v>-0.22395352416128</v>
      </c>
      <c r="H56" s="8" t="s">
        <v>973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7" min="3" style="0" width="14"/>
  </cols>
  <sheetData>
    <row r="1" customFormat="false" ht="17.15" hidden="false" customHeight="false" outlineLevel="0" collapsed="false">
      <c r="A1" s="0" t="s">
        <v>974</v>
      </c>
    </row>
    <row r="3" customFormat="false" ht="17.15" hidden="false" customHeight="false" outlineLevel="0" collapsed="false">
      <c r="A3" s="6" t="s">
        <v>975</v>
      </c>
      <c r="B3" s="6" t="s">
        <v>976</v>
      </c>
      <c r="C3" s="6" t="s">
        <v>977</v>
      </c>
      <c r="D3" s="6" t="s">
        <v>978</v>
      </c>
      <c r="E3" s="20" t="s">
        <v>979</v>
      </c>
      <c r="F3" s="20" t="s">
        <v>774</v>
      </c>
      <c r="G3" s="6" t="s">
        <v>980</v>
      </c>
      <c r="H3" s="6" t="s">
        <v>981</v>
      </c>
    </row>
    <row r="4" customFormat="false" ht="17.15" hidden="false" customHeight="false" outlineLevel="0" collapsed="false">
      <c r="A4" s="5" t="s">
        <v>982</v>
      </c>
      <c r="B4" s="5" t="s">
        <v>983</v>
      </c>
      <c r="C4" s="30" t="n">
        <f aca="false">Val!$C$170</f>
        <v>185.244997752022</v>
      </c>
      <c r="D4" s="53" t="n">
        <f aca="false">C4/C$4-1</f>
        <v>0</v>
      </c>
      <c r="E4" s="12" t="n">
        <f aca="false">PL!$I$117</f>
        <v>0.349486287974975</v>
      </c>
      <c r="F4" s="30" t="n">
        <f aca="false">PL!$I$139</f>
        <v>11.5587999674403</v>
      </c>
      <c r="G4" s="45" t="n">
        <f aca="false">CF!$G$70</f>
        <v>9.81640432587554</v>
      </c>
      <c r="H4" s="8" t="s">
        <v>984</v>
      </c>
    </row>
    <row r="5" customFormat="false" ht="17.15" hidden="false" customHeight="false" outlineLevel="0" collapsed="false">
      <c r="A5" s="5" t="s">
        <v>985</v>
      </c>
      <c r="B5" s="0" t="s">
        <v>986</v>
      </c>
      <c r="C5" s="30" t="n">
        <f aca="false">Sens!$C$512</f>
        <v>170.691894193004</v>
      </c>
      <c r="D5" s="53" t="n">
        <f aca="false">C5/C$4-1</f>
        <v>-0.0785613848450546</v>
      </c>
      <c r="E5" s="12" t="n">
        <f aca="false">Sens!$I$417</f>
        <v>0.319616411237051</v>
      </c>
      <c r="F5" s="30" t="n">
        <f aca="false">Sens!$I$439</f>
        <v>10.5076295952262</v>
      </c>
      <c r="G5" s="45" t="n">
        <f aca="false">Sens!$G$470</f>
        <v>-53.3099198032599</v>
      </c>
      <c r="H5" s="5" t="s">
        <v>987</v>
      </c>
    </row>
    <row r="6" customFormat="false" ht="17.15" hidden="false" customHeight="false" outlineLevel="0" collapsed="false">
      <c r="A6" s="5" t="s">
        <v>988</v>
      </c>
      <c r="B6" s="5" t="s">
        <v>989</v>
      </c>
      <c r="C6" s="30" t="n">
        <f aca="false">Sens!$C$740</f>
        <v>231.110501828416</v>
      </c>
      <c r="D6" s="53" t="n">
        <f aca="false">C6/C$4-1</f>
        <v>0.247593752236116</v>
      </c>
      <c r="E6" s="12" t="n">
        <f aca="false">Sens!$I$645</f>
        <v>0.42855178932449</v>
      </c>
      <c r="F6" s="30" t="n">
        <f aca="false">Sens!$I$667</f>
        <v>14.8414225019402</v>
      </c>
      <c r="G6" s="45" t="n">
        <f aca="false">Sens!$G$698</f>
        <v>206.497539268473</v>
      </c>
      <c r="H6" s="5" t="s">
        <v>987</v>
      </c>
    </row>
    <row r="7" customFormat="false" ht="17.15" hidden="false" customHeight="false" outlineLevel="0" collapsed="false">
      <c r="A7" s="5" t="s">
        <v>990</v>
      </c>
      <c r="B7" s="0" t="s">
        <v>991</v>
      </c>
      <c r="C7" s="30" t="n">
        <f aca="false">Sens!$C$968</f>
        <v>146.02005810087</v>
      </c>
      <c r="D7" s="53" t="n">
        <f aca="false">C7/C$4-1</f>
        <v>-0.211746282637333</v>
      </c>
      <c r="E7" s="12" t="n">
        <f aca="false">Sens!$I$873</f>
        <v>0.355170398421999</v>
      </c>
      <c r="F7" s="30" t="n">
        <f aca="false">Sens!$I$895</f>
        <v>9.62971101956225</v>
      </c>
      <c r="G7" s="45" t="n">
        <f aca="false">Sens!$G$926</f>
        <v>-337.297426868479</v>
      </c>
      <c r="H7" s="5" t="s">
        <v>987</v>
      </c>
    </row>
    <row r="8" customFormat="false" ht="17.15" hidden="false" customHeight="false" outlineLevel="0" collapsed="false">
      <c r="A8" s="5" t="s">
        <v>992</v>
      </c>
      <c r="B8" s="0" t="s">
        <v>993</v>
      </c>
      <c r="C8" s="30" t="n">
        <f aca="false">Sens!$C$1196</f>
        <v>207.139004791979</v>
      </c>
      <c r="D8" s="53" t="n">
        <f aca="false">C8/C$4-1</f>
        <v>0.118189464253526</v>
      </c>
      <c r="E8" s="12" t="n">
        <f aca="false">Sens!$I$1101</f>
        <v>0.339407204295524</v>
      </c>
      <c r="F8" s="30" t="n">
        <f aca="false">Sens!$I$1123</f>
        <v>12.4703322390807</v>
      </c>
      <c r="G8" s="45" t="n">
        <f aca="false">Sens!$G$1154</f>
        <v>201.09318840495</v>
      </c>
      <c r="H8" s="5" t="s">
        <v>987</v>
      </c>
    </row>
    <row r="9" customFormat="false" ht="17.15" hidden="false" customHeight="false" outlineLevel="0" collapsed="false">
      <c r="A9" s="0" t="s">
        <v>994</v>
      </c>
      <c r="B9" s="5" t="s">
        <v>995</v>
      </c>
      <c r="C9" s="30" t="n">
        <f aca="false">Sens!$C$1424</f>
        <v>189.754106772321</v>
      </c>
      <c r="D9" s="53" t="n">
        <f aca="false">C9/C$4-1</f>
        <v>0.0243413267565547</v>
      </c>
      <c r="E9" s="12" t="n">
        <f aca="false">Sens!$I$1329</f>
        <v>0.340821410539389</v>
      </c>
      <c r="F9" s="30" t="n">
        <f aca="false">Sens!$I$1351</f>
        <v>11.2050804878915</v>
      </c>
      <c r="G9" s="45" t="n">
        <f aca="false">Sens!$G$1382</f>
        <v>156.042689829833</v>
      </c>
      <c r="H9" s="5" t="s">
        <v>987</v>
      </c>
    </row>
    <row r="10" customFormat="false" ht="17.15" hidden="false" customHeight="false" outlineLevel="0" collapsed="false">
      <c r="A10" s="0" t="s">
        <v>996</v>
      </c>
      <c r="B10" s="0" t="s">
        <v>997</v>
      </c>
      <c r="C10" s="30" t="n">
        <f aca="false">Sens!$C$1652</f>
        <v>179.059220264798</v>
      </c>
      <c r="D10" s="53" t="n">
        <f aca="false">C10/C$4-1</f>
        <v>-0.0333924130869372</v>
      </c>
      <c r="E10" s="12" t="n">
        <f aca="false">Sens!$I$1557</f>
        <v>0.352183204248458</v>
      </c>
      <c r="F10" s="30" t="n">
        <f aca="false">Sens!$I$1579</f>
        <v>11.6113951514336</v>
      </c>
      <c r="G10" s="45" t="n">
        <f aca="false">Sens!$G$1610</f>
        <v>-156.580553824124</v>
      </c>
      <c r="H10" s="5" t="s">
        <v>987</v>
      </c>
    </row>
    <row r="11" customFormat="false" ht="17.15" hidden="false" customHeight="false" outlineLevel="0" collapsed="false">
      <c r="A11" s="0" t="s">
        <v>998</v>
      </c>
      <c r="B11" s="0" t="s">
        <v>999</v>
      </c>
      <c r="C11" s="30" t="n">
        <f aca="false">Sens!$C$1880</f>
        <v>178.022194862559</v>
      </c>
      <c r="D11" s="53" t="n">
        <f aca="false">C11/C$4-1</f>
        <v>-0.0389905421312998</v>
      </c>
      <c r="E11" s="12" t="n">
        <f aca="false">Sens!$I$1785</f>
        <v>0.326045274335872</v>
      </c>
      <c r="F11" s="30" t="n">
        <f aca="false">Sens!$I$1807</f>
        <v>10.8964707473058</v>
      </c>
      <c r="G11" s="45" t="n">
        <f aca="false">Sens!$G$1838</f>
        <v>-22.9255753670275</v>
      </c>
      <c r="H11" s="5" t="s">
        <v>987</v>
      </c>
    </row>
    <row r="12" customFormat="false" ht="17.15" hidden="false" customHeight="false" outlineLevel="0" collapsed="false">
      <c r="A12" s="0" t="s">
        <v>1000</v>
      </c>
      <c r="B12" s="0" t="s">
        <v>1001</v>
      </c>
      <c r="C12" s="30" t="n">
        <f aca="false">Sens!$C$2108</f>
        <v>190.294298292452</v>
      </c>
      <c r="D12" s="53" t="n">
        <f aca="false">C12/C$4-1</f>
        <v>0.027257419102831</v>
      </c>
      <c r="E12" s="12" t="n">
        <f aca="false">Sens!$I$2013</f>
        <v>0.366229869145763</v>
      </c>
      <c r="F12" s="30" t="n">
        <f aca="false">Sens!$I$2035</f>
        <v>12.0307147117076</v>
      </c>
      <c r="G12" s="45" t="n">
        <f aca="false">Sens!$G$2066</f>
        <v>9.45680759980866</v>
      </c>
      <c r="H12" s="5" t="s">
        <v>987</v>
      </c>
    </row>
    <row r="13" customFormat="false" ht="17.15" hidden="false" customHeight="false" outlineLevel="0" collapsed="false">
      <c r="A13" s="5" t="s">
        <v>1002</v>
      </c>
      <c r="B13" s="0" t="s">
        <v>1003</v>
      </c>
      <c r="C13" s="30" t="n">
        <f aca="false">Sens!$C$2336</f>
        <v>183.384580850675</v>
      </c>
      <c r="D13" s="53" t="n">
        <f aca="false">C13/C$4-1</f>
        <v>-0.010043007497765</v>
      </c>
      <c r="E13" s="12" t="n">
        <f aca="false">Sens!$I$2241</f>
        <v>0.338645995334222</v>
      </c>
      <c r="F13" s="30" t="n">
        <f aca="false">Sens!$I$2263</f>
        <v>11.1746032838023</v>
      </c>
      <c r="G13" s="45" t="n">
        <f aca="false">Sens!$G$2294</f>
        <v>56.9205907178118</v>
      </c>
      <c r="H13" s="5" t="s">
        <v>987</v>
      </c>
    </row>
    <row r="14" customFormat="false" ht="17.15" hidden="false" customHeight="false" outlineLevel="0" collapsed="false">
      <c r="A14" s="5" t="s">
        <v>1004</v>
      </c>
      <c r="B14" s="0" t="s">
        <v>1005</v>
      </c>
      <c r="C14" s="30" t="n">
        <f aca="false">Sens!$C$2564</f>
        <v>214.913081233099</v>
      </c>
      <c r="D14" s="53" t="n">
        <f aca="false">C14/C$4-1</f>
        <v>0.160155922379035</v>
      </c>
      <c r="E14" s="12" t="n">
        <f aca="false">Sens!$I$2469</f>
        <v>0.349486287974975</v>
      </c>
      <c r="F14" s="30" t="n">
        <f aca="false">Sens!$I$2491</f>
        <v>13.0374635257504</v>
      </c>
      <c r="G14" s="45" t="n">
        <f aca="false">Sens!$G$2522</f>
        <v>94.6613434907065</v>
      </c>
      <c r="H14" s="5" t="s">
        <v>987</v>
      </c>
    </row>
    <row r="15" customFormat="false" ht="17.15" hidden="false" customHeight="false" outlineLevel="0" collapsed="false">
      <c r="A15" s="0" t="s">
        <v>1006</v>
      </c>
      <c r="B15" s="0" t="s">
        <v>1007</v>
      </c>
      <c r="C15" s="30" t="n">
        <f aca="false">Sens!$C$2792</f>
        <v>181.18337742933</v>
      </c>
      <c r="D15" s="53" t="n">
        <f aca="false">C15/C$4-1</f>
        <v>-0.0219256680179246</v>
      </c>
      <c r="E15" s="12" t="n">
        <f aca="false">Sens!$I$2697</f>
        <v>0.34915711489181</v>
      </c>
      <c r="F15" s="30" t="n">
        <f aca="false">Sens!$I$2719</f>
        <v>11.4454260831265</v>
      </c>
      <c r="G15" s="45" t="n">
        <f aca="false">Sens!$G$2750</f>
        <v>0.208451904487447</v>
      </c>
      <c r="H15" s="5" t="s">
        <v>1008</v>
      </c>
    </row>
    <row r="16" customFormat="false" ht="17.15" hidden="false" customHeight="false" outlineLevel="0" collapsed="false">
      <c r="A16" s="0" t="s">
        <v>1009</v>
      </c>
      <c r="B16" s="0" t="s">
        <v>1010</v>
      </c>
      <c r="C16" s="30" t="n">
        <f aca="false">Sens!$C$3020</f>
        <v>189.593450381103</v>
      </c>
      <c r="D16" s="53" t="n">
        <f aca="false">C16/C$4-1</f>
        <v>0.0234740623598506</v>
      </c>
      <c r="E16" s="12" t="n">
        <f aca="false">Sens!$I$2925</f>
        <v>0.349809786642711</v>
      </c>
      <c r="F16" s="30" t="n">
        <f aca="false">Sens!$I$2947</f>
        <v>11.6731150206449</v>
      </c>
      <c r="G16" s="45" t="n">
        <f aca="false">Sens!$G$2978</f>
        <v>19.7422608383272</v>
      </c>
      <c r="H16" s="5" t="s">
        <v>1008</v>
      </c>
    </row>
    <row r="17" customFormat="false" ht="17.15" hidden="false" customHeight="false" outlineLevel="0" collapsed="false">
      <c r="A17" s="5" t="s">
        <v>1011</v>
      </c>
      <c r="B17" s="0" t="s">
        <v>1012</v>
      </c>
      <c r="C17" s="30" t="n">
        <f aca="false">Sens!$C$3248</f>
        <v>186.709152162938</v>
      </c>
      <c r="D17" s="53" t="n">
        <f aca="false">C17/C$4-1</f>
        <v>0.00790388096134187</v>
      </c>
      <c r="E17" s="12" t="n">
        <f aca="false">Sens!$I$3153</f>
        <v>0.349486287974975</v>
      </c>
      <c r="F17" s="30" t="n">
        <f aca="false">Sens!$I$3175</f>
        <v>11.3971627967101</v>
      </c>
      <c r="G17" s="45" t="n">
        <f aca="false">Sens!$G$3206</f>
        <v>0.933937945496552</v>
      </c>
      <c r="H17" s="5" t="s">
        <v>1008</v>
      </c>
    </row>
    <row r="18" customFormat="false" ht="17.15" hidden="false" customHeight="false" outlineLevel="0" collapsed="false">
      <c r="A18" s="5" t="s">
        <v>1013</v>
      </c>
      <c r="B18" s="0" t="s">
        <v>1014</v>
      </c>
      <c r="C18" s="30" t="n">
        <f aca="false">Sens!$C$3476</f>
        <v>183.780843341106</v>
      </c>
      <c r="D18" s="53" t="n">
        <f aca="false">C18/C$4-1</f>
        <v>-0.00790388096134187</v>
      </c>
      <c r="E18" s="12" t="n">
        <f aca="false">Sens!$I$3381</f>
        <v>0.349486287974975</v>
      </c>
      <c r="F18" s="30" t="n">
        <f aca="false">Sens!$I$3403</f>
        <v>11.7204371381705</v>
      </c>
      <c r="G18" s="45" t="n">
        <f aca="false">Sens!$G$3434</f>
        <v>18.6988707062544</v>
      </c>
      <c r="H18" s="5" t="s">
        <v>1008</v>
      </c>
    </row>
    <row r="19" customFormat="false" ht="17.15" hidden="false" customHeight="false" outlineLevel="0" collapsed="false">
      <c r="A19" s="5" t="s">
        <v>1015</v>
      </c>
      <c r="B19" s="0" t="s">
        <v>1016</v>
      </c>
      <c r="C19" s="30" t="n">
        <f aca="false">Sens!$C$3704</f>
        <v>182.406772912835</v>
      </c>
      <c r="D19" s="53" t="n">
        <f aca="false">C19/C$4-1</f>
        <v>-0.015321465484247</v>
      </c>
      <c r="E19" s="12" t="n">
        <f aca="false">Sens!$I$3609</f>
        <v>0.349486287974975</v>
      </c>
      <c r="F19" s="30" t="n">
        <f aca="false">Sens!$I$3631</f>
        <v>11.472998850969</v>
      </c>
      <c r="G19" s="45" t="n">
        <f aca="false">Sens!$G$3662</f>
        <v>2.0571256353266</v>
      </c>
      <c r="H19" s="5" t="s">
        <v>1008</v>
      </c>
    </row>
    <row r="20" customFormat="false" ht="17.15" hidden="false" customHeight="false" outlineLevel="0" collapsed="false">
      <c r="A20" s="5" t="s">
        <v>1017</v>
      </c>
      <c r="B20" s="0" t="s">
        <v>1018</v>
      </c>
      <c r="C20" s="30" t="n">
        <f aca="false">Sens!$C$3932</f>
        <v>188.30813636308</v>
      </c>
      <c r="D20" s="53" t="n">
        <f aca="false">C20/C$4-1</f>
        <v>0.0165356076991559</v>
      </c>
      <c r="E20" s="12" t="n">
        <f aca="false">Sens!$I$3837</f>
        <v>0.349486287974975</v>
      </c>
      <c r="F20" s="30" t="n">
        <f aca="false">Sens!$I$3859</f>
        <v>11.6453147301307</v>
      </c>
      <c r="G20" s="45" t="n">
        <f aca="false">Sens!$G$3890</f>
        <v>17.8316074134427</v>
      </c>
      <c r="H20" s="5" t="s">
        <v>1008</v>
      </c>
    </row>
    <row r="21" customFormat="false" ht="17.15" hidden="false" customHeight="false" outlineLevel="0" collapsed="false">
      <c r="A21" s="5" t="s">
        <v>1019</v>
      </c>
      <c r="B21" s="0" t="s">
        <v>1020</v>
      </c>
      <c r="C21" s="30" t="n">
        <f aca="false">Sens!$C$4160</f>
        <v>181.070616730425</v>
      </c>
      <c r="D21" s="53" t="n">
        <f aca="false">C21/C$4-1</f>
        <v>-0.022534379185693</v>
      </c>
      <c r="E21" s="12" t="n">
        <f aca="false">Sens!$I$4065</f>
        <v>0.349486287974975</v>
      </c>
      <c r="F21" s="30" t="n">
        <f aca="false">Sens!$I$4087</f>
        <v>11.3342370123692</v>
      </c>
      <c r="G21" s="45" t="n">
        <f aca="false">Sens!$G$4118</f>
        <v>-3.74014177294853</v>
      </c>
      <c r="H21" s="5" t="s">
        <v>1008</v>
      </c>
    </row>
    <row r="22" customFormat="false" ht="17.15" hidden="false" customHeight="false" outlineLevel="0" collapsed="false">
      <c r="A22" s="5" t="s">
        <v>1021</v>
      </c>
      <c r="B22" s="0" t="s">
        <v>1022</v>
      </c>
      <c r="C22" s="30" t="n">
        <f aca="false">Sens!$C$4388</f>
        <v>189.419378773619</v>
      </c>
      <c r="D22" s="53" t="n">
        <f aca="false">C22/C$4-1</f>
        <v>0.0225343791856929</v>
      </c>
      <c r="E22" s="12" t="n">
        <f aca="false">Sens!$I$4293</f>
        <v>0.349486287974975</v>
      </c>
      <c r="F22" s="30" t="n">
        <f aca="false">Sens!$I$4315</f>
        <v>11.7833629225114</v>
      </c>
      <c r="G22" s="45" t="n">
        <f aca="false">Sens!$G$4346</f>
        <v>23.3729504246995</v>
      </c>
      <c r="H22" s="5" t="s">
        <v>1008</v>
      </c>
    </row>
    <row r="23" customFormat="false" ht="15" hidden="false" customHeight="false" outlineLevel="0" collapsed="false">
      <c r="A23" s="0" t="s">
        <v>1023</v>
      </c>
      <c r="C23" s="30" t="n">
        <f aca="false">Sens!$C$4616</f>
        <v>192.687794502977</v>
      </c>
      <c r="D23" s="53" t="n">
        <f aca="false">C23/C$4-1</f>
        <v>0.0401781254083768</v>
      </c>
      <c r="E23" s="12" t="n">
        <f aca="false">Sens!$I$4521</f>
        <v>0.349486287974975</v>
      </c>
      <c r="F23" s="30" t="n">
        <f aca="false">Sens!$I$4543</f>
        <v>11.5587999674403</v>
      </c>
      <c r="G23" s="45" t="n">
        <f aca="false">Sens!$G$4574</f>
        <v>9.81640432587554</v>
      </c>
      <c r="H23" s="5" t="s">
        <v>1024</v>
      </c>
    </row>
    <row r="24" customFormat="false" ht="15" hidden="false" customHeight="false" outlineLevel="0" collapsed="false">
      <c r="A24" s="0" t="s">
        <v>1025</v>
      </c>
      <c r="C24" s="30" t="n">
        <f aca="false">Sens!$C$4844</f>
        <v>179.321183519638</v>
      </c>
      <c r="D24" s="53" t="n">
        <f aca="false">C24/C$4-1</f>
        <v>-0.0319782682624106</v>
      </c>
      <c r="E24" s="12" t="n">
        <f aca="false">Sens!$I$4749</f>
        <v>0.349486287974975</v>
      </c>
      <c r="F24" s="30" t="n">
        <f aca="false">Sens!$I$4771</f>
        <v>11.5587999674403</v>
      </c>
      <c r="G24" s="45" t="n">
        <f aca="false">Sens!$G$4802</f>
        <v>9.81640432587554</v>
      </c>
      <c r="H24" s="5" t="s">
        <v>1024</v>
      </c>
    </row>
    <row r="25" customFormat="false" ht="17.15" hidden="false" customHeight="false" outlineLevel="0" collapsed="false">
      <c r="A25" s="5" t="s">
        <v>1026</v>
      </c>
      <c r="C25" s="30" t="n">
        <f aca="false">Sens!$C$5072</f>
        <v>184.850753625146</v>
      </c>
      <c r="D25" s="53" t="n">
        <f aca="false">C25/C$4-1</f>
        <v>-0.00212823089238634</v>
      </c>
      <c r="E25" s="12" t="n">
        <f aca="false">Sens!$I$4977</f>
        <v>0.349486287974975</v>
      </c>
      <c r="F25" s="30" t="n">
        <f aca="false">Sens!$I$4999</f>
        <v>11.5587999674403</v>
      </c>
      <c r="G25" s="45" t="n">
        <f aca="false">Sens!$G$5030</f>
        <v>9.81640432587554</v>
      </c>
      <c r="H25" s="5" t="s">
        <v>1024</v>
      </c>
    </row>
    <row r="26" customFormat="false" ht="17.15" hidden="false" customHeight="false" outlineLevel="0" collapsed="false">
      <c r="A26" s="5" t="s">
        <v>1027</v>
      </c>
      <c r="C26" s="30" t="n">
        <f aca="false">Sens!$C$5300</f>
        <v>185.639241878898</v>
      </c>
      <c r="D26" s="53" t="n">
        <f aca="false">C26/C$4-1</f>
        <v>0.00212823089238645</v>
      </c>
      <c r="E26" s="12" t="n">
        <f aca="false">Sens!$I$5205</f>
        <v>0.349486287974975</v>
      </c>
      <c r="F26" s="30" t="n">
        <f aca="false">Sens!$I$5227</f>
        <v>11.5587999674403</v>
      </c>
      <c r="G26" s="45" t="n">
        <f aca="false">Sens!$G$5258</f>
        <v>9.81640432587554</v>
      </c>
      <c r="H26" s="5" t="s">
        <v>1024</v>
      </c>
    </row>
    <row r="27" customFormat="false" ht="17.15" hidden="false" customHeight="false" outlineLevel="0" collapsed="false">
      <c r="A27" s="0" t="s">
        <v>1028</v>
      </c>
      <c r="B27" s="5" t="s">
        <v>1029</v>
      </c>
      <c r="C27" s="30" t="n">
        <f aca="false">Sens!$C$5528</f>
        <v>190.067208288058</v>
      </c>
      <c r="D27" s="53" t="n">
        <f aca="false">C27/C$4-1</f>
        <v>0.0260315290267172</v>
      </c>
      <c r="E27" s="12" t="n">
        <f aca="false">Sens!$I$5433</f>
        <v>0.349486287974975</v>
      </c>
      <c r="F27" s="30" t="n">
        <f aca="false">Sens!$I$5455</f>
        <v>11.5587999674403</v>
      </c>
      <c r="G27" s="45" t="n">
        <f aca="false">Sens!$G$5486</f>
        <v>9.81640432587554</v>
      </c>
      <c r="H27" s="5" t="s">
        <v>1024</v>
      </c>
    </row>
    <row r="28" customFormat="false" ht="17.15" hidden="false" customHeight="false" outlineLevel="0" collapsed="false">
      <c r="A28" s="5" t="s">
        <v>1030</v>
      </c>
      <c r="B28" s="5" t="s">
        <v>1031</v>
      </c>
      <c r="C28" s="30" t="n">
        <f aca="false">Sens!$C$5756</f>
        <v>162.092825898875</v>
      </c>
      <c r="D28" s="53" t="n">
        <f aca="false">C28/C$4-1</f>
        <v>-0.124981360544694</v>
      </c>
      <c r="E28" s="12" t="n">
        <f aca="false">Sens!$I$5661</f>
        <v>0.349486287974975</v>
      </c>
      <c r="F28" s="30" t="n">
        <f aca="false">Sens!$I$5683</f>
        <v>11.5587999674403</v>
      </c>
      <c r="G28" s="45" t="n">
        <f aca="false">Sens!$G$5714</f>
        <v>9.81640432587554</v>
      </c>
      <c r="H28" s="5" t="s">
        <v>1024</v>
      </c>
    </row>
    <row r="29" customFormat="false" ht="17.15" hidden="false" customHeight="false" outlineLevel="0" collapsed="false">
      <c r="A29" s="5" t="s">
        <v>1032</v>
      </c>
      <c r="C29" s="30" t="n">
        <f aca="false">Sens!$C$5984</f>
        <v>208.397169605168</v>
      </c>
      <c r="D29" s="53" t="n">
        <f aca="false">C29/C$4-1</f>
        <v>0.124981360544695</v>
      </c>
      <c r="E29" s="12" t="n">
        <f aca="false">Sens!$I$5889</f>
        <v>0.349486287974975</v>
      </c>
      <c r="F29" s="30" t="n">
        <f aca="false">Sens!$I$5911</f>
        <v>11.5587999674403</v>
      </c>
      <c r="G29" s="45" t="n">
        <f aca="false">Sens!$G$5942</f>
        <v>9.81640432587554</v>
      </c>
      <c r="H29" s="5" t="s">
        <v>1024</v>
      </c>
    </row>
    <row r="30" customFormat="false" ht="17.15" hidden="false" customHeight="false" outlineLevel="0" collapsed="false">
      <c r="A30" s="0" t="s">
        <v>1033</v>
      </c>
      <c r="B30" s="5" t="s">
        <v>1034</v>
      </c>
      <c r="C30" s="30" t="n">
        <f aca="false">Sens!$C$6212</f>
        <v>198.35337710093</v>
      </c>
      <c r="D30" s="53" t="n">
        <f aca="false">C30/C$4-1</f>
        <v>0.0707623930901264</v>
      </c>
      <c r="E30" s="12" t="n">
        <f aca="false">Sens!$I$6117</f>
        <v>0.349486287974975</v>
      </c>
      <c r="F30" s="30" t="n">
        <f aca="false">Sens!$I$6139</f>
        <v>11.5587999674403</v>
      </c>
      <c r="G30" s="45" t="n">
        <f aca="false">Sens!$G$6170</f>
        <v>9.81640432587554</v>
      </c>
      <c r="H30" s="5" t="s">
        <v>1024</v>
      </c>
    </row>
    <row r="31" customFormat="false" ht="17.15" hidden="false" customHeight="false" outlineLevel="0" collapsed="false">
      <c r="A31" s="0" t="s">
        <v>1035</v>
      </c>
      <c r="B31" s="5" t="s">
        <v>1036</v>
      </c>
      <c r="C31" s="30" t="n">
        <f aca="false">Sens!$C$6440</f>
        <v>183.035679669283</v>
      </c>
      <c r="D31" s="53" t="n">
        <f aca="false">C31/C$4-1</f>
        <v>-0.0119264655431967</v>
      </c>
      <c r="E31" s="12" t="n">
        <f aca="false">Sens!$I$6345</f>
        <v>0.349486287974975</v>
      </c>
      <c r="F31" s="30" t="n">
        <f aca="false">Sens!$I$6367</f>
        <v>11.5587999674403</v>
      </c>
      <c r="G31" s="45" t="n">
        <f aca="false">Sens!$G$6398</f>
        <v>9.81640432587554</v>
      </c>
      <c r="H31" s="5" t="s">
        <v>1024</v>
      </c>
    </row>
    <row r="32" customFormat="false" ht="17.15" hidden="false" customHeight="false" outlineLevel="0" collapsed="false">
      <c r="A32" s="0" t="s">
        <v>1037</v>
      </c>
      <c r="C32" s="30" t="n">
        <f aca="false">Sens!$C$6668</f>
        <v>187.454315834761</v>
      </c>
      <c r="D32" s="53" t="n">
        <f aca="false">C32/C$4-1</f>
        <v>0.0119264655431968</v>
      </c>
      <c r="E32" s="12" t="n">
        <f aca="false">Sens!$I$6573</f>
        <v>0.349486287974975</v>
      </c>
      <c r="F32" s="30" t="n">
        <f aca="false">Sens!$I$6595</f>
        <v>11.5587999674403</v>
      </c>
      <c r="G32" s="45" t="n">
        <f aca="false">Sens!$G$6626</f>
        <v>9.81640432587554</v>
      </c>
      <c r="H32" s="5" t="s">
        <v>1024</v>
      </c>
    </row>
    <row r="33" customFormat="false" ht="17.15" hidden="false" customHeight="false" outlineLevel="0" collapsed="false">
      <c r="A33" s="0" t="s">
        <v>1038</v>
      </c>
      <c r="B33" s="5" t="s">
        <v>1039</v>
      </c>
      <c r="C33" s="30" t="n">
        <f aca="false">Sens!$C$6896</f>
        <v>221.850221906344</v>
      </c>
      <c r="D33" s="53" t="n">
        <f aca="false">C33/C$4-1</f>
        <v>0.1976043866152</v>
      </c>
      <c r="E33" s="12" t="n">
        <f aca="false">Sens!$I$6801</f>
        <v>0.349486287974975</v>
      </c>
      <c r="F33" s="30" t="n">
        <f aca="false">Sens!$I$6823</f>
        <v>11.5587999674403</v>
      </c>
      <c r="G33" s="45" t="n">
        <f aca="false">Sens!$G$6854</f>
        <v>9.81640432587554</v>
      </c>
      <c r="H33" s="5" t="s">
        <v>1024</v>
      </c>
    </row>
    <row r="34" customFormat="false" ht="17.15" hidden="false" customHeight="false" outlineLevel="0" collapsed="false">
      <c r="A34" s="0" t="s">
        <v>1040</v>
      </c>
      <c r="C34" s="30" t="n">
        <f aca="false">Sens!$C$7124</f>
        <v>148.639773597699</v>
      </c>
      <c r="D34" s="53" t="n">
        <f aca="false">C34/C$4-1</f>
        <v>-0.1976043866152</v>
      </c>
      <c r="E34" s="12" t="n">
        <f aca="false">Sens!$I$7029</f>
        <v>0.349486287974975</v>
      </c>
      <c r="F34" s="30" t="n">
        <f aca="false">Sens!$I$7051</f>
        <v>11.5587999674403</v>
      </c>
      <c r="G34" s="45" t="n">
        <f aca="false">Sens!$G$7082</f>
        <v>9.81640432587554</v>
      </c>
      <c r="H34" s="5" t="s">
        <v>1024</v>
      </c>
    </row>
    <row r="36" customFormat="false" ht="17.15" hidden="false" customHeight="false" outlineLevel="0" collapsed="false">
      <c r="A36" s="24" t="s">
        <v>1041</v>
      </c>
      <c r="B36" s="25"/>
      <c r="C36" s="54" t="n">
        <f aca="false">Sens!$C$284-C4</f>
        <v>0</v>
      </c>
      <c r="D36" s="25"/>
      <c r="E36" s="25"/>
      <c r="F36" s="25"/>
      <c r="G36" s="25"/>
      <c r="H36" s="25"/>
    </row>
    <row r="37" customFormat="false" ht="17.15" hidden="false" customHeight="false" outlineLevel="0" collapsed="false">
      <c r="A37" s="5" t="s">
        <v>1042</v>
      </c>
    </row>
    <row r="60" customFormat="false" ht="19.4" hidden="false" customHeight="false" outlineLevel="0" collapsed="false">
      <c r="A60" s="31" t="s">
        <v>1043</v>
      </c>
    </row>
    <row r="61" customFormat="false" ht="17.15" hidden="false" customHeight="false" outlineLevel="0" collapsed="false">
      <c r="A61" s="6" t="s">
        <v>16</v>
      </c>
      <c r="B61" s="6" t="s">
        <v>17</v>
      </c>
      <c r="C61" s="20" t="s">
        <v>457</v>
      </c>
      <c r="D61" s="20" t="s">
        <v>458</v>
      </c>
      <c r="E61" s="20" t="s">
        <v>540</v>
      </c>
      <c r="F61" s="20" t="s">
        <v>541</v>
      </c>
      <c r="G61" s="20" t="s">
        <v>542</v>
      </c>
      <c r="H61" s="20" t="s">
        <v>543</v>
      </c>
      <c r="I61" s="20" t="s">
        <v>544</v>
      </c>
      <c r="J61" s="20" t="s">
        <v>545</v>
      </c>
      <c r="K61" s="20" t="s">
        <v>546</v>
      </c>
      <c r="L61" s="20" t="s">
        <v>547</v>
      </c>
      <c r="M61" s="20" t="s">
        <v>548</v>
      </c>
      <c r="N61" s="20" t="s">
        <v>549</v>
      </c>
      <c r="O61" s="20" t="s">
        <v>550</v>
      </c>
      <c r="P61" s="6" t="s">
        <v>23</v>
      </c>
      <c r="R61" s="20" t="n">
        <v>2023</v>
      </c>
      <c r="S61" s="20" t="n">
        <v>2024</v>
      </c>
      <c r="T61" s="20" t="n">
        <v>2025</v>
      </c>
      <c r="U61" s="20" t="n">
        <v>2026</v>
      </c>
      <c r="V61" s="20" t="n">
        <v>2027</v>
      </c>
      <c r="W61" s="20" t="n">
        <v>2028</v>
      </c>
      <c r="X61" s="20" t="n">
        <v>2029</v>
      </c>
      <c r="Y61" s="20" t="n">
        <v>2030</v>
      </c>
      <c r="Z61" s="20" t="n">
        <v>2031</v>
      </c>
      <c r="AA61" s="20" t="n">
        <v>2032</v>
      </c>
    </row>
    <row r="62" customFormat="false" ht="17.15" hidden="false" customHeight="false" outlineLevel="0" collapsed="false">
      <c r="A62" s="1" t="s">
        <v>620</v>
      </c>
    </row>
    <row r="63" customFormat="false" ht="17.15" hidden="false" customHeight="false" outlineLevel="0" collapsed="false">
      <c r="A63" s="0" t="s">
        <v>479</v>
      </c>
      <c r="B63" s="0" t="s">
        <v>73</v>
      </c>
      <c r="C63" s="38" t="n">
        <f aca="false">Q!$D$10</f>
        <v>247.029</v>
      </c>
      <c r="D63" s="38" t="n">
        <f aca="false">Q!$E$10</f>
        <v>269.287</v>
      </c>
      <c r="E63" s="38" t="n">
        <f aca="false">Q!$P$10</f>
        <v>134.686</v>
      </c>
      <c r="F63" s="38" t="n">
        <f aca="false">Sens!$O$63*(1+Sens!$F$64)-pd_amt*Q!$O$10/(Q!$O$10+Q!$O$12)</f>
        <v>160.728085930082</v>
      </c>
      <c r="G63" s="38" t="n">
        <f aca="false">Sens!$E$63+Sens!$F$63</f>
        <v>295.414085930082</v>
      </c>
      <c r="H63" s="38" t="n">
        <f aca="false">Sens!$G$63*(1+Sens!$H$64)</f>
        <v>320.828163943375</v>
      </c>
      <c r="I63" s="38" t="n">
        <f aca="false">Sens!$H$63*(1+Sens!$I$64)</f>
        <v>344.575578072228</v>
      </c>
      <c r="J63" s="38" t="n">
        <f aca="false">Sens!$I$63*(1+Sens!$J$64)</f>
        <v>365.942555779681</v>
      </c>
      <c r="K63" s="38" t="n">
        <f aca="false">Sens!$J$63*(1+Sens!$K$64)</f>
        <v>384.239683568665</v>
      </c>
      <c r="L63" s="38" t="n">
        <f aca="false">Sens!$K$63*(1+Sens!$L$64)</f>
        <v>403.451667747098</v>
      </c>
      <c r="M63" s="38" t="n">
        <f aca="false">Sens!$L$63*(1+Sens!$M$64)</f>
        <v>423.624251134453</v>
      </c>
      <c r="N63" s="38" t="n">
        <f aca="false">Q!$N$10</f>
        <v>118.892</v>
      </c>
      <c r="O63" s="38" t="n">
        <f aca="false">Q!$O$10</f>
        <v>150.395</v>
      </c>
      <c r="P63" s="8" t="s">
        <v>621</v>
      </c>
    </row>
    <row r="64" customFormat="false" ht="17.15" hidden="false" customHeight="false" outlineLevel="0" collapsed="false">
      <c r="A64" s="0" t="s">
        <v>622</v>
      </c>
      <c r="B64" s="0" t="s">
        <v>52</v>
      </c>
      <c r="E64" s="12" t="n">
        <f aca="false">Sens!$E$63/Sens!$N$63-1</f>
        <v>0.132843252699929</v>
      </c>
      <c r="F64" s="12" t="n">
        <f aca="false">Sens!$O$63/(Q!$F$10+Q!$G$10)-1</f>
        <v>0.0980382135842941</v>
      </c>
      <c r="G64" s="12" t="n">
        <f aca="false">Sens!$G$63/Sens!$D$63-1</f>
        <v>0.0970231980380869</v>
      </c>
      <c r="H64" s="12" t="n">
        <f aca="false">Sens!$F$64+(g_os-Sens!$F$64)*1/4</f>
        <v>0.0860286601882206</v>
      </c>
      <c r="I64" s="12" t="n">
        <f aca="false">Sens!$F$64+(g_os-Sens!$F$64)*2/4</f>
        <v>0.074019106792147</v>
      </c>
      <c r="J64" s="12" t="n">
        <f aca="false">Sens!$F$64+(g_os-Sens!$F$64)*3/4</f>
        <v>0.0620095533960735</v>
      </c>
      <c r="K64" s="12" t="n">
        <f aca="false">Sens!$F$64+(g_os-Sens!$F$64)*4/4</f>
        <v>0.05</v>
      </c>
      <c r="L64" s="12" t="n">
        <f aca="false">g_os</f>
        <v>0.05</v>
      </c>
      <c r="M64" s="12" t="n">
        <f aca="false">g_os</f>
        <v>0.05</v>
      </c>
      <c r="P64" s="8" t="s">
        <v>623</v>
      </c>
    </row>
    <row r="65" customFormat="false" ht="17.15" hidden="false" customHeight="false" outlineLevel="0" collapsed="false">
      <c r="A65" s="0" t="s">
        <v>480</v>
      </c>
      <c r="B65" s="0" t="s">
        <v>73</v>
      </c>
      <c r="C65" s="38" t="n">
        <f aca="false">Q!$D$11</f>
        <v>21.215</v>
      </c>
      <c r="D65" s="38" t="n">
        <f aca="false">Q!$E$11</f>
        <v>22.561</v>
      </c>
      <c r="E65" s="38" t="n">
        <f aca="false">Q!$P$11</f>
        <v>11.579</v>
      </c>
      <c r="F65" s="38" t="n">
        <f aca="false">Sens!$O$65*(1+Sens!$F$66)</f>
        <v>12.0952613121125</v>
      </c>
      <c r="G65" s="38" t="n">
        <f aca="false">Sens!$E$65+Sens!$F$65</f>
        <v>23.6742613121125</v>
      </c>
      <c r="H65" s="38" t="n">
        <f aca="false">Sens!$G$65*(1+Sens!$H$66)</f>
        <v>24.8803243963206</v>
      </c>
      <c r="I65" s="38" t="n">
        <f aca="false">Sens!$H$65*(1+Sens!$I$66)</f>
        <v>25.9741308664154</v>
      </c>
      <c r="J65" s="38" t="n">
        <f aca="false">Sens!$I$65*(1+Sens!$J$66)</f>
        <v>26.9346894124267</v>
      </c>
      <c r="K65" s="38" t="n">
        <f aca="false">Sens!$J$65*(1+Sens!$K$66)</f>
        <v>27.7427300947995</v>
      </c>
      <c r="L65" s="38" t="n">
        <f aca="false">Sens!$K$65*(1+Sens!$L$66)</f>
        <v>28.5750119976435</v>
      </c>
      <c r="M65" s="38" t="n">
        <f aca="false">Sens!$L$65*(1+Sens!$M$66)</f>
        <v>29.4322623575728</v>
      </c>
      <c r="N65" s="38" t="n">
        <f aca="false">Q!$N$11</f>
        <v>11.128</v>
      </c>
      <c r="O65" s="38" t="n">
        <f aca="false">Q!$O$11</f>
        <v>11.433</v>
      </c>
      <c r="P65" s="8" t="s">
        <v>621</v>
      </c>
    </row>
    <row r="66" customFormat="false" ht="17.15" hidden="false" customHeight="false" outlineLevel="0" collapsed="false">
      <c r="A66" s="0" t="s">
        <v>624</v>
      </c>
      <c r="B66" s="0" t="s">
        <v>52</v>
      </c>
      <c r="E66" s="12" t="n">
        <f aca="false">Sens!$E$65/Sens!$N$65-1</f>
        <v>0.0405283968368082</v>
      </c>
      <c r="F66" s="12" t="n">
        <f aca="false">Sens!$O$65/(Q!$F$11+Q!$G$11)-1</f>
        <v>0.0579254187100955</v>
      </c>
      <c r="G66" s="12" t="n">
        <f aca="false">Sens!$G$65/Sens!$D$65-1</f>
        <v>0.0493445021103904</v>
      </c>
      <c r="H66" s="12" t="n">
        <f aca="false">Sens!$F$66+(g_ps-Sens!$F$66)*1/4</f>
        <v>0.0509440640325716</v>
      </c>
      <c r="I66" s="12" t="n">
        <f aca="false">Sens!$F$66+(g_ps-Sens!$F$66)*2/4</f>
        <v>0.0439627093550477</v>
      </c>
      <c r="J66" s="12" t="n">
        <f aca="false">Sens!$F$66+(g_ps-Sens!$F$66)*3/4</f>
        <v>0.0369813546775239</v>
      </c>
      <c r="K66" s="12" t="n">
        <f aca="false">Sens!$F$66+(g_ps-Sens!$F$66)*4/4</f>
        <v>0.03</v>
      </c>
      <c r="L66" s="12" t="n">
        <f aca="false">g_ps</f>
        <v>0.03</v>
      </c>
      <c r="M66" s="12" t="n">
        <f aca="false">g_ps</f>
        <v>0.03</v>
      </c>
      <c r="P66" s="8" t="s">
        <v>625</v>
      </c>
    </row>
    <row r="67" customFormat="false" ht="17.15" hidden="false" customHeight="false" outlineLevel="0" collapsed="false">
      <c r="A67" s="0" t="s">
        <v>481</v>
      </c>
      <c r="B67" s="0" t="s">
        <v>73</v>
      </c>
      <c r="C67" s="38" t="n">
        <f aca="false">Q!$D$12</f>
        <v>156.146</v>
      </c>
      <c r="D67" s="38" t="n">
        <f aca="false">Q!$E$12</f>
        <v>172.162</v>
      </c>
      <c r="E67" s="38" t="n">
        <f aca="false">Q!$P$12</f>
        <v>88.358</v>
      </c>
      <c r="F67" s="38" t="n">
        <f aca="false">Sens!$O$67*(1+Sens!$F$68)-pd_amt*Q!$O$12/(Q!$O$10+Q!$O$12)</f>
        <v>103.62028337149</v>
      </c>
      <c r="G67" s="38" t="n">
        <f aca="false">Sens!$E$67+Sens!$F$67</f>
        <v>191.97828337149</v>
      </c>
      <c r="H67" s="38" t="n">
        <f aca="false">Sens!$G$67*(1+Sens!$H$68)</f>
        <v>212.128608444755</v>
      </c>
      <c r="I67" s="38" t="n">
        <f aca="false">Sens!$H$67*(1+Sens!$I$68)</f>
        <v>231.92183134134</v>
      </c>
      <c r="J67" s="38" t="n">
        <f aca="false">Sens!$I$67*(1+Sens!$J$68)</f>
        <v>250.859136487863</v>
      </c>
      <c r="K67" s="38" t="n">
        <f aca="false">Sens!$J$67*(1+Sens!$K$68)</f>
        <v>268.419276042014</v>
      </c>
      <c r="L67" s="38" t="n">
        <f aca="false">Sens!$K$67*(1+Sens!$L$68)</f>
        <v>287.208625364954</v>
      </c>
      <c r="M67" s="38" t="n">
        <f aca="false">Sens!$L$67*(1+Sens!$M$68)</f>
        <v>307.313229140501</v>
      </c>
      <c r="N67" s="38" t="n">
        <f aca="false">Q!$N$12</f>
        <v>76.86</v>
      </c>
      <c r="O67" s="38" t="n">
        <f aca="false">Q!$O$12</f>
        <v>95.302</v>
      </c>
      <c r="P67" s="8" t="s">
        <v>621</v>
      </c>
    </row>
    <row r="68" customFormat="false" ht="17.15" hidden="false" customHeight="false" outlineLevel="0" collapsed="false">
      <c r="A68" s="0" t="s">
        <v>626</v>
      </c>
      <c r="B68" s="0" t="s">
        <v>52</v>
      </c>
      <c r="E68" s="12" t="n">
        <f aca="false">Sens!$E$67/Sens!$N$67-1</f>
        <v>0.1495966692688</v>
      </c>
      <c r="F68" s="12" t="n">
        <f aca="false">Sens!$O$67/(Q!$F$12+Q!$G$12)-1</f>
        <v>0.11661530890813</v>
      </c>
      <c r="G68" s="12" t="n">
        <f aca="false">Sens!$G$67/Sens!$D$67-1</f>
        <v>0.115102539303041</v>
      </c>
      <c r="H68" s="12" t="n">
        <f aca="false">Sens!$F$68+(g_sp-Sens!$F$68)*1/4</f>
        <v>0.104961481681098</v>
      </c>
      <c r="I68" s="12" t="n">
        <f aca="false">Sens!$F$68+(g_sp-Sens!$F$68)*2/4</f>
        <v>0.0933076544540651</v>
      </c>
      <c r="J68" s="12" t="n">
        <f aca="false">Sens!$F$68+(g_sp-Sens!$F$68)*3/4</f>
        <v>0.0816538272270325</v>
      </c>
      <c r="K68" s="12" t="n">
        <f aca="false">Sens!$F$68+(g_sp-Sens!$F$68)*4/4</f>
        <v>0.07</v>
      </c>
      <c r="L68" s="12" t="n">
        <f aca="false">g_sp</f>
        <v>0.07</v>
      </c>
      <c r="M68" s="12" t="n">
        <f aca="false">g_sp</f>
        <v>0.07</v>
      </c>
      <c r="P68" s="8" t="s">
        <v>627</v>
      </c>
    </row>
    <row r="69" customFormat="false" ht="17.15" hidden="false" customHeight="false" outlineLevel="0" collapsed="false">
      <c r="A69" s="0" t="s">
        <v>482</v>
      </c>
      <c r="B69" s="0" t="s">
        <v>73</v>
      </c>
      <c r="C69" s="38" t="n">
        <f aca="false">Q!$D$13</f>
        <v>56.214</v>
      </c>
      <c r="D69" s="38" t="n">
        <f aca="false">Q!$E$13</f>
        <v>68.635</v>
      </c>
      <c r="E69" s="38" t="n">
        <f aca="false">Q!$P$13</f>
        <v>37.052</v>
      </c>
      <c r="F69" s="38" t="n">
        <f aca="false">Sens!$O$69*(1+Sens!$F$70)</f>
        <v>48.1533381827382</v>
      </c>
      <c r="G69" s="38" t="n">
        <f aca="false">Sens!$E$69+Sens!$F$69</f>
        <v>85.2053381827382</v>
      </c>
      <c r="H69" s="38" t="n">
        <f aca="false">Sens!$G$69*(1+Sens!$H$70)</f>
        <v>102.29336185894</v>
      </c>
      <c r="I69" s="38" t="n">
        <f aca="false">Sens!$H$69*(1+Sens!$I$70)</f>
        <v>119.379837585241</v>
      </c>
      <c r="J69" s="38" t="n">
        <f aca="false">Sens!$I$69*(1+Sens!$J$70)</f>
        <v>135.319079048844</v>
      </c>
      <c r="K69" s="38" t="n">
        <f aca="false">Sens!$J$69*(1+Sens!$K$70)</f>
        <v>148.850986953729</v>
      </c>
      <c r="L69" s="38" t="n">
        <f aca="false">Sens!$K$69*(1+Sens!$L$70)</f>
        <v>163.736085649102</v>
      </c>
      <c r="M69" s="38" t="n">
        <f aca="false">Sens!$L$69*(1+Sens!$M$70)</f>
        <v>180.109694214012</v>
      </c>
      <c r="N69" s="38" t="n">
        <f aca="false">Q!$N$13</f>
        <v>29.615</v>
      </c>
      <c r="O69" s="38" t="n">
        <f aca="false">Q!$O$13</f>
        <v>39.02</v>
      </c>
      <c r="P69" s="8" t="s">
        <v>621</v>
      </c>
    </row>
    <row r="70" customFormat="false" ht="17.15" hidden="false" customHeight="false" outlineLevel="0" collapsed="false">
      <c r="A70" s="0" t="s">
        <v>628</v>
      </c>
      <c r="B70" s="0" t="s">
        <v>52</v>
      </c>
      <c r="E70" s="12" t="n">
        <f aca="false">Sens!$E$69/Sens!$N$69-1</f>
        <v>0.25112274185379</v>
      </c>
      <c r="F70" s="12" t="n">
        <f aca="false">Sens!$O$69/(Q!$F$13+Q!$G$13)-1</f>
        <v>0.234068123596572</v>
      </c>
      <c r="G70" s="12" t="n">
        <f aca="false">Sens!$G$69/Sens!$D$69-1</f>
        <v>0.241426942270536</v>
      </c>
      <c r="H70" s="12" t="n">
        <f aca="false">Sens!$F$70+(g_ad-Sens!$F$70)*1/4</f>
        <v>0.200551092697429</v>
      </c>
      <c r="I70" s="12" t="n">
        <f aca="false">Sens!$F$70+(g_ad-Sens!$F$70)*2/4</f>
        <v>0.167034061798286</v>
      </c>
      <c r="J70" s="12" t="n">
        <f aca="false">Sens!$F$70+(g_ad-Sens!$F$70)*3/4</f>
        <v>0.133517030899143</v>
      </c>
      <c r="K70" s="12" t="n">
        <f aca="false">Sens!$F$70+(g_ad-Sens!$F$70)*4/4</f>
        <v>0.1</v>
      </c>
      <c r="L70" s="12" t="n">
        <f aca="false">g_ad</f>
        <v>0.1</v>
      </c>
      <c r="M70" s="12" t="n">
        <f aca="false">g_ad</f>
        <v>0.1</v>
      </c>
      <c r="P70" s="8" t="s">
        <v>629</v>
      </c>
    </row>
    <row r="71" customFormat="false" ht="17.15" hidden="false" customHeight="false" outlineLevel="0" collapsed="false">
      <c r="A71" s="0" t="s">
        <v>483</v>
      </c>
      <c r="B71" s="0" t="s">
        <v>73</v>
      </c>
      <c r="C71" s="38" t="n">
        <f aca="false">Q!$D$14</f>
        <v>44.374</v>
      </c>
      <c r="D71" s="38" t="n">
        <f aca="false">Q!$E$14</f>
        <v>49.619</v>
      </c>
      <c r="E71" s="38" t="n">
        <f aca="false">Q!$P$14</f>
        <v>27.157</v>
      </c>
      <c r="F71" s="38" t="n">
        <f aca="false">Sens!$O$71*(1+Sens!$F$72)</f>
        <v>28.9776360923374</v>
      </c>
      <c r="G71" s="38" t="n">
        <f aca="false">Sens!$E$71+Sens!$F$71</f>
        <v>56.1346360923374</v>
      </c>
      <c r="H71" s="38" t="n">
        <f aca="false">Sens!$G$71*(1+Sens!$H$72)</f>
        <v>62.4937078946075</v>
      </c>
      <c r="I71" s="38" t="n">
        <f aca="false">Sens!$H$71*(1+Sens!$I$72)</f>
        <v>68.6715233062498</v>
      </c>
      <c r="J71" s="38" t="n">
        <f aca="false">Sens!$I$71*(1+Sens!$J$72)</f>
        <v>74.4692882949818</v>
      </c>
      <c r="K71" s="38" t="n">
        <f aca="false">Sens!$J$71*(1+Sens!$K$72)</f>
        <v>79.6821384756306</v>
      </c>
      <c r="L71" s="38" t="n">
        <f aca="false">Sens!$K$71*(1+Sens!$L$72)</f>
        <v>85.2598881689247</v>
      </c>
      <c r="M71" s="38" t="n">
        <f aca="false">Sens!$L$71*(1+Sens!$M$72)</f>
        <v>91.2280803407494</v>
      </c>
      <c r="N71" s="38" t="n">
        <f aca="false">Q!$N$14</f>
        <v>23.923</v>
      </c>
      <c r="O71" s="38" t="n">
        <f aca="false">Q!$O$14</f>
        <v>25.696</v>
      </c>
      <c r="P71" s="8" t="s">
        <v>621</v>
      </c>
    </row>
    <row r="72" customFormat="false" ht="17.15" hidden="false" customHeight="false" outlineLevel="0" collapsed="false">
      <c r="A72" s="0" t="s">
        <v>630</v>
      </c>
      <c r="B72" s="0" t="s">
        <v>52</v>
      </c>
      <c r="E72" s="12" t="n">
        <f aca="false">Sens!$E$71/Sens!$N$71-1</f>
        <v>0.135183714417088</v>
      </c>
      <c r="F72" s="12" t="n">
        <f aca="false">Sens!$O$71/(Q!$F$14+Q!$G$14)-1</f>
        <v>0.127709997366804</v>
      </c>
      <c r="G72" s="12" t="n">
        <f aca="false">Sens!$G$71/Sens!$D$71-1</f>
        <v>0.131313329416905</v>
      </c>
      <c r="H72" s="12" t="n">
        <f aca="false">Sens!$F$72+(g_sub-Sens!$F$72)*1/4</f>
        <v>0.113282498025103</v>
      </c>
      <c r="I72" s="12" t="n">
        <f aca="false">Sens!$F$72+(g_sub-Sens!$F$72)*2/4</f>
        <v>0.0988549986834021</v>
      </c>
      <c r="J72" s="12" t="n">
        <f aca="false">Sens!$F$72+(g_sub-Sens!$F$72)*3/4</f>
        <v>0.084427499341701</v>
      </c>
      <c r="K72" s="12" t="n">
        <f aca="false">Sens!$F$72+(g_sub-Sens!$F$72)*4/4</f>
        <v>0.07</v>
      </c>
      <c r="L72" s="12" t="n">
        <f aca="false">g_sub</f>
        <v>0.07</v>
      </c>
      <c r="M72" s="12" t="n">
        <f aca="false">g_sub</f>
        <v>0.07</v>
      </c>
      <c r="P72" s="8" t="s">
        <v>631</v>
      </c>
    </row>
    <row r="73" customFormat="false" ht="17.15" hidden="false" customHeight="false" outlineLevel="0" collapsed="false">
      <c r="A73" s="0" t="s">
        <v>484</v>
      </c>
      <c r="B73" s="0" t="s">
        <v>73</v>
      </c>
      <c r="C73" s="38" t="n">
        <f aca="false">Q!$D$15</f>
        <v>5.425</v>
      </c>
      <c r="D73" s="38" t="n">
        <f aca="false">Q!$E$15</f>
        <v>5.935</v>
      </c>
      <c r="E73" s="38" t="n">
        <f aca="false">Q!$P$15</f>
        <v>3.474</v>
      </c>
      <c r="F73" s="38" t="n">
        <f aca="false">Sens!$O$73*(1+Sens!$F$74)</f>
        <v>3.36182431966931</v>
      </c>
      <c r="G73" s="38" t="n">
        <f aca="false">Sens!$E$73+Sens!$F$73</f>
        <v>6.83582431966931</v>
      </c>
      <c r="H73" s="38" t="n">
        <f aca="false">Sens!$G$73*(1+Sens!$H$74)</f>
        <v>7.31157108370141</v>
      </c>
      <c r="I73" s="38" t="n">
        <f aca="false">Sens!$H$73*(1+Sens!$I$74)</f>
        <v>7.77266852639815</v>
      </c>
      <c r="J73" s="38" t="n">
        <f aca="false">Sens!$I$73*(1+Sens!$J$74)</f>
        <v>8.2120733019884</v>
      </c>
      <c r="K73" s="38" t="n">
        <f aca="false">Sens!$J$73*(1+Sens!$K$74)</f>
        <v>8.62267696708783</v>
      </c>
      <c r="L73" s="38" t="n">
        <f aca="false">Sens!$K$73*(1+Sens!$L$74)</f>
        <v>9.05381081544222</v>
      </c>
      <c r="M73" s="38" t="n">
        <f aca="false">Sens!$L$73*(1+Sens!$M$74)</f>
        <v>9.50650135621433</v>
      </c>
      <c r="N73" s="38" t="n">
        <f aca="false">Q!$N$15</f>
        <v>2.811</v>
      </c>
      <c r="O73" s="38" t="n">
        <f aca="false">Q!$O$15</f>
        <v>3.124</v>
      </c>
      <c r="P73" s="8" t="s">
        <v>621</v>
      </c>
    </row>
    <row r="74" customFormat="false" ht="17.15" hidden="false" customHeight="false" outlineLevel="0" collapsed="false">
      <c r="A74" s="0" t="s">
        <v>632</v>
      </c>
      <c r="B74" s="0" t="s">
        <v>52</v>
      </c>
      <c r="E74" s="12" t="n">
        <f aca="false">Sens!$E$73/Sens!$N$73-1</f>
        <v>0.235859124866596</v>
      </c>
      <c r="F74" s="12" t="n">
        <f aca="false">Sens!$O$73/(Q!$F$15+Q!$G$15)-1</f>
        <v>0.0761281433000345</v>
      </c>
      <c r="G74" s="12" t="n">
        <f aca="false">Sens!$G$73/Sens!$D$73-1</f>
        <v>0.151781688234087</v>
      </c>
      <c r="H74" s="12" t="n">
        <f aca="false">Sens!$F$74+(g_ot-Sens!$F$74)*1/4</f>
        <v>0.0695961074750259</v>
      </c>
      <c r="I74" s="12" t="n">
        <f aca="false">Sens!$F$74+(g_ot-Sens!$F$74)*2/4</f>
        <v>0.0630640716500172</v>
      </c>
      <c r="J74" s="12" t="n">
        <f aca="false">Sens!$F$74+(g_ot-Sens!$F$74)*3/4</f>
        <v>0.0565320358250086</v>
      </c>
      <c r="K74" s="12" t="n">
        <f aca="false">Sens!$F$74+(g_ot-Sens!$F$74)*4/4</f>
        <v>0.05</v>
      </c>
      <c r="L74" s="12" t="n">
        <f aca="false">g_ot</f>
        <v>0.05</v>
      </c>
      <c r="M74" s="12" t="n">
        <f aca="false">g_ot</f>
        <v>0.05</v>
      </c>
      <c r="P74" s="8" t="s">
        <v>633</v>
      </c>
    </row>
    <row r="75" customFormat="false" ht="17.15" hidden="false" customHeight="false" outlineLevel="0" collapsed="false">
      <c r="A75" s="3" t="s">
        <v>634</v>
      </c>
      <c r="B75" s="8" t="s">
        <v>73</v>
      </c>
      <c r="C75" s="38" t="n">
        <f aca="false">Sens!$C$63+Sens!$C$65+Sens!$C$67+Sens!$C$69+Sens!$C$71+Sens!$C$73</f>
        <v>530.403</v>
      </c>
      <c r="D75" s="38" t="n">
        <f aca="false">Sens!$D$63+Sens!$D$65+Sens!$D$67+Sens!$D$69+Sens!$D$71+Sens!$D$73</f>
        <v>588.199</v>
      </c>
      <c r="E75" s="38" t="n">
        <f aca="false">Sens!$E$63+Sens!$E$65+Sens!$E$67+Sens!$E$69+Sens!$E$71+Sens!$E$73</f>
        <v>302.306</v>
      </c>
      <c r="F75" s="38" t="n">
        <f aca="false">Sens!$F$63+Sens!$F$65+Sens!$F$67+Sens!$F$69+Sens!$F$71+Sens!$F$73</f>
        <v>356.93642920843</v>
      </c>
      <c r="G75" s="38" t="n">
        <f aca="false">Sens!$G$63+Sens!$G$65+Sens!$G$67+Sens!$G$69+Sens!$G$71+Sens!$G$73</f>
        <v>659.24242920843</v>
      </c>
      <c r="H75" s="38" t="n">
        <f aca="false">Sens!$H$63+Sens!$H$65+Sens!$H$67+Sens!$H$69+Sens!$H$71+Sens!$H$73</f>
        <v>729.935737621701</v>
      </c>
      <c r="I75" s="38" t="n">
        <f aca="false">Sens!$I$63+Sens!$I$65+Sens!$I$67+Sens!$I$69+Sens!$I$71+Sens!$I$73</f>
        <v>798.295569697873</v>
      </c>
      <c r="J75" s="38" t="n">
        <f aca="false">Sens!$J$63+Sens!$J$65+Sens!$J$67+Sens!$J$69+Sens!$J$71+Sens!$J$73</f>
        <v>861.736822325785</v>
      </c>
      <c r="K75" s="38" t="n">
        <f aca="false">Sens!$K$63+Sens!$K$65+Sens!$K$67+Sens!$K$69+Sens!$K$71+Sens!$K$73</f>
        <v>917.557492101925</v>
      </c>
      <c r="L75" s="38" t="n">
        <f aca="false">Sens!$L$63+Sens!$L$65+Sens!$L$67+Sens!$L$69+Sens!$L$71+Sens!$L$73</f>
        <v>977.285089743165</v>
      </c>
      <c r="M75" s="38" t="n">
        <f aca="false">Sens!$M$63+Sens!$M$65+Sens!$M$67+Sens!$M$69+Sens!$M$71+Sens!$M$73</f>
        <v>1041.2140185435</v>
      </c>
      <c r="N75" s="38" t="n">
        <f aca="false">Sens!$N$63+Sens!$N$65+Sens!$N$67+Sens!$N$69+Sens!$N$71+Sens!$N$73</f>
        <v>263.229</v>
      </c>
      <c r="O75" s="38" t="n">
        <f aca="false">Sens!$O$63+Sens!$O$65+Sens!$O$67+Sens!$O$69+Sens!$O$71+Sens!$O$73</f>
        <v>324.97</v>
      </c>
    </row>
    <row r="76" customFormat="false" ht="17.15" hidden="false" customHeight="false" outlineLevel="0" collapsed="false">
      <c r="A76" s="5" t="s">
        <v>635</v>
      </c>
      <c r="B76" s="0" t="s">
        <v>52</v>
      </c>
      <c r="C76" s="12" t="n">
        <f aca="false">Q!$D$5/(Q!$D$5+Q!$D$6)</f>
        <v>0.730570905519011</v>
      </c>
      <c r="D76" s="12" t="n">
        <f aca="false">Q!$E$5/(Q!$E$5+Q!$E$6)</f>
        <v>0.724763217890544</v>
      </c>
      <c r="E76" s="12" t="n">
        <f aca="false">Q!$P$5/(Q!$P$5+Q!$P$6)</f>
        <v>0.728797972914861</v>
      </c>
      <c r="F76" s="12" t="n">
        <f aca="false">Sens!$O$76</f>
        <v>0.718066283041511</v>
      </c>
      <c r="G76" s="12" t="n">
        <f aca="false">Sens!$G$77/Sens!$G$75</f>
        <v>0.722987468473627</v>
      </c>
      <c r="H76" s="12" t="n">
        <f aca="false">Sens!$G$76</f>
        <v>0.722987468473627</v>
      </c>
      <c r="I76" s="12" t="n">
        <f aca="false">Sens!$G$76</f>
        <v>0.722987468473627</v>
      </c>
      <c r="J76" s="12" t="n">
        <f aca="false">Sens!$G$76</f>
        <v>0.722987468473627</v>
      </c>
      <c r="K76" s="12" t="n">
        <f aca="false">Sens!$G$76</f>
        <v>0.722987468473627</v>
      </c>
      <c r="L76" s="12" t="n">
        <f aca="false">Sens!$G$76</f>
        <v>0.722987468473627</v>
      </c>
      <c r="M76" s="12" t="n">
        <f aca="false">Sens!$G$76</f>
        <v>0.722987468473627</v>
      </c>
      <c r="N76" s="12" t="n">
        <f aca="false">Q!$N$5/(Q!$N$5+Q!$N$6)</f>
        <v>0.733030935041352</v>
      </c>
      <c r="O76" s="12" t="n">
        <f aca="false">Q!$O$5/(Q!$O$5+Q!$O$6)</f>
        <v>0.718066283041511</v>
      </c>
      <c r="P76" s="8" t="s">
        <v>636</v>
      </c>
    </row>
    <row r="77" customFormat="false" ht="17.15" hidden="false" customHeight="false" outlineLevel="0" collapsed="false">
      <c r="A77" s="1" t="s">
        <v>472</v>
      </c>
      <c r="B77" s="8" t="s">
        <v>73</v>
      </c>
      <c r="C77" s="38" t="n">
        <f aca="false">Q!$D$5</f>
        <v>387.497</v>
      </c>
      <c r="D77" s="38" t="n">
        <f aca="false">Q!$E$5</f>
        <v>426.305</v>
      </c>
      <c r="E77" s="38" t="n">
        <f aca="false">Q!$P$5</f>
        <v>220.32</v>
      </c>
      <c r="F77" s="38" t="n">
        <f aca="false">Sens!$F$75*Sens!$F$76</f>
        <v>256.304015003807</v>
      </c>
      <c r="G77" s="38" t="n">
        <f aca="false">Sens!$E$77+Sens!$F$77</f>
        <v>476.624015003807</v>
      </c>
      <c r="H77" s="38" t="n">
        <f aca="false">Sens!$H$75*Sens!$H$76</f>
        <v>527.734391091543</v>
      </c>
      <c r="I77" s="38" t="n">
        <f aca="false">Sens!$I$75*Sens!$I$76</f>
        <v>577.157693029577</v>
      </c>
      <c r="J77" s="38" t="n">
        <f aca="false">Sens!$J$75*Sens!$J$76</f>
        <v>623.024923663827</v>
      </c>
      <c r="K77" s="38" t="n">
        <f aca="false">Sens!$K$75*Sens!$K$76</f>
        <v>663.382568393781</v>
      </c>
      <c r="L77" s="38" t="n">
        <f aca="false">Sens!$L$75*Sens!$L$76</f>
        <v>706.564873010432</v>
      </c>
      <c r="M77" s="38" t="n">
        <f aca="false">Sens!$M$75*Sens!$M$76</f>
        <v>752.784687406019</v>
      </c>
      <c r="N77" s="38" t="n">
        <f aca="false">Q!$N$5</f>
        <v>192.955</v>
      </c>
      <c r="O77" s="38" t="n">
        <f aca="false">Q!$O$5</f>
        <v>233.35</v>
      </c>
      <c r="P77" s="5" t="s">
        <v>637</v>
      </c>
    </row>
    <row r="78" customFormat="false" ht="17.15" hidden="false" customHeight="false" outlineLevel="0" collapsed="false">
      <c r="A78" s="1" t="s">
        <v>475</v>
      </c>
      <c r="B78" s="8" t="s">
        <v>73</v>
      </c>
      <c r="C78" s="38" t="n">
        <f aca="false">Q!$D$6</f>
        <v>142.906</v>
      </c>
      <c r="D78" s="38" t="n">
        <f aca="false">Q!$E$6</f>
        <v>161.894</v>
      </c>
      <c r="E78" s="38" t="n">
        <f aca="false">Q!$P$6</f>
        <v>81.986</v>
      </c>
      <c r="F78" s="38" t="n">
        <f aca="false">Sens!$F$75*(1-Sens!$F$76)</f>
        <v>100.632414204623</v>
      </c>
      <c r="G78" s="38" t="n">
        <f aca="false">Sens!$E$78+Sens!$F$78</f>
        <v>182.618414204623</v>
      </c>
      <c r="H78" s="38" t="n">
        <f aca="false">Sens!$H$75*(1-Sens!$H$76)</f>
        <v>202.201346530158</v>
      </c>
      <c r="I78" s="38" t="n">
        <f aca="false">Sens!$I$75*(1-Sens!$I$76)</f>
        <v>221.137876668296</v>
      </c>
      <c r="J78" s="38" t="n">
        <f aca="false">Sens!$J$75*(1-Sens!$J$76)</f>
        <v>238.711898661958</v>
      </c>
      <c r="K78" s="38" t="n">
        <f aca="false">Sens!$K$75*(1-Sens!$K$76)</f>
        <v>254.174923708144</v>
      </c>
      <c r="L78" s="38" t="n">
        <f aca="false">Sens!$L$75*(1-Sens!$L$76)</f>
        <v>270.720216732733</v>
      </c>
      <c r="M78" s="38" t="n">
        <f aca="false">Sens!$M$75*(1-Sens!$M$76)</f>
        <v>288.429331137484</v>
      </c>
      <c r="N78" s="38" t="n">
        <f aca="false">Q!$N$6</f>
        <v>70.274</v>
      </c>
      <c r="O78" s="38" t="n">
        <f aca="false">Q!$O$6</f>
        <v>91.62</v>
      </c>
      <c r="P78" s="5" t="s">
        <v>638</v>
      </c>
    </row>
    <row r="79" customFormat="false" ht="17.15" hidden="false" customHeight="false" outlineLevel="0" collapsed="false">
      <c r="A79" s="5" t="s">
        <v>639</v>
      </c>
      <c r="B79" s="0" t="s">
        <v>73</v>
      </c>
      <c r="C79" s="38" t="n">
        <f aca="false">Sens!$C$69*Sens!$C$76</f>
        <v>41.0683128828457</v>
      </c>
      <c r="D79" s="38" t="n">
        <f aca="false">Sens!$D$69*Sens!$D$76</f>
        <v>49.7441234599175</v>
      </c>
      <c r="E79" s="38" t="n">
        <f aca="false">Sens!$E$69*Sens!$E$76</f>
        <v>27.0034224924414</v>
      </c>
      <c r="F79" s="38" t="n">
        <f aca="false">Sens!$F$69*Sens!$F$76</f>
        <v>34.5772885649197</v>
      </c>
      <c r="G79" s="38" t="n">
        <f aca="false">Sens!$G$69*Sens!$G$76</f>
        <v>61.6023917531772</v>
      </c>
      <c r="H79" s="38" t="n">
        <f aca="false">Sens!$H$69*Sens!$H$76</f>
        <v>73.9568187320519</v>
      </c>
      <c r="I79" s="38" t="n">
        <f aca="false">Sens!$I$69*Sens!$I$76</f>
        <v>86.3101265625461</v>
      </c>
      <c r="J79" s="38" t="n">
        <f aca="false">Sens!$J$69*Sens!$J$76</f>
        <v>97.8339983977065</v>
      </c>
      <c r="K79" s="38" t="n">
        <f aca="false">Sens!$K$69*Sens!$K$76</f>
        <v>107.617398237477</v>
      </c>
      <c r="L79" s="38" t="n">
        <f aca="false">Sens!$L$69*Sens!$L$76</f>
        <v>118.379138061225</v>
      </c>
      <c r="M79" s="38" t="n">
        <f aca="false">Sens!$M$69*Sens!$M$76</f>
        <v>130.217051867347</v>
      </c>
      <c r="N79" s="38" t="n">
        <f aca="false">Sens!$N$69*Sens!$N$76</f>
        <v>21.7087111412496</v>
      </c>
      <c r="O79" s="38" t="n">
        <f aca="false">Sens!$O$69*Sens!$O$76</f>
        <v>28.0189463642798</v>
      </c>
      <c r="P79" s="5" t="s">
        <v>640</v>
      </c>
    </row>
    <row r="80" customFormat="false" ht="15" hidden="false" customHeight="false" outlineLevel="0" collapsed="false">
      <c r="A80" s="5" t="s">
        <v>641</v>
      </c>
      <c r="B80" s="0" t="s">
        <v>73</v>
      </c>
      <c r="C80" s="38" t="n">
        <f aca="false">Sens!$C$69-Sens!$C$79</f>
        <v>15.1456871171543</v>
      </c>
      <c r="D80" s="38" t="n">
        <f aca="false">Sens!$D$69-Sens!$D$79</f>
        <v>18.8908765400825</v>
      </c>
      <c r="E80" s="38" t="n">
        <f aca="false">Sens!$E$69-Sens!$E$79</f>
        <v>10.0485775075586</v>
      </c>
      <c r="F80" s="38" t="n">
        <f aca="false">Sens!$F$69-Sens!$F$79</f>
        <v>13.5760496178185</v>
      </c>
      <c r="G80" s="38" t="n">
        <f aca="false">Sens!$G$69-Sens!$G$79</f>
        <v>23.6029464295611</v>
      </c>
      <c r="H80" s="38" t="n">
        <f aca="false">Sens!$H$69-Sens!$H$79</f>
        <v>28.3365431268884</v>
      </c>
      <c r="I80" s="38" t="n">
        <f aca="false">Sens!$I$69-Sens!$I$79</f>
        <v>33.0697110226949</v>
      </c>
      <c r="J80" s="38" t="n">
        <f aca="false">Sens!$J$69-Sens!$J$79</f>
        <v>37.4850806511378</v>
      </c>
      <c r="K80" s="38" t="n">
        <f aca="false">Sens!$K$69-Sens!$K$79</f>
        <v>41.2335887162515</v>
      </c>
      <c r="L80" s="38" t="n">
        <f aca="false">Sens!$L$69-Sens!$L$79</f>
        <v>45.3569475878767</v>
      </c>
      <c r="M80" s="38" t="n">
        <f aca="false">Sens!$M$69-Sens!$M$79</f>
        <v>49.8926423466644</v>
      </c>
      <c r="N80" s="38" t="n">
        <f aca="false">Sens!$N$69-Sens!$N$79</f>
        <v>7.90628885875037</v>
      </c>
      <c r="O80" s="38" t="n">
        <f aca="false">Sens!$O$69-Sens!$O$79</f>
        <v>11.0010536357202</v>
      </c>
    </row>
    <row r="81" customFormat="false" ht="19.4" hidden="false" customHeight="false" outlineLevel="0" collapsed="false">
      <c r="A81" s="31" t="s">
        <v>1044</v>
      </c>
    </row>
    <row r="82" customFormat="false" ht="17.15" hidden="false" customHeight="false" outlineLevel="0" collapsed="false">
      <c r="A82" s="6" t="s">
        <v>16</v>
      </c>
      <c r="B82" s="6" t="s">
        <v>17</v>
      </c>
      <c r="C82" s="20" t="s">
        <v>457</v>
      </c>
      <c r="D82" s="20" t="s">
        <v>458</v>
      </c>
      <c r="E82" s="20" t="s">
        <v>540</v>
      </c>
      <c r="F82" s="20" t="s">
        <v>541</v>
      </c>
      <c r="G82" s="20" t="s">
        <v>542</v>
      </c>
      <c r="H82" s="20" t="s">
        <v>543</v>
      </c>
      <c r="I82" s="20" t="s">
        <v>544</v>
      </c>
      <c r="J82" s="20" t="s">
        <v>545</v>
      </c>
      <c r="K82" s="20" t="s">
        <v>546</v>
      </c>
      <c r="L82" s="20" t="s">
        <v>547</v>
      </c>
      <c r="M82" s="20" t="s">
        <v>548</v>
      </c>
      <c r="N82" s="20" t="s">
        <v>549</v>
      </c>
      <c r="O82" s="20" t="s">
        <v>550</v>
      </c>
      <c r="P82" s="6" t="s">
        <v>23</v>
      </c>
      <c r="R82" s="20" t="n">
        <v>2023</v>
      </c>
      <c r="S82" s="20" t="n">
        <v>2024</v>
      </c>
      <c r="T82" s="20" t="n">
        <v>2025</v>
      </c>
      <c r="U82" s="20" t="n">
        <v>2026</v>
      </c>
      <c r="V82" s="20" t="n">
        <v>2027</v>
      </c>
      <c r="W82" s="20" t="n">
        <v>2028</v>
      </c>
      <c r="X82" s="20" t="n">
        <v>2029</v>
      </c>
      <c r="Y82" s="20" t="n">
        <v>2030</v>
      </c>
      <c r="Z82" s="20" t="n">
        <v>2031</v>
      </c>
      <c r="AA82" s="20" t="n">
        <v>2032</v>
      </c>
    </row>
    <row r="83" customFormat="false" ht="17.15" hidden="false" customHeight="false" outlineLevel="0" collapsed="false">
      <c r="A83" s="1" t="s">
        <v>551</v>
      </c>
    </row>
    <row r="84" customFormat="false" ht="17.15" hidden="false" customHeight="false" outlineLevel="0" collapsed="false">
      <c r="A84" s="14" t="s">
        <v>552</v>
      </c>
      <c r="B84" s="13" t="s">
        <v>108</v>
      </c>
      <c r="C84" s="32" t="n">
        <f aca="false">mw_ye24</f>
        <v>360</v>
      </c>
      <c r="D84" s="32" t="n">
        <f aca="false">mw_ye25</f>
        <v>1440</v>
      </c>
      <c r="E84" s="32" t="n">
        <f aca="false">mw_open</f>
        <v>2080</v>
      </c>
      <c r="F84" s="32" t="n">
        <f aca="false">Sens!$E$84+pace_B*0.5</f>
        <v>3897.15</v>
      </c>
      <c r="G84" s="32" t="n">
        <f aca="false">Sens!$F$84</f>
        <v>3897.15</v>
      </c>
      <c r="H84" s="32" t="n">
        <f aca="false">Sens!$G$84+pace_B</f>
        <v>7531.45</v>
      </c>
      <c r="I84" s="32" t="n">
        <f aca="false">Sens!$H$84+pace_B</f>
        <v>11165.75</v>
      </c>
      <c r="J84" s="32" t="n">
        <f aca="false">Sens!$I$84+pace_B</f>
        <v>14800.05</v>
      </c>
      <c r="K84" s="32" t="n">
        <f aca="false">Sens!$J$84+pace_B</f>
        <v>18434.35</v>
      </c>
      <c r="L84" s="32" t="n">
        <f aca="false">Sens!$K$84+pace_B</f>
        <v>22068.65</v>
      </c>
      <c r="M84" s="32" t="n">
        <f aca="false">Sens!$L$84+pace_B</f>
        <v>25702.95</v>
      </c>
      <c r="N84" s="32" t="n">
        <f aca="false">(mw_ye24+mw_ye25)/2</f>
        <v>900</v>
      </c>
      <c r="O84" s="32" t="n">
        <f aca="false">mw_ye25</f>
        <v>1440</v>
      </c>
      <c r="P84" s="5" t="s">
        <v>553</v>
      </c>
    </row>
    <row r="85" customFormat="false" ht="17.15" hidden="false" customHeight="false" outlineLevel="0" collapsed="false">
      <c r="A85" s="5" t="s">
        <v>554</v>
      </c>
      <c r="B85" s="0" t="s">
        <v>108</v>
      </c>
      <c r="C85" s="33" t="n">
        <f aca="false">(mw_ye23+mw_ye24)/2</f>
        <v>240</v>
      </c>
      <c r="D85" s="33" t="n">
        <f aca="false">(Sens!$C$84+Sens!$D$84)/2</f>
        <v>900</v>
      </c>
      <c r="E85" s="33" t="n">
        <f aca="false">(Sens!$D$84+Sens!$E$84)/2</f>
        <v>1760</v>
      </c>
      <c r="F85" s="33" t="n">
        <f aca="false">(Sens!$E$84+Sens!$F$84)/2</f>
        <v>2988.575</v>
      </c>
      <c r="G85" s="33" t="n">
        <f aca="false">(Sens!$E$85+Sens!$F$85)/2</f>
        <v>2374.2875</v>
      </c>
      <c r="H85" s="33" t="n">
        <f aca="false">(Sens!$G$84+Sens!$H$84)/2</f>
        <v>5714.3</v>
      </c>
      <c r="I85" s="33" t="n">
        <f aca="false">(Sens!$H$84+Sens!$I$84)/2</f>
        <v>9348.6</v>
      </c>
      <c r="J85" s="33" t="n">
        <f aca="false">(Sens!$I$84+Sens!$J$84)/2</f>
        <v>12982.9</v>
      </c>
      <c r="K85" s="33" t="n">
        <f aca="false">(Sens!$J$84+Sens!$K$84)/2</f>
        <v>16617.2</v>
      </c>
      <c r="L85" s="33" t="n">
        <f aca="false">(Sens!$K$84+Sens!$L$84)/2</f>
        <v>20251.5</v>
      </c>
      <c r="M85" s="33" t="n">
        <f aca="false">(Sens!$L$84+Sens!$M$84)/2</f>
        <v>23885.8</v>
      </c>
      <c r="N85" s="33" t="n">
        <f aca="false">(Sens!$C$84+Sens!$N$84)/2</f>
        <v>630</v>
      </c>
      <c r="O85" s="33" t="n">
        <f aca="false">(Sens!$N$84+Sens!$O$84)/2</f>
        <v>1170</v>
      </c>
    </row>
    <row r="86" customFormat="false" ht="15" hidden="false" customHeight="false" outlineLevel="0" collapsed="false">
      <c r="A86" s="5" t="s">
        <v>555</v>
      </c>
      <c r="B86" s="5" t="s">
        <v>102</v>
      </c>
      <c r="C86" s="34" t="n">
        <v>1</v>
      </c>
      <c r="D86" s="34" t="n">
        <v>1</v>
      </c>
      <c r="E86" s="34" t="n">
        <v>0.5</v>
      </c>
      <c r="F86" s="34" t="n">
        <v>0.5</v>
      </c>
      <c r="G86" s="34" t="n">
        <v>1</v>
      </c>
      <c r="H86" s="34" t="n">
        <v>1</v>
      </c>
      <c r="I86" s="34" t="n">
        <v>1</v>
      </c>
      <c r="J86" s="34" t="n">
        <v>1</v>
      </c>
      <c r="K86" s="34" t="n">
        <v>1</v>
      </c>
      <c r="L86" s="34" t="n">
        <v>1</v>
      </c>
      <c r="M86" s="34" t="n">
        <v>1</v>
      </c>
      <c r="N86" s="34" t="n">
        <v>0.5</v>
      </c>
      <c r="O86" s="34" t="n">
        <v>0.5</v>
      </c>
    </row>
    <row r="87" customFormat="false" ht="17.15" hidden="false" customHeight="false" outlineLevel="0" collapsed="false">
      <c r="A87" s="5" t="s">
        <v>556</v>
      </c>
      <c r="B87" s="0" t="s">
        <v>108</v>
      </c>
      <c r="C87" s="33" t="n">
        <f aca="false">Sens!$C$84-mw_ye23</f>
        <v>240</v>
      </c>
      <c r="D87" s="33" t="n">
        <f aca="false">Sens!$D$84-Sens!$C$84</f>
        <v>1080</v>
      </c>
      <c r="E87" s="33" t="n">
        <f aca="false">Sens!$E$84-Sens!$D$84</f>
        <v>640</v>
      </c>
      <c r="F87" s="33" t="n">
        <f aca="false">Sens!$F$84-Sens!$E$84</f>
        <v>1817.15</v>
      </c>
      <c r="G87" s="33" t="n">
        <f aca="false">Sens!$E$87+Sens!$F$87</f>
        <v>2457.15</v>
      </c>
      <c r="H87" s="33" t="n">
        <f aca="false">Sens!$H$84-Sens!$G$84</f>
        <v>3634.3</v>
      </c>
      <c r="I87" s="33" t="n">
        <f aca="false">Sens!$I$84-Sens!$H$84</f>
        <v>3634.3</v>
      </c>
      <c r="J87" s="33" t="n">
        <f aca="false">Sens!$J$84-Sens!$I$84</f>
        <v>3634.3</v>
      </c>
      <c r="K87" s="33" t="n">
        <f aca="false">Sens!$K$84-Sens!$J$84</f>
        <v>3634.3</v>
      </c>
      <c r="L87" s="33" t="n">
        <f aca="false">Sens!$L$84-Sens!$K$84</f>
        <v>3634.3</v>
      </c>
      <c r="M87" s="33" t="n">
        <f aca="false">Sens!$M$84-Sens!$L$84</f>
        <v>3634.3</v>
      </c>
      <c r="N87" s="33" t="n">
        <f aca="false">Sens!$N$84-Sens!$C$84</f>
        <v>540</v>
      </c>
      <c r="O87" s="33" t="n">
        <f aca="false">Sens!$O$84-Sens!$N$84</f>
        <v>540</v>
      </c>
    </row>
    <row r="88" customFormat="false" ht="17.15" hidden="false" customHeight="false" outlineLevel="0" collapsed="false">
      <c r="A88" s="5" t="s">
        <v>557</v>
      </c>
      <c r="B88" s="0" t="s">
        <v>108</v>
      </c>
      <c r="C88" s="33" t="n">
        <f aca="false">Sens!$C$87/ext_sh</f>
        <v>300</v>
      </c>
      <c r="D88" s="33" t="n">
        <f aca="false">Sens!$D$87/ext_sh</f>
        <v>1350</v>
      </c>
      <c r="E88" s="33" t="n">
        <f aca="false">Sens!$E$87/ext_sh</f>
        <v>800</v>
      </c>
      <c r="F88" s="33" t="n">
        <f aca="false">Sens!$F$87/ext_sh</f>
        <v>2271.4375</v>
      </c>
      <c r="G88" s="33" t="n">
        <f aca="false">Sens!$G$87/ext_sh</f>
        <v>3071.4375</v>
      </c>
      <c r="H88" s="33" t="n">
        <f aca="false">Sens!$H$87/ext_sh</f>
        <v>4542.875</v>
      </c>
      <c r="I88" s="33" t="n">
        <f aca="false">Sens!$I$87/ext_sh</f>
        <v>4542.875</v>
      </c>
      <c r="J88" s="33" t="n">
        <f aca="false">Sens!$J$87/ext_sh</f>
        <v>4542.875</v>
      </c>
      <c r="K88" s="33" t="n">
        <f aca="false">Sens!$K$87/ext_sh</f>
        <v>4542.875</v>
      </c>
      <c r="L88" s="33" t="n">
        <f aca="false">Sens!$L$87/ext_sh</f>
        <v>4542.875</v>
      </c>
      <c r="M88" s="33" t="n">
        <f aca="false">Sens!$M$87/ext_sh</f>
        <v>4542.875</v>
      </c>
      <c r="N88" s="33" t="n">
        <f aca="false">Sens!$N$87/ext_sh</f>
        <v>675</v>
      </c>
      <c r="O88" s="33" t="n">
        <f aca="false">Sens!$O$87/ext_sh</f>
        <v>675</v>
      </c>
      <c r="P88" s="8" t="s">
        <v>558</v>
      </c>
      <c r="R88" s="33" t="n">
        <f aca="false">mw_ye23/ext_sh</f>
        <v>150</v>
      </c>
      <c r="S88" s="33" t="n">
        <f aca="false">Sens!$C$88</f>
        <v>300</v>
      </c>
      <c r="T88" s="33" t="n">
        <f aca="false">Sens!$D$88</f>
        <v>1350</v>
      </c>
      <c r="U88" s="33" t="n">
        <f aca="false">Sens!$G$88</f>
        <v>3071.4375</v>
      </c>
      <c r="V88" s="33" t="n">
        <f aca="false">Sens!$H$88</f>
        <v>4542.875</v>
      </c>
      <c r="W88" s="33" t="n">
        <f aca="false">Sens!$I$88</f>
        <v>4542.875</v>
      </c>
      <c r="X88" s="33" t="n">
        <f aca="false">Sens!$J$88</f>
        <v>4542.875</v>
      </c>
      <c r="Y88" s="33" t="n">
        <f aca="false">Sens!$K$88</f>
        <v>4542.875</v>
      </c>
      <c r="Z88" s="33" t="n">
        <f aca="false">Sens!$L$88</f>
        <v>4542.875</v>
      </c>
      <c r="AA88" s="33" t="n">
        <f aca="false">Sens!$M$88</f>
        <v>4542.875</v>
      </c>
    </row>
    <row r="89" customFormat="false" ht="17.15" hidden="false" customHeight="false" outlineLevel="0" collapsed="false">
      <c r="A89" s="1" t="s">
        <v>559</v>
      </c>
    </row>
    <row r="90" customFormat="false" ht="17.15" hidden="false" customHeight="false" outlineLevel="0" collapsed="false">
      <c r="A90" s="0" t="s">
        <v>560</v>
      </c>
      <c r="B90" s="0" t="s">
        <v>52</v>
      </c>
      <c r="F90" s="35" t="n">
        <f aca="false">na_vr26</f>
        <v>0</v>
      </c>
      <c r="G90" s="35" t="n">
        <f aca="false">na_vr26</f>
        <v>0</v>
      </c>
      <c r="H90" s="35" t="n">
        <f aca="false">na_vr27</f>
        <v>0.5</v>
      </c>
      <c r="I90" s="35" t="n">
        <f aca="false">na_vr28</f>
        <v>1</v>
      </c>
      <c r="J90" s="35" t="n">
        <f aca="false">na_vr28</f>
        <v>1</v>
      </c>
      <c r="K90" s="35" t="n">
        <f aca="false">na_vr28</f>
        <v>1</v>
      </c>
      <c r="L90" s="35" t="n">
        <f aca="false">na_vr28</f>
        <v>1</v>
      </c>
      <c r="M90" s="35" t="n">
        <f aca="false">na_vr28</f>
        <v>1</v>
      </c>
    </row>
    <row r="91" customFormat="false" ht="17.15" hidden="false" customHeight="false" outlineLevel="0" collapsed="false">
      <c r="A91" s="5" t="s">
        <v>561</v>
      </c>
      <c r="B91" s="0" t="s">
        <v>151</v>
      </c>
      <c r="F91" s="36" t="n">
        <f aca="false">cust_sh*tk_he_gb300*cf_chip+(1-cust_sh)*((1-Sens!$F$90)*tk_he_gb300+Sens!$F$90*tk_he_vr200)</f>
        <v>10.8864110021101</v>
      </c>
      <c r="G91" s="36" t="n">
        <f aca="false">cust_sh*tk_he_gb300*cf_chip+(1-cust_sh)*((1-Sens!$G$90)*tk_he_gb300+Sens!$G$90*tk_he_vr200)</f>
        <v>10.8864110021101</v>
      </c>
      <c r="H91" s="36" t="n">
        <f aca="false">cust_sh*tk_he_gb300*cf_chip+(1-cust_sh)*((1-Sens!$H$90)*tk_he_gb300+Sens!$H$90*tk_he_vr200)</f>
        <v>11.2211760027286</v>
      </c>
      <c r="I91" s="36" t="n">
        <f aca="false">cust_sh*tk_he_gb300*cf_chip+(1-cust_sh)*((1-Sens!$I$90)*tk_he_gb300+Sens!$I$90*tk_he_vr200)</f>
        <v>11.5559410033471</v>
      </c>
      <c r="J91" s="36" t="n">
        <f aca="false">cust_sh*tk_he_gb300*cf_chip+(1-cust_sh)*((1-Sens!$J$90)*tk_he_gb300+Sens!$J$90*tk_he_vr200)</f>
        <v>11.5559410033471</v>
      </c>
      <c r="K91" s="36" t="n">
        <f aca="false">cust_sh*tk_he_gb300*cf_chip+(1-cust_sh)*((1-Sens!$K$90)*tk_he_gb300+Sens!$K$90*tk_he_vr200)</f>
        <v>11.5559410033471</v>
      </c>
      <c r="L91" s="36" t="n">
        <f aca="false">cust_sh*tk_he_gb300*cf_chip+(1-cust_sh)*((1-Sens!$L$90)*tk_he_gb300+Sens!$L$90*tk_he_vr200)</f>
        <v>11.5559410033471</v>
      </c>
      <c r="M91" s="36" t="n">
        <f aca="false">cust_sh*tk_he_gb300*cf_chip+(1-cust_sh)*((1-Sens!$M$90)*tk_he_gb300+Sens!$M$90*tk_he_vr200)</f>
        <v>11.5559410033471</v>
      </c>
    </row>
    <row r="92" customFormat="false" ht="17.15" hidden="false" customHeight="false" outlineLevel="0" collapsed="false">
      <c r="A92" s="5" t="s">
        <v>562</v>
      </c>
      <c r="B92" s="0" t="s">
        <v>151</v>
      </c>
      <c r="F92" s="36" t="n">
        <f aca="false">cust_sh*tk_ox_gb300+(1-cust_sh)*((1-Sens!$F$90)*tk_ox_gb300+Sens!$F$90*tk_ox_vr200)</f>
        <v>1.98263481314457</v>
      </c>
      <c r="G92" s="36" t="n">
        <f aca="false">cust_sh*tk_ox_gb300+(1-cust_sh)*((1-Sens!$G$90)*tk_ox_gb300+Sens!$G$90*tk_ox_vr200)</f>
        <v>1.98263481314457</v>
      </c>
      <c r="H92" s="36" t="n">
        <f aca="false">cust_sh*tk_ox_gb300+(1-cust_sh)*((1-Sens!$H$90)*tk_ox_gb300+Sens!$H$90*tk_ox_vr200)</f>
        <v>2.01034999693694</v>
      </c>
      <c r="I92" s="36" t="n">
        <f aca="false">cust_sh*tk_ox_gb300+(1-cust_sh)*((1-Sens!$I$90)*tk_ox_gb300+Sens!$I$90*tk_ox_vr200)</f>
        <v>2.0380651807293</v>
      </c>
      <c r="J92" s="36" t="n">
        <f aca="false">cust_sh*tk_ox_gb300+(1-cust_sh)*((1-Sens!$J$90)*tk_ox_gb300+Sens!$J$90*tk_ox_vr200)</f>
        <v>2.0380651807293</v>
      </c>
      <c r="K92" s="36" t="n">
        <f aca="false">cust_sh*tk_ox_gb300+(1-cust_sh)*((1-Sens!$K$90)*tk_ox_gb300+Sens!$K$90*tk_ox_vr200)</f>
        <v>2.0380651807293</v>
      </c>
      <c r="L92" s="36" t="n">
        <f aca="false">cust_sh*tk_ox_gb300+(1-cust_sh)*((1-Sens!$L$90)*tk_ox_gb300+Sens!$L$90*tk_ox_vr200)</f>
        <v>2.0380651807293</v>
      </c>
      <c r="M92" s="36" t="n">
        <f aca="false">cust_sh*tk_ox_gb300+(1-cust_sh)*((1-Sens!$M$90)*tk_ox_gb300+Sens!$M$90*tk_ox_vr200)</f>
        <v>2.0380651807293</v>
      </c>
    </row>
    <row r="93" customFormat="false" ht="17.15" hidden="false" customHeight="false" outlineLevel="0" collapsed="false">
      <c r="A93" s="5" t="s">
        <v>563</v>
      </c>
      <c r="B93" s="0" t="s">
        <v>170</v>
      </c>
      <c r="F93" s="36" t="n">
        <f aca="false">cust_sh*tk_cx_gb300*cf_cx+(1-cust_sh)*((1-Sens!$F$90)*tk_cx_gb300+Sens!$F$90*tk_cx_vr200)</f>
        <v>32.237224</v>
      </c>
      <c r="G93" s="36" t="n">
        <f aca="false">cust_sh*tk_cx_gb300*cf_cx+(1-cust_sh)*((1-Sens!$G$90)*tk_cx_gb300+Sens!$G$90*tk_cx_vr200)</f>
        <v>32.237224</v>
      </c>
      <c r="H93" s="36" t="n">
        <f aca="false">cust_sh*tk_cx_gb300*cf_cx+(1-cust_sh)*((1-Sens!$H$90)*tk_cx_gb300+Sens!$H$90*tk_cx_vr200)</f>
        <v>33.574506</v>
      </c>
      <c r="I93" s="36" t="n">
        <f aca="false">cust_sh*tk_cx_gb300*cf_cx+(1-cust_sh)*((1-Sens!$I$90)*tk_cx_gb300+Sens!$I$90*tk_cx_vr200)</f>
        <v>34.911788</v>
      </c>
      <c r="J93" s="36" t="n">
        <f aca="false">cust_sh*tk_cx_gb300*cf_cx+(1-cust_sh)*((1-Sens!$J$90)*tk_cx_gb300+Sens!$J$90*tk_cx_vr200)</f>
        <v>34.911788</v>
      </c>
      <c r="K93" s="36" t="n">
        <f aca="false">cust_sh*tk_cx_gb300*cf_cx+(1-cust_sh)*((1-Sens!$K$90)*tk_cx_gb300+Sens!$K$90*tk_cx_vr200)</f>
        <v>34.911788</v>
      </c>
      <c r="L93" s="36" t="n">
        <f aca="false">cust_sh*tk_cx_gb300*cf_cx+(1-cust_sh)*((1-Sens!$L$90)*tk_cx_gb300+Sens!$L$90*tk_cx_vr200)</f>
        <v>34.911788</v>
      </c>
      <c r="M93" s="36" t="n">
        <f aca="false">cust_sh*tk_cx_gb300*cf_cx+(1-cust_sh)*((1-Sens!$M$90)*tk_cx_gb300+Sens!$M$90*tk_cx_vr200)</f>
        <v>34.911788</v>
      </c>
    </row>
    <row r="94" customFormat="false" ht="17.15" hidden="false" customHeight="false" outlineLevel="0" collapsed="false">
      <c r="A94" s="5" t="s">
        <v>564</v>
      </c>
      <c r="B94" s="0" t="s">
        <v>108</v>
      </c>
      <c r="F94" s="33" t="n">
        <f aca="false">Sens!$F$84-mw_open</f>
        <v>1817.15</v>
      </c>
      <c r="G94" s="33" t="n">
        <f aca="false">Sens!$F$94</f>
        <v>1817.15</v>
      </c>
      <c r="H94" s="33" t="n">
        <f aca="false">Sens!$H$84-mw_open</f>
        <v>5451.45</v>
      </c>
      <c r="I94" s="33" t="n">
        <f aca="false">Sens!$I$84-mw_open</f>
        <v>9085.75</v>
      </c>
      <c r="J94" s="33" t="n">
        <f aca="false">Sens!$J$84-mw_open</f>
        <v>12720.05</v>
      </c>
      <c r="K94" s="33" t="n">
        <f aca="false">Sens!$K$84-mw_open</f>
        <v>16354.35</v>
      </c>
      <c r="L94" s="33" t="n">
        <f aca="false">Sens!$L$84-mw_open</f>
        <v>19988.65</v>
      </c>
      <c r="M94" s="33" t="n">
        <f aca="false">Sens!$M$84-mw_open</f>
        <v>23622.95</v>
      </c>
    </row>
    <row r="95" customFormat="false" ht="17.15" hidden="false" customHeight="false" outlineLevel="0" collapsed="false">
      <c r="A95" s="0" t="s">
        <v>565</v>
      </c>
      <c r="B95" s="0" t="s">
        <v>566</v>
      </c>
      <c r="F95" s="33" t="n">
        <f aca="false">Sens!$F$87*Sens!$F$91</f>
        <v>19782.2417524844</v>
      </c>
      <c r="G95" s="33" t="n">
        <f aca="false">Sens!$F$95</f>
        <v>19782.2417524844</v>
      </c>
      <c r="H95" s="33" t="n">
        <f aca="false">Sens!$G$95+Sens!$H$87*Sens!$H$91</f>
        <v>60563.3616992009</v>
      </c>
      <c r="I95" s="33" t="n">
        <f aca="false">Sens!$H$95+Sens!$I$87*Sens!$I$91</f>
        <v>102561.118087665</v>
      </c>
      <c r="J95" s="33" t="n">
        <f aca="false">Sens!$I$95+Sens!$J$87*Sens!$J$91</f>
        <v>144558.87447613</v>
      </c>
      <c r="K95" s="33" t="n">
        <f aca="false">Sens!$J$95+Sens!$K$87*Sens!$K$91</f>
        <v>186556.630864594</v>
      </c>
      <c r="L95" s="33" t="n">
        <f aca="false">Sens!$K$95+Sens!$L$87*Sens!$L$91</f>
        <v>228554.387253058</v>
      </c>
      <c r="M95" s="33" t="n">
        <f aca="false">Sens!$L$95+Sens!$M$87*Sens!$M$91</f>
        <v>270552.143641523</v>
      </c>
    </row>
    <row r="96" customFormat="false" ht="17.15" hidden="false" customHeight="false" outlineLevel="0" collapsed="false">
      <c r="A96" s="0" t="s">
        <v>567</v>
      </c>
      <c r="B96" s="0" t="s">
        <v>566</v>
      </c>
      <c r="F96" s="33" t="n">
        <f aca="false">Sens!$F$87*Sens!$F$92</f>
        <v>3602.74485070566</v>
      </c>
      <c r="G96" s="33" t="n">
        <f aca="false">Sens!$F$96</f>
        <v>3602.74485070566</v>
      </c>
      <c r="H96" s="33" t="n">
        <f aca="false">Sens!$G$96+Sens!$H$87*Sens!$H$92</f>
        <v>10908.9598445736</v>
      </c>
      <c r="I96" s="33" t="n">
        <f aca="false">Sens!$H$96+Sens!$I$87*Sens!$I$92</f>
        <v>18315.9001308981</v>
      </c>
      <c r="J96" s="33" t="n">
        <f aca="false">Sens!$I$96+Sens!$J$87*Sens!$J$92</f>
        <v>25722.8404172225</v>
      </c>
      <c r="K96" s="33" t="n">
        <f aca="false">Sens!$J$96+Sens!$K$87*Sens!$K$92</f>
        <v>33129.780703547</v>
      </c>
      <c r="L96" s="33" t="n">
        <f aca="false">Sens!$K$96+Sens!$L$87*Sens!$L$92</f>
        <v>40536.7209898715</v>
      </c>
      <c r="M96" s="33" t="n">
        <f aca="false">Sens!$L$96+Sens!$M$87*Sens!$M$92</f>
        <v>47943.661276196</v>
      </c>
    </row>
    <row r="97" customFormat="false" ht="17.15" hidden="false" customHeight="false" outlineLevel="0" collapsed="false">
      <c r="A97" s="5" t="s">
        <v>568</v>
      </c>
      <c r="B97" s="0" t="s">
        <v>151</v>
      </c>
      <c r="F97" s="36" t="n">
        <f aca="false">IF(Sens!$F$94&gt;0,Sens!$F$95/Sens!$F$94,Sens!$F$91)</f>
        <v>10.8864110021101</v>
      </c>
      <c r="G97" s="36" t="n">
        <f aca="false">IF(Sens!$G$94&gt;0,Sens!$G$95/Sens!$G$94,Sens!$G$91)</f>
        <v>10.8864110021101</v>
      </c>
      <c r="H97" s="36" t="n">
        <f aca="false">IF(Sens!$H$94&gt;0,Sens!$H$95/Sens!$H$94,Sens!$H$91)</f>
        <v>11.1095876691891</v>
      </c>
      <c r="I97" s="36" t="n">
        <f aca="false">IF(Sens!$I$94&gt;0,Sens!$I$95/Sens!$I$94,Sens!$I$91)</f>
        <v>11.2881290028523</v>
      </c>
      <c r="J97" s="36" t="n">
        <f aca="false">IF(Sens!$J$94&gt;0,Sens!$J$95/Sens!$J$94,Sens!$J$91)</f>
        <v>11.3646467172794</v>
      </c>
      <c r="K97" s="36" t="n">
        <f aca="false">IF(Sens!$K$94&gt;0,Sens!$K$95/Sens!$K$94,Sens!$K$91)</f>
        <v>11.4071565586278</v>
      </c>
      <c r="L97" s="36" t="n">
        <f aca="false">IF(Sens!$L$94&gt;0,Sens!$L$95/Sens!$L$94,Sens!$L$91)</f>
        <v>11.4342082758495</v>
      </c>
      <c r="M97" s="36" t="n">
        <f aca="false">IF(Sens!$M$94&gt;0,Sens!$M$95/Sens!$M$94,Sens!$M$91)</f>
        <v>11.4529363877722</v>
      </c>
    </row>
    <row r="98" customFormat="false" ht="17.15" hidden="false" customHeight="false" outlineLevel="0" collapsed="false">
      <c r="A98" s="5" t="s">
        <v>569</v>
      </c>
      <c r="B98" s="0" t="s">
        <v>151</v>
      </c>
      <c r="F98" s="36" t="n">
        <f aca="false">IF(Sens!$F$94&gt;0,Sens!$F$96/Sens!$F$94,Sens!$F$92)</f>
        <v>1.98263481314457</v>
      </c>
      <c r="G98" s="36" t="n">
        <f aca="false">IF(Sens!$G$94&gt;0,Sens!$G$96/Sens!$G$94,Sens!$G$92)</f>
        <v>1.98263481314457</v>
      </c>
      <c r="H98" s="36" t="n">
        <f aca="false">IF(Sens!$H$94&gt;0,Sens!$H$96/Sens!$H$94,Sens!$H$92)</f>
        <v>2.00111160233948</v>
      </c>
      <c r="I98" s="36" t="n">
        <f aca="false">IF(Sens!$I$94&gt;0,Sens!$I$96/Sens!$I$94,Sens!$I$92)</f>
        <v>2.01589303369541</v>
      </c>
      <c r="J98" s="36" t="n">
        <f aca="false">IF(Sens!$J$94&gt;0,Sens!$J$96/Sens!$J$94,Sens!$J$92)</f>
        <v>2.02222793284795</v>
      </c>
      <c r="K98" s="36" t="n">
        <f aca="false">IF(Sens!$K$94&gt;0,Sens!$K$96/Sens!$K$94,Sens!$K$92)</f>
        <v>2.02574732126603</v>
      </c>
      <c r="L98" s="36" t="n">
        <f aca="false">IF(Sens!$L$94&gt;0,Sens!$L$96/Sens!$L$94,Sens!$L$92)</f>
        <v>2.02798693207753</v>
      </c>
      <c r="M98" s="36" t="n">
        <f aca="false">IF(Sens!$M$94&gt;0,Sens!$M$96/Sens!$M$94,Sens!$M$92)</f>
        <v>2.02953743187011</v>
      </c>
    </row>
    <row r="99" customFormat="false" ht="17.15" hidden="false" customHeight="false" outlineLevel="0" collapsed="false">
      <c r="A99" s="14" t="s">
        <v>570</v>
      </c>
      <c r="B99" s="13" t="s">
        <v>151</v>
      </c>
      <c r="C99" s="13"/>
      <c r="D99" s="13"/>
      <c r="E99" s="13"/>
      <c r="F99" s="37" t="n">
        <f aca="false">Sens!$F$97*k_B</f>
        <v>10.7987645808025</v>
      </c>
      <c r="G99" s="37" t="n">
        <f aca="false">Sens!$G$97*k_B</f>
        <v>10.7987645808025</v>
      </c>
      <c r="H99" s="37" t="n">
        <f aca="false">Sens!$H$97*k_B</f>
        <v>11.0201444540452</v>
      </c>
      <c r="I99" s="37" t="n">
        <f aca="false">Sens!$I$97*k_B</f>
        <v>11.1972483526393</v>
      </c>
      <c r="J99" s="37" t="n">
        <f aca="false">Sens!$J$97*k_B</f>
        <v>11.2731500234653</v>
      </c>
      <c r="K99" s="37" t="n">
        <f aca="false">Sens!$K$97*k_B</f>
        <v>11.3153176183687</v>
      </c>
      <c r="L99" s="37" t="n">
        <f aca="false">Sens!$L$97*k_B</f>
        <v>11.3421515423981</v>
      </c>
      <c r="M99" s="37" t="n">
        <f aca="false">Sens!$M$97*k_B</f>
        <v>11.3607288744184</v>
      </c>
      <c r="N99" s="13"/>
      <c r="O99" s="13"/>
      <c r="P99" s="5" t="s">
        <v>571</v>
      </c>
    </row>
    <row r="100" customFormat="false" ht="17.15" hidden="false" customHeight="false" outlineLevel="0" collapsed="false">
      <c r="A100" s="5" t="s">
        <v>572</v>
      </c>
      <c r="B100" s="0" t="s">
        <v>108</v>
      </c>
      <c r="F100" s="33" t="n">
        <f aca="false">Sens!$F$94/2</f>
        <v>908.575</v>
      </c>
      <c r="H100" s="33" t="n">
        <f aca="false">(Sens!$G$94+Sens!$H$94)/2</f>
        <v>3634.3</v>
      </c>
      <c r="I100" s="33" t="n">
        <f aca="false">(Sens!$H$94+Sens!$I$94)/2</f>
        <v>7268.6</v>
      </c>
      <c r="J100" s="33" t="n">
        <f aca="false">(Sens!$I$94+Sens!$J$94)/2</f>
        <v>10902.9</v>
      </c>
      <c r="K100" s="33" t="n">
        <f aca="false">(Sens!$J$94+Sens!$K$94)/2</f>
        <v>14537.2</v>
      </c>
      <c r="L100" s="33" t="n">
        <f aca="false">(Sens!$K$94+Sens!$L$94)/2</f>
        <v>18171.5</v>
      </c>
      <c r="M100" s="33" t="n">
        <f aca="false">(Sens!$L$94+Sens!$M$94)/2</f>
        <v>21805.8</v>
      </c>
    </row>
    <row r="101" customFormat="false" ht="17.15" hidden="false" customHeight="false" outlineLevel="0" collapsed="false">
      <c r="A101" s="1" t="s">
        <v>573</v>
      </c>
    </row>
    <row r="102" customFormat="false" ht="17.15" hidden="false" customHeight="false" outlineLevel="0" collapsed="false">
      <c r="A102" s="1" t="s">
        <v>574</v>
      </c>
      <c r="B102" s="8" t="s">
        <v>73</v>
      </c>
      <c r="C102" s="38" t="n">
        <f aca="false">Sens!$C$85*rpm_open*Sens!$C$86/1000</f>
        <v>2.32100535697364</v>
      </c>
      <c r="D102" s="38" t="n">
        <f aca="false">Sens!$D$85*rpm_open*Sens!$D$86/1000</f>
        <v>8.70377008865116</v>
      </c>
      <c r="E102" s="38" t="n">
        <f aca="false">Sens!$E$85*rpm_open*Sens!$E$86/1000</f>
        <v>8.51035297557002</v>
      </c>
      <c r="F102" s="38" t="n">
        <f aca="false">(mw_open*rpm_open+Sens!$F$100*Sens!$F$99)*Sens!$F$86/1000</f>
        <v>14.9634336447205</v>
      </c>
      <c r="G102" s="38" t="n">
        <f aca="false">Sens!$E$102+Sens!$F$102</f>
        <v>23.4737866202905</v>
      </c>
      <c r="H102" s="38" t="n">
        <f aca="false">(mw_open*rpm_open+Sens!$H$100*Sens!$H$99)/1000</f>
        <v>60.1658907497746</v>
      </c>
      <c r="I102" s="38" t="n">
        <f aca="false">(mw_open*rpm_open+Sens!$I$100*Sens!$I$99)/1000</f>
        <v>101.503699136432</v>
      </c>
      <c r="J102" s="38" t="n">
        <f aca="false">(mw_open*rpm_open+Sens!$J$100*Sens!$J$99)/1000</f>
        <v>143.025407151278</v>
      </c>
      <c r="K102" s="38" t="n">
        <f aca="false">(mw_open*rpm_open+Sens!$K$100*Sens!$K$99)/1000</f>
        <v>184.608415042187</v>
      </c>
      <c r="L102" s="38" t="n">
        <f aca="false">(mw_open*rpm_open+Sens!$L$100*Sens!$L$99)/1000</f>
        <v>226.219286513125</v>
      </c>
      <c r="M102" s="38" t="n">
        <f aca="false">(mw_open*rpm_open+Sens!$M$100*Sens!$M$99)/1000</f>
        <v>267.845161450232</v>
      </c>
      <c r="N102" s="38" t="n">
        <f aca="false">Sens!$N$85*rpm_open*Sens!$N$86/1000</f>
        <v>3.04631953102791</v>
      </c>
      <c r="O102" s="38" t="n">
        <f aca="false">Sens!$O$85*rpm_open*Sens!$O$86/1000</f>
        <v>5.65745055762326</v>
      </c>
      <c r="P102" s="5" t="s">
        <v>575</v>
      </c>
    </row>
    <row r="103" customFormat="false" ht="17.15" hidden="false" customHeight="false" outlineLevel="0" collapsed="false">
      <c r="A103" s="5" t="s">
        <v>576</v>
      </c>
      <c r="B103" s="0" t="s">
        <v>151</v>
      </c>
      <c r="C103" s="36" t="n">
        <f aca="false">Sens!$C$102*1000/(Sens!$C$85*Sens!$C$86)</f>
        <v>9.67085565405685</v>
      </c>
      <c r="D103" s="36" t="n">
        <f aca="false">Sens!$D$102*1000/(Sens!$D$85*Sens!$D$86)</f>
        <v>9.67085565405685</v>
      </c>
      <c r="E103" s="36" t="n">
        <f aca="false">Sens!$E$102*1000/(Sens!$E$85*Sens!$E$86)</f>
        <v>9.67085565405685</v>
      </c>
      <c r="F103" s="36" t="n">
        <f aca="false">Sens!$F$102*1000/(Sens!$F$85*Sens!$F$86)</f>
        <v>10.0137581588017</v>
      </c>
      <c r="G103" s="36" t="n">
        <f aca="false">Sens!$G$102*1000/(Sens!$G$85*Sens!$G$86)</f>
        <v>9.88666562928478</v>
      </c>
      <c r="H103" s="36" t="n">
        <f aca="false">Sens!$H$102*1000/(Sens!$H$85*Sens!$H$86)</f>
        <v>10.5290045586992</v>
      </c>
      <c r="I103" s="36" t="n">
        <f aca="false">Sens!$I$102*1000/(Sens!$I$85*Sens!$I$86)</f>
        <v>10.8576363451674</v>
      </c>
      <c r="J103" s="36" t="n">
        <f aca="false">Sens!$J$102*1000/(Sens!$J$85*Sens!$J$86)</f>
        <v>11.0164452588619</v>
      </c>
      <c r="K103" s="36" t="n">
        <f aca="false">Sens!$K$102*1000/(Sens!$K$85*Sens!$K$86)</f>
        <v>11.1094778327388</v>
      </c>
      <c r="L103" s="36" t="n">
        <f aca="false">Sens!$L$102*1000/(Sens!$L$85*Sens!$L$86)</f>
        <v>11.1704953466718</v>
      </c>
      <c r="M103" s="36" t="n">
        <f aca="false">Sens!$M$102*1000/(Sens!$M$85*Sens!$M$86)</f>
        <v>11.2135729785158</v>
      </c>
      <c r="N103" s="36" t="n">
        <f aca="false">Sens!$N$102*1000/(Sens!$N$85*Sens!$N$86)</f>
        <v>9.67085565405685</v>
      </c>
      <c r="O103" s="36" t="n">
        <f aca="false">Sens!$O$102*1000/(Sens!$O$85*Sens!$O$86)</f>
        <v>9.67085565405685</v>
      </c>
    </row>
    <row r="104" customFormat="false" ht="17.15" hidden="false" customHeight="false" outlineLevel="0" collapsed="false">
      <c r="A104" s="0" t="s">
        <v>577</v>
      </c>
      <c r="B104" s="0" t="s">
        <v>73</v>
      </c>
      <c r="C104" s="38" t="n">
        <f aca="false">Sens!$C$85/ext_sh*(ox_open+rent_mw)*Sens!$C$86/1000</f>
        <v>0.642569210675032</v>
      </c>
      <c r="D104" s="38" t="n">
        <f aca="false">Sens!$D$85/ext_sh*(ox_open+rent_mw)*Sens!$D$86/1000</f>
        <v>2.40963454003137</v>
      </c>
      <c r="E104" s="38" t="n">
        <f aca="false">Sens!$E$85/ext_sh*(ox_open+rent_mw)*Sens!$E$86/1000</f>
        <v>2.35608710580845</v>
      </c>
      <c r="F104" s="38" t="n">
        <f aca="false">((mw_open*ox_open+Sens!$F$100*Sens!$F$98)/ext_sh+Sens!$F$85/ext_sh*rent_mw)*Sens!$F$86/1000</f>
        <v>4.05421991106232</v>
      </c>
      <c r="G104" s="38" t="n">
        <f aca="false">Sens!$E$104+Sens!$F$104</f>
        <v>6.41030701687077</v>
      </c>
      <c r="H104" s="38" t="n">
        <f aca="false">((mw_open*ox_open+Sens!$H$100*Sens!$H$98)/ext_sh+Sens!$H$85/ext_sh*rent_mw)*Sens!$H$86/1000</f>
        <v>15.8108975546616</v>
      </c>
      <c r="I104" s="38" t="n">
        <f aca="false">((mw_open*ox_open+Sens!$I$100*Sens!$I$98)/ext_sh+Sens!$I$85/ext_sh*rent_mw)*Sens!$I$86/1000</f>
        <v>26.1871623400817</v>
      </c>
      <c r="J104" s="38" t="n">
        <f aca="false">((mw_open*ox_open+Sens!$J$100*Sens!$J$98)/ext_sh+Sens!$J$85/ext_sh*rent_mw)*Sens!$J$86/1000</f>
        <v>36.5826128954935</v>
      </c>
      <c r="K104" s="38" t="n">
        <f aca="false">((mw_open*ox_open+Sens!$K$100*Sens!$K$98)/ext_sh+Sens!$K$85/ext_sh*rent_mw)*Sens!$K$86/1000</f>
        <v>46.9844587075692</v>
      </c>
      <c r="L104" s="38" t="n">
        <f aca="false">((mw_open*ox_open+Sens!$L$100*Sens!$L$98)/ext_sh+Sens!$L$85/ext_sh*rent_mw)*Sens!$L$86/1000</f>
        <v>57.3892114544922</v>
      </c>
      <c r="M104" s="38" t="n">
        <f aca="false">((mw_open*ox_open+Sens!$M$100*Sens!$M$98)/ext_sh+Sens!$M$85/ext_sh*rent_mw)*Sens!$M$86/1000</f>
        <v>67.7955294740252</v>
      </c>
      <c r="N104" s="38" t="n">
        <f aca="false">Sens!$N$85/ext_sh*(ox_open+rent_mw)*Sens!$N$86/1000</f>
        <v>0.84337208901098</v>
      </c>
      <c r="O104" s="38" t="n">
        <f aca="false">Sens!$O$85/ext_sh*(ox_open+rent_mw)*Sens!$O$86/1000</f>
        <v>1.56626245102039</v>
      </c>
    </row>
    <row r="105" customFormat="false" ht="17.15" hidden="false" customHeight="false" outlineLevel="0" collapsed="false">
      <c r="A105" s="0" t="s">
        <v>578</v>
      </c>
      <c r="B105" s="0" t="s">
        <v>73</v>
      </c>
      <c r="C105" s="38" t="n">
        <f aca="false">Q!$D$7</f>
        <v>107.556</v>
      </c>
      <c r="D105" s="38" t="n">
        <f aca="false">Q!$E$7</f>
        <v>128.725</v>
      </c>
      <c r="E105" s="38" t="n">
        <f aca="false">Q!$P$7</f>
        <v>79.819</v>
      </c>
      <c r="N105" s="38" t="n">
        <f aca="false">Q!$N$7</f>
        <v>60.14</v>
      </c>
      <c r="O105" s="38" t="n">
        <f aca="false">Q!$O$7</f>
        <v>68.585</v>
      </c>
    </row>
    <row r="106" customFormat="false" ht="17.15" hidden="false" customHeight="false" outlineLevel="0" collapsed="false">
      <c r="A106" s="1" t="s">
        <v>579</v>
      </c>
      <c r="B106" s="8" t="s">
        <v>73</v>
      </c>
      <c r="C106" s="38" t="n">
        <f aca="false">Sens!$C$105-Sens!$C$102</f>
        <v>105.234994643026</v>
      </c>
      <c r="D106" s="38" t="n">
        <f aca="false">Sens!$D$105-Sens!$D$102</f>
        <v>120.021229911349</v>
      </c>
      <c r="E106" s="38" t="n">
        <f aca="false">Sens!$E$105-Sens!$E$102</f>
        <v>71.30864702443</v>
      </c>
      <c r="F106" s="38" t="n">
        <f aca="false">Sens!$O$106*(1+Sens!$F$107)</f>
        <v>78.5950104186653</v>
      </c>
      <c r="G106" s="38" t="n">
        <f aca="false">Sens!$E$106+Sens!$F$106</f>
        <v>149.903657443095</v>
      </c>
      <c r="H106" s="38" t="n">
        <f aca="false">Sens!$G$106*(1+Sens!$H$107)</f>
        <v>180.893560768142</v>
      </c>
      <c r="I106" s="38" t="n">
        <f aca="false">Sens!$H$106*(1+Sens!$I$107)</f>
        <v>210.64839721501</v>
      </c>
      <c r="J106" s="38" t="n">
        <f aca="false">Sens!$I$106*(1+Sens!$J$107)</f>
        <v>236.398909446495</v>
      </c>
      <c r="K106" s="38" t="n">
        <f aca="false">Sens!$J$106*(1+Sens!$K$107)</f>
        <v>255.310822202215</v>
      </c>
      <c r="L106" s="38" t="n">
        <f aca="false">Sens!$K$106*(1+Sens!$L$107)</f>
        <v>275.735687978392</v>
      </c>
      <c r="M106" s="38" t="n">
        <f aca="false">Sens!$L$106*(1+Sens!$M$107)</f>
        <v>297.794543016663</v>
      </c>
      <c r="N106" s="38" t="n">
        <f aca="false">Sens!$N$105-Sens!$N$102</f>
        <v>57.0936804689721</v>
      </c>
      <c r="O106" s="38" t="n">
        <f aca="false">Sens!$O$105-Sens!$O$102</f>
        <v>62.9275494423768</v>
      </c>
      <c r="P106" s="5" t="s">
        <v>580</v>
      </c>
    </row>
    <row r="107" customFormat="false" ht="17.15" hidden="false" customHeight="false" outlineLevel="0" collapsed="false">
      <c r="A107" s="0" t="s">
        <v>581</v>
      </c>
      <c r="B107" s="0" t="s">
        <v>52</v>
      </c>
      <c r="E107" s="12" t="n">
        <f aca="false">Sens!$E$106/Sens!$N$106-1</f>
        <v>0.248976181579029</v>
      </c>
      <c r="F107" s="12" t="n">
        <f aca="false">Sens!$E$107</f>
        <v>0.248976181579029</v>
      </c>
      <c r="G107" s="12" t="n">
        <f aca="false">Sens!$G$106/Sens!$D$106-1</f>
        <v>0.248976181579029</v>
      </c>
      <c r="H107" s="12" t="n">
        <f aca="false">Sens!$E$107+(g_awso_lt-Sens!$E$107)*1/4</f>
        <v>0.206732136184272</v>
      </c>
      <c r="I107" s="12" t="n">
        <f aca="false">Sens!$E$107+(g_awso_lt-Sens!$E$107)*2/4</f>
        <v>0.164488090789515</v>
      </c>
      <c r="J107" s="12" t="n">
        <f aca="false">Sens!$E$107+(g_awso_lt-Sens!$E$107)*3/4</f>
        <v>0.122244045394757</v>
      </c>
      <c r="K107" s="12" t="n">
        <f aca="false">Sens!$E$107+(g_awso_lt-Sens!$E$107)*4/4</f>
        <v>0.08</v>
      </c>
      <c r="L107" s="12" t="n">
        <f aca="false">g_awso_lt</f>
        <v>0.08</v>
      </c>
      <c r="M107" s="12" t="n">
        <f aca="false">g_awso_lt</f>
        <v>0.08</v>
      </c>
      <c r="P107" s="8" t="s">
        <v>582</v>
      </c>
    </row>
    <row r="108" customFormat="false" ht="17.15" hidden="false" customHeight="false" outlineLevel="0" collapsed="false">
      <c r="A108" s="1" t="s">
        <v>583</v>
      </c>
    </row>
    <row r="109" customFormat="false" ht="17.15" hidden="false" customHeight="false" outlineLevel="0" collapsed="false">
      <c r="A109" s="0" t="s">
        <v>584</v>
      </c>
      <c r="B109" s="0" t="s">
        <v>73</v>
      </c>
      <c r="F109" s="38" t="n">
        <f aca="false">cx_rt*Sens!$F$75+cx_awso*Sens!$F$106</f>
        <v>36.8045765066526</v>
      </c>
    </row>
    <row r="110" customFormat="false" ht="17.15" hidden="false" customHeight="false" outlineLevel="0" collapsed="false">
      <c r="A110" s="0" t="s">
        <v>585</v>
      </c>
      <c r="B110" s="0" t="s">
        <v>52</v>
      </c>
      <c r="C110" s="12" t="n">
        <f aca="false">tk_cx_h100/(tk_cx_h100+tk_fac*(1-colo_sh))</f>
        <v>0.730756458006641</v>
      </c>
      <c r="D110" s="12" t="n">
        <f aca="false">tk_cx_h100/(tk_cx_h100+tk_fac*(1-colo_sh))</f>
        <v>0.730756458006641</v>
      </c>
      <c r="E110" s="12" t="n">
        <f aca="false">Sens!$F$110</f>
        <v>0.760792334328868</v>
      </c>
      <c r="F110" s="12" t="n">
        <f aca="false">Sens!$F$93/(Sens!$F$93+tk_fac*(1-colo_sh))</f>
        <v>0.760792334328868</v>
      </c>
      <c r="G110" s="12" t="n">
        <f aca="false">Sens!$G$93/(Sens!$G$93+tk_fac*(1-colo_sh))</f>
        <v>0.760792334328868</v>
      </c>
      <c r="H110" s="12" t="n">
        <f aca="false">Sens!$H$93/(Sens!$H$93+tk_fac*(1-colo_sh))</f>
        <v>0.768110668862996</v>
      </c>
      <c r="I110" s="12" t="n">
        <f aca="false">Sens!$I$93/(Sens!$I$93+tk_fac*(1-colo_sh))</f>
        <v>0.77499450139483</v>
      </c>
      <c r="J110" s="12" t="n">
        <f aca="false">Sens!$J$93/(Sens!$J$93+tk_fac*(1-colo_sh))</f>
        <v>0.77499450139483</v>
      </c>
      <c r="K110" s="12" t="n">
        <f aca="false">Sens!$K$93/(Sens!$K$93+tk_fac*(1-colo_sh))</f>
        <v>0.77499450139483</v>
      </c>
      <c r="L110" s="12" t="n">
        <f aca="false">Sens!$L$93/(Sens!$L$93+tk_fac*(1-colo_sh))</f>
        <v>0.77499450139483</v>
      </c>
      <c r="M110" s="12" t="n">
        <f aca="false">Sens!$M$93/(Sens!$M$93+tk_fac*(1-colo_sh))</f>
        <v>0.77499450139483</v>
      </c>
    </row>
    <row r="111" customFormat="false" ht="17.15" hidden="false" customHeight="false" outlineLevel="0" collapsed="false">
      <c r="A111" s="1" t="s">
        <v>586</v>
      </c>
      <c r="B111" s="8" t="s">
        <v>73</v>
      </c>
      <c r="C111" s="38" t="n">
        <f aca="false">Q!$D$46-cx_rt*Q!$D$16-cx_awso*Sens!$C$106</f>
        <v>25.2781053077374</v>
      </c>
      <c r="D111" s="38" t="n">
        <f aca="false">Q!$E$46-cx_rt*Q!$E$16-cx_awso*Sens!$D$106</f>
        <v>69.5686316310026</v>
      </c>
      <c r="E111" s="38" t="n">
        <f aca="false">Q!$P$46-cx_rt*Q!$P$16-cx_awso*Sens!$E$106</f>
        <v>64.1899206485108</v>
      </c>
      <c r="F111" s="38" t="n">
        <f aca="false">MAX(Sens!$F$88*(Sens!$F$93+tk_fac*(1-colo_sh))/1000,capex_g26-Q!$P$46-Sens!$F$109)</f>
        <v>96.2481299895</v>
      </c>
      <c r="G111" s="38" t="n">
        <f aca="false">Sens!$E$111+Sens!$F$111</f>
        <v>160.438050638011</v>
      </c>
      <c r="H111" s="38" t="n">
        <f aca="false">Sens!$H$88*(Sens!$H$93+tk_fac*(1-colo_sh))/1000+Sens!$H$112</f>
        <v>198.57136494475</v>
      </c>
      <c r="I111" s="38" t="n">
        <f aca="false">Sens!$I$88*(Sens!$I$93+tk_fac*(1-colo_sh))/1000+Sens!$I$112</f>
        <v>204.6464699105</v>
      </c>
      <c r="J111" s="38" t="n">
        <f aca="false">Sens!$J$88*(Sens!$J$93+tk_fac*(1-colo_sh))/1000+Sens!$J$112</f>
        <v>209.8832381105</v>
      </c>
      <c r="K111" s="38" t="n">
        <f aca="false">Sens!$K$88*(Sens!$K$93+tk_fac*(1-colo_sh))/1000+Sens!$K$112</f>
        <v>215.1200063105</v>
      </c>
      <c r="L111" s="38" t="n">
        <f aca="false">Sens!$L$88*(Sens!$L$93+tk_fac*(1-colo_sh))/1000+Sens!$L$112</f>
        <v>251.7773837105</v>
      </c>
      <c r="M111" s="38" t="n">
        <f aca="false">Sens!$M$88*(Sens!$M$93+tk_fac*(1-colo_sh))/1000+Sens!$M$112</f>
        <v>311.87584476575</v>
      </c>
      <c r="P111" s="5" t="s">
        <v>587</v>
      </c>
      <c r="R111" s="38" t="n">
        <f aca="false">Q!$C$46-cx_rt*Q!$C$16-cx_awso*(Q!$C$7-mw_ye23/2*rpm_open/1000)</f>
        <v>1.50429979529945</v>
      </c>
      <c r="S111" s="38" t="n">
        <f aca="false">Sens!$C$111</f>
        <v>25.2781053077374</v>
      </c>
      <c r="T111" s="38" t="n">
        <f aca="false">Sens!$D$111</f>
        <v>69.5686316310026</v>
      </c>
      <c r="U111" s="38" t="n">
        <f aca="false">Sens!$G$111</f>
        <v>160.438050638011</v>
      </c>
      <c r="V111" s="38" t="n">
        <f aca="false">Sens!$H$111</f>
        <v>198.57136494475</v>
      </c>
      <c r="W111" s="38" t="n">
        <f aca="false">Sens!$I$111</f>
        <v>204.6464699105</v>
      </c>
      <c r="X111" s="38" t="n">
        <f aca="false">Sens!$J$111</f>
        <v>209.8832381105</v>
      </c>
      <c r="Y111" s="38" t="n">
        <f aca="false">Sens!$K$111</f>
        <v>215.1200063105</v>
      </c>
      <c r="Z111" s="38" t="n">
        <f aca="false">Sens!$L$111</f>
        <v>251.7773837105</v>
      </c>
      <c r="AA111" s="38" t="n">
        <f aca="false">Sens!$M$111</f>
        <v>311.87584476575</v>
      </c>
    </row>
    <row r="112" customFormat="false" ht="17.15" hidden="false" customHeight="false" outlineLevel="0" collapsed="false">
      <c r="A112" s="0" t="s">
        <v>588</v>
      </c>
      <c r="B112" s="0" t="s">
        <v>73</v>
      </c>
      <c r="H112" s="38" t="n">
        <f aca="false">SUMPRODUCT(--(Sens!$R$82:$AA$82=2027-tk_life),Sens!$R$88:$AA$88)*Sens!$H$93/1000</f>
        <v>0</v>
      </c>
      <c r="I112" s="38" t="n">
        <f aca="false">SUMPRODUCT(--(Sens!$R$82:$AA$82=2028-tk_life),Sens!$R$88:$AA$88)*Sens!$I$93/1000</f>
        <v>0</v>
      </c>
      <c r="J112" s="38" t="n">
        <f aca="false">SUMPRODUCT(--(Sens!$R$82:$AA$82=2029-tk_life),Sens!$R$88:$AA$88)*Sens!$J$93/1000</f>
        <v>5.2367682</v>
      </c>
      <c r="K112" s="38" t="n">
        <f aca="false">SUMPRODUCT(--(Sens!$R$82:$AA$82=2030-tk_life),Sens!$R$88:$AA$88)*Sens!$K$93/1000</f>
        <v>10.4735364</v>
      </c>
      <c r="L112" s="38" t="n">
        <f aca="false">SUMPRODUCT(--(Sens!$R$82:$AA$82=2031-tk_life),Sens!$R$88:$AA$88)*Sens!$L$93/1000</f>
        <v>47.1309138</v>
      </c>
      <c r="M112" s="38" t="n">
        <f aca="false">SUMPRODUCT(--(Sens!$R$82:$AA$82=2032-tk_life),Sens!$R$88:$AA$88)*Sens!$M$93/1000</f>
        <v>107.22937485525</v>
      </c>
    </row>
    <row r="113" customFormat="false" ht="17.15" hidden="false" customHeight="false" outlineLevel="0" collapsed="false">
      <c r="A113" s="5" t="s">
        <v>589</v>
      </c>
      <c r="B113" s="0" t="s">
        <v>73</v>
      </c>
      <c r="C113" s="38" t="n">
        <f aca="false">Sens!$C$111*Sens!$C$110</f>
        <v>18.472138699801</v>
      </c>
      <c r="D113" s="38" t="n">
        <f aca="false">Sens!$D$111*Sens!$D$110</f>
        <v>50.8377268390402</v>
      </c>
      <c r="E113" s="38" t="n">
        <f aca="false">Sens!$E$111*Sens!$E$110</f>
        <v>48.8351995705653</v>
      </c>
      <c r="F113" s="38" t="n">
        <f aca="false">Sens!$F$111*Sens!$F$110</f>
        <v>73.2248394895</v>
      </c>
      <c r="G113" s="38" t="n">
        <f aca="false">Sens!$E$113+Sens!$F$113</f>
        <v>122.060039060065</v>
      </c>
      <c r="H113" s="38" t="n">
        <f aca="false">(Sens!$H$111-Sens!$H$112)*Sens!$H$110+Sens!$H$112</f>
        <v>152.52478394475</v>
      </c>
      <c r="I113" s="38" t="n">
        <f aca="false">(Sens!$I$111-Sens!$I$112)*Sens!$I$110+Sens!$I$112</f>
        <v>158.5998889105</v>
      </c>
      <c r="J113" s="38" t="n">
        <f aca="false">(Sens!$J$111-Sens!$J$112)*Sens!$J$110+Sens!$J$112</f>
        <v>163.8366571105</v>
      </c>
      <c r="K113" s="38" t="n">
        <f aca="false">(Sens!$K$111-Sens!$K$112)*Sens!$K$110+Sens!$K$112</f>
        <v>169.0734253105</v>
      </c>
      <c r="L113" s="38" t="n">
        <f aca="false">(Sens!$L$111-Sens!$L$112)*Sens!$L$110+Sens!$L$112</f>
        <v>205.7308027105</v>
      </c>
      <c r="M113" s="38" t="n">
        <f aca="false">(Sens!$M$111-Sens!$M$112)*Sens!$M$110+Sens!$M$112</f>
        <v>265.82926376575</v>
      </c>
      <c r="R113" s="38" t="n">
        <f aca="false">Sens!$R$111*Sens!$C$110</f>
        <v>1.09927679019314</v>
      </c>
      <c r="S113" s="38" t="n">
        <f aca="false">Sens!$C$113</f>
        <v>18.472138699801</v>
      </c>
      <c r="T113" s="38" t="n">
        <f aca="false">Sens!$D$113</f>
        <v>50.8377268390402</v>
      </c>
      <c r="U113" s="38" t="n">
        <f aca="false">Sens!$G$113</f>
        <v>122.060039060065</v>
      </c>
      <c r="V113" s="38" t="n">
        <f aca="false">Sens!$H$113</f>
        <v>152.52478394475</v>
      </c>
      <c r="W113" s="38" t="n">
        <f aca="false">Sens!$I$113</f>
        <v>158.5998889105</v>
      </c>
      <c r="X113" s="38" t="n">
        <f aca="false">Sens!$J$113</f>
        <v>163.8366571105</v>
      </c>
      <c r="Y113" s="38" t="n">
        <f aca="false">Sens!$K$113</f>
        <v>169.0734253105</v>
      </c>
      <c r="Z113" s="38" t="n">
        <f aca="false">Sens!$L$113</f>
        <v>205.7308027105</v>
      </c>
      <c r="AA113" s="38" t="n">
        <f aca="false">Sens!$M$113</f>
        <v>265.82926376575</v>
      </c>
    </row>
    <row r="114" customFormat="false" ht="15" hidden="false" customHeight="false" outlineLevel="0" collapsed="false">
      <c r="A114" s="5" t="s">
        <v>590</v>
      </c>
      <c r="B114" s="0" t="s">
        <v>73</v>
      </c>
      <c r="R114" s="38" t="n">
        <f aca="false">Sens!$R$111-Sens!$R$113</f>
        <v>0.405023005106309</v>
      </c>
      <c r="S114" s="38" t="n">
        <f aca="false">Sens!$S$111-Sens!$S$113</f>
        <v>6.80596660793636</v>
      </c>
      <c r="T114" s="38" t="n">
        <f aca="false">Sens!$T$111-Sens!$T$113</f>
        <v>18.7309047919624</v>
      </c>
      <c r="U114" s="38" t="n">
        <f aca="false">Sens!$U$111-Sens!$U$113</f>
        <v>38.3780115779455</v>
      </c>
      <c r="V114" s="38" t="n">
        <f aca="false">Sens!$V$111-Sens!$V$113</f>
        <v>46.046581</v>
      </c>
      <c r="W114" s="38" t="n">
        <f aca="false">Sens!$W$111-Sens!$W$113</f>
        <v>46.046581</v>
      </c>
      <c r="X114" s="38" t="n">
        <f aca="false">Sens!$X$111-Sens!$X$113</f>
        <v>46.046581</v>
      </c>
      <c r="Y114" s="38" t="n">
        <f aca="false">Sens!$Y$111-Sens!$Y$113</f>
        <v>46.046581</v>
      </c>
      <c r="Z114" s="38" t="n">
        <f aca="false">Sens!$Z$111-Sens!$Z$113</f>
        <v>46.046581</v>
      </c>
      <c r="AA114" s="38" t="n">
        <f aca="false">Sens!$AA$111-Sens!$AA$113</f>
        <v>46.046581</v>
      </c>
    </row>
    <row r="115" customFormat="false" ht="17.15" hidden="false" customHeight="false" outlineLevel="0" collapsed="false">
      <c r="A115" s="0" t="s">
        <v>591</v>
      </c>
      <c r="B115" s="0" t="s">
        <v>73</v>
      </c>
      <c r="C115" s="38" t="n">
        <f aca="false">Sens!$S$115</f>
        <v>0.183212798365523</v>
      </c>
      <c r="D115" s="38" t="n">
        <f aca="false">Sens!$T$115</f>
        <v>3.2619025816657</v>
      </c>
      <c r="E115" s="38" t="n">
        <f aca="false">Sens!$G$115/2</f>
        <v>5.86742852741953</v>
      </c>
      <c r="F115" s="38" t="n">
        <f aca="false">Sens!$G$115/2</f>
        <v>5.86742852741953</v>
      </c>
      <c r="G115" s="38" t="n">
        <f aca="false">Sens!$U$115</f>
        <v>11.7348570548391</v>
      </c>
      <c r="H115" s="38" t="n">
        <f aca="false">Sens!$V$115</f>
        <v>32.0781968981833</v>
      </c>
      <c r="I115" s="38" t="n">
        <f aca="false">Sens!$W$115</f>
        <v>57.4989942223083</v>
      </c>
      <c r="J115" s="38" t="n">
        <f aca="false">Sens!$X$115</f>
        <v>83.932309040725</v>
      </c>
      <c r="K115" s="38" t="n">
        <f aca="false">Sens!$Y$115</f>
        <v>111.055205760776</v>
      </c>
      <c r="L115" s="38" t="n">
        <f aca="false">Sens!$Z$115</f>
        <v>136.155420195893</v>
      </c>
      <c r="M115" s="38" t="n">
        <f aca="false">Sens!$AA$115</f>
        <v>161.970932841136</v>
      </c>
      <c r="N115" s="38" t="n">
        <f aca="false">Sens!$D$115/2</f>
        <v>1.63095129083285</v>
      </c>
      <c r="O115" s="38" t="n">
        <f aca="false">Sens!$D$115/2</f>
        <v>1.63095129083285</v>
      </c>
      <c r="R115" s="38" t="n">
        <f aca="false">SUMPRODUCT(--(Sens!$R$82:$AA$82&lt;Sens!R$82),--(Sens!$R$82:$AA$82&gt;=Sens!R$82-tk_life),Sens!$R$113:$AA$113)/tk_life</f>
        <v>0</v>
      </c>
      <c r="S115" s="38" t="n">
        <f aca="false">SUMPRODUCT(--(Sens!$R$82:$AA$82&lt;Sens!S$82),--(Sens!$R$82:$AA$82&gt;=Sens!S$82-tk_life),Sens!$R$113:$AA$113)/tk_life</f>
        <v>0.183212798365523</v>
      </c>
      <c r="T115" s="38" t="n">
        <f aca="false">SUMPRODUCT(--(Sens!$R$82:$AA$82&lt;Sens!T$82),--(Sens!$R$82:$AA$82&gt;=Sens!T$82-tk_life),Sens!$R$113:$AA$113)/tk_life</f>
        <v>3.2619025816657</v>
      </c>
      <c r="U115" s="38" t="n">
        <f aca="false">SUMPRODUCT(--(Sens!$R$82:$AA$82&lt;Sens!U$82),--(Sens!$R$82:$AA$82&gt;=Sens!U$82-tk_life),Sens!$R$113:$AA$113)/tk_life</f>
        <v>11.7348570548391</v>
      </c>
      <c r="V115" s="38" t="n">
        <f aca="false">SUMPRODUCT(--(Sens!$R$82:$AA$82&lt;Sens!V$82),--(Sens!$R$82:$AA$82&gt;=Sens!V$82-tk_life),Sens!$R$113:$AA$113)/tk_life</f>
        <v>32.0781968981833</v>
      </c>
      <c r="W115" s="38" t="n">
        <f aca="false">SUMPRODUCT(--(Sens!$R$82:$AA$82&lt;Sens!W$82),--(Sens!$R$82:$AA$82&gt;=Sens!W$82-tk_life),Sens!$R$113:$AA$113)/tk_life</f>
        <v>57.4989942223083</v>
      </c>
      <c r="X115" s="38" t="n">
        <f aca="false">SUMPRODUCT(--(Sens!$R$82:$AA$82&lt;Sens!X$82),--(Sens!$R$82:$AA$82&gt;=Sens!X$82-tk_life),Sens!$R$113:$AA$113)/tk_life</f>
        <v>83.932309040725</v>
      </c>
      <c r="Y115" s="38" t="n">
        <f aca="false">SUMPRODUCT(--(Sens!$R$82:$AA$82&lt;Sens!Y$82),--(Sens!$R$82:$AA$82&gt;=Sens!Y$82-tk_life),Sens!$R$113:$AA$113)/tk_life</f>
        <v>111.055205760776</v>
      </c>
      <c r="Z115" s="38" t="n">
        <f aca="false">SUMPRODUCT(--(Sens!$R$82:$AA$82&lt;Sens!Z$82),--(Sens!$R$82:$AA$82&gt;=Sens!Z$82-tk_life),Sens!$R$113:$AA$113)/tk_life</f>
        <v>136.155420195893</v>
      </c>
      <c r="AA115" s="38" t="n">
        <f aca="false">SUMPRODUCT(--(Sens!$R$82:$AA$82&lt;Sens!AA$82),--(Sens!$R$82:$AA$82&gt;=Sens!AA$82-tk_life),Sens!$R$113:$AA$113)/tk_life</f>
        <v>161.970932841136</v>
      </c>
    </row>
    <row r="116" customFormat="false" ht="17.15" hidden="false" customHeight="false" outlineLevel="0" collapsed="false">
      <c r="A116" s="0" t="s">
        <v>592</v>
      </c>
      <c r="B116" s="0" t="s">
        <v>73</v>
      </c>
      <c r="C116" s="38" t="n">
        <f aca="false">Sens!$S$116</f>
        <v>0.0202511502553155</v>
      </c>
      <c r="D116" s="38" t="n">
        <f aca="false">Sens!$T$116</f>
        <v>0.360549480652134</v>
      </c>
      <c r="E116" s="38" t="n">
        <f aca="false">Sens!$G$116/2</f>
        <v>0.648547360125127</v>
      </c>
      <c r="F116" s="38" t="n">
        <f aca="false">Sens!$G$116/2</f>
        <v>0.648547360125127</v>
      </c>
      <c r="G116" s="38" t="n">
        <f aca="false">Sens!$U$116</f>
        <v>1.29709472025025</v>
      </c>
      <c r="H116" s="38" t="n">
        <f aca="false">Sens!$V$116</f>
        <v>3.21599529914753</v>
      </c>
      <c r="I116" s="38" t="n">
        <f aca="false">Sens!$W$116</f>
        <v>5.51832434914753</v>
      </c>
      <c r="J116" s="38" t="n">
        <f aca="false">Sens!$X$116</f>
        <v>7.82065339914753</v>
      </c>
      <c r="K116" s="38" t="n">
        <f aca="false">Sens!$Y$116</f>
        <v>10.1229824491475</v>
      </c>
      <c r="L116" s="38" t="n">
        <f aca="false">Sens!$Z$116</f>
        <v>12.4253114991475</v>
      </c>
      <c r="M116" s="38" t="n">
        <f aca="false">Sens!$AA$116</f>
        <v>14.7276405491475</v>
      </c>
      <c r="N116" s="38" t="n">
        <f aca="false">Sens!$D$116/2</f>
        <v>0.180274740326067</v>
      </c>
      <c r="O116" s="38" t="n">
        <f aca="false">Sens!$D$116/2</f>
        <v>0.180274740326067</v>
      </c>
      <c r="R116" s="38" t="n">
        <f aca="false">SUMPRODUCT(--(Sens!$R$82:$AA$82&lt;Sens!R$82),Sens!$R$114:$AA$114)/fac_life</f>
        <v>0</v>
      </c>
      <c r="S116" s="38" t="n">
        <f aca="false">SUMPRODUCT(--(Sens!$R$82:$AA$82&lt;Sens!S$82),Sens!$R$114:$AA$114)/fac_life</f>
        <v>0.0202511502553155</v>
      </c>
      <c r="T116" s="38" t="n">
        <f aca="false">SUMPRODUCT(--(Sens!$R$82:$AA$82&lt;Sens!T$82),Sens!$R$114:$AA$114)/fac_life</f>
        <v>0.360549480652134</v>
      </c>
      <c r="U116" s="38" t="n">
        <f aca="false">SUMPRODUCT(--(Sens!$R$82:$AA$82&lt;Sens!U$82),Sens!$R$114:$AA$114)/fac_life</f>
        <v>1.29709472025025</v>
      </c>
      <c r="V116" s="38" t="n">
        <f aca="false">SUMPRODUCT(--(Sens!$R$82:$AA$82&lt;Sens!V$82),Sens!$R$114:$AA$114)/fac_life</f>
        <v>3.21599529914753</v>
      </c>
      <c r="W116" s="38" t="n">
        <f aca="false">SUMPRODUCT(--(Sens!$R$82:$AA$82&lt;Sens!W$82),Sens!$R$114:$AA$114)/fac_life</f>
        <v>5.51832434914753</v>
      </c>
      <c r="X116" s="38" t="n">
        <f aca="false">SUMPRODUCT(--(Sens!$R$82:$AA$82&lt;Sens!X$82),Sens!$R$114:$AA$114)/fac_life</f>
        <v>7.82065339914753</v>
      </c>
      <c r="Y116" s="38" t="n">
        <f aca="false">SUMPRODUCT(--(Sens!$R$82:$AA$82&lt;Sens!Y$82),Sens!$R$114:$AA$114)/fac_life</f>
        <v>10.1229824491475</v>
      </c>
      <c r="Z116" s="38" t="n">
        <f aca="false">SUMPRODUCT(--(Sens!$R$82:$AA$82&lt;Sens!Z$82),Sens!$R$114:$AA$114)/fac_life</f>
        <v>12.4253114991475</v>
      </c>
      <c r="AA116" s="38" t="n">
        <f aca="false">SUMPRODUCT(--(Sens!$R$82:$AA$82&lt;Sens!AA$82),Sens!$R$114:$AA$114)/fac_life</f>
        <v>14.7276405491475</v>
      </c>
    </row>
    <row r="117" customFormat="false" ht="17.15" hidden="false" customHeight="false" outlineLevel="0" collapsed="false">
      <c r="A117" s="1" t="s">
        <v>593</v>
      </c>
      <c r="B117" s="8" t="s">
        <v>73</v>
      </c>
      <c r="C117" s="38" t="n">
        <f aca="false">Sens!$C$115+Sens!$C$116</f>
        <v>0.203463948620839</v>
      </c>
      <c r="D117" s="38" t="n">
        <f aca="false">Sens!$D$115+Sens!$D$116</f>
        <v>3.62245206231783</v>
      </c>
      <c r="E117" s="38" t="n">
        <f aca="false">Sens!$E$115+Sens!$E$116</f>
        <v>6.51597588754466</v>
      </c>
      <c r="F117" s="38" t="n">
        <f aca="false">Sens!$F$115+Sens!$F$116</f>
        <v>6.51597588754466</v>
      </c>
      <c r="G117" s="38" t="n">
        <f aca="false">Sens!$G$115+Sens!$G$116</f>
        <v>13.0319517750893</v>
      </c>
      <c r="H117" s="38" t="n">
        <f aca="false">Sens!$H$115+Sens!$H$116</f>
        <v>35.2941921973308</v>
      </c>
      <c r="I117" s="38" t="n">
        <f aca="false">Sens!$I$115+Sens!$I$116</f>
        <v>63.0173185714558</v>
      </c>
      <c r="J117" s="38" t="n">
        <f aca="false">Sens!$J$115+Sens!$J$116</f>
        <v>91.7529624398725</v>
      </c>
      <c r="K117" s="38" t="n">
        <f aca="false">Sens!$K$115+Sens!$K$116</f>
        <v>121.178188209924</v>
      </c>
      <c r="L117" s="38" t="n">
        <f aca="false">Sens!$L$115+Sens!$L$116</f>
        <v>148.58073169504</v>
      </c>
      <c r="M117" s="38" t="n">
        <f aca="false">Sens!$M$115+Sens!$M$116</f>
        <v>176.698573390283</v>
      </c>
      <c r="N117" s="38" t="n">
        <f aca="false">Sens!$N$115+Sens!$N$116</f>
        <v>1.81122603115892</v>
      </c>
      <c r="O117" s="38" t="n">
        <f aca="false">Sens!$O$115+Sens!$O$116</f>
        <v>1.81122603115892</v>
      </c>
      <c r="R117" s="38" t="n">
        <f aca="false">Sens!$R$115+Sens!$R$116</f>
        <v>0</v>
      </c>
      <c r="S117" s="38" t="n">
        <f aca="false">Sens!$S$115+Sens!$S$116</f>
        <v>0.203463948620839</v>
      </c>
      <c r="T117" s="38" t="n">
        <f aca="false">Sens!$T$115+Sens!$T$116</f>
        <v>3.62245206231783</v>
      </c>
      <c r="U117" s="38" t="n">
        <f aca="false">Sens!$U$115+Sens!$U$116</f>
        <v>13.0319517750893</v>
      </c>
      <c r="V117" s="38" t="n">
        <f aca="false">Sens!$V$115+Sens!$V$116</f>
        <v>35.2941921973308</v>
      </c>
      <c r="W117" s="38" t="n">
        <f aca="false">Sens!$W$115+Sens!$W$116</f>
        <v>63.0173185714558</v>
      </c>
      <c r="X117" s="38" t="n">
        <f aca="false">Sens!$X$115+Sens!$X$116</f>
        <v>91.7529624398725</v>
      </c>
      <c r="Y117" s="38" t="n">
        <f aca="false">Sens!$Y$115+Sens!$Y$116</f>
        <v>121.178188209924</v>
      </c>
      <c r="Z117" s="38" t="n">
        <f aca="false">Sens!$Z$115+Sens!$Z$116</f>
        <v>148.58073169504</v>
      </c>
      <c r="AA117" s="38" t="n">
        <f aca="false">Sens!$AA$115+Sens!$AA$116</f>
        <v>176.698573390283</v>
      </c>
    </row>
    <row r="118" customFormat="false" ht="17.15" hidden="false" customHeight="false" outlineLevel="0" collapsed="false">
      <c r="A118" s="0" t="s">
        <v>594</v>
      </c>
      <c r="B118" s="0" t="s">
        <v>73</v>
      </c>
      <c r="C118" s="38" t="n">
        <f aca="false">Sens!$S$118</f>
        <v>26.578941154416</v>
      </c>
      <c r="D118" s="38" t="n">
        <f aca="false">Sens!$T$118</f>
        <v>92.5251207231008</v>
      </c>
      <c r="G118" s="38" t="n">
        <f aca="false">Sens!$U$118</f>
        <v>239.931219586022</v>
      </c>
      <c r="H118" s="38" t="n">
        <f aca="false">Sens!$V$118</f>
        <v>403.208392333442</v>
      </c>
      <c r="I118" s="38" t="n">
        <f aca="false">Sens!$W$118</f>
        <v>544.837543672486</v>
      </c>
      <c r="J118" s="38" t="n">
        <f aca="false">Sens!$X$118</f>
        <v>662.967819343113</v>
      </c>
      <c r="K118" s="38" t="n">
        <f aca="false">Sens!$Y$118</f>
        <v>756.90963744369</v>
      </c>
      <c r="L118" s="38" t="n">
        <f aca="false">Sens!$Z$118</f>
        <v>860.10628945915</v>
      </c>
      <c r="M118" s="38" t="n">
        <f aca="false">Sens!$AA$118</f>
        <v>995.283560834616</v>
      </c>
      <c r="R118" s="38" t="n">
        <f aca="false">SUM(Sens!$R$111:$R$111)-SUM(Sens!$R$117:$R$117)</f>
        <v>1.50429979529945</v>
      </c>
      <c r="S118" s="38" t="n">
        <f aca="false">SUM(Sens!$R$111:$S$111)-SUM(Sens!$R$117:$S$117)</f>
        <v>26.578941154416</v>
      </c>
      <c r="T118" s="38" t="n">
        <f aca="false">SUM(Sens!$R$111:$T$111)-SUM(Sens!$R$117:$T$117)</f>
        <v>92.5251207231008</v>
      </c>
      <c r="U118" s="38" t="n">
        <f aca="false">SUM(Sens!$R$111:$U$111)-SUM(Sens!$R$117:$U$117)</f>
        <v>239.931219586022</v>
      </c>
      <c r="V118" s="38" t="n">
        <f aca="false">SUM(Sens!$R$111:$V$111)-SUM(Sens!$R$117:$V$117)</f>
        <v>403.208392333442</v>
      </c>
      <c r="W118" s="38" t="n">
        <f aca="false">SUM(Sens!$R$111:$W$111)-SUM(Sens!$R$117:$W$117)</f>
        <v>544.837543672486</v>
      </c>
      <c r="X118" s="38" t="n">
        <f aca="false">SUM(Sens!$R$111:$X$111)-SUM(Sens!$R$117:$X$117)</f>
        <v>662.967819343113</v>
      </c>
      <c r="Y118" s="38" t="n">
        <f aca="false">SUM(Sens!$R$111:$Y$111)-SUM(Sens!$R$117:$Y$117)</f>
        <v>756.90963744369</v>
      </c>
      <c r="Z118" s="38" t="n">
        <f aca="false">SUM(Sens!$R$111:$Z$111)-SUM(Sens!$R$117:$Z$117)</f>
        <v>860.10628945915</v>
      </c>
      <c r="AA118" s="38" t="n">
        <f aca="false">SUM(Sens!$R$111:$AA$111)-SUM(Sens!$R$117:$AA$117)</f>
        <v>995.283560834616</v>
      </c>
    </row>
    <row r="119" customFormat="false" ht="17.15" hidden="false" customHeight="false" outlineLevel="0" collapsed="false">
      <c r="A119" s="1" t="s">
        <v>595</v>
      </c>
    </row>
    <row r="120" customFormat="false" ht="17.15" hidden="false" customHeight="false" outlineLevel="0" collapsed="false">
      <c r="A120" s="0" t="s">
        <v>596</v>
      </c>
      <c r="B120" s="0" t="s">
        <v>73</v>
      </c>
      <c r="C120" s="38" t="n">
        <f aca="false">Sens!$C$102-ext_sh*Sens!$C$104</f>
        <v>1.80694998843362</v>
      </c>
      <c r="D120" s="38" t="n">
        <f aca="false">Sens!$D$102-ext_sh*Sens!$D$104</f>
        <v>6.77606245662607</v>
      </c>
      <c r="E120" s="38" t="n">
        <f aca="false">Sens!$E$102-ext_sh*Sens!$E$104</f>
        <v>6.62548329092326</v>
      </c>
      <c r="F120" s="38" t="n">
        <f aca="false">Sens!$F$102-ext_sh*Sens!$F$104</f>
        <v>11.7200577158706</v>
      </c>
      <c r="G120" s="38" t="n">
        <f aca="false">Sens!$G$102-ext_sh*Sens!$G$104</f>
        <v>18.3455410067939</v>
      </c>
      <c r="H120" s="38" t="n">
        <f aca="false">Sens!$H$102-ext_sh*Sens!$H$104</f>
        <v>47.5171727060453</v>
      </c>
      <c r="I120" s="38" t="n">
        <f aca="false">Sens!$I$102-ext_sh*Sens!$I$104</f>
        <v>80.5539692643667</v>
      </c>
      <c r="J120" s="38" t="n">
        <f aca="false">Sens!$J$102-ext_sh*Sens!$J$104</f>
        <v>113.759316834883</v>
      </c>
      <c r="K120" s="38" t="n">
        <f aca="false">Sens!$K$102-ext_sh*Sens!$K$104</f>
        <v>147.020848076132</v>
      </c>
      <c r="L120" s="38" t="n">
        <f aca="false">Sens!$L$102-ext_sh*Sens!$L$104</f>
        <v>180.307917349531</v>
      </c>
      <c r="M120" s="38" t="n">
        <f aca="false">Sens!$M$102-ext_sh*Sens!$M$104</f>
        <v>213.608737871012</v>
      </c>
      <c r="N120" s="38" t="n">
        <f aca="false">Sens!$N$102-ext_sh*Sens!$N$104</f>
        <v>2.37162185981912</v>
      </c>
      <c r="O120" s="38" t="n">
        <f aca="false">Sens!$O$102-ext_sh*Sens!$O$104</f>
        <v>4.40444059680694</v>
      </c>
    </row>
    <row r="121" customFormat="false" ht="17.15" hidden="false" customHeight="false" outlineLevel="0" collapsed="false">
      <c r="A121" s="1" t="s">
        <v>597</v>
      </c>
      <c r="B121" s="8" t="s">
        <v>73</v>
      </c>
      <c r="C121" s="38" t="n">
        <f aca="false">Sens!$C$120-ext_sh*Sens!$C$117</f>
        <v>1.64417882953695</v>
      </c>
      <c r="D121" s="38" t="n">
        <f aca="false">Sens!$D$120-ext_sh*Sens!$D$117</f>
        <v>3.8781008067718</v>
      </c>
      <c r="E121" s="38" t="n">
        <f aca="false">Sens!$E$120-ext_sh*Sens!$E$117</f>
        <v>1.41270258088753</v>
      </c>
      <c r="F121" s="38" t="n">
        <f aca="false">Sens!$F$120-ext_sh*Sens!$F$117</f>
        <v>6.50727700583486</v>
      </c>
      <c r="G121" s="38" t="n">
        <f aca="false">Sens!$G$120-ext_sh*Sens!$G$117</f>
        <v>7.9199795867224</v>
      </c>
      <c r="H121" s="38" t="n">
        <f aca="false">Sens!$H$120-ext_sh*Sens!$H$117</f>
        <v>19.2818189481807</v>
      </c>
      <c r="I121" s="38" t="n">
        <f aca="false">Sens!$I$120-ext_sh*Sens!$I$117</f>
        <v>30.140114407202</v>
      </c>
      <c r="J121" s="38" t="n">
        <f aca="false">Sens!$J$120-ext_sh*Sens!$J$117</f>
        <v>40.3569468829854</v>
      </c>
      <c r="K121" s="38" t="n">
        <f aca="false">Sens!$K$120-ext_sh*Sens!$K$117</f>
        <v>50.0782975081929</v>
      </c>
      <c r="L121" s="38" t="n">
        <f aca="false">Sens!$L$120-ext_sh*Sens!$L$117</f>
        <v>61.443331993499</v>
      </c>
      <c r="M121" s="38" t="n">
        <f aca="false">Sens!$M$120-ext_sh*Sens!$M$117</f>
        <v>72.2498791587849</v>
      </c>
      <c r="N121" s="38" t="n">
        <f aca="false">Sens!$N$120-ext_sh*Sens!$N$117</f>
        <v>0.92264103489199</v>
      </c>
      <c r="O121" s="38" t="n">
        <f aca="false">Sens!$O$120-ext_sh*Sens!$O$117</f>
        <v>2.95545977187981</v>
      </c>
    </row>
    <row r="122" customFormat="false" ht="17.15" hidden="false" customHeight="false" outlineLevel="0" collapsed="false">
      <c r="A122" s="0" t="s">
        <v>598</v>
      </c>
      <c r="B122" s="0" t="s">
        <v>52</v>
      </c>
      <c r="C122" s="12" t="n">
        <f aca="false">Sens!$C$121/Sens!$C$102</f>
        <v>0.708390794789371</v>
      </c>
      <c r="D122" s="12" t="n">
        <f aca="false">Sens!$D$121/Sens!$D$102</f>
        <v>0.445565630441968</v>
      </c>
      <c r="E122" s="12" t="n">
        <f aca="false">Sens!$E$121/Sens!$E$102</f>
        <v>0.165998118402711</v>
      </c>
      <c r="F122" s="12" t="n">
        <f aca="false">Sens!$F$121/Sens!$F$102</f>
        <v>0.434878595403858</v>
      </c>
      <c r="G122" s="12" t="n">
        <f aca="false">Sens!$G$121/Sens!$G$102</f>
        <v>0.3373967615381</v>
      </c>
      <c r="H122" s="12" t="n">
        <f aca="false">Sens!$H$121/Sens!$H$102</f>
        <v>0.320477578041224</v>
      </c>
      <c r="I122" s="12" t="n">
        <f aca="false">Sens!$I$121/Sens!$I$102</f>
        <v>0.296936118226494</v>
      </c>
      <c r="J122" s="12" t="n">
        <f aca="false">Sens!$J$121/Sens!$J$102</f>
        <v>0.282166278613001</v>
      </c>
      <c r="K122" s="12" t="n">
        <f aca="false">Sens!$K$121/Sens!$K$102</f>
        <v>0.271267685694333</v>
      </c>
      <c r="L122" s="12" t="n">
        <f aca="false">Sens!$L$121/Sens!$L$102</f>
        <v>0.27160960915653</v>
      </c>
      <c r="M122" s="12" t="n">
        <f aca="false">Sens!$M$121/Sens!$M$102</f>
        <v>0.26974494804234</v>
      </c>
      <c r="N122" s="12" t="n">
        <f aca="false">Sens!$N$121/Sens!$N$102</f>
        <v>0.302870734830849</v>
      </c>
      <c r="O122" s="12" t="n">
        <f aca="false">Sens!$O$121/Sens!$O$102</f>
        <v>0.52240134346334</v>
      </c>
    </row>
    <row r="123" customFormat="false" ht="17.15" hidden="false" customHeight="false" outlineLevel="0" collapsed="false">
      <c r="A123" s="5" t="s">
        <v>599</v>
      </c>
      <c r="B123" s="0" t="s">
        <v>73</v>
      </c>
      <c r="C123" s="38" t="n">
        <f aca="false">rd2*(1-ext_sh)/ext_sh*Sens!$C$85*he_open*Sens!$C$86/1000</f>
        <v>0</v>
      </c>
      <c r="D123" s="38" t="n">
        <f aca="false">rd2*(1-ext_sh)/ext_sh*Sens!$D$85*he_open*Sens!$D$86/1000</f>
        <v>0</v>
      </c>
      <c r="E123" s="38" t="n">
        <f aca="false">rd2*(1-ext_sh)/ext_sh*Sens!$E$85*he_open*Sens!$E$86/1000</f>
        <v>0</v>
      </c>
      <c r="F123" s="38" t="n">
        <f aca="false">rd2*(1-ext_sh)/ext_sh*(mw_open*he_open+Sens!$F$100*Sens!$F$97)*Sens!$F$86/1000</f>
        <v>0</v>
      </c>
      <c r="G123" s="38" t="n">
        <f aca="false">Sens!$E$123+Sens!$F$123</f>
        <v>0</v>
      </c>
      <c r="H123" s="38" t="n">
        <f aca="false">rd2*(1-ext_sh)/ext_sh*(mw_open*he_open+Sens!$H$100*Sens!$H$97)*Sens!$H$86/1000</f>
        <v>0</v>
      </c>
      <c r="I123" s="38" t="n">
        <f aca="false">rd2*(1-ext_sh)/ext_sh*(mw_open*he_open+Sens!$I$100*Sens!$I$97)*Sens!$I$86/1000</f>
        <v>0</v>
      </c>
      <c r="J123" s="38" t="n">
        <f aca="false">rd2*(1-ext_sh)/ext_sh*(mw_open*he_open+Sens!$J$100*Sens!$J$97)*Sens!$J$86/1000</f>
        <v>0</v>
      </c>
      <c r="K123" s="38" t="n">
        <f aca="false">rd2*(1-ext_sh)/ext_sh*(mw_open*he_open+Sens!$K$100*Sens!$K$97)*Sens!$K$86/1000</f>
        <v>0</v>
      </c>
      <c r="L123" s="38" t="n">
        <f aca="false">rd2*(1-ext_sh)/ext_sh*(mw_open*he_open+Sens!$L$100*Sens!$L$97)*Sens!$L$86/1000</f>
        <v>0</v>
      </c>
      <c r="M123" s="38" t="n">
        <f aca="false">rd2*(1-ext_sh)/ext_sh*(mw_open*he_open+Sens!$M$100*Sens!$M$97)*Sens!$M$86/1000</f>
        <v>0</v>
      </c>
      <c r="N123" s="38" t="n">
        <f aca="false">rd2*(1-ext_sh)/ext_sh*Sens!$N$85*he_open*Sens!$N$86/1000</f>
        <v>0</v>
      </c>
      <c r="O123" s="38" t="n">
        <f aca="false">rd2*(1-ext_sh)/ext_sh*Sens!$O$85*he_open*Sens!$O$86/1000</f>
        <v>0</v>
      </c>
      <c r="P123" s="8" t="s">
        <v>600</v>
      </c>
    </row>
    <row r="124" customFormat="false" ht="17.15" hidden="false" customHeight="false" outlineLevel="0" collapsed="false">
      <c r="A124" s="5" t="s">
        <v>601</v>
      </c>
      <c r="B124" s="0" t="s">
        <v>73</v>
      </c>
      <c r="C124" s="38" t="n">
        <f aca="false">(1-ext_sh)*(Sens!$C$104+Sens!$C$117)-Sens!$C$123</f>
        <v>0.169206631859174</v>
      </c>
      <c r="D124" s="38" t="n">
        <f aca="false">(1-ext_sh)*(Sens!$D$104+Sens!$D$117)-Sens!$D$123</f>
        <v>1.20641732046984</v>
      </c>
      <c r="E124" s="38" t="n">
        <f aca="false">(1-ext_sh)*(Sens!$E$104+Sens!$E$117)-Sens!$E$123</f>
        <v>1.77441259867062</v>
      </c>
      <c r="F124" s="38" t="n">
        <f aca="false">(1-ext_sh)*(Sens!$F$104+Sens!$F$117)-Sens!$F$123</f>
        <v>2.1140391597214</v>
      </c>
      <c r="G124" s="38" t="n">
        <f aca="false">(1-ext_sh)*(Sens!$G$104+Sens!$G$117)-Sens!$G$123</f>
        <v>3.88845175839202</v>
      </c>
      <c r="H124" s="38" t="n">
        <f aca="false">(1-ext_sh)*(Sens!$H$104+Sens!$H$117)-Sens!$H$123</f>
        <v>10.2210179503985</v>
      </c>
      <c r="I124" s="38" t="n">
        <f aca="false">(1-ext_sh)*(Sens!$I$104+Sens!$I$117)-Sens!$I$123</f>
        <v>17.8408961823075</v>
      </c>
      <c r="J124" s="38" t="n">
        <f aca="false">(1-ext_sh)*(Sens!$J$104+Sens!$J$117)-Sens!$J$123</f>
        <v>25.6671150670732</v>
      </c>
      <c r="K124" s="38" t="n">
        <f aca="false">(1-ext_sh)*(Sens!$K$104+Sens!$K$117)-Sens!$K$123</f>
        <v>33.6325293834986</v>
      </c>
      <c r="L124" s="38" t="n">
        <f aca="false">(1-ext_sh)*(Sens!$L$104+Sens!$L$117)-Sens!$L$123</f>
        <v>41.1939886299065</v>
      </c>
      <c r="M124" s="38" t="n">
        <f aca="false">(1-ext_sh)*(Sens!$M$104+Sens!$M$117)-Sens!$M$123</f>
        <v>48.8988205728617</v>
      </c>
      <c r="N124" s="38" t="n">
        <f aca="false">(1-ext_sh)*(Sens!$N$104+Sens!$N$117)-Sens!$N$123</f>
        <v>0.530919624033979</v>
      </c>
      <c r="O124" s="38" t="n">
        <f aca="false">(1-ext_sh)*(Sens!$O$104+Sens!$O$117)-Sens!$O$123</f>
        <v>0.675497696435861</v>
      </c>
    </row>
    <row r="125" customFormat="false" ht="17.15" hidden="false" customHeight="false" outlineLevel="0" collapsed="false">
      <c r="A125" s="0" t="s">
        <v>602</v>
      </c>
      <c r="B125" s="0" t="s">
        <v>73</v>
      </c>
      <c r="C125" s="38" t="n">
        <f aca="false">Q!$D$24</f>
        <v>39.834</v>
      </c>
      <c r="D125" s="38" t="n">
        <f aca="false">Q!$E$24</f>
        <v>45.606</v>
      </c>
      <c r="E125" s="38" t="n">
        <f aca="false">Q!$P$24</f>
        <v>30.782</v>
      </c>
      <c r="N125" s="38" t="n">
        <f aca="false">Q!$N$24</f>
        <v>21.707</v>
      </c>
      <c r="O125" s="38" t="n">
        <f aca="false">Q!$O$24</f>
        <v>23.899</v>
      </c>
    </row>
    <row r="126" customFormat="false" ht="17.15" hidden="false" customHeight="false" outlineLevel="0" collapsed="false">
      <c r="A126" s="0" t="s">
        <v>603</v>
      </c>
      <c r="B126" s="0" t="s">
        <v>73</v>
      </c>
      <c r="C126" s="38" t="n">
        <f aca="false">Sens!$C$125-Sens!$C$121</f>
        <v>38.1898211704631</v>
      </c>
      <c r="D126" s="38" t="n">
        <f aca="false">Sens!$D$125-Sens!$D$121</f>
        <v>41.7278991932282</v>
      </c>
      <c r="E126" s="38" t="n">
        <f aca="false">Sens!$E$125-Sens!$E$121</f>
        <v>29.3692974191125</v>
      </c>
      <c r="F126" s="38" t="n">
        <f aca="false">Sens!$F$106*Sens!$F$127</f>
        <v>29.458060516894</v>
      </c>
      <c r="G126" s="38" t="n">
        <f aca="false">Sens!$E$126+Sens!$F$126</f>
        <v>58.8273579360065</v>
      </c>
      <c r="H126" s="38" t="n">
        <f aca="false">Sens!$H$106*Sens!$H$127</f>
        <v>67.8004040185081</v>
      </c>
      <c r="I126" s="38" t="n">
        <f aca="false">Sens!$I$106*Sens!$I$127</f>
        <v>78.9527630302702</v>
      </c>
      <c r="J126" s="38" t="n">
        <f aca="false">Sens!$J$106*Sens!$J$127</f>
        <v>88.6042681781841</v>
      </c>
      <c r="K126" s="38" t="n">
        <f aca="false">Sens!$K$106*Sens!$K$127</f>
        <v>95.6926096324389</v>
      </c>
      <c r="L126" s="38" t="n">
        <f aca="false">Sens!$L$106*Sens!$L$127</f>
        <v>103.348018403034</v>
      </c>
      <c r="M126" s="38" t="n">
        <f aca="false">Sens!$M$106*Sens!$M$127</f>
        <v>111.615859875277</v>
      </c>
      <c r="N126" s="38" t="n">
        <f aca="false">Sens!$N$125-Sens!$N$121</f>
        <v>20.784358965108</v>
      </c>
      <c r="O126" s="38" t="n">
        <f aca="false">Sens!$O$125-Sens!$O$121</f>
        <v>20.9435402281202</v>
      </c>
      <c r="P126" s="5" t="s">
        <v>604</v>
      </c>
    </row>
    <row r="127" customFormat="false" ht="17.15" hidden="false" customHeight="false" outlineLevel="0" collapsed="false">
      <c r="A127" s="0" t="s">
        <v>605</v>
      </c>
      <c r="B127" s="0" t="s">
        <v>52</v>
      </c>
      <c r="C127" s="12" t="n">
        <f aca="false">Sens!$C$126/Sens!$C$106</f>
        <v>0.362900395443635</v>
      </c>
      <c r="D127" s="12" t="n">
        <f aca="false">Sens!$D$126/Sens!$D$106</f>
        <v>0.34767098474203</v>
      </c>
      <c r="E127" s="12" t="n">
        <f aca="false">Sens!$E$126/Sens!$E$106</f>
        <v>0.411861655558416</v>
      </c>
      <c r="F127" s="12" t="n">
        <f aca="false">(Sens!$O$126+Sens!$E$126)/(Sens!$O$106+Sens!$E$106)</f>
        <v>0.37480827803158</v>
      </c>
      <c r="G127" s="12" t="n">
        <f aca="false">Sens!$G$126/Sens!$G$106</f>
        <v>0.392434440489471</v>
      </c>
      <c r="H127" s="12" t="n">
        <f aca="false">Sens!$F$127</f>
        <v>0.37480827803158</v>
      </c>
      <c r="I127" s="12" t="n">
        <f aca="false">Sens!$F$127</f>
        <v>0.37480827803158</v>
      </c>
      <c r="J127" s="12" t="n">
        <f aca="false">Sens!$F$127</f>
        <v>0.37480827803158</v>
      </c>
      <c r="K127" s="12" t="n">
        <f aca="false">Sens!$F$127</f>
        <v>0.37480827803158</v>
      </c>
      <c r="L127" s="12" t="n">
        <f aca="false">Sens!$F$127</f>
        <v>0.37480827803158</v>
      </c>
      <c r="M127" s="12" t="n">
        <f aca="false">Sens!$F$127</f>
        <v>0.37480827803158</v>
      </c>
      <c r="N127" s="12" t="n">
        <f aca="false">Sens!$N$126/Sens!$N$106</f>
        <v>0.364039571356823</v>
      </c>
      <c r="O127" s="12" t="n">
        <f aca="false">Sens!$O$126/Sens!$O$106</f>
        <v>0.332819892300086</v>
      </c>
      <c r="P127" s="8" t="s">
        <v>606</v>
      </c>
    </row>
    <row r="128" customFormat="false" ht="17.15" hidden="false" customHeight="false" outlineLevel="0" collapsed="false">
      <c r="A128" s="0" t="s">
        <v>607</v>
      </c>
      <c r="B128" s="0" t="s">
        <v>52</v>
      </c>
      <c r="D128" s="12" t="n">
        <f aca="false">(Q!$E$31-ext_sh*Sens!$D$117)/Sens!$D$106</f>
        <v>0.154572973163571</v>
      </c>
    </row>
    <row r="129" customFormat="false" ht="17.15" hidden="false" customHeight="false" outlineLevel="0" collapsed="false">
      <c r="A129" s="0" t="s">
        <v>608</v>
      </c>
      <c r="B129" s="0" t="s">
        <v>73</v>
      </c>
      <c r="C129" s="38" t="n">
        <f aca="false">Q!$D$31</f>
        <v>13.32</v>
      </c>
      <c r="D129" s="38" t="n">
        <f aca="false">Q!$E$31</f>
        <v>21.45</v>
      </c>
      <c r="E129" s="38" t="n">
        <f aca="false">Q!$P$31</f>
        <v>15.353</v>
      </c>
      <c r="F129" s="38" t="n">
        <f aca="false">ext_sh*Sens!$F$117+Sens!$D$128*Sens!$F$106</f>
        <v>17.3614451462707</v>
      </c>
      <c r="G129" s="38" t="n">
        <f aca="false">Sens!$E$129+Sens!$F$129</f>
        <v>32.7144451462707</v>
      </c>
      <c r="H129" s="38" t="n">
        <f aca="false">ext_sh*Sens!$H$117+Sens!$D$128*Sens!$H$106</f>
        <v>56.1966092719415</v>
      </c>
      <c r="I129" s="38" t="n">
        <f aca="false">ext_sh*Sens!$I$117+Sens!$D$128*Sens!$I$106</f>
        <v>82.9744039068297</v>
      </c>
      <c r="J129" s="38" t="n">
        <f aca="false">ext_sh*Sens!$J$117+Sens!$D$128*Sens!$J$106</f>
        <v>109.943252237669</v>
      </c>
      <c r="K129" s="38" t="n">
        <f aca="false">ext_sh*Sens!$K$117+Sens!$D$128*Sens!$K$106</f>
        <v>136.406703436571</v>
      </c>
      <c r="L129" s="38" t="n">
        <f aca="false">ext_sh*Sens!$L$117+Sens!$D$128*Sens!$L$106</f>
        <v>161.485870454155</v>
      </c>
      <c r="M129" s="38" t="n">
        <f aca="false">ext_sh*Sens!$M$117+Sens!$D$128*Sens!$M$106</f>
        <v>187.389846618199</v>
      </c>
      <c r="N129" s="38" t="n">
        <f aca="false">Q!$N$31</f>
        <v>9.234</v>
      </c>
      <c r="O129" s="38" t="n">
        <f aca="false">Q!$O$31</f>
        <v>12.216</v>
      </c>
    </row>
    <row r="130" customFormat="false" ht="17.15" hidden="false" customHeight="false" outlineLevel="0" collapsed="false">
      <c r="A130" s="1" t="s">
        <v>609</v>
      </c>
    </row>
    <row r="131" customFormat="false" ht="17.15" hidden="false" customHeight="false" outlineLevel="0" collapsed="false">
      <c r="A131" s="14" t="s">
        <v>610</v>
      </c>
      <c r="B131" s="13" t="s">
        <v>52</v>
      </c>
      <c r="C131" s="13"/>
      <c r="D131" s="13"/>
      <c r="E131" s="13"/>
      <c r="F131" s="13"/>
      <c r="G131" s="16" t="n">
        <f aca="false">Sens!$G$121*(1-tax)/(ext_sh*(Sens!$D$118+Sens!$G$118)/2)</f>
        <v>0.0492184452944045</v>
      </c>
      <c r="H131" s="16" t="n">
        <f aca="false">Sens!$H$121*(1-tax)/(ext_sh*(Sens!$G$118+Sens!$H$118)/2)</f>
        <v>0.0619414246858107</v>
      </c>
      <c r="I131" s="16" t="n">
        <f aca="false">Sens!$I$121*(1-tax)/(ext_sh*(Sens!$H$118+Sens!$I$118)/2)</f>
        <v>0.0656831488051666</v>
      </c>
      <c r="J131" s="16" t="n">
        <f aca="false">Sens!$J$121*(1-tax)/(ext_sh*(Sens!$I$118+Sens!$J$118)/2)</f>
        <v>0.0690334849962116</v>
      </c>
      <c r="K131" s="16" t="n">
        <f aca="false">Sens!$K$121*(1-tax)/(ext_sh*(Sens!$J$118+Sens!$K$118)/2)</f>
        <v>0.0728680488295485</v>
      </c>
      <c r="L131" s="16" t="n">
        <f aca="false">Sens!$L$121*(1-tax)/(ext_sh*(Sens!$K$118+Sens!$L$118)/2)</f>
        <v>0.0785052878122331</v>
      </c>
      <c r="M131" s="16" t="n">
        <f aca="false">Sens!$M$121*(1-tax)/(ext_sh*(Sens!$L$118+Sens!$M$118)/2)</f>
        <v>0.0804526580722741</v>
      </c>
      <c r="N131" s="13"/>
      <c r="O131" s="13"/>
      <c r="P131" s="8" t="s">
        <v>611</v>
      </c>
    </row>
    <row r="132" customFormat="false" ht="17.15" hidden="false" customHeight="false" outlineLevel="0" collapsed="false">
      <c r="A132" s="5" t="s">
        <v>612</v>
      </c>
      <c r="B132" s="0" t="s">
        <v>57</v>
      </c>
      <c r="H132" s="36" t="n">
        <f aca="false">Sens!$H$102*1000/(mw_open*he_open+Sens!$H$100*Sens!$H$97)</f>
        <v>0.991949006767191</v>
      </c>
      <c r="I132" s="36" t="n">
        <f aca="false">Sens!$I$102*1000/(mw_open*he_open+Sens!$I$100*Sens!$I$97)</f>
        <v>0.991949006767191</v>
      </c>
      <c r="J132" s="36" t="n">
        <f aca="false">Sens!$J$102*1000/(mw_open*he_open+Sens!$J$100*Sens!$J$97)</f>
        <v>0.991949006767191</v>
      </c>
      <c r="K132" s="36" t="n">
        <f aca="false">Sens!$K$102*1000/(mw_open*he_open+Sens!$K$100*Sens!$K$97)</f>
        <v>0.991949006767191</v>
      </c>
      <c r="L132" s="36" t="n">
        <f aca="false">Sens!$L$102*1000/(mw_open*he_open+Sens!$L$100*Sens!$L$97)</f>
        <v>0.991949006767191</v>
      </c>
      <c r="M132" s="36" t="n">
        <f aca="false">Sens!$M$102*1000/(mw_open*he_open+Sens!$M$100*Sens!$M$97)</f>
        <v>0.991949006767192</v>
      </c>
    </row>
    <row r="133" customFormat="false" ht="17.15" hidden="false" customHeight="false" outlineLevel="0" collapsed="false">
      <c r="A133" s="5" t="s">
        <v>613</v>
      </c>
      <c r="B133" s="0" t="s">
        <v>57</v>
      </c>
      <c r="H133" s="36" t="n">
        <f aca="false">Sens!$H$132*(Sens!$H$102+wacc*ext_sh*(Sens!$G$118+Sens!$H$118)/2/(1-tax)-Sens!$H$121)/Sens!$H$102</f>
        <v>1.3149781212103</v>
      </c>
      <c r="I133" s="36" t="n">
        <f aca="false">Sens!$I$132*(Sens!$I$102+wacc*ext_sh*(Sens!$H$118+Sens!$I$118)/2/(1-tax)-Sens!$I$121)/Sens!$I$102</f>
        <v>1.25742005569107</v>
      </c>
      <c r="J133" s="36" t="n">
        <f aca="false">Sens!$J$132*(Sens!$J$102+wacc*ext_sh*(Sens!$I$118+Sens!$J$118)/2/(1-tax)-Sens!$J$121)/Sens!$J$102</f>
        <v>1.21838845868559</v>
      </c>
      <c r="K133" s="36" t="n">
        <f aca="false">Sens!$K$132*(Sens!$K$102+wacc*ext_sh*(Sens!$J$118+Sens!$K$118)/2/(1-tax)-Sens!$K$121)/Sens!$K$102</f>
        <v>1.18402644209548</v>
      </c>
      <c r="L133" s="36" t="n">
        <f aca="false">Sens!$L$132*(Sens!$L$102+wacc*ext_sh*(Sens!$K$118+Sens!$L$118)/2/(1-tax)-Sens!$L$121)/Sens!$L$102</f>
        <v>1.15111215322059</v>
      </c>
      <c r="M133" s="36" t="n">
        <f aca="false">Sens!$M$132*(Sens!$M$102+wacc*ext_sh*(Sens!$L$118+Sens!$M$118)/2/(1-tax)-Sens!$M$121)/Sens!$M$102</f>
        <v>1.1397166845677</v>
      </c>
    </row>
    <row r="134" customFormat="false" ht="17.15" hidden="false" customHeight="false" outlineLevel="0" collapsed="false">
      <c r="A134" s="5" t="s">
        <v>614</v>
      </c>
      <c r="B134" s="0" t="s">
        <v>52</v>
      </c>
      <c r="C134" s="12" t="n">
        <f aca="false">Sens!$C$103/tk_pq</f>
        <v>0.195316432429398</v>
      </c>
      <c r="D134" s="12" t="n">
        <f aca="false">Sens!$D$103/tk_pq</f>
        <v>0.195316432429398</v>
      </c>
      <c r="E134" s="12" t="n">
        <f aca="false">Sens!$E$103/tk_pq</f>
        <v>0.195316432429398</v>
      </c>
      <c r="F134" s="12" t="n">
        <f aca="false">Sens!$F$103/tk_pq</f>
        <v>0.202241827274866</v>
      </c>
      <c r="G134" s="12" t="n">
        <f aca="false">Sens!$G$103/tk_pq</f>
        <v>0.199675016194063</v>
      </c>
      <c r="H134" s="12" t="n">
        <f aca="false">Sens!$H$103/tk_pq</f>
        <v>0.212647947710325</v>
      </c>
      <c r="I134" s="12" t="n">
        <f aca="false">Sens!$I$103/tk_pq</f>
        <v>0.219285125475351</v>
      </c>
      <c r="J134" s="12" t="n">
        <f aca="false">Sens!$J$103/tk_pq</f>
        <v>0.222492493217189</v>
      </c>
      <c r="K134" s="12" t="n">
        <f aca="false">Sens!$K$103/tk_pq</f>
        <v>0.224371415939166</v>
      </c>
      <c r="L134" s="12" t="n">
        <f aca="false">Sens!$L$103/tk_pq</f>
        <v>0.225603749825993</v>
      </c>
      <c r="M134" s="12" t="n">
        <f aca="false">Sens!$M$103/tk_pq</f>
        <v>0.22647376274628</v>
      </c>
      <c r="N134" s="12" t="n">
        <f aca="false">Sens!$N$103/tk_pq</f>
        <v>0.195316432429398</v>
      </c>
      <c r="O134" s="12" t="n">
        <f aca="false">Sens!$O$103/tk_pq</f>
        <v>0.195316432429398</v>
      </c>
      <c r="P134" s="5" t="s">
        <v>615</v>
      </c>
    </row>
    <row r="137" customFormat="false" ht="17.15" hidden="false" customHeight="false" outlineLevel="0" collapsed="false">
      <c r="A137" s="1" t="s">
        <v>642</v>
      </c>
    </row>
    <row r="138" customFormat="false" ht="17.15" hidden="false" customHeight="false" outlineLevel="0" collapsed="false">
      <c r="A138" s="0" t="s">
        <v>643</v>
      </c>
      <c r="B138" s="0" t="s">
        <v>73</v>
      </c>
      <c r="C138" s="38" t="n">
        <f aca="false">Sens!$C$102</f>
        <v>2.32100535697364</v>
      </c>
      <c r="D138" s="38" t="n">
        <f aca="false">Sens!$D$102</f>
        <v>8.70377008865116</v>
      </c>
      <c r="E138" s="38" t="n">
        <f aca="false">Sens!$E$102</f>
        <v>8.51035297557002</v>
      </c>
      <c r="F138" s="38" t="n">
        <f aca="false">Sens!$F$102</f>
        <v>14.9634336447205</v>
      </c>
      <c r="G138" s="38" t="n">
        <f aca="false">Sens!$G$102</f>
        <v>23.4737866202905</v>
      </c>
      <c r="H138" s="38" t="n">
        <f aca="false">Sens!$H$102</f>
        <v>60.1658907497746</v>
      </c>
      <c r="I138" s="38" t="n">
        <f aca="false">Sens!$I$102</f>
        <v>101.503699136432</v>
      </c>
      <c r="J138" s="38" t="n">
        <f aca="false">Sens!$J$102</f>
        <v>143.025407151278</v>
      </c>
      <c r="K138" s="38" t="n">
        <f aca="false">Sens!$K$102</f>
        <v>184.608415042187</v>
      </c>
      <c r="L138" s="38" t="n">
        <f aca="false">Sens!$L$102</f>
        <v>226.219286513125</v>
      </c>
      <c r="M138" s="38" t="n">
        <f aca="false">Sens!$M$102</f>
        <v>267.845161450232</v>
      </c>
      <c r="N138" s="38" t="n">
        <f aca="false">Sens!$N$102</f>
        <v>3.04631953102791</v>
      </c>
      <c r="O138" s="38" t="n">
        <f aca="false">Sens!$O$102</f>
        <v>5.65745055762326</v>
      </c>
      <c r="P138" s="8" t="s">
        <v>644</v>
      </c>
    </row>
    <row r="139" customFormat="false" ht="17.15" hidden="false" customHeight="false" outlineLevel="0" collapsed="false">
      <c r="A139" s="0" t="s">
        <v>645</v>
      </c>
      <c r="B139" s="0" t="s">
        <v>73</v>
      </c>
      <c r="C139" s="38" t="n">
        <f aca="false">Sens!$C$106</f>
        <v>105.234994643026</v>
      </c>
      <c r="D139" s="38" t="n">
        <f aca="false">Sens!$D$106</f>
        <v>120.021229911349</v>
      </c>
      <c r="E139" s="38" t="n">
        <f aca="false">Sens!$E$106</f>
        <v>71.30864702443</v>
      </c>
      <c r="F139" s="38" t="n">
        <f aca="false">Sens!$F$106</f>
        <v>78.5950104186653</v>
      </c>
      <c r="G139" s="38" t="n">
        <f aca="false">Sens!$G$106</f>
        <v>149.903657443095</v>
      </c>
      <c r="H139" s="38" t="n">
        <f aca="false">Sens!$H$106</f>
        <v>180.893560768142</v>
      </c>
      <c r="I139" s="38" t="n">
        <f aca="false">Sens!$I$106</f>
        <v>210.64839721501</v>
      </c>
      <c r="J139" s="38" t="n">
        <f aca="false">Sens!$J$106</f>
        <v>236.398909446495</v>
      </c>
      <c r="K139" s="38" t="n">
        <f aca="false">Sens!$K$106</f>
        <v>255.310822202215</v>
      </c>
      <c r="L139" s="38" t="n">
        <f aca="false">Sens!$L$106</f>
        <v>275.735687978392</v>
      </c>
      <c r="M139" s="38" t="n">
        <f aca="false">Sens!$M$106</f>
        <v>297.794543016663</v>
      </c>
      <c r="N139" s="38" t="n">
        <f aca="false">Sens!$N$106</f>
        <v>57.0936804689721</v>
      </c>
      <c r="O139" s="38" t="n">
        <f aca="false">Sens!$O$106</f>
        <v>62.9275494423768</v>
      </c>
      <c r="P139" s="8" t="s">
        <v>644</v>
      </c>
    </row>
    <row r="140" customFormat="false" ht="17.15" hidden="false" customHeight="false" outlineLevel="0" collapsed="false">
      <c r="A140" s="1" t="s">
        <v>476</v>
      </c>
      <c r="B140" s="8" t="s">
        <v>73</v>
      </c>
      <c r="C140" s="38" t="n">
        <f aca="false">Q!$D$7</f>
        <v>107.556</v>
      </c>
      <c r="D140" s="38" t="n">
        <f aca="false">Q!$E$7</f>
        <v>128.725</v>
      </c>
      <c r="E140" s="38" t="n">
        <f aca="false">Q!$P$7</f>
        <v>79.819</v>
      </c>
      <c r="F140" s="38" t="n">
        <f aca="false">Sens!$F$138+Sens!$F$139</f>
        <v>93.5584440633857</v>
      </c>
      <c r="G140" s="38" t="n">
        <f aca="false">Sens!$G$138+Sens!$G$139</f>
        <v>173.377444063386</v>
      </c>
      <c r="H140" s="38" t="n">
        <f aca="false">Sens!$H$138+Sens!$H$139</f>
        <v>241.059451517916</v>
      </c>
      <c r="I140" s="38" t="n">
        <f aca="false">Sens!$I$138+Sens!$I$139</f>
        <v>312.152096351442</v>
      </c>
      <c r="J140" s="38" t="n">
        <f aca="false">Sens!$J$138+Sens!$J$139</f>
        <v>379.424316597773</v>
      </c>
      <c r="K140" s="38" t="n">
        <f aca="false">Sens!$K$138+Sens!$K$139</f>
        <v>439.919237244402</v>
      </c>
      <c r="L140" s="38" t="n">
        <f aca="false">Sens!$L$138+Sens!$L$139</f>
        <v>501.954974491517</v>
      </c>
      <c r="M140" s="38" t="n">
        <f aca="false">Sens!$M$138+Sens!$M$139</f>
        <v>565.639704466895</v>
      </c>
      <c r="N140" s="38" t="n">
        <f aca="false">Q!$N$7</f>
        <v>60.14</v>
      </c>
      <c r="O140" s="38" t="n">
        <f aca="false">Q!$O$7</f>
        <v>68.585</v>
      </c>
      <c r="P140" s="5" t="s">
        <v>646</v>
      </c>
    </row>
    <row r="141" customFormat="false" ht="15" hidden="false" customHeight="false" outlineLevel="0" collapsed="false">
      <c r="A141" s="3" t="s">
        <v>647</v>
      </c>
      <c r="B141" s="8" t="s">
        <v>73</v>
      </c>
      <c r="C141" s="38" t="n">
        <f aca="false">Q!$D$8</f>
        <v>637.959</v>
      </c>
      <c r="D141" s="38" t="n">
        <f aca="false">Q!$E$8</f>
        <v>716.924</v>
      </c>
      <c r="E141" s="38" t="n">
        <f aca="false">Q!$P$8</f>
        <v>382.125</v>
      </c>
      <c r="F141" s="38" t="n">
        <f aca="false">Sens!$F$75+Sens!$F$140</f>
        <v>450.494873271816</v>
      </c>
      <c r="G141" s="38" t="n">
        <f aca="false">Sens!$G$75+Sens!$G$140</f>
        <v>832.619873271816</v>
      </c>
      <c r="H141" s="38" t="n">
        <f aca="false">Sens!$H$75+Sens!$H$140</f>
        <v>970.995189139617</v>
      </c>
      <c r="I141" s="38" t="n">
        <f aca="false">Sens!$I$75+Sens!$I$140</f>
        <v>1110.44766604932</v>
      </c>
      <c r="J141" s="38" t="n">
        <f aca="false">Sens!$J$75+Sens!$J$140</f>
        <v>1241.16113892356</v>
      </c>
      <c r="K141" s="38" t="n">
        <f aca="false">Sens!$K$75+Sens!$K$140</f>
        <v>1357.47672934633</v>
      </c>
      <c r="L141" s="38" t="n">
        <f aca="false">Sens!$L$75+Sens!$L$140</f>
        <v>1479.24006423468</v>
      </c>
      <c r="M141" s="38" t="n">
        <f aca="false">Sens!$M$75+Sens!$M$140</f>
        <v>1606.8537230104</v>
      </c>
      <c r="N141" s="38" t="n">
        <f aca="false">Q!$N$8</f>
        <v>323.369</v>
      </c>
      <c r="O141" s="38" t="n">
        <f aca="false">Q!$O$8</f>
        <v>393.555</v>
      </c>
    </row>
    <row r="142" customFormat="false" ht="17.15" hidden="false" customHeight="false" outlineLevel="0" collapsed="false">
      <c r="A142" s="24" t="s">
        <v>655</v>
      </c>
      <c r="B142" s="25" t="s">
        <v>73</v>
      </c>
      <c r="C142" s="39" t="n">
        <f aca="false">Sens!$C$75-(Sens!$C$77+Sens!$C$78)</f>
        <v>0</v>
      </c>
      <c r="D142" s="39" t="n">
        <f aca="false">Sens!$D$75-(Sens!$D$77+Sens!$D$78)</f>
        <v>0</v>
      </c>
      <c r="E142" s="39" t="n">
        <f aca="false">Sens!$E$75-(Sens!$E$77+Sens!$E$78)</f>
        <v>0</v>
      </c>
      <c r="F142" s="39" t="n">
        <f aca="false">Sens!$F$75-(Sens!$F$77+Sens!$F$78)</f>
        <v>0</v>
      </c>
      <c r="G142" s="39" t="n">
        <f aca="false">Sens!$G$75-(Sens!$G$77+Sens!$G$78)</f>
        <v>0</v>
      </c>
      <c r="H142" s="39" t="n">
        <f aca="false">Sens!$H$75-(Sens!$H$77+Sens!$H$78)</f>
        <v>0</v>
      </c>
      <c r="I142" s="39" t="n">
        <f aca="false">Sens!$I$75-(Sens!$I$77+Sens!$I$78)</f>
        <v>0</v>
      </c>
      <c r="J142" s="39" t="n">
        <f aca="false">Sens!$J$75-(Sens!$J$77+Sens!$J$78)</f>
        <v>0</v>
      </c>
      <c r="K142" s="39" t="n">
        <f aca="false">Sens!$K$75-(Sens!$K$77+Sens!$K$78)</f>
        <v>0</v>
      </c>
      <c r="L142" s="39" t="n">
        <f aca="false">Sens!$L$75-(Sens!$L$77+Sens!$L$78)</f>
        <v>0</v>
      </c>
      <c r="M142" s="39" t="n">
        <f aca="false">Sens!$M$75-(Sens!$M$77+Sens!$M$78)</f>
        <v>0</v>
      </c>
      <c r="N142" s="39" t="n">
        <f aca="false">Sens!$N$75-(Sens!$N$77+Sens!$N$78)</f>
        <v>0</v>
      </c>
      <c r="O142" s="39" t="n">
        <f aca="false">Sens!$O$75-(Sens!$O$77+Sens!$O$78)</f>
        <v>0</v>
      </c>
    </row>
    <row r="143" customFormat="false" ht="17.15" hidden="false" customHeight="false" outlineLevel="0" collapsed="false">
      <c r="A143" s="24" t="s">
        <v>656</v>
      </c>
      <c r="B143" s="25" t="s">
        <v>73</v>
      </c>
      <c r="C143" s="39" t="n">
        <f aca="false">Sens!$C$138+Sens!$C$139-Sens!$C$140</f>
        <v>0</v>
      </c>
      <c r="D143" s="39" t="n">
        <f aca="false">Sens!$D$138+Sens!$D$139-Sens!$D$140</f>
        <v>0</v>
      </c>
      <c r="E143" s="39" t="n">
        <f aca="false">Sens!$E$138+Sens!$E$139-Sens!$E$140</f>
        <v>0</v>
      </c>
      <c r="F143" s="39" t="n">
        <f aca="false">Sens!$F$138+Sens!$F$139-Sens!$F$140</f>
        <v>0</v>
      </c>
      <c r="G143" s="39" t="n">
        <f aca="false">Sens!$G$138+Sens!$G$139-Sens!$G$140</f>
        <v>0</v>
      </c>
      <c r="H143" s="39" t="n">
        <f aca="false">Sens!$H$138+Sens!$H$139-Sens!$H$140</f>
        <v>0</v>
      </c>
      <c r="I143" s="39" t="n">
        <f aca="false">Sens!$I$138+Sens!$I$139-Sens!$I$140</f>
        <v>0</v>
      </c>
      <c r="J143" s="39" t="n">
        <f aca="false">Sens!$J$138+Sens!$J$139-Sens!$J$140</f>
        <v>0</v>
      </c>
      <c r="K143" s="39" t="n">
        <f aca="false">Sens!$K$138+Sens!$K$139-Sens!$K$140</f>
        <v>0</v>
      </c>
      <c r="L143" s="39" t="n">
        <f aca="false">Sens!$L$138+Sens!$L$139-Sens!$L$140</f>
        <v>0</v>
      </c>
      <c r="M143" s="39" t="n">
        <f aca="false">Sens!$M$138+Sens!$M$139-Sens!$M$140</f>
        <v>0</v>
      </c>
      <c r="N143" s="39" t="n">
        <f aca="false">Sens!$N$138+Sens!$N$139-Sens!$N$140</f>
        <v>0</v>
      </c>
      <c r="O143" s="39" t="n">
        <f aca="false">Sens!$O$138+Sens!$O$139-Sens!$O$140</f>
        <v>0</v>
      </c>
    </row>
    <row r="144" customFormat="false" ht="17.15" hidden="false" customHeight="false" outlineLevel="0" collapsed="false">
      <c r="A144" s="24" t="s">
        <v>657</v>
      </c>
      <c r="B144" s="25" t="s">
        <v>73</v>
      </c>
      <c r="C144" s="39" t="n">
        <f aca="false">Sens!$C$77+Sens!$C$78+Sens!$C$140-Sens!$C$141</f>
        <v>0</v>
      </c>
      <c r="D144" s="39" t="n">
        <f aca="false">Sens!$D$77+Sens!$D$78+Sens!$D$140-Sens!$D$141</f>
        <v>0</v>
      </c>
      <c r="E144" s="39" t="n">
        <f aca="false">Sens!$E$77+Sens!$E$78+Sens!$E$140-Sens!$E$141</f>
        <v>0</v>
      </c>
      <c r="F144" s="39" t="n">
        <f aca="false">Sens!$F$77+Sens!$F$78+Sens!$F$140-Sens!$F$141</f>
        <v>0</v>
      </c>
      <c r="G144" s="39" t="n">
        <f aca="false">Sens!$G$77+Sens!$G$78+Sens!$G$140-Sens!$G$141</f>
        <v>0</v>
      </c>
      <c r="H144" s="39" t="n">
        <f aca="false">Sens!$H$77+Sens!$H$78+Sens!$H$140-Sens!$H$141</f>
        <v>0</v>
      </c>
      <c r="I144" s="39" t="n">
        <f aca="false">Sens!$I$77+Sens!$I$78+Sens!$I$140-Sens!$I$141</f>
        <v>0</v>
      </c>
      <c r="J144" s="39" t="n">
        <f aca="false">Sens!$J$77+Sens!$J$78+Sens!$J$140-Sens!$J$141</f>
        <v>0</v>
      </c>
      <c r="K144" s="39" t="n">
        <f aca="false">Sens!$K$77+Sens!$K$78+Sens!$K$140-Sens!$K$141</f>
        <v>0</v>
      </c>
      <c r="L144" s="39" t="n">
        <f aca="false">Sens!$L$77+Sens!$L$78+Sens!$L$140-Sens!$L$141</f>
        <v>0</v>
      </c>
      <c r="M144" s="39" t="n">
        <f aca="false">Sens!$M$77+Sens!$M$78+Sens!$M$140-Sens!$M$141</f>
        <v>0</v>
      </c>
      <c r="N144" s="39" t="n">
        <f aca="false">Sens!$N$77+Sens!$N$78+Sens!$N$140-Sens!$N$141</f>
        <v>0</v>
      </c>
      <c r="O144" s="39" t="n">
        <f aca="false">Sens!$O$77+Sens!$O$78+Sens!$O$140-Sens!$O$141</f>
        <v>0</v>
      </c>
    </row>
    <row r="145" customFormat="false" ht="15" hidden="false" customHeight="false" outlineLevel="0" collapsed="false">
      <c r="A145" s="5" t="s">
        <v>651</v>
      </c>
      <c r="B145" s="0" t="s">
        <v>52</v>
      </c>
      <c r="G145" s="12" t="n">
        <f aca="false">Sens!$G$141/Sens!$D$141-1</f>
        <v>0.161378156222718</v>
      </c>
      <c r="H145" s="12" t="n">
        <f aca="false">Sens!$H$141/Sens!$G$141-1</f>
        <v>0.166192665236357</v>
      </c>
      <c r="I145" s="12" t="n">
        <f aca="false">Sens!$I$141/Sens!$H$141-1</f>
        <v>0.143618092519351</v>
      </c>
      <c r="J145" s="12" t="n">
        <f aca="false">Sens!$J$141/Sens!$I$141-1</f>
        <v>0.117712411733268</v>
      </c>
      <c r="K145" s="12" t="n">
        <f aca="false">Sens!$K$141/Sens!$J$141-1</f>
        <v>0.0937151404237868</v>
      </c>
      <c r="L145" s="12" t="n">
        <f aca="false">Sens!$L$141/Sens!$K$141-1</f>
        <v>0.0896982852494186</v>
      </c>
      <c r="M145" s="12" t="n">
        <f aca="false">Sens!$M$141/Sens!$L$141-1</f>
        <v>0.0862697420528154</v>
      </c>
    </row>
    <row r="146" customFormat="false" ht="17.15" hidden="false" customHeight="false" outlineLevel="0" collapsed="false">
      <c r="A146" s="0" t="s">
        <v>652</v>
      </c>
      <c r="B146" s="0" t="s">
        <v>52</v>
      </c>
      <c r="C146" s="12" t="n">
        <f aca="false">Sens!$C$140/Sens!$C$141</f>
        <v>0.168593906504964</v>
      </c>
      <c r="D146" s="12" t="n">
        <f aca="false">Sens!$D$140/Sens!$D$141</f>
        <v>0.179551807444025</v>
      </c>
      <c r="E146" s="12" t="n">
        <f aca="false">Sens!$E$140/Sens!$E$141</f>
        <v>0.208881910369643</v>
      </c>
      <c r="F146" s="12" t="n">
        <f aca="false">Sens!$F$140/Sens!$F$141</f>
        <v>0.207679264769203</v>
      </c>
      <c r="G146" s="12" t="n">
        <f aca="false">Sens!$G$140/Sens!$G$141</f>
        <v>0.208231210458731</v>
      </c>
      <c r="H146" s="12" t="n">
        <f aca="false">Sens!$H$140/Sens!$H$141</f>
        <v>0.248260191414043</v>
      </c>
      <c r="I146" s="12" t="n">
        <f aca="false">Sens!$I$140/Sens!$I$141</f>
        <v>0.28110473450946</v>
      </c>
      <c r="J146" s="12" t="n">
        <f aca="false">Sens!$J$140/Sens!$J$141</f>
        <v>0.30570109287086</v>
      </c>
      <c r="K146" s="12" t="n">
        <f aca="false">Sens!$K$140/Sens!$K$141</f>
        <v>0.324071291782835</v>
      </c>
      <c r="L146" s="12" t="n">
        <f aca="false">Sens!$L$140/Sens!$L$141</f>
        <v>0.339333003903741</v>
      </c>
      <c r="M146" s="12" t="n">
        <f aca="false">Sens!$M$140/Sens!$M$141</f>
        <v>0.3520169237354</v>
      </c>
      <c r="N146" s="12" t="n">
        <f aca="false">Sens!$N$140/Sens!$N$141</f>
        <v>0.185979484737251</v>
      </c>
      <c r="O146" s="12" t="n">
        <f aca="false">Sens!$O$140/Sens!$O$141</f>
        <v>0.174270432341096</v>
      </c>
    </row>
    <row r="147" customFormat="false" ht="17.15" hidden="false" customHeight="false" outlineLevel="0" collapsed="false">
      <c r="A147" s="0" t="s">
        <v>653</v>
      </c>
      <c r="B147" s="0" t="s">
        <v>52</v>
      </c>
      <c r="C147" s="12" t="n">
        <f aca="false">Sens!$C$138/Sens!$C$140</f>
        <v>0.0215795060896058</v>
      </c>
      <c r="D147" s="12" t="n">
        <f aca="false">Sens!$D$138/Sens!$D$140</f>
        <v>0.0676152269462122</v>
      </c>
      <c r="E147" s="12" t="n">
        <f aca="false">Sens!$E$138/Sens!$E$140</f>
        <v>0.106620641395783</v>
      </c>
      <c r="F147" s="12" t="n">
        <f aca="false">Sens!$F$138/Sens!$F$140</f>
        <v>0.159936751776064</v>
      </c>
      <c r="G147" s="12" t="n">
        <f aca="false">Sens!$G$138/Sens!$G$140</f>
        <v>0.135391237003751</v>
      </c>
      <c r="H147" s="12" t="n">
        <f aca="false">Sens!$H$138/Sens!$H$140</f>
        <v>0.249589428545194</v>
      </c>
      <c r="I147" s="12" t="n">
        <f aca="false">Sens!$I$138/Sens!$I$140</f>
        <v>0.325173850577483</v>
      </c>
      <c r="J147" s="12" t="n">
        <f aca="false">Sens!$J$138/Sens!$J$140</f>
        <v>0.376953718817392</v>
      </c>
      <c r="K147" s="12" t="n">
        <f aca="false">Sens!$K$138/Sens!$K$140</f>
        <v>0.419641605578676</v>
      </c>
      <c r="L147" s="12" t="n">
        <f aca="false">Sens!$L$138/Sens!$L$140</f>
        <v>0.450676451094615</v>
      </c>
      <c r="M147" s="12" t="n">
        <f aca="false">Sens!$M$138/Sens!$M$140</f>
        <v>0.473526096798086</v>
      </c>
      <c r="N147" s="12" t="n">
        <f aca="false">Sens!$N$138/Sens!$N$140</f>
        <v>0.0506537999838362</v>
      </c>
      <c r="O147" s="12" t="n">
        <f aca="false">Sens!$O$138/Sens!$O$140</f>
        <v>0.0824881615167056</v>
      </c>
    </row>
    <row r="150" customFormat="false" ht="19.4" hidden="false" customHeight="false" outlineLevel="0" collapsed="false">
      <c r="A150" s="31" t="s">
        <v>1045</v>
      </c>
    </row>
    <row r="151" customFormat="false" ht="17.15" hidden="false" customHeight="false" outlineLevel="0" collapsed="false">
      <c r="A151" s="6" t="s">
        <v>16</v>
      </c>
      <c r="B151" s="6" t="s">
        <v>17</v>
      </c>
      <c r="C151" s="20" t="s">
        <v>457</v>
      </c>
      <c r="D151" s="20" t="s">
        <v>458</v>
      </c>
      <c r="E151" s="20" t="s">
        <v>540</v>
      </c>
      <c r="F151" s="20" t="s">
        <v>541</v>
      </c>
      <c r="G151" s="20" t="s">
        <v>542</v>
      </c>
      <c r="H151" s="20" t="s">
        <v>543</v>
      </c>
      <c r="I151" s="20" t="s">
        <v>544</v>
      </c>
      <c r="J151" s="20" t="s">
        <v>545</v>
      </c>
      <c r="K151" s="20" t="s">
        <v>546</v>
      </c>
      <c r="L151" s="20" t="s">
        <v>547</v>
      </c>
      <c r="M151" s="20" t="s">
        <v>548</v>
      </c>
      <c r="N151" s="20" t="s">
        <v>549</v>
      </c>
      <c r="O151" s="20" t="s">
        <v>550</v>
      </c>
      <c r="P151" s="6" t="s">
        <v>23</v>
      </c>
      <c r="R151" s="20" t="n">
        <v>2023</v>
      </c>
      <c r="S151" s="20" t="n">
        <v>2024</v>
      </c>
      <c r="T151" s="20" t="n">
        <v>2025</v>
      </c>
      <c r="U151" s="20" t="n">
        <v>2026</v>
      </c>
      <c r="V151" s="20" t="n">
        <v>2027</v>
      </c>
      <c r="W151" s="20" t="n">
        <v>2028</v>
      </c>
      <c r="X151" s="20" t="n">
        <v>2029</v>
      </c>
      <c r="Y151" s="20" t="n">
        <v>2030</v>
      </c>
      <c r="Z151" s="20" t="n">
        <v>2031</v>
      </c>
      <c r="AA151" s="20" t="n">
        <v>2032</v>
      </c>
    </row>
    <row r="152" customFormat="false" ht="17.15" hidden="false" customHeight="false" outlineLevel="0" collapsed="false">
      <c r="A152" s="1" t="s">
        <v>668</v>
      </c>
    </row>
    <row r="153" customFormat="false" ht="15" hidden="false" customHeight="false" outlineLevel="0" collapsed="false">
      <c r="A153" s="0" t="s">
        <v>479</v>
      </c>
      <c r="B153" s="0" t="s">
        <v>73</v>
      </c>
      <c r="C153" s="38" t="n">
        <f aca="false">Sens!$C$63</f>
        <v>247.029</v>
      </c>
      <c r="D153" s="38" t="n">
        <f aca="false">Sens!$D$63</f>
        <v>269.287</v>
      </c>
      <c r="E153" s="38" t="n">
        <f aca="false">Sens!$E$63</f>
        <v>134.686</v>
      </c>
      <c r="F153" s="38" t="n">
        <f aca="false">Sens!$F$63</f>
        <v>160.728085930082</v>
      </c>
      <c r="G153" s="38" t="n">
        <f aca="false">Sens!$G$63</f>
        <v>295.414085930082</v>
      </c>
      <c r="H153" s="38" t="n">
        <f aca="false">Sens!$H$63</f>
        <v>320.828163943375</v>
      </c>
      <c r="I153" s="38" t="n">
        <f aca="false">Sens!$I$63</f>
        <v>344.575578072228</v>
      </c>
      <c r="J153" s="38" t="n">
        <f aca="false">Sens!$J$63</f>
        <v>365.942555779681</v>
      </c>
      <c r="K153" s="38" t="n">
        <f aca="false">Sens!$K$63</f>
        <v>384.239683568665</v>
      </c>
      <c r="L153" s="38" t="n">
        <f aca="false">Sens!$L$63</f>
        <v>403.451667747098</v>
      </c>
      <c r="M153" s="38" t="n">
        <f aca="false">Sens!$M$63</f>
        <v>423.624251134453</v>
      </c>
      <c r="N153" s="38" t="n">
        <f aca="false">Sens!$N$63</f>
        <v>118.892</v>
      </c>
      <c r="O153" s="38" t="n">
        <f aca="false">Sens!$O$63</f>
        <v>150.395</v>
      </c>
    </row>
    <row r="154" customFormat="false" ht="15" hidden="false" customHeight="false" outlineLevel="0" collapsed="false">
      <c r="A154" s="0" t="s">
        <v>480</v>
      </c>
      <c r="B154" s="0" t="s">
        <v>73</v>
      </c>
      <c r="C154" s="38" t="n">
        <f aca="false">Sens!$C$65</f>
        <v>21.215</v>
      </c>
      <c r="D154" s="38" t="n">
        <f aca="false">Sens!$D$65</f>
        <v>22.561</v>
      </c>
      <c r="E154" s="38" t="n">
        <f aca="false">Sens!$E$65</f>
        <v>11.579</v>
      </c>
      <c r="F154" s="38" t="n">
        <f aca="false">Sens!$F$65</f>
        <v>12.0952613121125</v>
      </c>
      <c r="G154" s="38" t="n">
        <f aca="false">Sens!$G$65</f>
        <v>23.6742613121125</v>
      </c>
      <c r="H154" s="38" t="n">
        <f aca="false">Sens!$H$65</f>
        <v>24.8803243963206</v>
      </c>
      <c r="I154" s="38" t="n">
        <f aca="false">Sens!$I$65</f>
        <v>25.9741308664154</v>
      </c>
      <c r="J154" s="38" t="n">
        <f aca="false">Sens!$J$65</f>
        <v>26.9346894124267</v>
      </c>
      <c r="K154" s="38" t="n">
        <f aca="false">Sens!$K$65</f>
        <v>27.7427300947995</v>
      </c>
      <c r="L154" s="38" t="n">
        <f aca="false">Sens!$L$65</f>
        <v>28.5750119976435</v>
      </c>
      <c r="M154" s="38" t="n">
        <f aca="false">Sens!$M$65</f>
        <v>29.4322623575728</v>
      </c>
      <c r="N154" s="38" t="n">
        <f aca="false">Sens!$N$65</f>
        <v>11.128</v>
      </c>
      <c r="O154" s="38" t="n">
        <f aca="false">Sens!$O$65</f>
        <v>11.433</v>
      </c>
    </row>
    <row r="155" customFormat="false" ht="15" hidden="false" customHeight="false" outlineLevel="0" collapsed="false">
      <c r="A155" s="0" t="s">
        <v>481</v>
      </c>
      <c r="B155" s="0" t="s">
        <v>73</v>
      </c>
      <c r="C155" s="38" t="n">
        <f aca="false">Sens!$C$67</f>
        <v>156.146</v>
      </c>
      <c r="D155" s="38" t="n">
        <f aca="false">Sens!$D$67</f>
        <v>172.162</v>
      </c>
      <c r="E155" s="38" t="n">
        <f aca="false">Sens!$E$67</f>
        <v>88.358</v>
      </c>
      <c r="F155" s="38" t="n">
        <f aca="false">Sens!$F$67</f>
        <v>103.62028337149</v>
      </c>
      <c r="G155" s="38" t="n">
        <f aca="false">Sens!$G$67</f>
        <v>191.97828337149</v>
      </c>
      <c r="H155" s="38" t="n">
        <f aca="false">Sens!$H$67</f>
        <v>212.128608444755</v>
      </c>
      <c r="I155" s="38" t="n">
        <f aca="false">Sens!$I$67</f>
        <v>231.92183134134</v>
      </c>
      <c r="J155" s="38" t="n">
        <f aca="false">Sens!$J$67</f>
        <v>250.859136487863</v>
      </c>
      <c r="K155" s="38" t="n">
        <f aca="false">Sens!$K$67</f>
        <v>268.419276042014</v>
      </c>
      <c r="L155" s="38" t="n">
        <f aca="false">Sens!$L$67</f>
        <v>287.208625364954</v>
      </c>
      <c r="M155" s="38" t="n">
        <f aca="false">Sens!$M$67</f>
        <v>307.313229140501</v>
      </c>
      <c r="N155" s="38" t="n">
        <f aca="false">Sens!$N$67</f>
        <v>76.86</v>
      </c>
      <c r="O155" s="38" t="n">
        <f aca="false">Sens!$O$67</f>
        <v>95.302</v>
      </c>
    </row>
    <row r="156" customFormat="false" ht="15" hidden="false" customHeight="false" outlineLevel="0" collapsed="false">
      <c r="A156" s="0" t="s">
        <v>482</v>
      </c>
      <c r="B156" s="0" t="s">
        <v>73</v>
      </c>
      <c r="C156" s="38" t="n">
        <f aca="false">Sens!$C$69</f>
        <v>56.214</v>
      </c>
      <c r="D156" s="38" t="n">
        <f aca="false">Sens!$D$69</f>
        <v>68.635</v>
      </c>
      <c r="E156" s="38" t="n">
        <f aca="false">Sens!$E$69</f>
        <v>37.052</v>
      </c>
      <c r="F156" s="38" t="n">
        <f aca="false">Sens!$F$69</f>
        <v>48.1533381827382</v>
      </c>
      <c r="G156" s="38" t="n">
        <f aca="false">Sens!$G$69</f>
        <v>85.2053381827382</v>
      </c>
      <c r="H156" s="38" t="n">
        <f aca="false">Sens!$H$69</f>
        <v>102.29336185894</v>
      </c>
      <c r="I156" s="38" t="n">
        <f aca="false">Sens!$I$69</f>
        <v>119.379837585241</v>
      </c>
      <c r="J156" s="38" t="n">
        <f aca="false">Sens!$J$69</f>
        <v>135.319079048844</v>
      </c>
      <c r="K156" s="38" t="n">
        <f aca="false">Sens!$K$69</f>
        <v>148.850986953729</v>
      </c>
      <c r="L156" s="38" t="n">
        <f aca="false">Sens!$L$69</f>
        <v>163.736085649102</v>
      </c>
      <c r="M156" s="38" t="n">
        <f aca="false">Sens!$M$69</f>
        <v>180.109694214012</v>
      </c>
      <c r="N156" s="38" t="n">
        <f aca="false">Sens!$N$69</f>
        <v>29.615</v>
      </c>
      <c r="O156" s="38" t="n">
        <f aca="false">Sens!$O$69</f>
        <v>39.02</v>
      </c>
    </row>
    <row r="157" customFormat="false" ht="15" hidden="false" customHeight="false" outlineLevel="0" collapsed="false">
      <c r="A157" s="0" t="s">
        <v>483</v>
      </c>
      <c r="B157" s="0" t="s">
        <v>73</v>
      </c>
      <c r="C157" s="38" t="n">
        <f aca="false">Sens!$C$71</f>
        <v>44.374</v>
      </c>
      <c r="D157" s="38" t="n">
        <f aca="false">Sens!$D$71</f>
        <v>49.619</v>
      </c>
      <c r="E157" s="38" t="n">
        <f aca="false">Sens!$E$71</f>
        <v>27.157</v>
      </c>
      <c r="F157" s="38" t="n">
        <f aca="false">Sens!$F$71</f>
        <v>28.9776360923374</v>
      </c>
      <c r="G157" s="38" t="n">
        <f aca="false">Sens!$G$71</f>
        <v>56.1346360923374</v>
      </c>
      <c r="H157" s="38" t="n">
        <f aca="false">Sens!$H$71</f>
        <v>62.4937078946075</v>
      </c>
      <c r="I157" s="38" t="n">
        <f aca="false">Sens!$I$71</f>
        <v>68.6715233062498</v>
      </c>
      <c r="J157" s="38" t="n">
        <f aca="false">Sens!$J$71</f>
        <v>74.4692882949818</v>
      </c>
      <c r="K157" s="38" t="n">
        <f aca="false">Sens!$K$71</f>
        <v>79.6821384756306</v>
      </c>
      <c r="L157" s="38" t="n">
        <f aca="false">Sens!$L$71</f>
        <v>85.2598881689247</v>
      </c>
      <c r="M157" s="38" t="n">
        <f aca="false">Sens!$M$71</f>
        <v>91.2280803407494</v>
      </c>
      <c r="N157" s="38" t="n">
        <f aca="false">Sens!$N$71</f>
        <v>23.923</v>
      </c>
      <c r="O157" s="38" t="n">
        <f aca="false">Sens!$O$71</f>
        <v>25.696</v>
      </c>
    </row>
    <row r="158" customFormat="false" ht="15" hidden="false" customHeight="false" outlineLevel="0" collapsed="false">
      <c r="A158" s="0" t="s">
        <v>484</v>
      </c>
      <c r="B158" s="0" t="s">
        <v>73</v>
      </c>
      <c r="C158" s="38" t="n">
        <f aca="false">Sens!$C$73</f>
        <v>5.425</v>
      </c>
      <c r="D158" s="38" t="n">
        <f aca="false">Sens!$D$73</f>
        <v>5.935</v>
      </c>
      <c r="E158" s="38" t="n">
        <f aca="false">Sens!$E$73</f>
        <v>3.474</v>
      </c>
      <c r="F158" s="38" t="n">
        <f aca="false">Sens!$F$73</f>
        <v>3.36182431966931</v>
      </c>
      <c r="G158" s="38" t="n">
        <f aca="false">Sens!$G$73</f>
        <v>6.83582431966931</v>
      </c>
      <c r="H158" s="38" t="n">
        <f aca="false">Sens!$H$73</f>
        <v>7.31157108370141</v>
      </c>
      <c r="I158" s="38" t="n">
        <f aca="false">Sens!$I$73</f>
        <v>7.77266852639815</v>
      </c>
      <c r="J158" s="38" t="n">
        <f aca="false">Sens!$J$73</f>
        <v>8.2120733019884</v>
      </c>
      <c r="K158" s="38" t="n">
        <f aca="false">Sens!$K$73</f>
        <v>8.62267696708783</v>
      </c>
      <c r="L158" s="38" t="n">
        <f aca="false">Sens!$L$73</f>
        <v>9.05381081544222</v>
      </c>
      <c r="M158" s="38" t="n">
        <f aca="false">Sens!$M$73</f>
        <v>9.50650135621433</v>
      </c>
      <c r="N158" s="38" t="n">
        <f aca="false">Sens!$N$73</f>
        <v>2.811</v>
      </c>
      <c r="O158" s="38" t="n">
        <f aca="false">Sens!$O$73</f>
        <v>3.124</v>
      </c>
    </row>
    <row r="159" customFormat="false" ht="17.15" hidden="false" customHeight="false" outlineLevel="0" collapsed="false">
      <c r="A159" s="0" t="s">
        <v>669</v>
      </c>
      <c r="B159" s="0" t="s">
        <v>73</v>
      </c>
      <c r="C159" s="38" t="n">
        <f aca="false">Sens!$C$140</f>
        <v>107.556</v>
      </c>
      <c r="D159" s="38" t="n">
        <f aca="false">Sens!$D$140</f>
        <v>128.725</v>
      </c>
      <c r="E159" s="38" t="n">
        <f aca="false">Sens!$E$140</f>
        <v>79.819</v>
      </c>
      <c r="F159" s="38" t="n">
        <f aca="false">Sens!$F$140</f>
        <v>93.5584440633857</v>
      </c>
      <c r="G159" s="38" t="n">
        <f aca="false">Sens!$G$140</f>
        <v>173.377444063386</v>
      </c>
      <c r="H159" s="38" t="n">
        <f aca="false">Sens!$H$140</f>
        <v>241.059451517916</v>
      </c>
      <c r="I159" s="38" t="n">
        <f aca="false">Sens!$I$140</f>
        <v>312.152096351442</v>
      </c>
      <c r="J159" s="38" t="n">
        <f aca="false">Sens!$J$140</f>
        <v>379.424316597773</v>
      </c>
      <c r="K159" s="38" t="n">
        <f aca="false">Sens!$K$140</f>
        <v>439.919237244402</v>
      </c>
      <c r="L159" s="38" t="n">
        <f aca="false">Sens!$L$140</f>
        <v>501.954974491517</v>
      </c>
      <c r="M159" s="38" t="n">
        <f aca="false">Sens!$M$140</f>
        <v>565.639704466895</v>
      </c>
      <c r="N159" s="38" t="n">
        <f aca="false">Sens!$N$140</f>
        <v>60.14</v>
      </c>
      <c r="O159" s="38" t="n">
        <f aca="false">Sens!$O$140</f>
        <v>68.585</v>
      </c>
    </row>
    <row r="160" customFormat="false" ht="15" hidden="false" customHeight="false" outlineLevel="0" collapsed="false">
      <c r="A160" s="1" t="s">
        <v>472</v>
      </c>
      <c r="B160" s="8" t="s">
        <v>73</v>
      </c>
      <c r="C160" s="38" t="n">
        <f aca="false">Sens!$C$77</f>
        <v>387.497</v>
      </c>
      <c r="D160" s="38" t="n">
        <f aca="false">Sens!$D$77</f>
        <v>426.305</v>
      </c>
      <c r="E160" s="38" t="n">
        <f aca="false">Sens!$E$77</f>
        <v>220.32</v>
      </c>
      <c r="F160" s="38" t="n">
        <f aca="false">Sens!$F$77</f>
        <v>256.304015003807</v>
      </c>
      <c r="G160" s="38" t="n">
        <f aca="false">Sens!$G$77</f>
        <v>476.624015003807</v>
      </c>
      <c r="H160" s="38" t="n">
        <f aca="false">Sens!$H$77</f>
        <v>527.734391091543</v>
      </c>
      <c r="I160" s="38" t="n">
        <f aca="false">Sens!$I$77</f>
        <v>577.157693029577</v>
      </c>
      <c r="J160" s="38" t="n">
        <f aca="false">Sens!$J$77</f>
        <v>623.024923663827</v>
      </c>
      <c r="K160" s="38" t="n">
        <f aca="false">Sens!$K$77</f>
        <v>663.382568393781</v>
      </c>
      <c r="L160" s="38" t="n">
        <f aca="false">Sens!$L$77</f>
        <v>706.564873010432</v>
      </c>
      <c r="M160" s="38" t="n">
        <f aca="false">Sens!$M$77</f>
        <v>752.784687406019</v>
      </c>
      <c r="N160" s="38" t="n">
        <f aca="false">Sens!$N$77</f>
        <v>192.955</v>
      </c>
      <c r="O160" s="38" t="n">
        <f aca="false">Sens!$O$77</f>
        <v>233.35</v>
      </c>
    </row>
    <row r="161" customFormat="false" ht="15" hidden="false" customHeight="false" outlineLevel="0" collapsed="false">
      <c r="A161" s="1" t="s">
        <v>475</v>
      </c>
      <c r="B161" s="8" t="s">
        <v>73</v>
      </c>
      <c r="C161" s="38" t="n">
        <f aca="false">Sens!$C$78</f>
        <v>142.906</v>
      </c>
      <c r="D161" s="38" t="n">
        <f aca="false">Sens!$D$78</f>
        <v>161.894</v>
      </c>
      <c r="E161" s="38" t="n">
        <f aca="false">Sens!$E$78</f>
        <v>81.986</v>
      </c>
      <c r="F161" s="38" t="n">
        <f aca="false">Sens!$F$78</f>
        <v>100.632414204623</v>
      </c>
      <c r="G161" s="38" t="n">
        <f aca="false">Sens!$G$78</f>
        <v>182.618414204623</v>
      </c>
      <c r="H161" s="38" t="n">
        <f aca="false">Sens!$H$78</f>
        <v>202.201346530158</v>
      </c>
      <c r="I161" s="38" t="n">
        <f aca="false">Sens!$I$78</f>
        <v>221.137876668296</v>
      </c>
      <c r="J161" s="38" t="n">
        <f aca="false">Sens!$J$78</f>
        <v>238.711898661958</v>
      </c>
      <c r="K161" s="38" t="n">
        <f aca="false">Sens!$K$78</f>
        <v>254.174923708144</v>
      </c>
      <c r="L161" s="38" t="n">
        <f aca="false">Sens!$L$78</f>
        <v>270.720216732733</v>
      </c>
      <c r="M161" s="38" t="n">
        <f aca="false">Sens!$M$78</f>
        <v>288.429331137484</v>
      </c>
      <c r="N161" s="38" t="n">
        <f aca="false">Sens!$N$78</f>
        <v>70.274</v>
      </c>
      <c r="O161" s="38" t="n">
        <f aca="false">Sens!$O$78</f>
        <v>91.62</v>
      </c>
    </row>
    <row r="162" customFormat="false" ht="15" hidden="false" customHeight="false" outlineLevel="0" collapsed="false">
      <c r="A162" s="1" t="s">
        <v>476</v>
      </c>
      <c r="B162" s="8" t="s">
        <v>73</v>
      </c>
      <c r="C162" s="38" t="n">
        <f aca="false">Sens!$C$140</f>
        <v>107.556</v>
      </c>
      <c r="D162" s="38" t="n">
        <f aca="false">Sens!$D$140</f>
        <v>128.725</v>
      </c>
      <c r="E162" s="38" t="n">
        <f aca="false">Sens!$E$140</f>
        <v>79.819</v>
      </c>
      <c r="F162" s="38" t="n">
        <f aca="false">Sens!$F$140</f>
        <v>93.5584440633857</v>
      </c>
      <c r="G162" s="38" t="n">
        <f aca="false">Sens!$G$140</f>
        <v>173.377444063386</v>
      </c>
      <c r="H162" s="38" t="n">
        <f aca="false">Sens!$H$140</f>
        <v>241.059451517916</v>
      </c>
      <c r="I162" s="38" t="n">
        <f aca="false">Sens!$I$140</f>
        <v>312.152096351442</v>
      </c>
      <c r="J162" s="38" t="n">
        <f aca="false">Sens!$J$140</f>
        <v>379.424316597773</v>
      </c>
      <c r="K162" s="38" t="n">
        <f aca="false">Sens!$K$140</f>
        <v>439.919237244402</v>
      </c>
      <c r="L162" s="38" t="n">
        <f aca="false">Sens!$L$140</f>
        <v>501.954974491517</v>
      </c>
      <c r="M162" s="38" t="n">
        <f aca="false">Sens!$M$140</f>
        <v>565.639704466895</v>
      </c>
      <c r="N162" s="38" t="n">
        <f aca="false">Sens!$N$140</f>
        <v>60.14</v>
      </c>
      <c r="O162" s="38" t="n">
        <f aca="false">Sens!$O$140</f>
        <v>68.585</v>
      </c>
    </row>
    <row r="163" customFormat="false" ht="17.15" hidden="false" customHeight="false" outlineLevel="0" collapsed="false">
      <c r="A163" s="0" t="s">
        <v>643</v>
      </c>
      <c r="B163" s="0" t="s">
        <v>73</v>
      </c>
      <c r="C163" s="38" t="n">
        <f aca="false">Sens!$C$138</f>
        <v>2.32100535697364</v>
      </c>
      <c r="D163" s="38" t="n">
        <f aca="false">Sens!$D$138</f>
        <v>8.70377008865116</v>
      </c>
      <c r="E163" s="38" t="n">
        <f aca="false">Sens!$E$138</f>
        <v>8.51035297557002</v>
      </c>
      <c r="F163" s="38" t="n">
        <f aca="false">Sens!$F$138</f>
        <v>14.9634336447205</v>
      </c>
      <c r="G163" s="38" t="n">
        <f aca="false">Sens!$G$138</f>
        <v>23.4737866202905</v>
      </c>
      <c r="H163" s="38" t="n">
        <f aca="false">Sens!$H$138</f>
        <v>60.1658907497746</v>
      </c>
      <c r="I163" s="38" t="n">
        <f aca="false">Sens!$I$138</f>
        <v>101.503699136432</v>
      </c>
      <c r="J163" s="38" t="n">
        <f aca="false">Sens!$J$138</f>
        <v>143.025407151278</v>
      </c>
      <c r="K163" s="38" t="n">
        <f aca="false">Sens!$K$138</f>
        <v>184.608415042187</v>
      </c>
      <c r="L163" s="38" t="n">
        <f aca="false">Sens!$L$138</f>
        <v>226.219286513125</v>
      </c>
      <c r="M163" s="38" t="n">
        <f aca="false">Sens!$M$138</f>
        <v>267.845161450232</v>
      </c>
      <c r="N163" s="38" t="n">
        <f aca="false">Sens!$N$138</f>
        <v>3.04631953102791</v>
      </c>
      <c r="O163" s="38" t="n">
        <f aca="false">Sens!$O$138</f>
        <v>5.65745055762326</v>
      </c>
    </row>
    <row r="164" customFormat="false" ht="17.15" hidden="false" customHeight="false" outlineLevel="0" collapsed="false">
      <c r="A164" s="0" t="s">
        <v>645</v>
      </c>
      <c r="B164" s="0" t="s">
        <v>73</v>
      </c>
      <c r="C164" s="38" t="n">
        <f aca="false">Sens!$C$139</f>
        <v>105.234994643026</v>
      </c>
      <c r="D164" s="38" t="n">
        <f aca="false">Sens!$D$139</f>
        <v>120.021229911349</v>
      </c>
      <c r="E164" s="38" t="n">
        <f aca="false">Sens!$E$139</f>
        <v>71.30864702443</v>
      </c>
      <c r="F164" s="38" t="n">
        <f aca="false">Sens!$F$139</f>
        <v>78.5950104186653</v>
      </c>
      <c r="G164" s="38" t="n">
        <f aca="false">Sens!$G$139</f>
        <v>149.903657443095</v>
      </c>
      <c r="H164" s="38" t="n">
        <f aca="false">Sens!$H$139</f>
        <v>180.893560768142</v>
      </c>
      <c r="I164" s="38" t="n">
        <f aca="false">Sens!$I$139</f>
        <v>210.64839721501</v>
      </c>
      <c r="J164" s="38" t="n">
        <f aca="false">Sens!$J$139</f>
        <v>236.398909446495</v>
      </c>
      <c r="K164" s="38" t="n">
        <f aca="false">Sens!$K$139</f>
        <v>255.310822202215</v>
      </c>
      <c r="L164" s="38" t="n">
        <f aca="false">Sens!$L$139</f>
        <v>275.735687978392</v>
      </c>
      <c r="M164" s="38" t="n">
        <f aca="false">Sens!$M$139</f>
        <v>297.794543016663</v>
      </c>
      <c r="N164" s="38" t="n">
        <f aca="false">Sens!$N$139</f>
        <v>57.0936804689721</v>
      </c>
      <c r="O164" s="38" t="n">
        <f aca="false">Sens!$O$139</f>
        <v>62.9275494423768</v>
      </c>
    </row>
    <row r="165" customFormat="false" ht="15" hidden="false" customHeight="false" outlineLevel="0" collapsed="false">
      <c r="A165" s="3" t="s">
        <v>477</v>
      </c>
      <c r="B165" s="8" t="s">
        <v>73</v>
      </c>
      <c r="C165" s="38" t="n">
        <f aca="false">Sens!$C$141</f>
        <v>637.959</v>
      </c>
      <c r="D165" s="38" t="n">
        <f aca="false">Sens!$D$141</f>
        <v>716.924</v>
      </c>
      <c r="E165" s="38" t="n">
        <f aca="false">Sens!$E$141</f>
        <v>382.125</v>
      </c>
      <c r="F165" s="38" t="n">
        <f aca="false">Sens!$F$141</f>
        <v>450.494873271816</v>
      </c>
      <c r="G165" s="38" t="n">
        <f aca="false">Sens!$G$141</f>
        <v>832.619873271816</v>
      </c>
      <c r="H165" s="38" t="n">
        <f aca="false">Sens!$H$141</f>
        <v>970.995189139617</v>
      </c>
      <c r="I165" s="38" t="n">
        <f aca="false">Sens!$I$141</f>
        <v>1110.44766604932</v>
      </c>
      <c r="J165" s="38" t="n">
        <f aca="false">Sens!$J$141</f>
        <v>1241.16113892356</v>
      </c>
      <c r="K165" s="38" t="n">
        <f aca="false">Sens!$K$141</f>
        <v>1357.47672934633</v>
      </c>
      <c r="L165" s="38" t="n">
        <f aca="false">Sens!$L$141</f>
        <v>1479.24006423468</v>
      </c>
      <c r="M165" s="38" t="n">
        <f aca="false">Sens!$M$141</f>
        <v>1606.8537230104</v>
      </c>
      <c r="N165" s="38" t="n">
        <f aca="false">Sens!$N$141</f>
        <v>323.369</v>
      </c>
      <c r="O165" s="38" t="n">
        <f aca="false">Sens!$O$141</f>
        <v>393.555</v>
      </c>
    </row>
    <row r="166" customFormat="false" ht="17.15" hidden="false" customHeight="false" outlineLevel="0" collapsed="false">
      <c r="A166" s="24" t="s">
        <v>655</v>
      </c>
      <c r="B166" s="25" t="s">
        <v>73</v>
      </c>
      <c r="C166" s="39" t="n">
        <f aca="false">Sens!$C$153+Sens!$C$154+Sens!$C$155+Sens!$C$156+Sens!$C$157+Sens!$C$158-(Sens!$C$160+Sens!$C$161)</f>
        <v>0</v>
      </c>
      <c r="D166" s="39" t="n">
        <f aca="false">Sens!$D$153+Sens!$D$154+Sens!$D$155+Sens!$D$156+Sens!$D$157+Sens!$D$158-(Sens!$D$160+Sens!$D$161)</f>
        <v>0</v>
      </c>
      <c r="E166" s="39" t="n">
        <f aca="false">Sens!$E$153+Sens!$E$154+Sens!$E$155+Sens!$E$156+Sens!$E$157+Sens!$E$158-(Sens!$E$160+Sens!$E$161)</f>
        <v>0</v>
      </c>
      <c r="F166" s="39" t="n">
        <f aca="false">Sens!$F$153+Sens!$F$154+Sens!$F$155+Sens!$F$156+Sens!$F$157+Sens!$F$158-(Sens!$F$160+Sens!$F$161)</f>
        <v>0</v>
      </c>
      <c r="G166" s="39" t="n">
        <f aca="false">Sens!$G$153+Sens!$G$154+Sens!$G$155+Sens!$G$156+Sens!$G$157+Sens!$G$158-(Sens!$G$160+Sens!$G$161)</f>
        <v>0</v>
      </c>
      <c r="H166" s="39" t="n">
        <f aca="false">Sens!$H$153+Sens!$H$154+Sens!$H$155+Sens!$H$156+Sens!$H$157+Sens!$H$158-(Sens!$H$160+Sens!$H$161)</f>
        <v>0</v>
      </c>
      <c r="I166" s="39" t="n">
        <f aca="false">Sens!$I$153+Sens!$I$154+Sens!$I$155+Sens!$I$156+Sens!$I$157+Sens!$I$158-(Sens!$I$160+Sens!$I$161)</f>
        <v>0</v>
      </c>
      <c r="J166" s="39" t="n">
        <f aca="false">Sens!$J$153+Sens!$J$154+Sens!$J$155+Sens!$J$156+Sens!$J$157+Sens!$J$158-(Sens!$J$160+Sens!$J$161)</f>
        <v>0</v>
      </c>
      <c r="K166" s="39" t="n">
        <f aca="false">Sens!$K$153+Sens!$K$154+Sens!$K$155+Sens!$K$156+Sens!$K$157+Sens!$K$158-(Sens!$K$160+Sens!$K$161)</f>
        <v>0</v>
      </c>
      <c r="L166" s="39" t="n">
        <f aca="false">Sens!$L$153+Sens!$L$154+Sens!$L$155+Sens!$L$156+Sens!$L$157+Sens!$L$158-(Sens!$L$160+Sens!$L$161)</f>
        <v>0</v>
      </c>
      <c r="M166" s="39" t="n">
        <f aca="false">Sens!$M$153+Sens!$M$154+Sens!$M$155+Sens!$M$156+Sens!$M$157+Sens!$M$158-(Sens!$M$160+Sens!$M$161)</f>
        <v>0</v>
      </c>
      <c r="N166" s="39" t="n">
        <f aca="false">Sens!$N$153+Sens!$N$154+Sens!$N$155+Sens!$N$156+Sens!$N$157+Sens!$N$158-(Sens!$N$160+Sens!$N$161)</f>
        <v>0</v>
      </c>
      <c r="O166" s="39" t="n">
        <f aca="false">Sens!$O$153+Sens!$O$154+Sens!$O$155+Sens!$O$156+Sens!$O$157+Sens!$O$158-(Sens!$O$160+Sens!$O$161)</f>
        <v>0</v>
      </c>
    </row>
    <row r="167" customFormat="false" ht="17.15" hidden="false" customHeight="false" outlineLevel="0" collapsed="false">
      <c r="A167" s="24" t="s">
        <v>656</v>
      </c>
      <c r="B167" s="25" t="s">
        <v>73</v>
      </c>
      <c r="C167" s="39" t="n">
        <f aca="false">Sens!$C$163+Sens!$C$164-Sens!$C$162</f>
        <v>0</v>
      </c>
      <c r="D167" s="39" t="n">
        <f aca="false">Sens!$D$163+Sens!$D$164-Sens!$D$162</f>
        <v>0</v>
      </c>
      <c r="E167" s="39" t="n">
        <f aca="false">Sens!$E$163+Sens!$E$164-Sens!$E$162</f>
        <v>0</v>
      </c>
      <c r="F167" s="39" t="n">
        <f aca="false">Sens!$F$163+Sens!$F$164-Sens!$F$162</f>
        <v>0</v>
      </c>
      <c r="G167" s="39" t="n">
        <f aca="false">Sens!$G$163+Sens!$G$164-Sens!$G$162</f>
        <v>0</v>
      </c>
      <c r="H167" s="39" t="n">
        <f aca="false">Sens!$H$163+Sens!$H$164-Sens!$H$162</f>
        <v>0</v>
      </c>
      <c r="I167" s="39" t="n">
        <f aca="false">Sens!$I$163+Sens!$I$164-Sens!$I$162</f>
        <v>0</v>
      </c>
      <c r="J167" s="39" t="n">
        <f aca="false">Sens!$J$163+Sens!$J$164-Sens!$J$162</f>
        <v>0</v>
      </c>
      <c r="K167" s="39" t="n">
        <f aca="false">Sens!$K$163+Sens!$K$164-Sens!$K$162</f>
        <v>0</v>
      </c>
      <c r="L167" s="39" t="n">
        <f aca="false">Sens!$L$163+Sens!$L$164-Sens!$L$162</f>
        <v>0</v>
      </c>
      <c r="M167" s="39" t="n">
        <f aca="false">Sens!$M$163+Sens!$M$164-Sens!$M$162</f>
        <v>0</v>
      </c>
      <c r="N167" s="39" t="n">
        <f aca="false">Sens!$N$163+Sens!$N$164-Sens!$N$162</f>
        <v>0</v>
      </c>
      <c r="O167" s="39" t="n">
        <f aca="false">Sens!$O$163+Sens!$O$164-Sens!$O$162</f>
        <v>0</v>
      </c>
    </row>
    <row r="168" customFormat="false" ht="17.15" hidden="false" customHeight="false" outlineLevel="0" collapsed="false">
      <c r="A168" s="24" t="s">
        <v>710</v>
      </c>
      <c r="B168" s="25" t="s">
        <v>73</v>
      </c>
      <c r="C168" s="39" t="n">
        <f aca="false">Sens!$C$153+Sens!$C$154+Sens!$C$155+Sens!$C$156+Sens!$C$157+Sens!$C$158+Sens!$C$159-Sens!$C$165</f>
        <v>0</v>
      </c>
      <c r="D168" s="39" t="n">
        <f aca="false">Sens!$D$153+Sens!$D$154+Sens!$D$155+Sens!$D$156+Sens!$D$157+Sens!$D$158+Sens!$D$159-Sens!$D$165</f>
        <v>0</v>
      </c>
      <c r="E168" s="39" t="n">
        <f aca="false">Sens!$E$153+Sens!$E$154+Sens!$E$155+Sens!$E$156+Sens!$E$157+Sens!$E$158+Sens!$E$159-Sens!$E$165</f>
        <v>0</v>
      </c>
      <c r="F168" s="39" t="n">
        <f aca="false">Sens!$F$153+Sens!$F$154+Sens!$F$155+Sens!$F$156+Sens!$F$157+Sens!$F$158+Sens!$F$159-Sens!$F$165</f>
        <v>0</v>
      </c>
      <c r="G168" s="39" t="n">
        <f aca="false">Sens!$G$153+Sens!$G$154+Sens!$G$155+Sens!$G$156+Sens!$G$157+Sens!$G$158+Sens!$G$159-Sens!$G$165</f>
        <v>0</v>
      </c>
      <c r="H168" s="39" t="n">
        <f aca="false">Sens!$H$153+Sens!$H$154+Sens!$H$155+Sens!$H$156+Sens!$H$157+Sens!$H$158+Sens!$H$159-Sens!$H$165</f>
        <v>0</v>
      </c>
      <c r="I168" s="39" t="n">
        <f aca="false">Sens!$I$153+Sens!$I$154+Sens!$I$155+Sens!$I$156+Sens!$I$157+Sens!$I$158+Sens!$I$159-Sens!$I$165</f>
        <v>0</v>
      </c>
      <c r="J168" s="39" t="n">
        <f aca="false">Sens!$J$153+Sens!$J$154+Sens!$J$155+Sens!$J$156+Sens!$J$157+Sens!$J$158+Sens!$J$159-Sens!$J$165</f>
        <v>0</v>
      </c>
      <c r="K168" s="39" t="n">
        <f aca="false">Sens!$K$153+Sens!$K$154+Sens!$K$155+Sens!$K$156+Sens!$K$157+Sens!$K$158+Sens!$K$159-Sens!$K$165</f>
        <v>0</v>
      </c>
      <c r="L168" s="39" t="n">
        <f aca="false">Sens!$L$153+Sens!$L$154+Sens!$L$155+Sens!$L$156+Sens!$L$157+Sens!$L$158+Sens!$L$159-Sens!$L$165</f>
        <v>0</v>
      </c>
      <c r="M168" s="39" t="n">
        <f aca="false">Sens!$M$153+Sens!$M$154+Sens!$M$155+Sens!$M$156+Sens!$M$157+Sens!$M$158+Sens!$M$159-Sens!$M$165</f>
        <v>0</v>
      </c>
      <c r="N168" s="39" t="n">
        <f aca="false">Sens!$N$153+Sens!$N$154+Sens!$N$155+Sens!$N$156+Sens!$N$157+Sens!$N$158+Sens!$N$159-Sens!$N$165</f>
        <v>0</v>
      </c>
      <c r="O168" s="39" t="n">
        <f aca="false">Sens!$O$153+Sens!$O$154+Sens!$O$155+Sens!$O$156+Sens!$O$157+Sens!$O$158+Sens!$O$159-Sens!$O$165</f>
        <v>0</v>
      </c>
    </row>
    <row r="169" customFormat="false" ht="17.15" hidden="false" customHeight="false" outlineLevel="0" collapsed="false">
      <c r="A169" s="24" t="s">
        <v>657</v>
      </c>
      <c r="B169" s="25" t="s">
        <v>73</v>
      </c>
      <c r="C169" s="39" t="n">
        <f aca="false">Sens!$C$160+Sens!$C$161+Sens!$C$162-Sens!$C$165</f>
        <v>0</v>
      </c>
      <c r="D169" s="39" t="n">
        <f aca="false">Sens!$D$160+Sens!$D$161+Sens!$D$162-Sens!$D$165</f>
        <v>0</v>
      </c>
      <c r="E169" s="39" t="n">
        <f aca="false">Sens!$E$160+Sens!$E$161+Sens!$E$162-Sens!$E$165</f>
        <v>0</v>
      </c>
      <c r="F169" s="39" t="n">
        <f aca="false">Sens!$F$160+Sens!$F$161+Sens!$F$162-Sens!$F$165</f>
        <v>0</v>
      </c>
      <c r="G169" s="39" t="n">
        <f aca="false">Sens!$G$160+Sens!$G$161+Sens!$G$162-Sens!$G$165</f>
        <v>0</v>
      </c>
      <c r="H169" s="39" t="n">
        <f aca="false">Sens!$H$160+Sens!$H$161+Sens!$H$162-Sens!$H$165</f>
        <v>0</v>
      </c>
      <c r="I169" s="39" t="n">
        <f aca="false">Sens!$I$160+Sens!$I$161+Sens!$I$162-Sens!$I$165</f>
        <v>0</v>
      </c>
      <c r="J169" s="39" t="n">
        <f aca="false">Sens!$J$160+Sens!$J$161+Sens!$J$162-Sens!$J$165</f>
        <v>0</v>
      </c>
      <c r="K169" s="39" t="n">
        <f aca="false">Sens!$K$160+Sens!$K$161+Sens!$K$162-Sens!$K$165</f>
        <v>0</v>
      </c>
      <c r="L169" s="39" t="n">
        <f aca="false">Sens!$L$160+Sens!$L$161+Sens!$L$162-Sens!$L$165</f>
        <v>0</v>
      </c>
      <c r="M169" s="39" t="n">
        <f aca="false">Sens!$M$160+Sens!$M$161+Sens!$M$162-Sens!$M$165</f>
        <v>0</v>
      </c>
      <c r="N169" s="39" t="n">
        <f aca="false">Sens!$N$160+Sens!$N$161+Sens!$N$162-Sens!$N$165</f>
        <v>0</v>
      </c>
      <c r="O169" s="39" t="n">
        <f aca="false">Sens!$O$160+Sens!$O$161+Sens!$O$162-Sens!$O$165</f>
        <v>0</v>
      </c>
    </row>
    <row r="170" customFormat="false" ht="17.15" hidden="false" customHeight="false" outlineLevel="0" collapsed="false">
      <c r="A170" s="1" t="s">
        <v>671</v>
      </c>
    </row>
    <row r="171" customFormat="false" ht="17.15" hidden="false" customHeight="false" outlineLevel="0" collapsed="false">
      <c r="A171" s="0" t="s">
        <v>672</v>
      </c>
      <c r="B171" s="0" t="s">
        <v>73</v>
      </c>
      <c r="C171" s="38" t="n">
        <f aca="false">Sens!$C$79*m_ad</f>
        <v>20.5341564414228</v>
      </c>
      <c r="D171" s="38" t="n">
        <f aca="false">Sens!$D$79*m_ad</f>
        <v>24.8720617299587</v>
      </c>
      <c r="E171" s="38" t="n">
        <f aca="false">Sens!$E$79*m_ad</f>
        <v>13.5017112462207</v>
      </c>
      <c r="F171" s="38" t="n">
        <f aca="false">Sens!$F$79*m_ad</f>
        <v>17.2886442824599</v>
      </c>
      <c r="G171" s="38" t="n">
        <f aca="false">Sens!$G$79*m_ad</f>
        <v>30.8011958765886</v>
      </c>
      <c r="H171" s="38" t="n">
        <f aca="false">Sens!$H$79*m_ad</f>
        <v>36.978409366026</v>
      </c>
      <c r="I171" s="38" t="n">
        <f aca="false">Sens!$I$79*m_ad</f>
        <v>43.155063281273</v>
      </c>
      <c r="J171" s="38" t="n">
        <f aca="false">Sens!$J$79*m_ad</f>
        <v>48.9169991988532</v>
      </c>
      <c r="K171" s="38" t="n">
        <f aca="false">Sens!$K$79*m_ad</f>
        <v>53.8086991187386</v>
      </c>
      <c r="L171" s="38" t="n">
        <f aca="false">Sens!$L$79*m_ad</f>
        <v>59.1895690306124</v>
      </c>
      <c r="M171" s="38" t="n">
        <f aca="false">Sens!$M$79*m_ad</f>
        <v>65.1085259336737</v>
      </c>
      <c r="N171" s="38" t="n">
        <f aca="false">Sens!$N$79*m_ad</f>
        <v>10.8543555706248</v>
      </c>
      <c r="O171" s="38" t="n">
        <f aca="false">Sens!$O$79*m_ad</f>
        <v>14.0094731821399</v>
      </c>
    </row>
    <row r="172" customFormat="false" ht="17.15" hidden="false" customHeight="false" outlineLevel="0" collapsed="false">
      <c r="A172" s="0" t="s">
        <v>673</v>
      </c>
      <c r="B172" s="0" t="s">
        <v>73</v>
      </c>
      <c r="C172" s="38" t="n">
        <f aca="false">Sens!$C$77-Sens!$C$79</f>
        <v>346.428687117154</v>
      </c>
      <c r="D172" s="38" t="n">
        <f aca="false">Sens!$D$77-Sens!$D$79</f>
        <v>376.560876540083</v>
      </c>
      <c r="E172" s="38" t="n">
        <f aca="false">Sens!$E$77-Sens!$E$79</f>
        <v>193.316577507559</v>
      </c>
      <c r="F172" s="38" t="n">
        <f aca="false">Sens!$F$77-Sens!$F$79</f>
        <v>221.726726438887</v>
      </c>
      <c r="G172" s="38" t="n">
        <f aca="false">Sens!$G$77-Sens!$G$79</f>
        <v>415.02162325063</v>
      </c>
      <c r="H172" s="38" t="n">
        <f aca="false">Sens!$H$77-Sens!$H$79</f>
        <v>453.777572359491</v>
      </c>
      <c r="I172" s="38" t="n">
        <f aca="false">Sens!$I$77-Sens!$I$79</f>
        <v>490.847566467031</v>
      </c>
      <c r="J172" s="38" t="n">
        <f aca="false">Sens!$J$77-Sens!$J$79</f>
        <v>525.190925266121</v>
      </c>
      <c r="K172" s="38" t="n">
        <f aca="false">Sens!$K$77-Sens!$K$79</f>
        <v>555.765170156304</v>
      </c>
      <c r="L172" s="38" t="n">
        <f aca="false">Sens!$L$77-Sens!$L$79</f>
        <v>588.185734949207</v>
      </c>
      <c r="M172" s="38" t="n">
        <f aca="false">Sens!$M$77-Sens!$M$79</f>
        <v>622.567635538672</v>
      </c>
      <c r="N172" s="38" t="n">
        <f aca="false">Sens!$N$77-Sens!$N$79</f>
        <v>171.24628885875</v>
      </c>
      <c r="O172" s="38" t="n">
        <f aca="false">Sens!$O$77-Sens!$O$79</f>
        <v>205.33105363572</v>
      </c>
    </row>
    <row r="173" customFormat="false" ht="17.15" hidden="false" customHeight="false" outlineLevel="0" collapsed="false">
      <c r="A173" s="0" t="s">
        <v>674</v>
      </c>
      <c r="B173" s="0" t="s">
        <v>73</v>
      </c>
      <c r="C173" s="38" t="n">
        <f aca="false">Sens!$C$124*Sens!$C$76</f>
        <v>0.123617442257179</v>
      </c>
      <c r="D173" s="38" t="n">
        <f aca="false">Sens!$D$124*Sens!$D$76</f>
        <v>0.874366899302609</v>
      </c>
      <c r="E173" s="38" t="n">
        <f aca="false">Sens!$E$124*Sens!$E$76</f>
        <v>1.29318830502574</v>
      </c>
      <c r="F173" s="38" t="n">
        <f aca="false">Sens!$F$124*Sens!$F$76</f>
        <v>1.51802024162534</v>
      </c>
      <c r="G173" s="38" t="n">
        <f aca="false">Sens!$G$124*Sens!$G$76</f>
        <v>2.81130189308167</v>
      </c>
      <c r="H173" s="38" t="n">
        <f aca="false">Sens!$H$124*Sens!$H$76</f>
        <v>7.38966789318209</v>
      </c>
      <c r="I173" s="38" t="n">
        <f aca="false">Sens!$I$124*Sens!$I$76</f>
        <v>12.8987443661473</v>
      </c>
      <c r="J173" s="38" t="n">
        <f aca="false">Sens!$J$124*Sens!$J$76</f>
        <v>18.5570025453645</v>
      </c>
      <c r="K173" s="38" t="n">
        <f aca="false">Sens!$K$124*Sens!$K$76</f>
        <v>24.3158972773405</v>
      </c>
      <c r="L173" s="38" t="n">
        <f aca="false">Sens!$L$124*Sens!$L$76</f>
        <v>29.7827375558674</v>
      </c>
      <c r="M173" s="38" t="n">
        <f aca="false">Sens!$M$124*Sens!$M$76</f>
        <v>35.3532344973194</v>
      </c>
      <c r="N173" s="38" t="n">
        <f aca="false">Sens!$N$124*Sens!$N$76</f>
        <v>0.389180508437431</v>
      </c>
      <c r="O173" s="38" t="n">
        <f aca="false">Sens!$O$124*Sens!$O$76</f>
        <v>0.485052120082802</v>
      </c>
    </row>
    <row r="174" customFormat="false" ht="17.15" hidden="false" customHeight="false" outlineLevel="0" collapsed="false">
      <c r="A174" s="0" t="s">
        <v>675</v>
      </c>
      <c r="B174" s="0" t="s">
        <v>52</v>
      </c>
      <c r="C174" s="28" t="n">
        <f aca="false">(Sens!$C$175-Sens!$C$171+Sens!$C$173)/Sens!$C$172</f>
        <v>0.0131526665379575</v>
      </c>
      <c r="D174" s="28" t="n">
        <f aca="false">(Sens!$D$175-Sens!$D$171+Sens!$D$173)/Sens!$D$172</f>
        <v>0.0149280116962589</v>
      </c>
      <c r="E174" s="28" t="n">
        <f aca="false">(Sens!$E$175-Sens!$E$171+Sens!$E$173)/Sens!$E$172</f>
        <v>0.0268030663774938</v>
      </c>
      <c r="F174" s="28" t="n">
        <f aca="false">Sens!$O$174+(Sens!$E$174-Sens!$N$174)</f>
        <v>0.0232379346966962</v>
      </c>
      <c r="G174" s="28" t="n">
        <f aca="false">(Sens!$G$175-Sens!$G$171+Sens!$G$173)/Sens!$G$172</f>
        <v>0.0248738876928168</v>
      </c>
      <c r="H174" s="28" t="n">
        <f aca="false">Sens!$G$174+step_na</f>
        <v>0.0278738876928168</v>
      </c>
      <c r="I174" s="28" t="n">
        <f aca="false">Sens!$H$174+step_na</f>
        <v>0.0308738876928168</v>
      </c>
      <c r="J174" s="28" t="n">
        <f aca="false">Sens!$I$174+step_na</f>
        <v>0.0338738876928168</v>
      </c>
      <c r="K174" s="28" t="n">
        <f aca="false">Sens!$J$174+step_na</f>
        <v>0.0368738876928168</v>
      </c>
      <c r="L174" s="28" t="n">
        <f aca="false">Sens!$K$174</f>
        <v>0.0368738876928168</v>
      </c>
      <c r="M174" s="28" t="n">
        <f aca="false">Sens!$L$174</f>
        <v>0.0368738876928168</v>
      </c>
      <c r="N174" s="28" t="n">
        <f aca="false">(Sens!$N$175-Sens!$N$171+Sens!$N$173)/Sens!$N$172</f>
        <v>0.0168927744775755</v>
      </c>
      <c r="O174" s="28" t="n">
        <f aca="false">(Sens!$O$175-Sens!$O$171+Sens!$O$173)/Sens!$O$172</f>
        <v>0.0133276427967779</v>
      </c>
      <c r="P174" s="8" t="s">
        <v>676</v>
      </c>
    </row>
    <row r="175" customFormat="false" ht="17.15" hidden="false" customHeight="false" outlineLevel="0" collapsed="false">
      <c r="A175" s="1" t="s">
        <v>677</v>
      </c>
      <c r="B175" s="8" t="s">
        <v>73</v>
      </c>
      <c r="C175" s="38" t="n">
        <f aca="false">Q!$D$22</f>
        <v>24.967</v>
      </c>
      <c r="D175" s="38" t="n">
        <f aca="false">Q!$E$22</f>
        <v>29.619</v>
      </c>
      <c r="E175" s="38" t="n">
        <f aca="false">Q!$P$22</f>
        <v>17.39</v>
      </c>
      <c r="F175" s="38" t="n">
        <f aca="false">Sens!$F$171+Sens!$F$172*Sens!$F$174-Sens!$F$173</f>
        <v>20.9230952303336</v>
      </c>
      <c r="G175" s="38" t="n">
        <f aca="false">Sens!$E$175+Sens!$F$175</f>
        <v>38.3130952303336</v>
      </c>
      <c r="H175" s="38" t="n">
        <f aca="false">Sens!$H$171+Sens!$H$172*Sens!$H$174-Sens!$H$173</f>
        <v>42.2372865623114</v>
      </c>
      <c r="I175" s="38" t="n">
        <f aca="false">Sens!$I$171+Sens!$I$172*Sens!$I$174-Sens!$I$173</f>
        <v>45.4106915565213</v>
      </c>
      <c r="J175" s="38" t="n">
        <f aca="false">Sens!$J$171+Sens!$J$172*Sens!$J$174-Sens!$J$173</f>
        <v>48.1502550732398</v>
      </c>
      <c r="K175" s="38" t="n">
        <f aca="false">Sens!$K$171+Sens!$K$172*Sens!$K$174-Sens!$K$173</f>
        <v>49.9860243093208</v>
      </c>
      <c r="L175" s="38" t="n">
        <f aca="false">Sens!$L$171+Sens!$L$172*Sens!$L$174-Sens!$L$173</f>
        <v>51.095526207779</v>
      </c>
      <c r="M175" s="38" t="n">
        <f aca="false">Sens!$M$171+Sens!$M$172*Sens!$M$174-Sens!$M$173</f>
        <v>52.7117805103898</v>
      </c>
      <c r="N175" s="38" t="n">
        <f aca="false">Q!$N$22</f>
        <v>13.358</v>
      </c>
      <c r="O175" s="38" t="n">
        <f aca="false">Q!$O$22</f>
        <v>16.261</v>
      </c>
    </row>
    <row r="176" customFormat="false" ht="17.15" hidden="false" customHeight="false" outlineLevel="0" collapsed="false">
      <c r="A176" s="0" t="s">
        <v>678</v>
      </c>
      <c r="B176" s="0" t="s">
        <v>73</v>
      </c>
      <c r="C176" s="38" t="n">
        <f aca="false">Sens!$C$80*m_ad</f>
        <v>7.57284355857716</v>
      </c>
      <c r="D176" s="38" t="n">
        <f aca="false">Sens!$D$80*m_ad</f>
        <v>9.44543827004127</v>
      </c>
      <c r="E176" s="38" t="n">
        <f aca="false">Sens!$E$80*m_ad</f>
        <v>5.02428875377928</v>
      </c>
      <c r="F176" s="38" t="n">
        <f aca="false">Sens!$F$80*m_ad</f>
        <v>6.78802480890925</v>
      </c>
      <c r="G176" s="38" t="n">
        <f aca="false">Sens!$G$80*m_ad</f>
        <v>11.8014732147805</v>
      </c>
      <c r="H176" s="38" t="n">
        <f aca="false">Sens!$H$80*m_ad</f>
        <v>14.1682715634442</v>
      </c>
      <c r="I176" s="38" t="n">
        <f aca="false">Sens!$I$80*m_ad</f>
        <v>16.5348555113474</v>
      </c>
      <c r="J176" s="38" t="n">
        <f aca="false">Sens!$J$80*m_ad</f>
        <v>18.7425403255689</v>
      </c>
      <c r="K176" s="38" t="n">
        <f aca="false">Sens!$K$80*m_ad</f>
        <v>20.6167943581258</v>
      </c>
      <c r="L176" s="38" t="n">
        <f aca="false">Sens!$L$80*m_ad</f>
        <v>22.6784737939383</v>
      </c>
      <c r="M176" s="38" t="n">
        <f aca="false">Sens!$M$80*m_ad</f>
        <v>24.9463211733322</v>
      </c>
      <c r="N176" s="38" t="n">
        <f aca="false">Sens!$N$80*m_ad</f>
        <v>3.95314442937518</v>
      </c>
      <c r="O176" s="38" t="n">
        <f aca="false">Sens!$O$80*m_ad</f>
        <v>5.50052681786011</v>
      </c>
    </row>
    <row r="177" customFormat="false" ht="17.15" hidden="false" customHeight="false" outlineLevel="0" collapsed="false">
      <c r="A177" s="0" t="s">
        <v>679</v>
      </c>
      <c r="B177" s="0" t="s">
        <v>73</v>
      </c>
      <c r="C177" s="38" t="n">
        <f aca="false">Sens!$C$78-Sens!$C$80</f>
        <v>127.760312882846</v>
      </c>
      <c r="D177" s="38" t="n">
        <f aca="false">Sens!$D$78-Sens!$D$80</f>
        <v>143.003123459917</v>
      </c>
      <c r="E177" s="38" t="n">
        <f aca="false">Sens!$E$78-Sens!$E$80</f>
        <v>71.9374224924414</v>
      </c>
      <c r="F177" s="38" t="n">
        <f aca="false">Sens!$F$78-Sens!$F$80</f>
        <v>87.0563645868046</v>
      </c>
      <c r="G177" s="38" t="n">
        <f aca="false">Sens!$G$78-Sens!$G$80</f>
        <v>159.015467775062</v>
      </c>
      <c r="H177" s="38" t="n">
        <f aca="false">Sens!$H$78-Sens!$H$80</f>
        <v>173.864803403269</v>
      </c>
      <c r="I177" s="38" t="n">
        <f aca="false">Sens!$I$78-Sens!$I$80</f>
        <v>188.068165645601</v>
      </c>
      <c r="J177" s="38" t="n">
        <f aca="false">Sens!$J$78-Sens!$J$80</f>
        <v>201.22681801082</v>
      </c>
      <c r="K177" s="38" t="n">
        <f aca="false">Sens!$K$78-Sens!$K$80</f>
        <v>212.941334991893</v>
      </c>
      <c r="L177" s="38" t="n">
        <f aca="false">Sens!$L$78-Sens!$L$80</f>
        <v>225.363269144856</v>
      </c>
      <c r="M177" s="38" t="n">
        <f aca="false">Sens!$M$78-Sens!$M$80</f>
        <v>238.536688790819</v>
      </c>
      <c r="N177" s="38" t="n">
        <f aca="false">Sens!$N$78-Sens!$N$80</f>
        <v>62.3677111412496</v>
      </c>
      <c r="O177" s="38" t="n">
        <f aca="false">Sens!$O$78-Sens!$O$80</f>
        <v>80.6189463642798</v>
      </c>
    </row>
    <row r="178" customFormat="false" ht="17.15" hidden="false" customHeight="false" outlineLevel="0" collapsed="false">
      <c r="A178" s="0" t="s">
        <v>680</v>
      </c>
      <c r="B178" s="0" t="s">
        <v>73</v>
      </c>
      <c r="C178" s="38" t="n">
        <f aca="false">Sens!$C$124*(1-Sens!$C$76)</f>
        <v>0.0455891896019953</v>
      </c>
      <c r="D178" s="38" t="n">
        <f aca="false">Sens!$D$124*(1-Sens!$D$76)</f>
        <v>0.332050421167231</v>
      </c>
      <c r="E178" s="38" t="n">
        <f aca="false">Sens!$E$124*(1-Sens!$E$76)</f>
        <v>0.481224293644882</v>
      </c>
      <c r="F178" s="38" t="n">
        <f aca="false">Sens!$F$124*(1-Sens!$F$76)</f>
        <v>0.596018918096053</v>
      </c>
      <c r="G178" s="38" t="n">
        <f aca="false">Sens!$G$124*(1-Sens!$G$76)</f>
        <v>1.07714986531035</v>
      </c>
      <c r="H178" s="38" t="n">
        <f aca="false">Sens!$H$124*(1-Sens!$H$76)</f>
        <v>2.83135005721638</v>
      </c>
      <c r="I178" s="38" t="n">
        <f aca="false">Sens!$I$124*(1-Sens!$I$76)</f>
        <v>4.9421518161602</v>
      </c>
      <c r="J178" s="38" t="n">
        <f aca="false">Sens!$J$124*(1-Sens!$J$76)</f>
        <v>7.11011252170866</v>
      </c>
      <c r="K178" s="38" t="n">
        <f aca="false">Sens!$K$124*(1-Sens!$K$76)</f>
        <v>9.31663210615807</v>
      </c>
      <c r="L178" s="38" t="n">
        <f aca="false">Sens!$L$124*(1-Sens!$L$76)</f>
        <v>11.411251074039</v>
      </c>
      <c r="M178" s="38" t="n">
        <f aca="false">Sens!$M$124*(1-Sens!$M$76)</f>
        <v>13.5455860755423</v>
      </c>
      <c r="N178" s="38" t="n">
        <f aca="false">Sens!$N$124*(1-Sens!$N$76)</f>
        <v>0.141739115596548</v>
      </c>
      <c r="O178" s="38" t="n">
        <f aca="false">Sens!$O$124*(1-Sens!$O$76)</f>
        <v>0.190445576353059</v>
      </c>
    </row>
    <row r="179" customFormat="false" ht="17.15" hidden="false" customHeight="false" outlineLevel="0" collapsed="false">
      <c r="A179" s="0" t="s">
        <v>681</v>
      </c>
      <c r="B179" s="0" t="s">
        <v>52</v>
      </c>
      <c r="C179" s="28" t="n">
        <f aca="false">(Sens!$C$180-Sens!$C$176+Sens!$C$178)/Sens!$C$177</f>
        <v>-0.0292364215826579</v>
      </c>
      <c r="D179" s="28" t="n">
        <f aca="false">(Sens!$D$180-Sens!$D$176+Sens!$D$178)/Sens!$D$177</f>
        <v>-0.0305125352740778</v>
      </c>
      <c r="E179" s="28" t="n">
        <f aca="false">(Sens!$E$180-Sens!$E$176+Sens!$E$178)/Sens!$E$177</f>
        <v>-0.019490056934994</v>
      </c>
      <c r="F179" s="28" t="n">
        <f aca="false">Sens!$O$179+(Sens!$E$179-Sens!$N$179)</f>
        <v>-0.0367332293992226</v>
      </c>
      <c r="G179" s="28" t="n">
        <f aca="false">(Sens!$G$180-Sens!$G$176+Sens!$G$178)/Sens!$G$177</f>
        <v>-0.0288599526442178</v>
      </c>
      <c r="H179" s="28" t="n">
        <f aca="false">Sens!$G$179+step_in</f>
        <v>-0.0288599526442178</v>
      </c>
      <c r="I179" s="28" t="n">
        <f aca="false">Sens!$H$179+step_in</f>
        <v>-0.0288599526442178</v>
      </c>
      <c r="J179" s="28" t="n">
        <f aca="false">Sens!$I$179+step_in</f>
        <v>-0.0288599526442178</v>
      </c>
      <c r="K179" s="28" t="n">
        <f aca="false">Sens!$J$179+step_in</f>
        <v>-0.0288599526442178</v>
      </c>
      <c r="L179" s="28" t="n">
        <f aca="false">Sens!$K$179</f>
        <v>-0.0288599526442178</v>
      </c>
      <c r="M179" s="28" t="n">
        <f aca="false">Sens!$L$179</f>
        <v>-0.0288599526442178</v>
      </c>
      <c r="N179" s="28" t="n">
        <f aca="false">(Sens!$N$180-Sens!$N$176+Sens!$N$178)/Sens!$N$177</f>
        <v>-0.02085061789158</v>
      </c>
      <c r="O179" s="28" t="n">
        <f aca="false">(Sens!$O$180-Sens!$O$176+Sens!$O$178)/Sens!$O$177</f>
        <v>-0.0380937903558086</v>
      </c>
      <c r="P179" s="8" t="s">
        <v>676</v>
      </c>
    </row>
    <row r="180" customFormat="false" ht="17.15" hidden="false" customHeight="false" outlineLevel="0" collapsed="false">
      <c r="A180" s="1" t="s">
        <v>682</v>
      </c>
      <c r="B180" s="8" t="s">
        <v>73</v>
      </c>
      <c r="C180" s="38" t="n">
        <f aca="false">Q!$D$23</f>
        <v>3.792</v>
      </c>
      <c r="D180" s="38" t="n">
        <f aca="false">Q!$E$23</f>
        <v>4.75</v>
      </c>
      <c r="E180" s="38" t="n">
        <f aca="false">Q!$P$23</f>
        <v>3.141</v>
      </c>
      <c r="F180" s="38" t="n">
        <f aca="false">Sens!$F$176+Sens!$F$177*Sens!$F$179-Sens!$F$178</f>
        <v>2.99414447978375</v>
      </c>
      <c r="G180" s="38" t="n">
        <f aca="false">Sens!$E$180+Sens!$F$180</f>
        <v>6.13514447978375</v>
      </c>
      <c r="H180" s="38" t="n">
        <f aca="false">Sens!$H$176+Sens!$H$177*Sens!$H$179-Sens!$H$178</f>
        <v>6.31919151351322</v>
      </c>
      <c r="I180" s="38" t="n">
        <f aca="false">Sens!$I$176+Sens!$I$177*Sens!$I$179-Sens!$I$178</f>
        <v>6.16506534077027</v>
      </c>
      <c r="J180" s="38" t="n">
        <f aca="false">Sens!$J$176+Sens!$J$177*Sens!$J$179-Sens!$J$178</f>
        <v>5.8250313653213</v>
      </c>
      <c r="K180" s="38" t="n">
        <f aca="false">Sens!$K$176+Sens!$K$177*Sens!$K$179-Sens!$K$178</f>
        <v>5.15468540810514</v>
      </c>
      <c r="L180" s="38" t="n">
        <f aca="false">Sens!$L$176+Sens!$L$177*Sens!$L$179-Sens!$L$178</f>
        <v>4.76324944463266</v>
      </c>
      <c r="M180" s="38" t="n">
        <f aca="false">Sens!$M$176+Sens!$M$177*Sens!$M$179-Sens!$M$178</f>
        <v>4.51657755537829</v>
      </c>
      <c r="N180" s="38" t="n">
        <f aca="false">Q!$N$23</f>
        <v>2.511</v>
      </c>
      <c r="O180" s="38" t="n">
        <f aca="false">Q!$O$23</f>
        <v>2.239</v>
      </c>
    </row>
    <row r="181" customFormat="false" ht="17.15" hidden="false" customHeight="false" outlineLevel="0" collapsed="false">
      <c r="A181" s="0" t="s">
        <v>683</v>
      </c>
      <c r="B181" s="0" t="s">
        <v>73</v>
      </c>
      <c r="C181" s="38" t="n">
        <f aca="false">Sens!$C$121</f>
        <v>1.64417882953695</v>
      </c>
      <c r="D181" s="38" t="n">
        <f aca="false">Sens!$D$121</f>
        <v>3.8781008067718</v>
      </c>
      <c r="E181" s="38" t="n">
        <f aca="false">Sens!$E$121</f>
        <v>1.41270258088753</v>
      </c>
      <c r="F181" s="38" t="n">
        <f aca="false">Sens!$F$121</f>
        <v>6.50727700583486</v>
      </c>
      <c r="G181" s="38" t="n">
        <f aca="false">Sens!$G$121</f>
        <v>7.9199795867224</v>
      </c>
      <c r="H181" s="38" t="n">
        <f aca="false">Sens!$H$121</f>
        <v>19.2818189481807</v>
      </c>
      <c r="I181" s="38" t="n">
        <f aca="false">Sens!$I$121</f>
        <v>30.140114407202</v>
      </c>
      <c r="J181" s="38" t="n">
        <f aca="false">Sens!$J$121</f>
        <v>40.3569468829854</v>
      </c>
      <c r="K181" s="38" t="n">
        <f aca="false">Sens!$K$121</f>
        <v>50.0782975081929</v>
      </c>
      <c r="L181" s="38" t="n">
        <f aca="false">Sens!$L$121</f>
        <v>61.443331993499</v>
      </c>
      <c r="M181" s="38" t="n">
        <f aca="false">Sens!$M$121</f>
        <v>72.2498791587849</v>
      </c>
      <c r="N181" s="38" t="n">
        <f aca="false">Sens!$N$121</f>
        <v>0.92264103489199</v>
      </c>
      <c r="O181" s="38" t="n">
        <f aca="false">Sens!$O$121</f>
        <v>2.95545977187981</v>
      </c>
    </row>
    <row r="182" customFormat="false" ht="17.15" hidden="false" customHeight="false" outlineLevel="0" collapsed="false">
      <c r="A182" s="0" t="s">
        <v>603</v>
      </c>
      <c r="B182" s="0" t="s">
        <v>73</v>
      </c>
      <c r="C182" s="38" t="n">
        <f aca="false">Sens!$C$126</f>
        <v>38.1898211704631</v>
      </c>
      <c r="D182" s="38" t="n">
        <f aca="false">Sens!$D$126</f>
        <v>41.7278991932282</v>
      </c>
      <c r="E182" s="38" t="n">
        <f aca="false">Sens!$E$126</f>
        <v>29.3692974191125</v>
      </c>
      <c r="F182" s="38" t="n">
        <f aca="false">Sens!$F$126</f>
        <v>29.458060516894</v>
      </c>
      <c r="G182" s="38" t="n">
        <f aca="false">Sens!$G$126</f>
        <v>58.8273579360065</v>
      </c>
      <c r="H182" s="38" t="n">
        <f aca="false">Sens!$H$126</f>
        <v>67.8004040185081</v>
      </c>
      <c r="I182" s="38" t="n">
        <f aca="false">Sens!$I$126</f>
        <v>78.9527630302702</v>
      </c>
      <c r="J182" s="38" t="n">
        <f aca="false">Sens!$J$126</f>
        <v>88.6042681781841</v>
      </c>
      <c r="K182" s="38" t="n">
        <f aca="false">Sens!$K$126</f>
        <v>95.6926096324389</v>
      </c>
      <c r="L182" s="38" t="n">
        <f aca="false">Sens!$L$126</f>
        <v>103.348018403034</v>
      </c>
      <c r="M182" s="38" t="n">
        <f aca="false">Sens!$M$126</f>
        <v>111.615859875277</v>
      </c>
      <c r="N182" s="38" t="n">
        <f aca="false">Sens!$N$126</f>
        <v>20.784358965108</v>
      </c>
      <c r="O182" s="38" t="n">
        <f aca="false">Sens!$O$126</f>
        <v>20.9435402281202</v>
      </c>
    </row>
    <row r="183" customFormat="false" ht="17.15" hidden="false" customHeight="false" outlineLevel="0" collapsed="false">
      <c r="A183" s="1" t="s">
        <v>684</v>
      </c>
      <c r="B183" s="8" t="s">
        <v>73</v>
      </c>
      <c r="C183" s="38" t="n">
        <f aca="false">Q!$D$24</f>
        <v>39.834</v>
      </c>
      <c r="D183" s="38" t="n">
        <f aca="false">Q!$E$24</f>
        <v>45.606</v>
      </c>
      <c r="E183" s="38" t="n">
        <f aca="false">Q!$P$24</f>
        <v>30.782</v>
      </c>
      <c r="F183" s="38" t="n">
        <f aca="false">Sens!$F$181+Sens!$F$182</f>
        <v>35.9653375227289</v>
      </c>
      <c r="G183" s="38" t="n">
        <f aca="false">Sens!$G$181+Sens!$G$182</f>
        <v>66.7473375227289</v>
      </c>
      <c r="H183" s="38" t="n">
        <f aca="false">Sens!$H$181+Sens!$H$182</f>
        <v>87.0822229666888</v>
      </c>
      <c r="I183" s="38" t="n">
        <f aca="false">Sens!$I$181+Sens!$I$182</f>
        <v>109.092877437472</v>
      </c>
      <c r="J183" s="38" t="n">
        <f aca="false">Sens!$J$181+Sens!$J$182</f>
        <v>128.96121506117</v>
      </c>
      <c r="K183" s="38" t="n">
        <f aca="false">Sens!$K$181+Sens!$K$182</f>
        <v>145.770907140632</v>
      </c>
      <c r="L183" s="38" t="n">
        <f aca="false">Sens!$L$181+Sens!$L$182</f>
        <v>164.791350396533</v>
      </c>
      <c r="M183" s="38" t="n">
        <f aca="false">Sens!$M$181+Sens!$M$182</f>
        <v>183.865739034062</v>
      </c>
      <c r="N183" s="38" t="n">
        <f aca="false">Q!$N$24</f>
        <v>21.707</v>
      </c>
      <c r="O183" s="38" t="n">
        <f aca="false">Q!$O$24</f>
        <v>23.899</v>
      </c>
    </row>
    <row r="184" customFormat="false" ht="17.15" hidden="false" customHeight="false" outlineLevel="0" collapsed="false">
      <c r="A184" s="5" t="s">
        <v>685</v>
      </c>
      <c r="B184" s="0" t="s">
        <v>73</v>
      </c>
      <c r="C184" s="38" t="n">
        <f aca="false">Q!$D$26</f>
        <v>0</v>
      </c>
      <c r="D184" s="38" t="n">
        <f aca="false">Q!$E$26</f>
        <v>0</v>
      </c>
      <c r="E184" s="38" t="n">
        <f aca="false">Q!$P$26</f>
        <v>0</v>
      </c>
      <c r="F184" s="41" t="n">
        <v>0</v>
      </c>
      <c r="G184" s="38" t="n">
        <f aca="false">Sens!$E$184+Sens!$F$184</f>
        <v>0</v>
      </c>
      <c r="H184" s="41" t="n">
        <v>0</v>
      </c>
      <c r="I184" s="41" t="n">
        <v>0</v>
      </c>
      <c r="J184" s="41" t="n">
        <v>0</v>
      </c>
      <c r="K184" s="41" t="n">
        <v>0</v>
      </c>
      <c r="L184" s="41" t="n">
        <v>0</v>
      </c>
      <c r="M184" s="41" t="n">
        <v>0</v>
      </c>
      <c r="N184" s="38" t="n">
        <f aca="false">Q!$N$26</f>
        <v>0</v>
      </c>
      <c r="O184" s="38" t="n">
        <f aca="false">Q!$O$26</f>
        <v>0</v>
      </c>
    </row>
    <row r="185" customFormat="false" ht="15" hidden="false" customHeight="false" outlineLevel="0" collapsed="false">
      <c r="A185" s="3" t="s">
        <v>494</v>
      </c>
      <c r="B185" s="8" t="s">
        <v>73</v>
      </c>
      <c r="C185" s="38" t="n">
        <f aca="false">Q!$D$25</f>
        <v>68.593</v>
      </c>
      <c r="D185" s="38" t="n">
        <f aca="false">Q!$E$25</f>
        <v>79.975</v>
      </c>
      <c r="E185" s="38" t="n">
        <f aca="false">Q!$P$25</f>
        <v>51.313</v>
      </c>
      <c r="F185" s="38" t="n">
        <f aca="false">Sens!$F$175+Sens!$F$180+Sens!$F$183+Sens!$F$184</f>
        <v>59.8825772328462</v>
      </c>
      <c r="G185" s="38" t="n">
        <f aca="false">Sens!$G$175+Sens!$G$180+Sens!$G$183+Sens!$G$184</f>
        <v>111.195577232846</v>
      </c>
      <c r="H185" s="38" t="n">
        <f aca="false">Sens!$H$175+Sens!$H$180+Sens!$H$183+Sens!$H$184</f>
        <v>135.638701042513</v>
      </c>
      <c r="I185" s="38" t="n">
        <f aca="false">Sens!$I$175+Sens!$I$180+Sens!$I$183+Sens!$I$184</f>
        <v>160.668634334764</v>
      </c>
      <c r="J185" s="38" t="n">
        <f aca="false">Sens!$J$175+Sens!$J$180+Sens!$J$183+Sens!$J$184</f>
        <v>182.936501499731</v>
      </c>
      <c r="K185" s="38" t="n">
        <f aca="false">Sens!$K$175+Sens!$K$180+Sens!$K$183+Sens!$K$184</f>
        <v>200.911616858058</v>
      </c>
      <c r="L185" s="38" t="n">
        <f aca="false">Sens!$L$175+Sens!$L$180+Sens!$L$183+Sens!$L$184</f>
        <v>220.650126048945</v>
      </c>
      <c r="M185" s="38" t="n">
        <f aca="false">Sens!$M$175+Sens!$M$180+Sens!$M$183+Sens!$M$184</f>
        <v>241.09409709983</v>
      </c>
      <c r="N185" s="38" t="n">
        <f aca="false">Q!$N$25</f>
        <v>37.576</v>
      </c>
      <c r="O185" s="38" t="n">
        <f aca="false">Q!$O$25</f>
        <v>42.399</v>
      </c>
    </row>
    <row r="186" customFormat="false" ht="17.15" hidden="false" customHeight="false" outlineLevel="0" collapsed="false">
      <c r="A186" s="24" t="s">
        <v>711</v>
      </c>
      <c r="B186" s="25" t="s">
        <v>73</v>
      </c>
      <c r="C186" s="39" t="n">
        <f aca="false">Sens!$C$175+Sens!$C$180+Sens!$C$183+Sens!$C$184-Sens!$C$185</f>
        <v>0</v>
      </c>
      <c r="D186" s="39" t="n">
        <f aca="false">Sens!$D$175+Sens!$D$180+Sens!$D$183+Sens!$D$184-Sens!$D$185</f>
        <v>0</v>
      </c>
      <c r="E186" s="39" t="n">
        <f aca="false">Sens!$E$175+Sens!$E$180+Sens!$E$183+Sens!$E$184-Sens!$E$185</f>
        <v>0</v>
      </c>
      <c r="F186" s="39" t="n">
        <f aca="false">Sens!$F$175+Sens!$F$180+Sens!$F$183+Sens!$F$184-Sens!$F$185</f>
        <v>0</v>
      </c>
      <c r="G186" s="39" t="n">
        <f aca="false">Sens!$G$175+Sens!$G$180+Sens!$G$183+Sens!$G$184-Sens!$G$185</f>
        <v>0</v>
      </c>
      <c r="H186" s="39" t="n">
        <f aca="false">Sens!$H$175+Sens!$H$180+Sens!$H$183+Sens!$H$184-Sens!$H$185</f>
        <v>0</v>
      </c>
      <c r="I186" s="39" t="n">
        <f aca="false">Sens!$I$175+Sens!$I$180+Sens!$I$183+Sens!$I$184-Sens!$I$185</f>
        <v>0</v>
      </c>
      <c r="J186" s="39" t="n">
        <f aca="false">Sens!$J$175+Sens!$J$180+Sens!$J$183+Sens!$J$184-Sens!$J$185</f>
        <v>0</v>
      </c>
      <c r="K186" s="39" t="n">
        <f aca="false">Sens!$K$175+Sens!$K$180+Sens!$K$183+Sens!$K$184-Sens!$K$185</f>
        <v>0</v>
      </c>
      <c r="L186" s="39" t="n">
        <f aca="false">Sens!$L$175+Sens!$L$180+Sens!$L$183+Sens!$L$184-Sens!$L$185</f>
        <v>0</v>
      </c>
      <c r="M186" s="39" t="n">
        <f aca="false">Sens!$M$175+Sens!$M$180+Sens!$M$183+Sens!$M$184-Sens!$M$185</f>
        <v>0</v>
      </c>
      <c r="N186" s="39" t="n">
        <f aca="false">Sens!$N$175+Sens!$N$180+Sens!$N$183+Sens!$N$184-Sens!$N$185</f>
        <v>0</v>
      </c>
      <c r="O186" s="39" t="n">
        <f aca="false">Sens!$O$175+Sens!$O$180+Sens!$O$183+Sens!$O$184-Sens!$O$185</f>
        <v>0</v>
      </c>
    </row>
    <row r="187" customFormat="false" ht="17.15" hidden="false" customHeight="false" outlineLevel="0" collapsed="false">
      <c r="A187" s="0" t="s">
        <v>687</v>
      </c>
      <c r="B187" s="0" t="s">
        <v>52</v>
      </c>
      <c r="C187" s="12" t="n">
        <f aca="false">Sens!$C$175/Sens!$C$160</f>
        <v>0.0644314665661928</v>
      </c>
      <c r="D187" s="12" t="n">
        <f aca="false">Sens!$D$175/Sens!$D$160</f>
        <v>0.0694784250712518</v>
      </c>
      <c r="E187" s="12" t="n">
        <f aca="false">Sens!$E$175/Sens!$E$160</f>
        <v>0.0789306463326071</v>
      </c>
      <c r="F187" s="12" t="n">
        <f aca="false">Sens!$F$175/Sens!$F$160</f>
        <v>0.0816338957078875</v>
      </c>
      <c r="G187" s="12" t="n">
        <f aca="false">Sens!$G$175/Sens!$G$160</f>
        <v>0.080384315570057</v>
      </c>
      <c r="H187" s="12" t="n">
        <f aca="false">Sens!$H$175/Sens!$H$160</f>
        <v>0.080035122355679</v>
      </c>
      <c r="I187" s="12" t="n">
        <f aca="false">Sens!$I$175/Sens!$I$160</f>
        <v>0.0786798687862144</v>
      </c>
      <c r="J187" s="12" t="n">
        <f aca="false">Sens!$J$175/Sens!$J$160</f>
        <v>0.0772846370095153</v>
      </c>
      <c r="K187" s="12" t="n">
        <f aca="false">Sens!$K$175/Sens!$K$160</f>
        <v>0.0753502227686655</v>
      </c>
      <c r="L187" s="12" t="n">
        <f aca="false">Sens!$L$175/Sens!$L$160</f>
        <v>0.0723154067793922</v>
      </c>
      <c r="M187" s="12" t="n">
        <f aca="false">Sens!$M$175/Sens!$M$160</f>
        <v>0.070022386735876</v>
      </c>
      <c r="N187" s="12" t="n">
        <f aca="false">Sens!$N$175/Sens!$N$160</f>
        <v>0.069228576611127</v>
      </c>
      <c r="O187" s="12" t="n">
        <f aca="false">Sens!$O$175/Sens!$O$160</f>
        <v>0.069685022498393</v>
      </c>
    </row>
    <row r="188" customFormat="false" ht="17.15" hidden="false" customHeight="false" outlineLevel="0" collapsed="false">
      <c r="A188" s="0" t="s">
        <v>688</v>
      </c>
      <c r="B188" s="0" t="s">
        <v>52</v>
      </c>
      <c r="C188" s="12" t="n">
        <f aca="false">Sens!$C$180/Sens!$C$161</f>
        <v>0.026534925055631</v>
      </c>
      <c r="D188" s="12" t="n">
        <f aca="false">Sens!$D$180/Sens!$D$161</f>
        <v>0.0293401855535103</v>
      </c>
      <c r="E188" s="12" t="n">
        <f aca="false">Sens!$E$180/Sens!$E$161</f>
        <v>0.03831141902276</v>
      </c>
      <c r="F188" s="12" t="n">
        <f aca="false">Sens!$F$180/Sens!$F$161</f>
        <v>0.0297532808235678</v>
      </c>
      <c r="G188" s="12" t="n">
        <f aca="false">Sens!$G$180/Sens!$G$161</f>
        <v>0.0335954317997163</v>
      </c>
      <c r="H188" s="12" t="n">
        <f aca="false">Sens!$H$180/Sens!$H$161</f>
        <v>0.0312519754292078</v>
      </c>
      <c r="I188" s="12" t="n">
        <f aca="false">Sens!$I$180/Sens!$I$161</f>
        <v>0.0278788303191397</v>
      </c>
      <c r="J188" s="12" t="n">
        <f aca="false">Sens!$J$180/Sens!$J$161</f>
        <v>0.0244019313573061</v>
      </c>
      <c r="K188" s="12" t="n">
        <f aca="false">Sens!$K$180/Sens!$K$161</f>
        <v>0.020280070641524</v>
      </c>
      <c r="L188" s="12" t="n">
        <f aca="false">Sens!$L$180/Sens!$L$161</f>
        <v>0.0175947312030086</v>
      </c>
      <c r="M188" s="12" t="n">
        <f aca="false">Sens!$M$180/Sens!$M$161</f>
        <v>0.0156592172424565</v>
      </c>
      <c r="N188" s="12" t="n">
        <f aca="false">Sens!$N$180/Sens!$N$161</f>
        <v>0.0357315650169337</v>
      </c>
      <c r="O188" s="12" t="n">
        <f aca="false">Sens!$O$180/Sens!$O$161</f>
        <v>0.0244378956559703</v>
      </c>
    </row>
    <row r="189" customFormat="false" ht="17.15" hidden="false" customHeight="false" outlineLevel="0" collapsed="false">
      <c r="A189" s="13" t="s">
        <v>689</v>
      </c>
      <c r="B189" s="13" t="s">
        <v>52</v>
      </c>
      <c r="C189" s="16" t="n">
        <f aca="false">Sens!$C$183/Sens!$C$162</f>
        <v>0.370355907620217</v>
      </c>
      <c r="D189" s="16" t="n">
        <f aca="false">Sens!$D$183/Sens!$D$162</f>
        <v>0.35429015342785</v>
      </c>
      <c r="E189" s="16" t="n">
        <f aca="false">Sens!$E$183/Sens!$E$162</f>
        <v>0.385647527531039</v>
      </c>
      <c r="F189" s="16" t="n">
        <f aca="false">Sens!$F$183/Sens!$F$162</f>
        <v>0.384415729470259</v>
      </c>
      <c r="G189" s="16" t="n">
        <f aca="false">Sens!$G$183/Sens!$G$162</f>
        <v>0.38498282105443</v>
      </c>
      <c r="H189" s="16" t="n">
        <f aca="false">Sens!$H$183/Sens!$H$162</f>
        <v>0.361247909668527</v>
      </c>
      <c r="I189" s="16" t="n">
        <f aca="false">Sens!$I$183/Sens!$I$162</f>
        <v>0.349486287974975</v>
      </c>
      <c r="J189" s="16" t="n">
        <f aca="false">Sens!$J$183/Sens!$J$162</f>
        <v>0.339886531832068</v>
      </c>
      <c r="K189" s="16" t="n">
        <f aca="false">Sens!$K$183/Sens!$K$162</f>
        <v>0.33135833762061</v>
      </c>
      <c r="L189" s="16" t="n">
        <f aca="false">Sens!$L$183/Sens!$L$162</f>
        <v>0.328299068185284</v>
      </c>
      <c r="M189" s="16" t="n">
        <f aca="false">Sens!$M$183/Sens!$M$162</f>
        <v>0.325058049465166</v>
      </c>
      <c r="N189" s="16" t="n">
        <f aca="false">Sens!$N$183/Sens!$N$162</f>
        <v>0.360941137346192</v>
      </c>
      <c r="O189" s="16" t="n">
        <f aca="false">Sens!$O$183/Sens!$O$162</f>
        <v>0.348458117664212</v>
      </c>
    </row>
    <row r="190" customFormat="false" ht="17.15" hidden="false" customHeight="false" outlineLevel="0" collapsed="false">
      <c r="A190" s="0" t="s">
        <v>690</v>
      </c>
      <c r="B190" s="0" t="s">
        <v>52</v>
      </c>
      <c r="C190" s="12" t="n">
        <f aca="false">Sens!$C$181/Sens!$C$163</f>
        <v>0.708390794789371</v>
      </c>
      <c r="D190" s="12" t="n">
        <f aca="false">Sens!$D$181/Sens!$D$163</f>
        <v>0.445565630441968</v>
      </c>
      <c r="E190" s="12" t="n">
        <f aca="false">Sens!$E$181/Sens!$E$163</f>
        <v>0.165998118402711</v>
      </c>
      <c r="F190" s="12" t="n">
        <f aca="false">Sens!$F$181/Sens!$F$163</f>
        <v>0.434878595403858</v>
      </c>
      <c r="G190" s="12" t="n">
        <f aca="false">Sens!$G$181/Sens!$G$163</f>
        <v>0.3373967615381</v>
      </c>
      <c r="H190" s="12" t="n">
        <f aca="false">Sens!$H$181/Sens!$H$163</f>
        <v>0.320477578041224</v>
      </c>
      <c r="I190" s="12" t="n">
        <f aca="false">Sens!$I$181/Sens!$I$163</f>
        <v>0.296936118226494</v>
      </c>
      <c r="J190" s="12" t="n">
        <f aca="false">Sens!$J$181/Sens!$J$163</f>
        <v>0.282166278613001</v>
      </c>
      <c r="K190" s="12" t="n">
        <f aca="false">Sens!$K$181/Sens!$K$163</f>
        <v>0.271267685694333</v>
      </c>
      <c r="L190" s="12" t="n">
        <f aca="false">Sens!$L$181/Sens!$L$163</f>
        <v>0.27160960915653</v>
      </c>
      <c r="M190" s="12" t="n">
        <f aca="false">Sens!$M$181/Sens!$M$163</f>
        <v>0.26974494804234</v>
      </c>
      <c r="N190" s="12" t="n">
        <f aca="false">Sens!$N$181/Sens!$N$163</f>
        <v>0.302870734830849</v>
      </c>
      <c r="O190" s="12" t="n">
        <f aca="false">Sens!$O$181/Sens!$O$163</f>
        <v>0.52240134346334</v>
      </c>
    </row>
    <row r="191" customFormat="false" ht="15" hidden="false" customHeight="false" outlineLevel="0" collapsed="false">
      <c r="A191" s="5" t="s">
        <v>691</v>
      </c>
      <c r="B191" s="0" t="s">
        <v>52</v>
      </c>
      <c r="C191" s="12" t="n">
        <f aca="false">Sens!$C$185/Sens!$C$165</f>
        <v>0.107519448742004</v>
      </c>
      <c r="D191" s="12" t="n">
        <f aca="false">Sens!$D$185/Sens!$D$165</f>
        <v>0.111552967957552</v>
      </c>
      <c r="E191" s="12" t="n">
        <f aca="false">Sens!$E$185/Sens!$E$165</f>
        <v>0.13428328426562</v>
      </c>
      <c r="F191" s="12" t="n">
        <f aca="false">Sens!$F$185/Sens!$F$165</f>
        <v>0.132926212451512</v>
      </c>
      <c r="G191" s="12" t="n">
        <f aca="false">Sens!$G$185/Sens!$G$165</f>
        <v>0.133549030959228</v>
      </c>
      <c r="H191" s="12" t="n">
        <f aca="false">Sens!$H$185/Sens!$H$165</f>
        <v>0.139690394514416</v>
      </c>
      <c r="I191" s="12" t="n">
        <f aca="false">Sens!$I$185/Sens!$I$165</f>
        <v>0.144688164284573</v>
      </c>
      <c r="J191" s="12" t="n">
        <f aca="false">Sens!$J$185/Sens!$J$165</f>
        <v>0.147391419021054</v>
      </c>
      <c r="K191" s="12" t="n">
        <f aca="false">Sens!$K$185/Sens!$K$165</f>
        <v>0.148003728177944</v>
      </c>
      <c r="L191" s="12" t="n">
        <f aca="false">Sens!$L$185/Sens!$L$165</f>
        <v>0.149164514525979</v>
      </c>
      <c r="M191" s="12" t="n">
        <f aca="false">Sens!$M$185/Sens!$M$165</f>
        <v>0.150041098108262</v>
      </c>
      <c r="N191" s="12" t="n">
        <f aca="false">Sens!$N$185/Sens!$N$165</f>
        <v>0.116201614873411</v>
      </c>
      <c r="O191" s="12" t="n">
        <f aca="false">Sens!$O$185/Sens!$O$165</f>
        <v>0.107733353660861</v>
      </c>
    </row>
    <row r="192" customFormat="false" ht="17.15" hidden="false" customHeight="false" outlineLevel="0" collapsed="false">
      <c r="A192" s="1" t="s">
        <v>692</v>
      </c>
    </row>
    <row r="193" customFormat="false" ht="17.15" hidden="false" customHeight="false" outlineLevel="0" collapsed="false">
      <c r="A193" s="5" t="s">
        <v>693</v>
      </c>
      <c r="B193" s="0" t="s">
        <v>52</v>
      </c>
      <c r="D193" s="28" t="n">
        <f aca="false">(Q!$E$29+Q!$E$30-(1-ext_sh)*Sens!$D$117)/Sens!$D$75</f>
        <v>0.0334674312393194</v>
      </c>
    </row>
    <row r="194" customFormat="false" ht="17.15" hidden="false" customHeight="false" outlineLevel="0" collapsed="false">
      <c r="A194" s="0" t="s">
        <v>498</v>
      </c>
      <c r="B194" s="0" t="s">
        <v>73</v>
      </c>
      <c r="C194" s="38" t="n">
        <f aca="false">Q!$D$29</f>
        <v>14.285</v>
      </c>
      <c r="D194" s="38" t="n">
        <f aca="false">Q!$E$29</f>
        <v>15.503</v>
      </c>
      <c r="E194" s="38" t="n">
        <f aca="false">Q!$P$29</f>
        <v>8.78</v>
      </c>
      <c r="F194" s="38" t="n">
        <f aca="false">(Sens!$D$193*Sens!$F$75+(1-ext_sh)*Sens!$F$117)*Sens!$F$76</f>
        <v>9.51361751569285</v>
      </c>
      <c r="G194" s="38" t="n">
        <f aca="false">Sens!$E$194+Sens!$F$194</f>
        <v>18.2936175156929</v>
      </c>
      <c r="H194" s="38" t="n">
        <f aca="false">(Sens!$D$193*Sens!$H$75+(1-ext_sh)*Sens!$H$117)*Sens!$H$76</f>
        <v>22.7653661801943</v>
      </c>
      <c r="I194" s="38" t="n">
        <f aca="false">(Sens!$D$193*Sens!$I$75+(1-ext_sh)*Sens!$I$117)*Sens!$I$76</f>
        <v>28.4281317305062</v>
      </c>
      <c r="J194" s="38" t="n">
        <f aca="false">(Sens!$D$193*Sens!$J$75+(1-ext_sh)*Sens!$J$117)*Sens!$J$76</f>
        <v>34.1182922009732</v>
      </c>
      <c r="K194" s="38" t="n">
        <f aca="false">(Sens!$D$193*Sens!$K$75+(1-ext_sh)*Sens!$K$117)*Sens!$K$76</f>
        <v>39.7237727987046</v>
      </c>
      <c r="L194" s="38" t="n">
        <f aca="false">(Sens!$D$193*Sens!$L$75+(1-ext_sh)*Sens!$L$117)*Sens!$L$76</f>
        <v>45.1313127180263</v>
      </c>
      <c r="M194" s="38" t="n">
        <f aca="false">(Sens!$D$193*Sens!$M$75+(1-ext_sh)*Sens!$M$117)*Sens!$M$76</f>
        <v>50.743940615442</v>
      </c>
      <c r="N194" s="38" t="n">
        <f aca="false">Q!$N$29</f>
        <v>7.272</v>
      </c>
      <c r="O194" s="38" t="n">
        <f aca="false">Q!$O$29</f>
        <v>8.231</v>
      </c>
    </row>
    <row r="195" customFormat="false" ht="17.15" hidden="false" customHeight="false" outlineLevel="0" collapsed="false">
      <c r="A195" s="0" t="s">
        <v>500</v>
      </c>
      <c r="B195" s="0" t="s">
        <v>73</v>
      </c>
      <c r="C195" s="38" t="n">
        <f aca="false">Q!$D$30</f>
        <v>4.462</v>
      </c>
      <c r="D195" s="38" t="n">
        <f aca="false">Q!$E$30</f>
        <v>4.907</v>
      </c>
      <c r="E195" s="38" t="n">
        <f aca="false">Q!$P$30</f>
        <v>2.57</v>
      </c>
      <c r="F195" s="38" t="n">
        <f aca="false">(Sens!$D$193*Sens!$F$75+(1-ext_sh)*Sens!$F$117)*(1-Sens!$F$76)</f>
        <v>3.7353230631574</v>
      </c>
      <c r="G195" s="38" t="n">
        <f aca="false">Sens!$E$195+Sens!$F$195</f>
        <v>6.3053230631574</v>
      </c>
      <c r="H195" s="38" t="n">
        <f aca="false">(Sens!$D$193*Sens!$H$75+(1-ext_sh)*Sens!$H$117)*(1-Sens!$H$76)</f>
        <v>8.72254636724805</v>
      </c>
      <c r="I195" s="38" t="n">
        <f aca="false">(Sens!$D$193*Sens!$I$75+(1-ext_sh)*Sens!$I$117)*(1-Sens!$I$76)</f>
        <v>10.8922340713019</v>
      </c>
      <c r="J195" s="38" t="n">
        <f aca="false">(Sens!$D$193*Sens!$J$75+(1-ext_sh)*Sens!$J$117)*(1-Sens!$J$76)</f>
        <v>13.0724181345791</v>
      </c>
      <c r="K195" s="38" t="n">
        <f aca="false">(Sens!$D$193*Sens!$K$75+(1-ext_sh)*Sens!$K$117)*(1-Sens!$K$76)</f>
        <v>15.2201571183236</v>
      </c>
      <c r="L195" s="38" t="n">
        <f aca="false">(Sens!$D$193*Sens!$L$75+(1-ext_sh)*Sens!$L$117)*(1-Sens!$L$76)</f>
        <v>17.2920551631732</v>
      </c>
      <c r="M195" s="38" t="n">
        <f aca="false">(Sens!$D$193*Sens!$M$75+(1-ext_sh)*Sens!$M$117)*(1-Sens!$M$76)</f>
        <v>19.4425326336348</v>
      </c>
      <c r="N195" s="38" t="n">
        <f aca="false">Q!$N$30</f>
        <v>2.316</v>
      </c>
      <c r="O195" s="38" t="n">
        <f aca="false">Q!$O$30</f>
        <v>2.591</v>
      </c>
    </row>
    <row r="196" customFormat="false" ht="17.15" hidden="false" customHeight="false" outlineLevel="0" collapsed="false">
      <c r="A196" s="0" t="s">
        <v>501</v>
      </c>
      <c r="B196" s="0" t="s">
        <v>73</v>
      </c>
      <c r="C196" s="38" t="n">
        <f aca="false">Sens!$C$129</f>
        <v>13.32</v>
      </c>
      <c r="D196" s="38" t="n">
        <f aca="false">Sens!$D$129</f>
        <v>21.45</v>
      </c>
      <c r="E196" s="38" t="n">
        <f aca="false">Sens!$E$129</f>
        <v>15.353</v>
      </c>
      <c r="F196" s="38" t="n">
        <f aca="false">Sens!$F$129</f>
        <v>17.3614451462707</v>
      </c>
      <c r="G196" s="38" t="n">
        <f aca="false">Sens!$G$129</f>
        <v>32.7144451462707</v>
      </c>
      <c r="H196" s="38" t="n">
        <f aca="false">Sens!$H$129</f>
        <v>56.1966092719415</v>
      </c>
      <c r="I196" s="38" t="n">
        <f aca="false">Sens!$I$129</f>
        <v>82.9744039068297</v>
      </c>
      <c r="J196" s="38" t="n">
        <f aca="false">Sens!$J$129</f>
        <v>109.943252237669</v>
      </c>
      <c r="K196" s="38" t="n">
        <f aca="false">Sens!$K$129</f>
        <v>136.406703436571</v>
      </c>
      <c r="L196" s="38" t="n">
        <f aca="false">Sens!$L$129</f>
        <v>161.485870454155</v>
      </c>
      <c r="M196" s="38" t="n">
        <f aca="false">Sens!$M$129</f>
        <v>187.389846618199</v>
      </c>
      <c r="N196" s="38" t="n">
        <f aca="false">Sens!$N$129</f>
        <v>9.234</v>
      </c>
      <c r="O196" s="38" t="n">
        <f aca="false">Sens!$O$129</f>
        <v>12.216</v>
      </c>
    </row>
    <row r="197" customFormat="false" ht="17.15" hidden="false" customHeight="false" outlineLevel="0" collapsed="false">
      <c r="A197" s="5" t="s">
        <v>694</v>
      </c>
      <c r="B197" s="0" t="s">
        <v>73</v>
      </c>
      <c r="C197" s="38" t="n">
        <f aca="false">Sens!$C$194+Sens!$C$195+Sens!$C$196</f>
        <v>32.067</v>
      </c>
      <c r="D197" s="38" t="n">
        <f aca="false">Sens!$D$194+Sens!$D$195+Sens!$D$196</f>
        <v>41.86</v>
      </c>
      <c r="E197" s="38" t="n">
        <f aca="false">Sens!$E$194+Sens!$E$195+Sens!$E$196</f>
        <v>26.703</v>
      </c>
      <c r="F197" s="38" t="n">
        <f aca="false">Sens!$F$194+Sens!$F$195+Sens!$F$196</f>
        <v>30.6103857251209</v>
      </c>
      <c r="G197" s="38" t="n">
        <f aca="false">Sens!$G$194+Sens!$G$195+Sens!$G$196</f>
        <v>57.3133857251209</v>
      </c>
      <c r="H197" s="38" t="n">
        <f aca="false">Sens!$H$194+Sens!$H$195+Sens!$H$196</f>
        <v>87.6845218193838</v>
      </c>
      <c r="I197" s="38" t="n">
        <f aca="false">Sens!$I$194+Sens!$I$195+Sens!$I$196</f>
        <v>122.294769708638</v>
      </c>
      <c r="J197" s="38" t="n">
        <f aca="false">Sens!$J$194+Sens!$J$195+Sens!$J$196</f>
        <v>157.133962573221</v>
      </c>
      <c r="K197" s="38" t="n">
        <f aca="false">Sens!$K$194+Sens!$K$195+Sens!$K$196</f>
        <v>191.350633353599</v>
      </c>
      <c r="L197" s="38" t="n">
        <f aca="false">Sens!$L$194+Sens!$L$195+Sens!$L$196</f>
        <v>223.909238335354</v>
      </c>
      <c r="M197" s="38" t="n">
        <f aca="false">Sens!$M$194+Sens!$M$195+Sens!$M$196</f>
        <v>257.576319867276</v>
      </c>
      <c r="N197" s="38" t="n">
        <f aca="false">Sens!$N$194+Sens!$N$195+Sens!$N$196</f>
        <v>18.822</v>
      </c>
      <c r="O197" s="38" t="n">
        <f aca="false">Sens!$O$194+Sens!$O$195+Sens!$O$196</f>
        <v>23.038</v>
      </c>
    </row>
    <row r="198" customFormat="false" ht="17.15" hidden="false" customHeight="false" outlineLevel="0" collapsed="false">
      <c r="A198" s="0" t="s">
        <v>695</v>
      </c>
      <c r="B198" s="0" t="s">
        <v>73</v>
      </c>
      <c r="C198" s="38" t="n">
        <f aca="false">Sens!$C$171+Sens!$C$176</f>
        <v>28.107</v>
      </c>
      <c r="D198" s="38" t="n">
        <f aca="false">Sens!$D$171+Sens!$D$176</f>
        <v>34.3175</v>
      </c>
      <c r="E198" s="38" t="n">
        <f aca="false">Sens!$E$171+Sens!$E$176</f>
        <v>18.526</v>
      </c>
      <c r="F198" s="38" t="n">
        <f aca="false">Sens!$F$171+Sens!$F$176</f>
        <v>24.0766690913691</v>
      </c>
      <c r="G198" s="38" t="n">
        <f aca="false">Sens!$G$171+Sens!$G$176</f>
        <v>42.6026690913691</v>
      </c>
      <c r="H198" s="38" t="n">
        <f aca="false">Sens!$H$171+Sens!$H$176</f>
        <v>51.1466809294702</v>
      </c>
      <c r="I198" s="38" t="n">
        <f aca="false">Sens!$I$171+Sens!$I$176</f>
        <v>59.6899187926205</v>
      </c>
      <c r="J198" s="38" t="n">
        <f aca="false">Sens!$J$171+Sens!$J$176</f>
        <v>67.6595395244221</v>
      </c>
      <c r="K198" s="38" t="n">
        <f aca="false">Sens!$K$171+Sens!$K$176</f>
        <v>74.4254934768643</v>
      </c>
      <c r="L198" s="38" t="n">
        <f aca="false">Sens!$L$171+Sens!$L$176</f>
        <v>81.8680428245508</v>
      </c>
      <c r="M198" s="38" t="n">
        <f aca="false">Sens!$M$171+Sens!$M$176</f>
        <v>90.0548471070059</v>
      </c>
      <c r="N198" s="38" t="n">
        <f aca="false">Sens!$N$171+Sens!$N$176</f>
        <v>14.8075</v>
      </c>
      <c r="O198" s="38" t="n">
        <f aca="false">Sens!$O$171+Sens!$O$176</f>
        <v>19.51</v>
      </c>
    </row>
    <row r="199" customFormat="false" ht="17.15" hidden="false" customHeight="false" outlineLevel="0" collapsed="false">
      <c r="A199" s="0" t="s">
        <v>696</v>
      </c>
      <c r="B199" s="0" t="s">
        <v>73</v>
      </c>
      <c r="C199" s="38" t="n">
        <f aca="false">Sens!$C$175+Sens!$C$180+Sens!$C$194+Sens!$C$195-Sens!$C$198</f>
        <v>19.399</v>
      </c>
      <c r="D199" s="38" t="n">
        <f aca="false">Sens!$D$175+Sens!$D$180+Sens!$D$194+Sens!$D$195-Sens!$D$198</f>
        <v>20.4615</v>
      </c>
      <c r="E199" s="38" t="n">
        <f aca="false">Sens!$E$175+Sens!$E$180+Sens!$E$194+Sens!$E$195-Sens!$E$198</f>
        <v>13.355</v>
      </c>
      <c r="F199" s="38" t="n">
        <f aca="false">Sens!$F$175+Sens!$F$180+Sens!$F$194+Sens!$F$195-Sens!$F$198</f>
        <v>13.0895111975985</v>
      </c>
      <c r="G199" s="38" t="n">
        <f aca="false">Sens!$G$175+Sens!$G$180+Sens!$G$194+Sens!$G$195-Sens!$G$198</f>
        <v>26.4445111975985</v>
      </c>
      <c r="H199" s="38" t="n">
        <f aca="false">Sens!$H$175+Sens!$H$180+Sens!$H$194+Sens!$H$195-Sens!$H$198</f>
        <v>28.8977096937968</v>
      </c>
      <c r="I199" s="38" t="n">
        <f aca="false">Sens!$I$175+Sens!$I$180+Sens!$I$194+Sens!$I$195-Sens!$I$198</f>
        <v>31.2062039064791</v>
      </c>
      <c r="J199" s="38" t="n">
        <f aca="false">Sens!$J$175+Sens!$J$180+Sens!$J$194+Sens!$J$195-Sens!$J$198</f>
        <v>33.5064572496913</v>
      </c>
      <c r="K199" s="38" t="n">
        <f aca="false">Sens!$K$175+Sens!$K$180+Sens!$K$194+Sens!$K$195-Sens!$K$198</f>
        <v>35.6591461575899</v>
      </c>
      <c r="L199" s="38" t="n">
        <f aca="false">Sens!$L$175+Sens!$L$180+Sens!$L$194+Sens!$L$195-Sens!$L$198</f>
        <v>36.4141007090604</v>
      </c>
      <c r="M199" s="38" t="n">
        <f aca="false">Sens!$M$175+Sens!$M$180+Sens!$M$194+Sens!$M$195-Sens!$M$198</f>
        <v>37.359984207839</v>
      </c>
      <c r="N199" s="38" t="n">
        <f aca="false">Sens!$N$175+Sens!$N$180+Sens!$N$194+Sens!$N$195-Sens!$N$198</f>
        <v>10.6495</v>
      </c>
      <c r="O199" s="38" t="n">
        <f aca="false">Sens!$O$175+Sens!$O$180+Sens!$O$194+Sens!$O$195-Sens!$O$198</f>
        <v>9.81200000000001</v>
      </c>
    </row>
    <row r="200" customFormat="false" ht="17.15" hidden="false" customHeight="false" outlineLevel="0" collapsed="false">
      <c r="A200" s="0" t="s">
        <v>697</v>
      </c>
      <c r="B200" s="0" t="s">
        <v>73</v>
      </c>
      <c r="C200" s="38" t="n">
        <f aca="false">Sens!$C$182+Sens!$C$196-ext_sh*Sens!$C$117</f>
        <v>51.3470500115664</v>
      </c>
      <c r="D200" s="38" t="n">
        <f aca="false">Sens!$D$182+Sens!$D$196-ext_sh*Sens!$D$117</f>
        <v>60.2799375433739</v>
      </c>
      <c r="E200" s="38" t="n">
        <f aca="false">Sens!$E$182+Sens!$E$196-ext_sh*Sens!$E$117</f>
        <v>39.5095167090767</v>
      </c>
      <c r="F200" s="38" t="n">
        <f aca="false">Sens!$F$182+Sens!$F$196-ext_sh*Sens!$F$117</f>
        <v>41.606724953129</v>
      </c>
      <c r="G200" s="38" t="n">
        <f aca="false">Sens!$G$182+Sens!$G$196-ext_sh*Sens!$G$117</f>
        <v>81.1162416622057</v>
      </c>
      <c r="H200" s="38" t="n">
        <f aca="false">Sens!$H$182+Sens!$H$196-ext_sh*Sens!$H$117</f>
        <v>95.7616595325849</v>
      </c>
      <c r="I200" s="38" t="n">
        <f aca="false">Sens!$I$182+Sens!$I$196-ext_sh*Sens!$I$117</f>
        <v>111.513312079935</v>
      </c>
      <c r="J200" s="38" t="n">
        <f aca="false">Sens!$J$182+Sens!$J$196-ext_sh*Sens!$J$117</f>
        <v>125.145150463955</v>
      </c>
      <c r="K200" s="38" t="n">
        <f aca="false">Sens!$K$182+Sens!$K$196-ext_sh*Sens!$K$117</f>
        <v>135.156762501071</v>
      </c>
      <c r="L200" s="38" t="n">
        <f aca="false">Sens!$L$182+Sens!$L$196-ext_sh*Sens!$L$117</f>
        <v>145.969303501157</v>
      </c>
      <c r="M200" s="38" t="n">
        <f aca="false">Sens!$M$182+Sens!$M$196-ext_sh*Sens!$M$117</f>
        <v>157.646847781249</v>
      </c>
      <c r="N200" s="38" t="n">
        <f aca="false">Sens!$N$182+Sens!$N$196-ext_sh*Sens!$N$117</f>
        <v>28.5693781401809</v>
      </c>
      <c r="O200" s="38" t="n">
        <f aca="false">Sens!$O$182+Sens!$O$196-ext_sh*Sens!$O$117</f>
        <v>31.7105594031931</v>
      </c>
    </row>
    <row r="201" customFormat="false" ht="17.15" hidden="false" customHeight="false" outlineLevel="0" collapsed="false">
      <c r="A201" s="0" t="s">
        <v>698</v>
      </c>
      <c r="B201" s="0" t="s">
        <v>73</v>
      </c>
      <c r="C201" s="38" t="n">
        <f aca="false">Sens!$C$120</f>
        <v>1.80694998843362</v>
      </c>
      <c r="D201" s="38" t="n">
        <f aca="false">Sens!$D$120</f>
        <v>6.77606245662607</v>
      </c>
      <c r="E201" s="38" t="n">
        <f aca="false">Sens!$E$120</f>
        <v>6.62548329092326</v>
      </c>
      <c r="F201" s="38" t="n">
        <f aca="false">Sens!$F$120</f>
        <v>11.7200577158706</v>
      </c>
      <c r="G201" s="38" t="n">
        <f aca="false">Sens!$G$120</f>
        <v>18.3455410067939</v>
      </c>
      <c r="H201" s="38" t="n">
        <f aca="false">Sens!$H$120</f>
        <v>47.5171727060453</v>
      </c>
      <c r="I201" s="38" t="n">
        <f aca="false">Sens!$I$120</f>
        <v>80.5539692643667</v>
      </c>
      <c r="J201" s="38" t="n">
        <f aca="false">Sens!$J$120</f>
        <v>113.759316834883</v>
      </c>
      <c r="K201" s="38" t="n">
        <f aca="false">Sens!$K$120</f>
        <v>147.020848076132</v>
      </c>
      <c r="L201" s="38" t="n">
        <f aca="false">Sens!$L$120</f>
        <v>180.307917349531</v>
      </c>
      <c r="M201" s="38" t="n">
        <f aca="false">Sens!$M$120</f>
        <v>213.608737871012</v>
      </c>
      <c r="N201" s="38" t="n">
        <f aca="false">Sens!$N$120</f>
        <v>2.37162185981912</v>
      </c>
      <c r="O201" s="38" t="n">
        <f aca="false">Sens!$O$120</f>
        <v>4.40444059680694</v>
      </c>
    </row>
    <row r="202" customFormat="false" ht="17.15" hidden="false" customHeight="false" outlineLevel="0" collapsed="false">
      <c r="A202" s="0" t="s">
        <v>699</v>
      </c>
      <c r="B202" s="0" t="s">
        <v>73</v>
      </c>
      <c r="C202" s="38" t="n">
        <f aca="false">Sens!$C$185+Sens!$C$197</f>
        <v>100.66</v>
      </c>
      <c r="D202" s="38" t="n">
        <f aca="false">Sens!$D$185+Sens!$D$197</f>
        <v>121.835</v>
      </c>
      <c r="E202" s="38" t="n">
        <f aca="false">Sens!$E$185+Sens!$E$197</f>
        <v>78.016</v>
      </c>
      <c r="F202" s="38" t="n">
        <f aca="false">Sens!$F$185+Sens!$F$197</f>
        <v>90.4929629579672</v>
      </c>
      <c r="G202" s="38" t="n">
        <f aca="false">Sens!$G$185+Sens!$G$197</f>
        <v>168.508962957967</v>
      </c>
      <c r="H202" s="38" t="n">
        <f aca="false">Sens!$H$185+Sens!$H$197</f>
        <v>223.323222861897</v>
      </c>
      <c r="I202" s="38" t="n">
        <f aca="false">Sens!$I$185+Sens!$I$197</f>
        <v>282.963404043402</v>
      </c>
      <c r="J202" s="38" t="n">
        <f aca="false">Sens!$J$185+Sens!$J$197</f>
        <v>340.070464072952</v>
      </c>
      <c r="K202" s="38" t="n">
        <f aca="false">Sens!$K$185+Sens!$K$197</f>
        <v>392.262250211657</v>
      </c>
      <c r="L202" s="38" t="n">
        <f aca="false">Sens!$L$185+Sens!$L$197</f>
        <v>444.559364384299</v>
      </c>
      <c r="M202" s="38" t="n">
        <f aca="false">Sens!$M$185+Sens!$M$197</f>
        <v>498.670416967106</v>
      </c>
      <c r="N202" s="38" t="n">
        <f aca="false">Sens!$N$185+Sens!$N$197</f>
        <v>56.398</v>
      </c>
      <c r="O202" s="38" t="n">
        <f aca="false">Sens!$O$185+Sens!$O$197</f>
        <v>65.437</v>
      </c>
    </row>
    <row r="203" customFormat="false" ht="17.15" hidden="false" customHeight="false" outlineLevel="0" collapsed="false">
      <c r="A203" s="1" t="s">
        <v>700</v>
      </c>
    </row>
    <row r="204" customFormat="false" ht="15" hidden="false" customHeight="false" outlineLevel="0" collapsed="false">
      <c r="A204" s="5" t="s">
        <v>504</v>
      </c>
      <c r="B204" s="0" t="s">
        <v>73</v>
      </c>
      <c r="C204" s="38" t="n">
        <f aca="false">Q!$D$34</f>
        <v>2.406</v>
      </c>
      <c r="D204" s="38" t="n">
        <f aca="false">Q!$E$34</f>
        <v>2.274</v>
      </c>
      <c r="E204" s="38" t="n">
        <f aca="false">Q!$P$34</f>
        <v>2.114</v>
      </c>
      <c r="F204" s="38" t="n">
        <f aca="false">Sens!$F$240</f>
        <v>3.24888964316061</v>
      </c>
      <c r="G204" s="38" t="n">
        <f aca="false">Sens!$E$204+Sens!$F$204</f>
        <v>5.36288964316061</v>
      </c>
      <c r="H204" s="38" t="n">
        <f aca="false">Sens!$H$240</f>
        <v>7.42354178632123</v>
      </c>
      <c r="I204" s="38" t="n">
        <f aca="false">Sens!$I$240</f>
        <v>7.51827597635917</v>
      </c>
      <c r="J204" s="38" t="n">
        <f aca="false">Sens!$J$240</f>
        <v>7.76994062068418</v>
      </c>
      <c r="K204" s="38" t="n">
        <f aca="false">Sens!$K$240</f>
        <v>7.76994062068418</v>
      </c>
      <c r="L204" s="38" t="n">
        <f aca="false">Sens!$L$240</f>
        <v>7.76994062068418</v>
      </c>
      <c r="M204" s="38" t="n">
        <f aca="false">Sens!$M$240</f>
        <v>7.76994062068418</v>
      </c>
      <c r="N204" s="38" t="n">
        <f aca="false">Q!$N$34</f>
        <v>1.057</v>
      </c>
      <c r="O204" s="38" t="n">
        <f aca="false">Q!$O$34</f>
        <v>1.217</v>
      </c>
    </row>
    <row r="205" customFormat="false" ht="15" hidden="false" customHeight="false" outlineLevel="0" collapsed="false">
      <c r="A205" s="5" t="s">
        <v>701</v>
      </c>
      <c r="B205" s="0" t="s">
        <v>73</v>
      </c>
      <c r="F205" s="38" t="n">
        <f aca="false">Sens!$F$241</f>
        <v>2.59</v>
      </c>
      <c r="H205" s="38" t="n">
        <f aca="false">Sens!$H$241</f>
        <v>4.00971603121774</v>
      </c>
      <c r="I205" s="38" t="n">
        <f aca="false">Sens!$I$241</f>
        <v>2.10589651022864</v>
      </c>
      <c r="J205" s="38" t="n">
        <f aca="false">Sens!$J$241</f>
        <v>2.10589651022864</v>
      </c>
      <c r="K205" s="38" t="n">
        <f aca="false">Sens!$K$241</f>
        <v>3.77985822695893</v>
      </c>
      <c r="L205" s="38" t="n">
        <f aca="false">Sens!$L$241</f>
        <v>7.24081936505971</v>
      </c>
      <c r="M205" s="38" t="n">
        <f aca="false">Sens!$M$241</f>
        <v>11.205150593419</v>
      </c>
    </row>
    <row r="206" customFormat="false" ht="17.15" hidden="false" customHeight="false" outlineLevel="0" collapsed="false">
      <c r="A206" s="5" t="s">
        <v>702</v>
      </c>
      <c r="B206" s="0" t="s">
        <v>73</v>
      </c>
      <c r="C206" s="38" t="n">
        <f aca="false">Q!$D$39</f>
        <v>2.427</v>
      </c>
      <c r="D206" s="38" t="n">
        <f aca="false">Q!$E$39</f>
        <v>19.61</v>
      </c>
      <c r="E206" s="38" t="n">
        <f aca="false">Q!$P$39</f>
        <v>71.492</v>
      </c>
      <c r="F206" s="41" t="n">
        <v>0</v>
      </c>
      <c r="G206" s="38" t="n">
        <f aca="false">Sens!$E$206+Sens!$F$206</f>
        <v>71.492</v>
      </c>
      <c r="H206" s="41" t="n">
        <v>0</v>
      </c>
      <c r="I206" s="41" t="n">
        <v>0</v>
      </c>
      <c r="J206" s="41" t="n">
        <v>0</v>
      </c>
      <c r="K206" s="41" t="n">
        <v>0</v>
      </c>
      <c r="L206" s="41" t="n">
        <v>0</v>
      </c>
      <c r="M206" s="41" t="n">
        <v>0</v>
      </c>
      <c r="N206" s="38" t="n">
        <f aca="false">Q!$N$39</f>
        <v>6.017</v>
      </c>
      <c r="O206" s="38" t="n">
        <f aca="false">Q!$O$39</f>
        <v>13.593</v>
      </c>
      <c r="P206" s="5" t="s">
        <v>703</v>
      </c>
    </row>
    <row r="207" customFormat="false" ht="15" hidden="false" customHeight="false" outlineLevel="0" collapsed="false">
      <c r="A207" s="5" t="s">
        <v>507</v>
      </c>
      <c r="B207" s="0" t="s">
        <v>73</v>
      </c>
      <c r="C207" s="38" t="n">
        <f aca="false">Q!$D$36</f>
        <v>68.614</v>
      </c>
      <c r="D207" s="38" t="n">
        <f aca="false">Q!$E$36</f>
        <v>97.311</v>
      </c>
      <c r="E207" s="38" t="n">
        <f aca="false">Q!$P$36</f>
        <v>120.691</v>
      </c>
      <c r="F207" s="38" t="n">
        <f aca="false">Sens!$F$185-Sens!$F$204+Sens!$F$205+Sens!$F$206</f>
        <v>59.2236875896856</v>
      </c>
      <c r="G207" s="38" t="n">
        <f aca="false">Sens!$E$207+Sens!$F$207</f>
        <v>179.914687589686</v>
      </c>
      <c r="H207" s="38" t="n">
        <f aca="false">Sens!$H$185-Sens!$H$204+Sens!$H$205+Sens!$H$206</f>
        <v>132.22487528741</v>
      </c>
      <c r="I207" s="38" t="n">
        <f aca="false">Sens!$I$185-Sens!$I$204+Sens!$I$205+Sens!$I$206</f>
        <v>155.256254868633</v>
      </c>
      <c r="J207" s="38" t="n">
        <f aca="false">Sens!$J$185-Sens!$J$204+Sens!$J$205+Sens!$J$206</f>
        <v>177.272457389275</v>
      </c>
      <c r="K207" s="38" t="n">
        <f aca="false">Sens!$K$185-Sens!$K$204+Sens!$K$205+Sens!$K$206</f>
        <v>196.921534464333</v>
      </c>
      <c r="L207" s="38" t="n">
        <f aca="false">Sens!$L$185-Sens!$L$204+Sens!$L$205+Sens!$L$206</f>
        <v>220.12100479332</v>
      </c>
      <c r="M207" s="38" t="n">
        <f aca="false">Sens!$M$185-Sens!$M$204+Sens!$M$205+Sens!$M$206</f>
        <v>244.529307072564</v>
      </c>
      <c r="N207" s="38" t="n">
        <f aca="false">Q!$N$36</f>
        <v>42.536</v>
      </c>
      <c r="O207" s="38" t="n">
        <f aca="false">Q!$O$36</f>
        <v>54.775</v>
      </c>
    </row>
    <row r="208" customFormat="false" ht="15" hidden="false" customHeight="false" outlineLevel="0" collapsed="false">
      <c r="A208" s="5" t="s">
        <v>508</v>
      </c>
      <c r="B208" s="0" t="s">
        <v>73</v>
      </c>
      <c r="C208" s="38" t="n">
        <f aca="false">Q!$D$37</f>
        <v>9.265</v>
      </c>
      <c r="D208" s="38" t="n">
        <f aca="false">Q!$E$37</f>
        <v>19.087</v>
      </c>
      <c r="E208" s="38" t="n">
        <f aca="false">Q!$P$37</f>
        <v>27.759</v>
      </c>
      <c r="F208" s="38" t="n">
        <f aca="false">Sens!$F$207*tax</f>
        <v>10.2803157750071</v>
      </c>
      <c r="G208" s="38" t="n">
        <f aca="false">Sens!$E$208+Sens!$F$208</f>
        <v>38.0393157750071</v>
      </c>
      <c r="H208" s="38" t="n">
        <f aca="false">Sens!$H$207*tax</f>
        <v>22.9521923842892</v>
      </c>
      <c r="I208" s="38" t="n">
        <f aca="false">Sens!$I$207*tax</f>
        <v>26.9500835063251</v>
      </c>
      <c r="J208" s="38" t="n">
        <f aca="false">Sens!$J$207*tax</f>
        <v>30.7717555988633</v>
      </c>
      <c r="K208" s="38" t="n">
        <f aca="false">Sens!$K$207*tax</f>
        <v>34.1825313414772</v>
      </c>
      <c r="L208" s="38" t="n">
        <f aca="false">Sens!$L$207*tax</f>
        <v>38.209600416393</v>
      </c>
      <c r="M208" s="38" t="n">
        <f aca="false">Sens!$M$207*tax</f>
        <v>42.4465040131586</v>
      </c>
      <c r="N208" s="38" t="n">
        <f aca="false">Q!$N$37</f>
        <v>7.231</v>
      </c>
      <c r="O208" s="38" t="n">
        <f aca="false">Q!$O$37</f>
        <v>11.856</v>
      </c>
    </row>
    <row r="209" customFormat="false" ht="15" hidden="false" customHeight="false" outlineLevel="0" collapsed="false">
      <c r="A209" s="3" t="s">
        <v>509</v>
      </c>
      <c r="B209" s="8" t="s">
        <v>73</v>
      </c>
      <c r="C209" s="38" t="n">
        <f aca="false">Q!$D$38</f>
        <v>59.248</v>
      </c>
      <c r="D209" s="38" t="n">
        <f aca="false">Q!$E$38</f>
        <v>77.67</v>
      </c>
      <c r="E209" s="38" t="n">
        <f aca="false">Q!$P$38</f>
        <v>92.902</v>
      </c>
      <c r="F209" s="38" t="n">
        <f aca="false">Sens!$F$207-Sens!$F$208</f>
        <v>48.9433718146785</v>
      </c>
      <c r="G209" s="38" t="n">
        <f aca="false">Sens!$E$209+Sens!$F$209</f>
        <v>141.845371814679</v>
      </c>
      <c r="H209" s="38" t="n">
        <f aca="false">Sens!$H$207-Sens!$H$208</f>
        <v>109.272682903121</v>
      </c>
      <c r="I209" s="38" t="n">
        <f aca="false">Sens!$I$207-Sens!$I$208</f>
        <v>128.306171362308</v>
      </c>
      <c r="J209" s="38" t="n">
        <f aca="false">Sens!$J$207-Sens!$J$208</f>
        <v>146.500701790412</v>
      </c>
      <c r="K209" s="38" t="n">
        <f aca="false">Sens!$K$207-Sens!$K$208</f>
        <v>162.739003122855</v>
      </c>
      <c r="L209" s="38" t="n">
        <f aca="false">Sens!$L$207-Sens!$L$208</f>
        <v>181.911404376927</v>
      </c>
      <c r="M209" s="38" t="n">
        <f aca="false">Sens!$M$207-Sens!$M$208</f>
        <v>202.082803059406</v>
      </c>
      <c r="N209" s="38" t="n">
        <f aca="false">Q!$N$38</f>
        <v>35.291</v>
      </c>
      <c r="O209" s="38" t="n">
        <f aca="false">Q!$O$38</f>
        <v>42.379</v>
      </c>
    </row>
    <row r="210" customFormat="false" ht="17.15" hidden="false" customHeight="false" outlineLevel="0" collapsed="false">
      <c r="A210" s="5" t="s">
        <v>512</v>
      </c>
      <c r="B210" s="5" t="s">
        <v>33</v>
      </c>
      <c r="C210" s="22" t="n">
        <f aca="false">Q!$D$41</f>
        <v>10.721</v>
      </c>
      <c r="D210" s="22" t="n">
        <f aca="false">Q!$E$41</f>
        <v>10.827</v>
      </c>
      <c r="E210" s="22" t="n">
        <f aca="false">(Q!$L$41+Q!$M$41)/2</f>
        <v>10.8885</v>
      </c>
      <c r="F210" s="22" t="n">
        <f aca="false">Sens!$G$210</f>
        <v>10.924806</v>
      </c>
      <c r="G210" s="22" t="n">
        <f aca="false">Q!$M$41*(1+sh_g*0.25)</f>
        <v>10.924806</v>
      </c>
      <c r="H210" s="22" t="n">
        <f aca="false">Sens!$G$210*(1+sh_g)</f>
        <v>11.012204448</v>
      </c>
      <c r="I210" s="22" t="n">
        <f aca="false">Sens!$H$210*(1+sh_g)</f>
        <v>11.100302083584</v>
      </c>
      <c r="J210" s="22" t="n">
        <f aca="false">Sens!$I$210*(1+sh_g)</f>
        <v>11.1891045002527</v>
      </c>
      <c r="K210" s="22" t="n">
        <f aca="false">Sens!$J$210*(1+sh_g)</f>
        <v>11.2786173362547</v>
      </c>
      <c r="L210" s="22" t="n">
        <f aca="false">Sens!$K$210*(1+sh_g)</f>
        <v>11.3688462749447</v>
      </c>
      <c r="M210" s="22" t="n">
        <f aca="false">Sens!$L$210*(1+sh_g)</f>
        <v>11.4597970451443</v>
      </c>
      <c r="P210" s="5" t="s">
        <v>704</v>
      </c>
    </row>
    <row r="211" customFormat="false" ht="17.15" hidden="false" customHeight="false" outlineLevel="0" collapsed="false">
      <c r="A211" s="42" t="s">
        <v>705</v>
      </c>
      <c r="B211" s="13" t="s">
        <v>27</v>
      </c>
      <c r="C211" s="43" t="n">
        <f aca="false">Sens!$C$209/Sens!$C$210</f>
        <v>5.52635015390355</v>
      </c>
      <c r="D211" s="43" t="n">
        <f aca="false">Sens!$D$209/Sens!$D$210</f>
        <v>7.1737323358271</v>
      </c>
      <c r="E211" s="43" t="n">
        <f aca="false">Sens!$E$209/Sens!$E$210</f>
        <v>8.53212104513937</v>
      </c>
      <c r="F211" s="13"/>
      <c r="G211" s="43" t="n">
        <f aca="false">Sens!$G$209/Sens!$G$210</f>
        <v>12.9837886196495</v>
      </c>
      <c r="H211" s="43" t="n">
        <f aca="false">Sens!$H$209/Sens!$H$210</f>
        <v>9.92287088558062</v>
      </c>
      <c r="I211" s="43" t="n">
        <f aca="false">Sens!$I$209/Sens!$I$210</f>
        <v>11.5587999674403</v>
      </c>
      <c r="J211" s="43" t="n">
        <f aca="false">Sens!$J$209/Sens!$J$210</f>
        <v>13.0931569892035</v>
      </c>
      <c r="K211" s="43" t="n">
        <f aca="false">Sens!$K$209/Sens!$K$210</f>
        <v>14.4289852444711</v>
      </c>
      <c r="L211" s="43" t="n">
        <f aca="false">Sens!$L$209/Sens!$L$210</f>
        <v>16.0008676322621</v>
      </c>
      <c r="M211" s="43" t="n">
        <f aca="false">Sens!$M$209/Sens!$M$210</f>
        <v>17.6340647450673</v>
      </c>
      <c r="N211" s="13"/>
      <c r="O211" s="13"/>
    </row>
    <row r="212" customFormat="false" ht="17.15" hidden="false" customHeight="false" outlineLevel="0" collapsed="false">
      <c r="A212" s="0" t="s">
        <v>706</v>
      </c>
      <c r="B212" s="0" t="s">
        <v>27</v>
      </c>
      <c r="C212" s="30" t="n">
        <f aca="false">(Sens!$C$209-Sens!$C$206*(1-tax))/Sens!$C$210</f>
        <v>5.33926775917445</v>
      </c>
      <c r="D212" s="30" t="n">
        <f aca="false">(Sens!$D$209-Sens!$D$206*(1-tax))/Sens!$D$210</f>
        <v>5.67691812755503</v>
      </c>
      <c r="E212" s="30" t="n">
        <f aca="false">(Sens!$E$209-Sens!$E$206*(1-tax))/Sens!$E$210</f>
        <v>3.10602057006846</v>
      </c>
      <c r="G212" s="30" t="n">
        <f aca="false">(Sens!$G$209-Sens!$G$206*(1-tax))/Sens!$G$210</f>
        <v>7.57572050175252</v>
      </c>
      <c r="H212" s="30" t="n">
        <f aca="false">(Sens!$H$209-Sens!$H$206*(1-tax))/Sens!$H$210</f>
        <v>9.92287088558062</v>
      </c>
      <c r="I212" s="30" t="n">
        <f aca="false">(Sens!$I$209-Sens!$I$206*(1-tax))/Sens!$I$210</f>
        <v>11.5587999674403</v>
      </c>
      <c r="J212" s="30" t="n">
        <f aca="false">(Sens!$J$209-Sens!$J$206*(1-tax))/Sens!$J$210</f>
        <v>13.0931569892035</v>
      </c>
      <c r="K212" s="30" t="n">
        <f aca="false">(Sens!$K$209-Sens!$K$206*(1-tax))/Sens!$K$210</f>
        <v>14.4289852444711</v>
      </c>
      <c r="L212" s="30" t="n">
        <f aca="false">(Sens!$L$209-Sens!$L$206*(1-tax))/Sens!$L$210</f>
        <v>16.0008676322621</v>
      </c>
      <c r="M212" s="30" t="n">
        <f aca="false">(Sens!$M$209-Sens!$M$206*(1-tax))/Sens!$M$210</f>
        <v>17.6340647450673</v>
      </c>
      <c r="P212" s="5" t="s">
        <v>707</v>
      </c>
    </row>
    <row r="213" customFormat="false" ht="17.15" hidden="false" customHeight="false" outlineLevel="0" collapsed="false">
      <c r="A213" s="0" t="s">
        <v>708</v>
      </c>
      <c r="B213" s="0" t="s">
        <v>52</v>
      </c>
      <c r="H213" s="12" t="n">
        <f aca="false">Sens!$H$211/Sens!$G$211-1</f>
        <v>-0.23574919645846</v>
      </c>
      <c r="I213" s="12" t="n">
        <f aca="false">Sens!$I$211/Sens!$H$211-1</f>
        <v>0.164864493423664</v>
      </c>
      <c r="J213" s="12" t="n">
        <f aca="false">Sens!$J$211/Sens!$I$211-1</f>
        <v>0.132743626162345</v>
      </c>
      <c r="K213" s="12" t="n">
        <f aca="false">Sens!$K$211/Sens!$J$211-1</f>
        <v>0.102024917013454</v>
      </c>
      <c r="L213" s="12" t="n">
        <f aca="false">Sens!$L$211/Sens!$K$211-1</f>
        <v>0.108939219297719</v>
      </c>
      <c r="M213" s="12" t="n">
        <f aca="false">Sens!$M$211/Sens!$L$211-1</f>
        <v>0.102069284637555</v>
      </c>
    </row>
    <row r="216" customFormat="false" ht="19.4" hidden="false" customHeight="false" outlineLevel="0" collapsed="false">
      <c r="A216" s="31" t="s">
        <v>1046</v>
      </c>
    </row>
    <row r="217" customFormat="false" ht="17.15" hidden="false" customHeight="false" outlineLevel="0" collapsed="false">
      <c r="A217" s="6" t="s">
        <v>16</v>
      </c>
      <c r="B217" s="6" t="s">
        <v>17</v>
      </c>
      <c r="C217" s="20" t="s">
        <v>457</v>
      </c>
      <c r="D217" s="20" t="s">
        <v>458</v>
      </c>
      <c r="E217" s="20" t="s">
        <v>540</v>
      </c>
      <c r="F217" s="20" t="s">
        <v>541</v>
      </c>
      <c r="G217" s="20" t="s">
        <v>542</v>
      </c>
      <c r="H217" s="20" t="s">
        <v>543</v>
      </c>
      <c r="I217" s="20" t="s">
        <v>544</v>
      </c>
      <c r="J217" s="20" t="s">
        <v>545</v>
      </c>
      <c r="K217" s="20" t="s">
        <v>546</v>
      </c>
      <c r="L217" s="20" t="s">
        <v>547</v>
      </c>
      <c r="M217" s="20" t="s">
        <v>548</v>
      </c>
      <c r="N217" s="20" t="s">
        <v>549</v>
      </c>
      <c r="O217" s="20" t="s">
        <v>550</v>
      </c>
      <c r="P217" s="6" t="s">
        <v>23</v>
      </c>
      <c r="R217" s="20" t="n">
        <v>2023</v>
      </c>
      <c r="S217" s="20" t="n">
        <v>2024</v>
      </c>
      <c r="T217" s="20" t="n">
        <v>2025</v>
      </c>
      <c r="U217" s="20" t="n">
        <v>2026</v>
      </c>
      <c r="V217" s="20" t="n">
        <v>2027</v>
      </c>
      <c r="W217" s="20" t="n">
        <v>2028</v>
      </c>
      <c r="X217" s="20" t="n">
        <v>2029</v>
      </c>
      <c r="Y217" s="20" t="n">
        <v>2030</v>
      </c>
      <c r="Z217" s="20" t="n">
        <v>2031</v>
      </c>
      <c r="AA217" s="20" t="n">
        <v>2032</v>
      </c>
    </row>
    <row r="218" customFormat="false" ht="15" hidden="false" customHeight="false" outlineLevel="0" collapsed="false">
      <c r="A218" s="5" t="s">
        <v>509</v>
      </c>
      <c r="B218" s="0" t="s">
        <v>73</v>
      </c>
      <c r="C218" s="38" t="n">
        <f aca="false">Sens!$C$209</f>
        <v>59.248</v>
      </c>
      <c r="D218" s="38" t="n">
        <f aca="false">Sens!$D$209</f>
        <v>77.67</v>
      </c>
      <c r="E218" s="38" t="n">
        <f aca="false">Sens!$E$209</f>
        <v>92.902</v>
      </c>
      <c r="F218" s="38" t="n">
        <f aca="false">Sens!$F$209</f>
        <v>48.9433718146785</v>
      </c>
      <c r="G218" s="38" t="n">
        <f aca="false">Sens!$G$209</f>
        <v>141.845371814679</v>
      </c>
      <c r="H218" s="38" t="n">
        <f aca="false">Sens!$H$209</f>
        <v>109.272682903121</v>
      </c>
      <c r="I218" s="38" t="n">
        <f aca="false">Sens!$I$209</f>
        <v>128.306171362308</v>
      </c>
      <c r="J218" s="38" t="n">
        <f aca="false">Sens!$J$209</f>
        <v>146.500701790412</v>
      </c>
      <c r="K218" s="38" t="n">
        <f aca="false">Sens!$K$209</f>
        <v>162.739003122855</v>
      </c>
      <c r="L218" s="38" t="n">
        <f aca="false">Sens!$L$209</f>
        <v>181.911404376927</v>
      </c>
      <c r="M218" s="38" t="n">
        <f aca="false">Sens!$M$209</f>
        <v>202.082803059406</v>
      </c>
    </row>
    <row r="219" customFormat="false" ht="17.15" hidden="false" customHeight="false" outlineLevel="0" collapsed="false">
      <c r="A219" s="5" t="s">
        <v>730</v>
      </c>
      <c r="B219" s="0" t="s">
        <v>73</v>
      </c>
      <c r="C219" s="38" t="n">
        <f aca="false">Sens!$C$197</f>
        <v>32.067</v>
      </c>
      <c r="D219" s="38" t="n">
        <f aca="false">Sens!$D$197</f>
        <v>41.86</v>
      </c>
      <c r="E219" s="38" t="n">
        <f aca="false">Sens!$E$197</f>
        <v>26.703</v>
      </c>
      <c r="F219" s="38" t="n">
        <f aca="false">Sens!$F$197</f>
        <v>30.6103857251209</v>
      </c>
      <c r="G219" s="38" t="n">
        <f aca="false">Sens!$G$197</f>
        <v>57.3133857251209</v>
      </c>
      <c r="H219" s="38" t="n">
        <f aca="false">Sens!$H$197</f>
        <v>87.6845218193838</v>
      </c>
      <c r="I219" s="38" t="n">
        <f aca="false">Sens!$I$197</f>
        <v>122.294769708638</v>
      </c>
      <c r="J219" s="38" t="n">
        <f aca="false">Sens!$J$197</f>
        <v>157.133962573221</v>
      </c>
      <c r="K219" s="38" t="n">
        <f aca="false">Sens!$K$197</f>
        <v>191.350633353599</v>
      </c>
      <c r="L219" s="38" t="n">
        <f aca="false">Sens!$L$197</f>
        <v>223.909238335354</v>
      </c>
      <c r="M219" s="38" t="n">
        <f aca="false">Sens!$M$197</f>
        <v>257.576319867276</v>
      </c>
    </row>
    <row r="220" customFormat="false" ht="15" hidden="false" customHeight="false" outlineLevel="0" collapsed="false">
      <c r="A220" s="5" t="s">
        <v>731</v>
      </c>
      <c r="B220" s="0" t="s">
        <v>73</v>
      </c>
      <c r="C220" s="38" t="n">
        <f aca="false">Q!$D$48</f>
        <v>22.011</v>
      </c>
      <c r="D220" s="38" t="n">
        <f aca="false">Q!$E$48</f>
        <v>19.467</v>
      </c>
      <c r="E220" s="38" t="n">
        <f aca="false">Q!$P$48</f>
        <v>10.07</v>
      </c>
      <c r="F220" s="38" t="n">
        <f aca="false">sbc_r*Sens!$F$141</f>
        <v>11.2170714500462</v>
      </c>
      <c r="G220" s="38" t="n">
        <f aca="false">Sens!$E$220+Sens!$F$220</f>
        <v>21.2870714500462</v>
      </c>
      <c r="H220" s="38" t="n">
        <f aca="false">sbc_r*Sens!$H$141</f>
        <v>24.1772394325528</v>
      </c>
      <c r="I220" s="38" t="n">
        <f aca="false">sbc_r*Sens!$I$141</f>
        <v>27.6495284422397</v>
      </c>
      <c r="J220" s="38" t="n">
        <f aca="false">sbc_r*Sens!$J$141</f>
        <v>30.9042211184633</v>
      </c>
      <c r="K220" s="38" t="n">
        <f aca="false">sbc_r*Sens!$K$141</f>
        <v>33.8004145402678</v>
      </c>
      <c r="L220" s="38" t="n">
        <f aca="false">sbc_r*Sens!$L$141</f>
        <v>36.8322537652494</v>
      </c>
      <c r="M220" s="38" t="n">
        <f aca="false">sbc_r*Sens!$M$141</f>
        <v>40.0097627968013</v>
      </c>
    </row>
    <row r="221" customFormat="false" ht="17.15" hidden="false" customHeight="false" outlineLevel="0" collapsed="false">
      <c r="A221" s="5" t="s">
        <v>732</v>
      </c>
      <c r="B221" s="0" t="s">
        <v>73</v>
      </c>
      <c r="C221" s="38" t="n">
        <f aca="false">Q!$D$44-Sens!$C$218-Sens!$C$219-Sens!$C$220</f>
        <v>2.551</v>
      </c>
      <c r="D221" s="38" t="n">
        <f aca="false">Q!$E$44-Sens!$D$218-Sens!$D$219-Sens!$D$220</f>
        <v>0.51700000000001</v>
      </c>
      <c r="E221" s="38" t="n">
        <f aca="false">Q!$P$44-Sens!$E$218-Sens!$E$219-Sens!$E$220</f>
        <v>-58.256</v>
      </c>
      <c r="F221" s="38" t="n">
        <f aca="false">wc_2h26+oth_r*Sens!$F$141</f>
        <v>7.34599241893378</v>
      </c>
      <c r="G221" s="38" t="n">
        <f aca="false">Sens!$E$221+Sens!$F$221</f>
        <v>-50.9100075810662</v>
      </c>
      <c r="H221" s="38" t="n">
        <f aca="false">oth_r*Sens!$H$141</f>
        <v>11.6369707537667</v>
      </c>
      <c r="I221" s="38" t="n">
        <f aca="false">oth_r*Sens!$I$141</f>
        <v>13.3082502961262</v>
      </c>
      <c r="J221" s="38" t="n">
        <f aca="false">oth_r*Sens!$J$141</f>
        <v>14.8747965344332</v>
      </c>
      <c r="K221" s="38" t="n">
        <f aca="false">oth_r*Sens!$K$141</f>
        <v>16.2687901804328</v>
      </c>
      <c r="L221" s="38" t="n">
        <f aca="false">oth_r*Sens!$L$141</f>
        <v>17.7280727627002</v>
      </c>
      <c r="M221" s="38" t="n">
        <f aca="false">oth_r*Sens!$M$141</f>
        <v>19.2574690270319</v>
      </c>
      <c r="P221" s="8" t="s">
        <v>733</v>
      </c>
    </row>
    <row r="222" customFormat="false" ht="15" hidden="false" customHeight="false" outlineLevel="0" collapsed="false">
      <c r="A222" s="3" t="s">
        <v>515</v>
      </c>
      <c r="B222" s="8" t="s">
        <v>73</v>
      </c>
      <c r="C222" s="38" t="n">
        <f aca="false">Q!$D$44</f>
        <v>115.877</v>
      </c>
      <c r="D222" s="38" t="n">
        <f aca="false">Q!$E$44</f>
        <v>139.514</v>
      </c>
      <c r="E222" s="38" t="n">
        <f aca="false">Q!$P$44</f>
        <v>71.419</v>
      </c>
      <c r="F222" s="38" t="n">
        <f aca="false">Sens!$F$218+Sens!$F$219+Sens!$F$220+Sens!$F$221</f>
        <v>98.1168214087795</v>
      </c>
      <c r="G222" s="38" t="n">
        <f aca="false">Sens!$E$222+Sens!$F$222</f>
        <v>169.535821408779</v>
      </c>
      <c r="H222" s="38" t="n">
        <f aca="false">Sens!$H$218+Sens!$H$219+Sens!$H$220+Sens!$H$221</f>
        <v>232.771414908824</v>
      </c>
      <c r="I222" s="38" t="n">
        <f aca="false">Sens!$I$218+Sens!$I$219+Sens!$I$220+Sens!$I$221</f>
        <v>291.558719809312</v>
      </c>
      <c r="J222" s="38" t="n">
        <f aca="false">Sens!$J$218+Sens!$J$219+Sens!$J$220+Sens!$J$221</f>
        <v>349.413682016529</v>
      </c>
      <c r="K222" s="38" t="n">
        <f aca="false">Sens!$K$218+Sens!$K$219+Sens!$K$220+Sens!$K$221</f>
        <v>404.158841197156</v>
      </c>
      <c r="L222" s="38" t="n">
        <f aca="false">Sens!$L$218+Sens!$L$219+Sens!$L$220+Sens!$L$221</f>
        <v>460.380969240231</v>
      </c>
      <c r="M222" s="38" t="n">
        <f aca="false">Sens!$M$218+Sens!$M$219+Sens!$M$220+Sens!$M$221</f>
        <v>518.926354750515</v>
      </c>
    </row>
    <row r="223" customFormat="false" ht="17.15" hidden="false" customHeight="false" outlineLevel="0" collapsed="false">
      <c r="A223" s="5" t="s">
        <v>734</v>
      </c>
      <c r="B223" s="0" t="s">
        <v>73</v>
      </c>
      <c r="C223" s="38" t="n">
        <f aca="false">Sens!$C$111</f>
        <v>25.2781053077374</v>
      </c>
      <c r="D223" s="38" t="n">
        <f aca="false">Sens!$D$111</f>
        <v>69.5686316310026</v>
      </c>
      <c r="E223" s="38" t="n">
        <f aca="false">Sens!$E$111</f>
        <v>64.1899206485108</v>
      </c>
      <c r="F223" s="38" t="n">
        <f aca="false">Sens!$F$111</f>
        <v>96.2481299895</v>
      </c>
      <c r="G223" s="38" t="n">
        <f aca="false">Sens!$G$111</f>
        <v>160.438050638011</v>
      </c>
      <c r="H223" s="38" t="n">
        <f aca="false">Sens!$H$111</f>
        <v>198.57136494475</v>
      </c>
      <c r="I223" s="38" t="n">
        <f aca="false">Sens!$I$111</f>
        <v>204.6464699105</v>
      </c>
      <c r="J223" s="38" t="n">
        <f aca="false">Sens!$J$111</f>
        <v>209.8832381105</v>
      </c>
      <c r="K223" s="38" t="n">
        <f aca="false">Sens!$K$111</f>
        <v>215.1200063105</v>
      </c>
      <c r="L223" s="38" t="n">
        <f aca="false">Sens!$L$111</f>
        <v>251.7773837105</v>
      </c>
      <c r="M223" s="38" t="n">
        <f aca="false">Sens!$M$111</f>
        <v>311.87584476575</v>
      </c>
    </row>
    <row r="224" customFormat="false" ht="17.15" hidden="false" customHeight="false" outlineLevel="0" collapsed="false">
      <c r="A224" s="5" t="s">
        <v>735</v>
      </c>
      <c r="B224" s="0" t="s">
        <v>73</v>
      </c>
      <c r="C224" s="38" t="n">
        <f aca="false">cx_awso*Sens!$C$139</f>
        <v>21.0469989286053</v>
      </c>
      <c r="D224" s="38" t="n">
        <f aca="false">cx_awso*Sens!$D$139</f>
        <v>24.0042459822698</v>
      </c>
      <c r="E224" s="38" t="n">
        <f aca="false">cx_awso*Sens!$E$139</f>
        <v>14.261729404886</v>
      </c>
      <c r="F224" s="38" t="n">
        <f aca="false">cx_awso*Sens!$F$139</f>
        <v>15.7190020837331</v>
      </c>
      <c r="G224" s="38" t="n">
        <f aca="false">Sens!$E$224+Sens!$F$224</f>
        <v>29.9807314886191</v>
      </c>
      <c r="H224" s="38" t="n">
        <f aca="false">cx_awso*Sens!$H$139</f>
        <v>36.1787121536283</v>
      </c>
      <c r="I224" s="38" t="n">
        <f aca="false">cx_awso*Sens!$I$139</f>
        <v>42.1296794430021</v>
      </c>
      <c r="J224" s="38" t="n">
        <f aca="false">cx_awso*Sens!$J$139</f>
        <v>47.279781889299</v>
      </c>
      <c r="K224" s="38" t="n">
        <f aca="false">cx_awso*Sens!$K$139</f>
        <v>51.0621644404429</v>
      </c>
      <c r="L224" s="38" t="n">
        <f aca="false">cx_awso*Sens!$L$139</f>
        <v>55.1471375956783</v>
      </c>
      <c r="M224" s="38" t="n">
        <f aca="false">cx_awso*Sens!$M$139</f>
        <v>59.5589086033326</v>
      </c>
    </row>
    <row r="225" customFormat="false" ht="17.15" hidden="false" customHeight="false" outlineLevel="0" collapsed="false">
      <c r="A225" s="5" t="s">
        <v>736</v>
      </c>
      <c r="B225" s="0" t="s">
        <v>73</v>
      </c>
      <c r="C225" s="38" t="n">
        <f aca="false">Q!$D$46-Sens!$C$223-Sens!$C$224</f>
        <v>31.3328957636573</v>
      </c>
      <c r="D225" s="38" t="n">
        <f aca="false">Q!$E$46-Sens!$D$223-Sens!$D$224</f>
        <v>34.7471223867276</v>
      </c>
      <c r="E225" s="38" t="n">
        <f aca="false">Q!$P$46-Sens!$E$223-Sens!$E$224</f>
        <v>17.8583499466032</v>
      </c>
      <c r="F225" s="38" t="n">
        <f aca="false">cx_rt*Sens!$F$75</f>
        <v>21.0855744229195</v>
      </c>
      <c r="G225" s="38" t="n">
        <f aca="false">Sens!$E$225+Sens!$F$225</f>
        <v>38.9439243695228</v>
      </c>
      <c r="H225" s="38" t="n">
        <f aca="false">cx_rt*Sens!$H$75</f>
        <v>43.1200434029767</v>
      </c>
      <c r="I225" s="38" t="n">
        <f aca="false">cx_rt*Sens!$I$75</f>
        <v>47.1583152318763</v>
      </c>
      <c r="J225" s="38" t="n">
        <f aca="false">cx_rt*Sens!$J$75</f>
        <v>50.9060281137911</v>
      </c>
      <c r="K225" s="38" t="n">
        <f aca="false">cx_rt*Sens!$K$75</f>
        <v>54.2035645673053</v>
      </c>
      <c r="L225" s="38" t="n">
        <f aca="false">cx_rt*Sens!$L$75</f>
        <v>57.7318979121519</v>
      </c>
      <c r="M225" s="38" t="n">
        <f aca="false">cx_rt*Sens!$M$75</f>
        <v>61.5084196557756</v>
      </c>
    </row>
    <row r="226" customFormat="false" ht="15" hidden="false" customHeight="false" outlineLevel="0" collapsed="false">
      <c r="A226" s="3" t="s">
        <v>737</v>
      </c>
      <c r="B226" s="8" t="s">
        <v>73</v>
      </c>
      <c r="C226" s="38" t="n">
        <f aca="false">Q!$D$46</f>
        <v>77.658</v>
      </c>
      <c r="D226" s="38" t="n">
        <f aca="false">Q!$E$46</f>
        <v>128.32</v>
      </c>
      <c r="E226" s="38" t="n">
        <f aca="false">Q!$P$46</f>
        <v>96.31</v>
      </c>
      <c r="F226" s="38" t="n">
        <f aca="false">Sens!$F$223+Sens!$F$224+Sens!$F$225</f>
        <v>133.052706496153</v>
      </c>
      <c r="G226" s="38" t="n">
        <f aca="false">Sens!$E$226+Sens!$F$226</f>
        <v>229.362706496153</v>
      </c>
      <c r="H226" s="38" t="n">
        <f aca="false">Sens!$H$223+Sens!$H$224+Sens!$H$225</f>
        <v>277.870120501355</v>
      </c>
      <c r="I226" s="38" t="n">
        <f aca="false">Sens!$I$223+Sens!$I$224+Sens!$I$225</f>
        <v>293.934464585378</v>
      </c>
      <c r="J226" s="38" t="n">
        <f aca="false">Sens!$J$223+Sens!$J$224+Sens!$J$225</f>
        <v>308.06904811359</v>
      </c>
      <c r="K226" s="38" t="n">
        <f aca="false">Sens!$K$223+Sens!$K$224+Sens!$K$225</f>
        <v>320.385735318248</v>
      </c>
      <c r="L226" s="38" t="n">
        <f aca="false">Sens!$L$223+Sens!$L$224+Sens!$L$225</f>
        <v>364.65641921833</v>
      </c>
      <c r="M226" s="38" t="n">
        <f aca="false">Sens!$M$223+Sens!$M$224+Sens!$M$225</f>
        <v>432.943173024858</v>
      </c>
    </row>
    <row r="227" customFormat="false" ht="17.15" hidden="false" customHeight="false" outlineLevel="0" collapsed="false">
      <c r="A227" s="5" t="s">
        <v>523</v>
      </c>
      <c r="B227" s="0" t="s">
        <v>73</v>
      </c>
      <c r="C227" s="38" t="n">
        <f aca="false">Q!$D$50</f>
        <v>2.043</v>
      </c>
      <c r="D227" s="38" t="n">
        <f aca="false">Q!$E$50</f>
        <v>1.557</v>
      </c>
      <c r="E227" s="38" t="n">
        <f aca="false">lease_pr/2</f>
        <v>0.8</v>
      </c>
      <c r="F227" s="38" t="n">
        <f aca="false">lease_pr/2</f>
        <v>0.8</v>
      </c>
      <c r="G227" s="38" t="n">
        <f aca="false">Sens!$E$227+Sens!$F$227</f>
        <v>1.6</v>
      </c>
      <c r="H227" s="38" t="n">
        <f aca="false">lease_pr</f>
        <v>1.6</v>
      </c>
      <c r="I227" s="38" t="n">
        <f aca="false">lease_pr</f>
        <v>1.6</v>
      </c>
      <c r="J227" s="38" t="n">
        <f aca="false">lease_pr</f>
        <v>1.6</v>
      </c>
      <c r="K227" s="38" t="n">
        <f aca="false">lease_pr</f>
        <v>1.6</v>
      </c>
      <c r="L227" s="38" t="n">
        <f aca="false">lease_pr</f>
        <v>1.6</v>
      </c>
      <c r="M227" s="38" t="n">
        <f aca="false">lease_pr</f>
        <v>1.6</v>
      </c>
      <c r="P227" s="8" t="s">
        <v>738</v>
      </c>
    </row>
    <row r="228" customFormat="false" ht="15" hidden="false" customHeight="false" outlineLevel="0" collapsed="false">
      <c r="A228" s="46" t="s">
        <v>739</v>
      </c>
      <c r="B228" s="13" t="s">
        <v>73</v>
      </c>
      <c r="C228" s="47" t="n">
        <f aca="false">Sens!$C$222-Sens!$C$226-Sens!$C$227</f>
        <v>36.176</v>
      </c>
      <c r="D228" s="47" t="n">
        <f aca="false">Sens!$D$222-Sens!$D$226-Sens!$D$227</f>
        <v>9.63700000000002</v>
      </c>
      <c r="E228" s="47" t="n">
        <f aca="false">Sens!$E$222-Sens!$E$226-Sens!$E$227</f>
        <v>-25.691</v>
      </c>
      <c r="F228" s="47" t="n">
        <f aca="false">Sens!$F$222-Sens!$F$226-Sens!$F$227</f>
        <v>-35.7358850873731</v>
      </c>
      <c r="G228" s="47" t="n">
        <f aca="false">Sens!$G$222-Sens!$G$226-Sens!$G$227</f>
        <v>-61.4268850873731</v>
      </c>
      <c r="H228" s="47" t="n">
        <f aca="false">Sens!$H$222-Sens!$H$226-Sens!$H$227</f>
        <v>-46.6987055925312</v>
      </c>
      <c r="I228" s="47" t="n">
        <f aca="false">Sens!$I$222-Sens!$I$226-Sens!$I$227</f>
        <v>-3.97574477606648</v>
      </c>
      <c r="J228" s="47" t="n">
        <f aca="false">Sens!$J$222-Sens!$J$226-Sens!$J$227</f>
        <v>39.7446339029391</v>
      </c>
      <c r="K228" s="47" t="n">
        <f aca="false">Sens!$K$222-Sens!$K$226-Sens!$K$227</f>
        <v>82.1731058789073</v>
      </c>
      <c r="L228" s="47" t="n">
        <f aca="false">Sens!$L$222-Sens!$L$226-Sens!$L$227</f>
        <v>94.1245500219009</v>
      </c>
      <c r="M228" s="47" t="n">
        <f aca="false">Sens!$M$222-Sens!$M$226-Sens!$M$227</f>
        <v>84.3831817256571</v>
      </c>
      <c r="N228" s="13"/>
      <c r="O228" s="13"/>
    </row>
    <row r="229" customFormat="false" ht="17.15" hidden="false" customHeight="false" outlineLevel="0" collapsed="false">
      <c r="A229" s="5" t="s">
        <v>740</v>
      </c>
      <c r="B229" s="0" t="s">
        <v>73</v>
      </c>
      <c r="C229" s="38" t="n">
        <f aca="false">dps*Sens!$C$210</f>
        <v>0</v>
      </c>
      <c r="D229" s="38" t="n">
        <f aca="false">dps*Sens!$D$210</f>
        <v>0</v>
      </c>
      <c r="E229" s="38" t="n">
        <f aca="false">dps*Sens!$E$210</f>
        <v>0</v>
      </c>
      <c r="F229" s="38" t="n">
        <f aca="false">0</f>
        <v>0</v>
      </c>
      <c r="G229" s="38" t="n">
        <f aca="false">dps*Sens!$G$210</f>
        <v>0</v>
      </c>
      <c r="H229" s="38" t="n">
        <f aca="false">dps*Sens!$H$210</f>
        <v>0</v>
      </c>
      <c r="I229" s="38" t="n">
        <f aca="false">dps*Sens!$I$210</f>
        <v>0</v>
      </c>
      <c r="J229" s="38" t="n">
        <f aca="false">dps*Sens!$J$210</f>
        <v>0</v>
      </c>
      <c r="K229" s="38" t="n">
        <f aca="false">dps*Sens!$K$210</f>
        <v>0</v>
      </c>
      <c r="L229" s="38" t="n">
        <f aca="false">dps*Sens!$L$210</f>
        <v>0</v>
      </c>
      <c r="M229" s="38" t="n">
        <f aca="false">dps*Sens!$M$210</f>
        <v>0</v>
      </c>
      <c r="P229" s="8" t="s">
        <v>741</v>
      </c>
    </row>
    <row r="230" customFormat="false" ht="17.15" hidden="false" customHeight="false" outlineLevel="0" collapsed="false">
      <c r="A230" s="5" t="s">
        <v>742</v>
      </c>
      <c r="B230" s="0" t="s">
        <v>73</v>
      </c>
      <c r="C230" s="38" t="n">
        <f aca="false">0</f>
        <v>0</v>
      </c>
      <c r="D230" s="38" t="n">
        <f aca="false">0</f>
        <v>0</v>
      </c>
      <c r="E230" s="38" t="n">
        <f aca="false">0</f>
        <v>0</v>
      </c>
      <c r="F230" s="38" t="n">
        <f aca="false">0</f>
        <v>0</v>
      </c>
      <c r="G230" s="38" t="n">
        <f aca="false">0</f>
        <v>0</v>
      </c>
      <c r="H230" s="38" t="n">
        <f aca="false">0</f>
        <v>0</v>
      </c>
      <c r="I230" s="38" t="n">
        <f aca="false">0</f>
        <v>0</v>
      </c>
      <c r="J230" s="38" t="n">
        <f aca="false">0</f>
        <v>0</v>
      </c>
      <c r="K230" s="38" t="n">
        <f aca="false">0</f>
        <v>0</v>
      </c>
      <c r="L230" s="38" t="n">
        <f aca="false">0</f>
        <v>0</v>
      </c>
      <c r="M230" s="38" t="n">
        <f aca="false">0</f>
        <v>0</v>
      </c>
      <c r="P230" s="8" t="s">
        <v>743</v>
      </c>
    </row>
    <row r="231" customFormat="false" ht="15" hidden="false" customHeight="false" outlineLevel="0" collapsed="false">
      <c r="A231" s="3" t="s">
        <v>744</v>
      </c>
      <c r="B231" s="8" t="s">
        <v>73</v>
      </c>
      <c r="C231" s="38" t="n">
        <f aca="false">Sens!$C$228-Sens!$C$229</f>
        <v>36.176</v>
      </c>
      <c r="D231" s="38" t="n">
        <f aca="false">Sens!$D$228-Sens!$D$229</f>
        <v>9.63700000000002</v>
      </c>
      <c r="E231" s="38" t="n">
        <f aca="false">Sens!$E$228-Sens!$E$229</f>
        <v>-25.691</v>
      </c>
      <c r="F231" s="38" t="n">
        <f aca="false">Sens!$F$228-Sens!$F$229</f>
        <v>-35.7358850873731</v>
      </c>
      <c r="G231" s="38" t="n">
        <f aca="false">Sens!$G$228-Sens!$G$229</f>
        <v>-61.4268850873731</v>
      </c>
      <c r="H231" s="38" t="n">
        <f aca="false">Sens!$H$228-Sens!$H$229</f>
        <v>-46.6987055925312</v>
      </c>
      <c r="I231" s="38" t="n">
        <f aca="false">Sens!$I$228-Sens!$I$229</f>
        <v>-3.97574477606648</v>
      </c>
      <c r="J231" s="38" t="n">
        <f aca="false">Sens!$J$228-Sens!$J$229</f>
        <v>39.7446339029391</v>
      </c>
      <c r="K231" s="38" t="n">
        <f aca="false">Sens!$K$228-Sens!$K$229</f>
        <v>82.1731058789073</v>
      </c>
      <c r="L231" s="38" t="n">
        <f aca="false">Sens!$L$228-Sens!$L$229</f>
        <v>94.1245500219009</v>
      </c>
      <c r="M231" s="38" t="n">
        <f aca="false">Sens!$M$228-Sens!$M$229</f>
        <v>84.3831817256571</v>
      </c>
    </row>
    <row r="232" customFormat="false" ht="17.15" hidden="false" customHeight="false" outlineLevel="0" collapsed="false">
      <c r="A232" s="5" t="s">
        <v>745</v>
      </c>
      <c r="B232" s="0" t="s">
        <v>73</v>
      </c>
      <c r="E232" s="38" t="n">
        <f aca="false">Q!$P$53</f>
        <v>39.767</v>
      </c>
      <c r="F232" s="38" t="n">
        <f aca="false">inv_2h26</f>
        <v>21.3</v>
      </c>
      <c r="G232" s="38" t="n">
        <f aca="false">Sens!$E$232+Sens!$F$232</f>
        <v>61.067</v>
      </c>
      <c r="H232" s="41" t="n">
        <v>0</v>
      </c>
      <c r="I232" s="41" t="n">
        <v>0</v>
      </c>
      <c r="J232" s="41" t="n">
        <v>0</v>
      </c>
      <c r="K232" s="41" t="n">
        <v>0</v>
      </c>
      <c r="L232" s="41" t="n">
        <v>0</v>
      </c>
      <c r="M232" s="41" t="n">
        <v>0</v>
      </c>
    </row>
    <row r="233" customFormat="false" ht="17.15" hidden="false" customHeight="false" outlineLevel="0" collapsed="false">
      <c r="A233" s="5" t="s">
        <v>746</v>
      </c>
      <c r="B233" s="0" t="s">
        <v>73</v>
      </c>
      <c r="F233" s="38" t="n">
        <f aca="false">iss_2h26</f>
        <v>29.25</v>
      </c>
      <c r="G233" s="38" t="n">
        <f aca="false">Sens!$F$233</f>
        <v>29.25</v>
      </c>
      <c r="H233" s="41" t="n">
        <v>0</v>
      </c>
      <c r="I233" s="41" t="n">
        <v>0</v>
      </c>
      <c r="J233" s="41" t="n">
        <v>0</v>
      </c>
      <c r="K233" s="41" t="n">
        <v>0</v>
      </c>
      <c r="L233" s="41" t="n">
        <v>0</v>
      </c>
      <c r="M233" s="41" t="n">
        <v>0</v>
      </c>
    </row>
    <row r="234" customFormat="false" ht="17.15" hidden="false" customHeight="false" outlineLevel="0" collapsed="false">
      <c r="A234" s="5" t="s">
        <v>747</v>
      </c>
      <c r="B234" s="0" t="s">
        <v>73</v>
      </c>
      <c r="F234" s="38" t="n">
        <f aca="false">cash_q2</f>
        <v>122.988</v>
      </c>
      <c r="G234" s="38" t="n">
        <f aca="false">cash_q2</f>
        <v>122.988</v>
      </c>
      <c r="H234" s="38" t="n">
        <f aca="false">Sens!$G$237</f>
        <v>95.2021149126269</v>
      </c>
      <c r="I234" s="38" t="n">
        <f aca="false">Sens!$H$237</f>
        <v>50</v>
      </c>
      <c r="J234" s="38" t="n">
        <f aca="false">Sens!$I$237</f>
        <v>50</v>
      </c>
      <c r="K234" s="38" t="n">
        <f aca="false">Sens!$J$237</f>
        <v>89.7446339029391</v>
      </c>
      <c r="L234" s="38" t="n">
        <f aca="false">Sens!$K$237</f>
        <v>171.917739781846</v>
      </c>
      <c r="M234" s="38" t="n">
        <f aca="false">Sens!$L$237</f>
        <v>266.042289803747</v>
      </c>
    </row>
    <row r="235" customFormat="false" ht="15" hidden="false" customHeight="false" outlineLevel="0" collapsed="false">
      <c r="A235" s="5" t="s">
        <v>748</v>
      </c>
      <c r="B235" s="0" t="s">
        <v>73</v>
      </c>
      <c r="F235" s="38" t="n">
        <f aca="false">Sens!$F$234+Sens!$F$231-Sens!$F$230-Sens!$F$232+Sens!$F$233</f>
        <v>95.2021149126269</v>
      </c>
      <c r="H235" s="38" t="n">
        <f aca="false">Sens!$H$234+Sens!$H$231-Sens!$H$230-Sens!$H$232+Sens!$H$233</f>
        <v>48.5034093200957</v>
      </c>
      <c r="I235" s="38" t="n">
        <f aca="false">Sens!$I$234+Sens!$I$231-Sens!$I$230-Sens!$I$232+Sens!$I$233</f>
        <v>46.0242552239335</v>
      </c>
      <c r="J235" s="38" t="n">
        <f aca="false">Sens!$J$234+Sens!$J$231-Sens!$J$230-Sens!$J$232+Sens!$J$233</f>
        <v>89.7446339029391</v>
      </c>
      <c r="K235" s="38" t="n">
        <f aca="false">Sens!$K$234+Sens!$K$231-Sens!$K$230-Sens!$K$232+Sens!$K$233</f>
        <v>171.917739781846</v>
      </c>
      <c r="L235" s="38" t="n">
        <f aca="false">Sens!$L$234+Sens!$L$231-Sens!$L$230-Sens!$L$232+Sens!$L$233</f>
        <v>266.042289803747</v>
      </c>
      <c r="M235" s="38" t="n">
        <f aca="false">Sens!$M$234+Sens!$M$231-Sens!$M$230-Sens!$M$232+Sens!$M$233</f>
        <v>350.425471529404</v>
      </c>
    </row>
    <row r="236" customFormat="false" ht="17.15" hidden="false" customHeight="false" outlineLevel="0" collapsed="false">
      <c r="A236" s="5" t="s">
        <v>749</v>
      </c>
      <c r="B236" s="0" t="s">
        <v>73</v>
      </c>
      <c r="F236" s="38" t="n">
        <f aca="false">MAX(0,min_cash-Sens!$F$235)</f>
        <v>0</v>
      </c>
      <c r="G236" s="38" t="n">
        <f aca="false">Sens!$F$236</f>
        <v>0</v>
      </c>
      <c r="H236" s="38" t="n">
        <f aca="false">MAX(0,min_cash-Sens!$H$235)</f>
        <v>1.49659067990431</v>
      </c>
      <c r="I236" s="38" t="n">
        <f aca="false">MAX(0,min_cash-Sens!$I$235)</f>
        <v>3.97574477606648</v>
      </c>
      <c r="J236" s="38" t="n">
        <f aca="false">MAX(0,min_cash-Sens!$J$235)</f>
        <v>0</v>
      </c>
      <c r="K236" s="38" t="n">
        <f aca="false">MAX(0,min_cash-Sens!$K$235)</f>
        <v>0</v>
      </c>
      <c r="L236" s="38" t="n">
        <f aca="false">MAX(0,min_cash-Sens!$L$235)</f>
        <v>0</v>
      </c>
      <c r="M236" s="38" t="n">
        <f aca="false">MAX(0,min_cash-Sens!$M$235)</f>
        <v>0</v>
      </c>
      <c r="P236" s="5" t="s">
        <v>750</v>
      </c>
    </row>
    <row r="237" customFormat="false" ht="15" hidden="false" customHeight="false" outlineLevel="0" collapsed="false">
      <c r="A237" s="5" t="s">
        <v>751</v>
      </c>
      <c r="B237" s="0" t="s">
        <v>73</v>
      </c>
      <c r="D237" s="38" t="n">
        <f aca="false">Q!$E$61</f>
        <v>123.029</v>
      </c>
      <c r="E237" s="38" t="n">
        <f aca="false">Q!$M$61</f>
        <v>122.988</v>
      </c>
      <c r="F237" s="38" t="n">
        <f aca="false">Sens!$F$235+Sens!$F$236</f>
        <v>95.2021149126269</v>
      </c>
      <c r="G237" s="38" t="n">
        <f aca="false">Sens!$F$237</f>
        <v>95.2021149126269</v>
      </c>
      <c r="H237" s="38" t="n">
        <f aca="false">Sens!$H$235+Sens!$H$236</f>
        <v>50</v>
      </c>
      <c r="I237" s="38" t="n">
        <f aca="false">Sens!$I$235+Sens!$I$236</f>
        <v>50</v>
      </c>
      <c r="J237" s="38" t="n">
        <f aca="false">Sens!$J$235+Sens!$J$236</f>
        <v>89.7446339029391</v>
      </c>
      <c r="K237" s="38" t="n">
        <f aca="false">Sens!$K$235+Sens!$K$236</f>
        <v>171.917739781846</v>
      </c>
      <c r="L237" s="38" t="n">
        <f aca="false">Sens!$L$235+Sens!$L$236</f>
        <v>266.042289803747</v>
      </c>
      <c r="M237" s="38" t="n">
        <f aca="false">Sens!$M$235+Sens!$M$236</f>
        <v>350.425471529404</v>
      </c>
    </row>
    <row r="238" customFormat="false" ht="15" hidden="false" customHeight="false" outlineLevel="0" collapsed="false">
      <c r="A238" s="5" t="s">
        <v>752</v>
      </c>
      <c r="B238" s="0" t="s">
        <v>73</v>
      </c>
      <c r="D238" s="38" t="n">
        <f aca="false">Q!$E$62</f>
        <v>68.836</v>
      </c>
      <c r="E238" s="38" t="n">
        <f aca="false">Q!$M$62</f>
        <v>132.995</v>
      </c>
      <c r="F238" s="38" t="n">
        <f aca="false">debt_q2+Sens!$F$233+Sens!$F$236</f>
        <v>162.245</v>
      </c>
      <c r="G238" s="38" t="n">
        <f aca="false">Sens!$F$238</f>
        <v>162.245</v>
      </c>
      <c r="H238" s="38" t="n">
        <f aca="false">Sens!$G$238+Sens!$H$236</f>
        <v>163.741590679904</v>
      </c>
      <c r="I238" s="38" t="n">
        <f aca="false">Sens!$H$238+Sens!$I$236</f>
        <v>167.717335455971</v>
      </c>
      <c r="J238" s="38" t="n">
        <f aca="false">Sens!$I$238+Sens!$J$236</f>
        <v>167.717335455971</v>
      </c>
      <c r="K238" s="38" t="n">
        <f aca="false">Sens!$J$238+Sens!$K$236</f>
        <v>167.717335455971</v>
      </c>
      <c r="L238" s="38" t="n">
        <f aca="false">Sens!$K$238+Sens!$L$236</f>
        <v>167.717335455971</v>
      </c>
      <c r="M238" s="38" t="n">
        <f aca="false">Sens!$L$238+Sens!$M$236</f>
        <v>167.717335455971</v>
      </c>
    </row>
    <row r="239" customFormat="false" ht="15" hidden="false" customHeight="false" outlineLevel="0" collapsed="false">
      <c r="A239" s="5" t="s">
        <v>753</v>
      </c>
      <c r="B239" s="0" t="s">
        <v>73</v>
      </c>
      <c r="D239" s="38" t="n">
        <f aca="false">Sens!$D$238-Sens!$D$237</f>
        <v>-54.193</v>
      </c>
      <c r="E239" s="38" t="n">
        <f aca="false">Sens!$E$238-Sens!$E$237</f>
        <v>10.007</v>
      </c>
      <c r="F239" s="38" t="n">
        <f aca="false">Sens!$F$238-Sens!$F$237</f>
        <v>67.0428850873731</v>
      </c>
      <c r="G239" s="38" t="n">
        <f aca="false">Sens!$G$238-Sens!$G$237</f>
        <v>67.0428850873731</v>
      </c>
      <c r="H239" s="38" t="n">
        <f aca="false">Sens!$H$238-Sens!$H$237</f>
        <v>113.741590679904</v>
      </c>
      <c r="I239" s="38" t="n">
        <f aca="false">Sens!$I$238-Sens!$I$237</f>
        <v>117.717335455971</v>
      </c>
      <c r="J239" s="38" t="n">
        <f aca="false">Sens!$J$238-Sens!$J$237</f>
        <v>77.9727015530317</v>
      </c>
      <c r="K239" s="38" t="n">
        <f aca="false">Sens!$K$238-Sens!$K$237</f>
        <v>-4.20040432587558</v>
      </c>
      <c r="L239" s="38" t="n">
        <f aca="false">Sens!$L$238-Sens!$L$237</f>
        <v>-98.3249543477765</v>
      </c>
      <c r="M239" s="38" t="n">
        <f aca="false">Sens!$M$238-Sens!$M$237</f>
        <v>-182.708136073434</v>
      </c>
    </row>
    <row r="240" customFormat="false" ht="17.15" hidden="false" customHeight="false" outlineLevel="0" collapsed="false">
      <c r="A240" s="5" t="s">
        <v>754</v>
      </c>
      <c r="B240" s="0" t="s">
        <v>73</v>
      </c>
      <c r="F240" s="38" t="n">
        <f aca="false">debt_q2*kd_book*0.5+iss_2h26*kd_new*0.25</f>
        <v>3.24888964316061</v>
      </c>
      <c r="H240" s="38" t="n">
        <f aca="false">debt_q2*kd_book+(Sens!$G$238-debt_q2)*kd_new</f>
        <v>7.42354178632123</v>
      </c>
      <c r="I240" s="38" t="n">
        <f aca="false">debt_q2*kd_book+(Sens!$H$238-debt_q2)*kd_new</f>
        <v>7.51827597635917</v>
      </c>
      <c r="J240" s="38" t="n">
        <f aca="false">debt_q2*kd_book+(Sens!$I$238-debt_q2)*kd_new</f>
        <v>7.76994062068418</v>
      </c>
      <c r="K240" s="38" t="n">
        <f aca="false">debt_q2*kd_book+(Sens!$J$238-debt_q2)*kd_new</f>
        <v>7.76994062068418</v>
      </c>
      <c r="L240" s="38" t="n">
        <f aca="false">debt_q2*kd_book+(Sens!$K$238-debt_q2)*kd_new</f>
        <v>7.76994062068418</v>
      </c>
      <c r="M240" s="38" t="n">
        <f aca="false">debt_q2*kd_book+(Sens!$L$238-debt_q2)*kd_new</f>
        <v>7.76994062068418</v>
      </c>
    </row>
    <row r="241" customFormat="false" ht="17.15" hidden="false" customHeight="false" outlineLevel="0" collapsed="false">
      <c r="A241" s="5" t="s">
        <v>755</v>
      </c>
      <c r="B241" s="0" t="s">
        <v>73</v>
      </c>
      <c r="F241" s="38" t="n">
        <f aca="false">cash_q2*y_cash*0.5</f>
        <v>2.59</v>
      </c>
      <c r="H241" s="38" t="n">
        <f aca="false">Sens!$G$237*y_cash</f>
        <v>4.00971603121774</v>
      </c>
      <c r="I241" s="38" t="n">
        <f aca="false">Sens!$H$237*y_cash</f>
        <v>2.10589651022864</v>
      </c>
      <c r="J241" s="38" t="n">
        <f aca="false">Sens!$I$237*y_cash</f>
        <v>2.10589651022864</v>
      </c>
      <c r="K241" s="38" t="n">
        <f aca="false">Sens!$J$237*y_cash</f>
        <v>3.77985822695893</v>
      </c>
      <c r="L241" s="38" t="n">
        <f aca="false">Sens!$K$237*y_cash</f>
        <v>7.24081936505971</v>
      </c>
      <c r="M241" s="38" t="n">
        <f aca="false">Sens!$L$237*y_cash</f>
        <v>11.205150593419</v>
      </c>
    </row>
    <row r="242" customFormat="false" ht="17.15" hidden="false" customHeight="false" outlineLevel="0" collapsed="false">
      <c r="A242" s="46" t="s">
        <v>756</v>
      </c>
      <c r="B242" s="13" t="s">
        <v>73</v>
      </c>
      <c r="C242" s="13"/>
      <c r="D242" s="13"/>
      <c r="E242" s="13"/>
      <c r="F242" s="13"/>
      <c r="G242" s="47" t="n">
        <f aca="false">SUM(Sens!$G$231:$K$231)</f>
        <v>9.81640432587554</v>
      </c>
      <c r="H242" s="13"/>
      <c r="I242" s="13"/>
      <c r="J242" s="13"/>
      <c r="K242" s="13"/>
      <c r="L242" s="13"/>
      <c r="M242" s="13"/>
      <c r="N242" s="13"/>
      <c r="O242" s="13"/>
    </row>
    <row r="243" customFormat="false" ht="17.15" hidden="false" customHeight="false" outlineLevel="0" collapsed="false">
      <c r="A243" s="0" t="s">
        <v>723</v>
      </c>
      <c r="B243" s="0" t="s">
        <v>73</v>
      </c>
      <c r="G243" s="38" t="n">
        <f aca="false">SUM(Sens!$G$236:$K$236)</f>
        <v>5.47233545597079</v>
      </c>
    </row>
    <row r="246" customFormat="false" ht="19.4" hidden="false" customHeight="false" outlineLevel="0" collapsed="false">
      <c r="A246" s="31" t="s">
        <v>1047</v>
      </c>
    </row>
    <row r="247" customFormat="false" ht="17.15" hidden="false" customHeight="false" outlineLevel="0" collapsed="false">
      <c r="A247" s="6" t="s">
        <v>16</v>
      </c>
      <c r="B247" s="6" t="s">
        <v>17</v>
      </c>
      <c r="C247" s="20" t="s">
        <v>457</v>
      </c>
      <c r="D247" s="20" t="s">
        <v>458</v>
      </c>
      <c r="E247" s="20" t="s">
        <v>540</v>
      </c>
      <c r="F247" s="20" t="s">
        <v>541</v>
      </c>
      <c r="G247" s="20" t="s">
        <v>542</v>
      </c>
      <c r="H247" s="20" t="s">
        <v>543</v>
      </c>
      <c r="I247" s="20" t="s">
        <v>544</v>
      </c>
      <c r="J247" s="20" t="s">
        <v>545</v>
      </c>
      <c r="K247" s="20" t="s">
        <v>546</v>
      </c>
      <c r="L247" s="20" t="s">
        <v>547</v>
      </c>
      <c r="M247" s="20" t="s">
        <v>548</v>
      </c>
      <c r="N247" s="20" t="s">
        <v>549</v>
      </c>
      <c r="O247" s="20" t="s">
        <v>550</v>
      </c>
      <c r="P247" s="6" t="s">
        <v>23</v>
      </c>
      <c r="R247" s="20" t="n">
        <v>2023</v>
      </c>
      <c r="S247" s="20" t="n">
        <v>2024</v>
      </c>
      <c r="T247" s="20" t="n">
        <v>2025</v>
      </c>
      <c r="U247" s="20" t="n">
        <v>2026</v>
      </c>
      <c r="V247" s="20" t="n">
        <v>2027</v>
      </c>
      <c r="W247" s="20" t="n">
        <v>2028</v>
      </c>
      <c r="X247" s="20" t="n">
        <v>2029</v>
      </c>
      <c r="Y247" s="20" t="n">
        <v>2030</v>
      </c>
      <c r="Z247" s="20" t="n">
        <v>2031</v>
      </c>
      <c r="AA247" s="20" t="n">
        <v>2032</v>
      </c>
    </row>
    <row r="248" customFormat="false" ht="17.15" hidden="false" customHeight="false" outlineLevel="0" collapsed="false">
      <c r="A248" s="1" t="s">
        <v>851</v>
      </c>
    </row>
    <row r="249" customFormat="false" ht="17.15" hidden="false" customHeight="false" outlineLevel="0" collapsed="false">
      <c r="A249" s="0" t="s">
        <v>852</v>
      </c>
      <c r="B249" s="0" t="s">
        <v>73</v>
      </c>
      <c r="H249" s="38" t="n">
        <f aca="false">Sens!$H$185*(1-tax)</f>
        <v>112.093921330558</v>
      </c>
      <c r="I249" s="38" t="n">
        <f aca="false">Sens!$I$185*(1-tax)</f>
        <v>132.779045500917</v>
      </c>
      <c r="J249" s="38" t="n">
        <f aca="false">Sens!$J$185*(1-tax)</f>
        <v>151.181555485193</v>
      </c>
      <c r="K249" s="38" t="n">
        <f aca="false">Sens!$K$185*(1-tax)</f>
        <v>166.036468953087</v>
      </c>
      <c r="L249" s="38" t="n">
        <f aca="false">Sens!$L$185*(1-tax)</f>
        <v>182.348678369869</v>
      </c>
      <c r="M249" s="38" t="n">
        <f aca="false">Sens!$M$185*(1-tax)</f>
        <v>199.243892383632</v>
      </c>
    </row>
    <row r="250" customFormat="false" ht="15" hidden="false" customHeight="false" outlineLevel="0" collapsed="false">
      <c r="A250" s="5" t="s">
        <v>853</v>
      </c>
      <c r="B250" s="0" t="s">
        <v>73</v>
      </c>
      <c r="H250" s="38" t="n">
        <f aca="false">Sens!$H$197</f>
        <v>87.6845218193838</v>
      </c>
      <c r="I250" s="38" t="n">
        <f aca="false">Sens!$I$197</f>
        <v>122.294769708638</v>
      </c>
      <c r="J250" s="38" t="n">
        <f aca="false">Sens!$J$197</f>
        <v>157.133962573221</v>
      </c>
      <c r="K250" s="38" t="n">
        <f aca="false">Sens!$K$197</f>
        <v>191.350633353599</v>
      </c>
      <c r="L250" s="38" t="n">
        <f aca="false">Sens!$L$197</f>
        <v>223.909238335354</v>
      </c>
      <c r="M250" s="38" t="n">
        <f aca="false">Sens!$M$197</f>
        <v>257.576319867276</v>
      </c>
    </row>
    <row r="251" customFormat="false" ht="15" hidden="false" customHeight="false" outlineLevel="0" collapsed="false">
      <c r="A251" s="5" t="s">
        <v>854</v>
      </c>
      <c r="B251" s="0" t="s">
        <v>73</v>
      </c>
      <c r="H251" s="38" t="n">
        <f aca="false">Sens!$H$226</f>
        <v>277.870120501355</v>
      </c>
      <c r="I251" s="38" t="n">
        <f aca="false">Sens!$I$226</f>
        <v>293.934464585378</v>
      </c>
      <c r="J251" s="38" t="n">
        <f aca="false">Sens!$J$226</f>
        <v>308.06904811359</v>
      </c>
      <c r="K251" s="38" t="n">
        <f aca="false">Sens!$K$226</f>
        <v>320.385735318248</v>
      </c>
      <c r="L251" s="38" t="n">
        <f aca="false">Sens!$L$226</f>
        <v>364.65641921833</v>
      </c>
      <c r="M251" s="38" t="n">
        <f aca="false">Sens!$M$226</f>
        <v>432.943173024858</v>
      </c>
    </row>
    <row r="252" customFormat="false" ht="15" hidden="false" customHeight="false" outlineLevel="0" collapsed="false">
      <c r="A252" s="5" t="s">
        <v>855</v>
      </c>
      <c r="B252" s="0" t="s">
        <v>73</v>
      </c>
      <c r="H252" s="38" t="n">
        <f aca="false">Sens!$H$227</f>
        <v>1.6</v>
      </c>
      <c r="I252" s="38" t="n">
        <f aca="false">Sens!$I$227</f>
        <v>1.6</v>
      </c>
      <c r="J252" s="38" t="n">
        <f aca="false">Sens!$J$227</f>
        <v>1.6</v>
      </c>
      <c r="K252" s="38" t="n">
        <f aca="false">Sens!$K$227</f>
        <v>1.6</v>
      </c>
      <c r="L252" s="38" t="n">
        <f aca="false">Sens!$L$227</f>
        <v>1.6</v>
      </c>
      <c r="M252" s="38" t="n">
        <f aca="false">Sens!$M$227</f>
        <v>1.6</v>
      </c>
    </row>
    <row r="253" customFormat="false" ht="15" hidden="false" customHeight="false" outlineLevel="0" collapsed="false">
      <c r="A253" s="5" t="s">
        <v>856</v>
      </c>
      <c r="B253" s="0" t="s">
        <v>73</v>
      </c>
      <c r="H253" s="38" t="n">
        <f aca="false">Sens!$H$221</f>
        <v>11.6369707537667</v>
      </c>
      <c r="I253" s="38" t="n">
        <f aca="false">Sens!$I$221</f>
        <v>13.3082502961262</v>
      </c>
      <c r="J253" s="38" t="n">
        <f aca="false">Sens!$J$221</f>
        <v>14.8747965344332</v>
      </c>
      <c r="K253" s="38" t="n">
        <f aca="false">Sens!$K$221</f>
        <v>16.2687901804328</v>
      </c>
      <c r="L253" s="38" t="n">
        <f aca="false">Sens!$L$221</f>
        <v>17.7280727627002</v>
      </c>
      <c r="M253" s="38" t="n">
        <f aca="false">Sens!$M$221</f>
        <v>19.2574690270319</v>
      </c>
    </row>
    <row r="254" customFormat="false" ht="17.15" hidden="false" customHeight="false" outlineLevel="0" collapsed="false">
      <c r="A254" s="1" t="s">
        <v>857</v>
      </c>
      <c r="B254" s="8" t="s">
        <v>73</v>
      </c>
      <c r="H254" s="38" t="n">
        <f aca="false">Sens!$H$249+Sens!$H$250-Sens!$H$251-Sens!$H$252+Sens!$H$253</f>
        <v>-68.0547065976468</v>
      </c>
      <c r="I254" s="38" t="n">
        <f aca="false">Sens!$I$249+Sens!$I$250-Sens!$I$251-Sens!$I$252+Sens!$I$253</f>
        <v>-27.1523990796972</v>
      </c>
      <c r="J254" s="38" t="n">
        <f aca="false">Sens!$J$249+Sens!$J$250-Sens!$J$251-Sens!$J$252+Sens!$J$253</f>
        <v>13.5212664792573</v>
      </c>
      <c r="K254" s="38" t="n">
        <f aca="false">Sens!$K$249+Sens!$K$250-Sens!$K$251-Sens!$K$252+Sens!$K$253</f>
        <v>51.6701571688709</v>
      </c>
      <c r="L254" s="38" t="n">
        <f aca="false">Sens!$L$249+Sens!$L$250-Sens!$L$251-Sens!$L$252+Sens!$L$253</f>
        <v>57.7295702495933</v>
      </c>
      <c r="M254" s="38" t="n">
        <f aca="false">Sens!$M$249+Sens!$M$250-Sens!$M$251-Sens!$M$252+Sens!$M$253</f>
        <v>41.534508253082</v>
      </c>
    </row>
    <row r="255" customFormat="false" ht="15" hidden="false" customHeight="false" outlineLevel="0" collapsed="false">
      <c r="A255" s="5" t="s">
        <v>858</v>
      </c>
      <c r="B255" s="0" t="s">
        <v>57</v>
      </c>
      <c r="H255" s="51" t="n">
        <f aca="false">1/(1+wacc)^(2027-2026-0.5)</f>
        <v>0.942858177653364</v>
      </c>
      <c r="I255" s="51" t="n">
        <f aca="false">1/(1+wacc)^(2028-2026-0.5)</f>
        <v>0.838183517758688</v>
      </c>
      <c r="J255" s="51" t="n">
        <f aca="false">1/(1+wacc)^(2029-2026-0.5)</f>
        <v>0.745129677074952</v>
      </c>
      <c r="K255" s="51" t="n">
        <f aca="false">1/(1+wacc)^(2030-2026-0.5)</f>
        <v>0.662406530186232</v>
      </c>
      <c r="L255" s="51" t="n">
        <f aca="false">1/(1+wacc)^(2031-2026-0.5)</f>
        <v>0.588867179409399</v>
      </c>
      <c r="M255" s="51" t="n">
        <f aca="false">1/(1+wacc)^(2032-2026-0.5)</f>
        <v>0.52349205387225</v>
      </c>
    </row>
    <row r="256" customFormat="false" ht="15" hidden="false" customHeight="false" outlineLevel="0" collapsed="false">
      <c r="A256" s="5" t="s">
        <v>859</v>
      </c>
      <c r="B256" s="0" t="s">
        <v>73</v>
      </c>
      <c r="H256" s="38" t="n">
        <f aca="false">Sens!$H$254*Sens!$H$255</f>
        <v>-64.1659366433916</v>
      </c>
      <c r="I256" s="38" t="n">
        <f aca="false">Sens!$I$254*Sens!$I$255</f>
        <v>-22.7586933762084</v>
      </c>
      <c r="J256" s="38" t="n">
        <f aca="false">Sens!$J$254*Sens!$J$255</f>
        <v>10.0750969253334</v>
      </c>
      <c r="K256" s="38" t="n">
        <f aca="false">Sens!$K$254*Sens!$K$255</f>
        <v>34.226649524409</v>
      </c>
      <c r="L256" s="38" t="n">
        <f aca="false">Sens!$L$254*Sens!$L$255</f>
        <v>33.9950492013948</v>
      </c>
      <c r="M256" s="38" t="n">
        <f aca="false">Sens!$M$254*Sens!$M$255</f>
        <v>21.7429850319798</v>
      </c>
    </row>
    <row r="257" customFormat="false" ht="15" hidden="false" customHeight="false" outlineLevel="0" collapsed="false">
      <c r="A257" s="5" t="s">
        <v>860</v>
      </c>
      <c r="B257" s="0" t="s">
        <v>73</v>
      </c>
      <c r="C257" s="38" t="n">
        <f aca="false">SUM(Sens!$H$256:$M$256)</f>
        <v>13.115150663517</v>
      </c>
    </row>
    <row r="258" customFormat="false" ht="17.15" hidden="false" customHeight="false" outlineLevel="0" collapsed="false">
      <c r="A258" s="5" t="s">
        <v>861</v>
      </c>
      <c r="B258" s="0" t="s">
        <v>73</v>
      </c>
      <c r="C258" s="38" t="n">
        <f aca="false">Sens!$M$249*(1+tg)*(1-tg/ronic)/(wacc-tg)</f>
        <v>1643.3111431308</v>
      </c>
    </row>
    <row r="259" customFormat="false" ht="15" hidden="false" customHeight="false" outlineLevel="0" collapsed="false">
      <c r="A259" s="5" t="s">
        <v>862</v>
      </c>
      <c r="B259" s="0" t="s">
        <v>73</v>
      </c>
      <c r="C259" s="38" t="n">
        <f aca="false">Sens!$C$258/(1+wacc)^6</f>
        <v>811.103482778908</v>
      </c>
    </row>
    <row r="260" customFormat="false" ht="17.15" hidden="false" customHeight="false" outlineLevel="0" collapsed="false">
      <c r="A260" s="5" t="s">
        <v>863</v>
      </c>
      <c r="B260" s="0" t="s">
        <v>73</v>
      </c>
      <c r="C260" s="38" t="n">
        <f aca="false">Sens!$C$257+Sens!$C$259</f>
        <v>824.218633442425</v>
      </c>
    </row>
    <row r="261" customFormat="false" ht="17.15" hidden="false" customHeight="false" outlineLevel="0" collapsed="false">
      <c r="A261" s="5" t="s">
        <v>864</v>
      </c>
      <c r="B261" s="0" t="s">
        <v>52</v>
      </c>
      <c r="C261" s="12" t="n">
        <f aca="false">Sens!$C$259/Sens!$C$260</f>
        <v>0.984087777039521</v>
      </c>
    </row>
    <row r="262" customFormat="false" ht="17.15" hidden="false" customHeight="false" outlineLevel="0" collapsed="false">
      <c r="A262" s="5" t="s">
        <v>865</v>
      </c>
      <c r="B262" s="0" t="s">
        <v>73</v>
      </c>
      <c r="C262" s="38" t="n">
        <f aca="false">Sens!$G$239</f>
        <v>67.0428850873731</v>
      </c>
    </row>
    <row r="263" customFormat="false" ht="17.15" hidden="false" customHeight="false" outlineLevel="0" collapsed="false">
      <c r="A263" s="5" t="s">
        <v>866</v>
      </c>
      <c r="B263" s="0" t="s">
        <v>73</v>
      </c>
      <c r="C263" s="38" t="n">
        <f aca="false">(ant_val*ant_sh+oai_val*oai_sh)*(1-liq_disc)</f>
        <v>178.944</v>
      </c>
    </row>
    <row r="264" customFormat="false" ht="15" hidden="false" customHeight="false" outlineLevel="0" collapsed="false">
      <c r="A264" s="5" t="s">
        <v>867</v>
      </c>
      <c r="B264" s="0" t="s">
        <v>73</v>
      </c>
      <c r="C264" s="38" t="n">
        <f aca="false">Sens!$C$260-Sens!$C$262+Sens!$C$263</f>
        <v>936.119748355051</v>
      </c>
    </row>
    <row r="265" customFormat="false" ht="17.15" hidden="false" customHeight="false" outlineLevel="0" collapsed="false">
      <c r="A265" s="5" t="s">
        <v>868</v>
      </c>
      <c r="B265" s="0" t="s">
        <v>27</v>
      </c>
      <c r="C265" s="30" t="n">
        <f aca="false">Sens!$C$264/sh_val</f>
        <v>84.8679147624493</v>
      </c>
    </row>
    <row r="266" customFormat="false" ht="17.15" hidden="false" customHeight="false" outlineLevel="0" collapsed="false">
      <c r="A266" s="1" t="s">
        <v>869</v>
      </c>
      <c r="B266" s="8" t="s">
        <v>27</v>
      </c>
      <c r="C266" s="30" t="n">
        <f aca="false">Sens!$C$265*(1+ke)^tp_yf</f>
        <v>93.7319373662158</v>
      </c>
    </row>
    <row r="267" customFormat="false" ht="17.15" hidden="false" customHeight="false" outlineLevel="0" collapsed="false">
      <c r="A267" s="3" t="s">
        <v>870</v>
      </c>
    </row>
    <row r="268" customFormat="false" ht="17.15" hidden="false" customHeight="false" outlineLevel="0" collapsed="false">
      <c r="A268" s="5" t="s">
        <v>871</v>
      </c>
      <c r="B268" s="0" t="s">
        <v>73</v>
      </c>
      <c r="C268" s="38" t="n">
        <f aca="false">0.25*Sens!$H$198+0.75*Sens!$I$198</f>
        <v>57.5541093268329</v>
      </c>
    </row>
    <row r="269" customFormat="false" ht="15" hidden="false" customHeight="false" outlineLevel="0" collapsed="false">
      <c r="A269" s="5" t="s">
        <v>872</v>
      </c>
      <c r="B269" s="0" t="s">
        <v>57</v>
      </c>
      <c r="C269" s="30" t="n">
        <f aca="false">m_ads*m_x</f>
        <v>9.11</v>
      </c>
    </row>
    <row r="270" customFormat="false" ht="17.15" hidden="false" customHeight="false" outlineLevel="0" collapsed="false">
      <c r="A270" s="5" t="s">
        <v>873</v>
      </c>
      <c r="B270" s="0" t="s">
        <v>73</v>
      </c>
      <c r="C270" s="38" t="n">
        <f aca="false">Sens!$C$268*Sens!$C$269</f>
        <v>524.317935967448</v>
      </c>
    </row>
    <row r="271" customFormat="false" ht="17.15" hidden="false" customHeight="false" outlineLevel="0" collapsed="false">
      <c r="A271" s="5" t="s">
        <v>874</v>
      </c>
      <c r="B271" s="0" t="s">
        <v>73</v>
      </c>
      <c r="C271" s="38" t="n">
        <f aca="false">0.25*Sens!$H$199+0.75*Sens!$I$199</f>
        <v>30.6290803533085</v>
      </c>
    </row>
    <row r="272" customFormat="false" ht="15" hidden="false" customHeight="false" outlineLevel="0" collapsed="false">
      <c r="A272" s="5" t="s">
        <v>875</v>
      </c>
      <c r="B272" s="0" t="s">
        <v>57</v>
      </c>
      <c r="C272" s="30" t="n">
        <f aca="false">m_retail*m_x</f>
        <v>17.72</v>
      </c>
    </row>
    <row r="273" customFormat="false" ht="17.15" hidden="false" customHeight="false" outlineLevel="0" collapsed="false">
      <c r="A273" s="5" t="s">
        <v>876</v>
      </c>
      <c r="B273" s="0" t="s">
        <v>73</v>
      </c>
      <c r="C273" s="38" t="n">
        <f aca="false">Sens!$C$271*Sens!$C$272</f>
        <v>542.747303860627</v>
      </c>
    </row>
    <row r="274" customFormat="false" ht="17.15" hidden="false" customHeight="false" outlineLevel="0" collapsed="false">
      <c r="A274" s="0" t="s">
        <v>877</v>
      </c>
      <c r="B274" s="0" t="s">
        <v>73</v>
      </c>
      <c r="C274" s="38" t="n">
        <f aca="false">0.25*Sens!$H$200+0.75*Sens!$I$200</f>
        <v>107.575398943098</v>
      </c>
    </row>
    <row r="275" customFormat="false" ht="17.15" hidden="false" customHeight="false" outlineLevel="0" collapsed="false">
      <c r="A275" s="0" t="s">
        <v>878</v>
      </c>
      <c r="B275" s="0" t="s">
        <v>57</v>
      </c>
      <c r="C275" s="30" t="n">
        <f aca="false">m_cloud*m_x</f>
        <v>13.82</v>
      </c>
    </row>
    <row r="276" customFormat="false" ht="17.15" hidden="false" customHeight="false" outlineLevel="0" collapsed="false">
      <c r="A276" s="0" t="s">
        <v>879</v>
      </c>
      <c r="B276" s="0" t="s">
        <v>73</v>
      </c>
      <c r="C276" s="38" t="n">
        <f aca="false">Sens!$C$274*Sens!$C$275</f>
        <v>1486.69201339361</v>
      </c>
    </row>
    <row r="277" customFormat="false" ht="17.15" hidden="false" customHeight="false" outlineLevel="0" collapsed="false">
      <c r="A277" s="0" t="s">
        <v>880</v>
      </c>
      <c r="B277" s="0" t="s">
        <v>73</v>
      </c>
      <c r="C277" s="38" t="n">
        <f aca="false">0.25*Sens!$H$201+0.75*Sens!$I$201</f>
        <v>72.2947701247864</v>
      </c>
    </row>
    <row r="278" customFormat="false" ht="17.15" hidden="false" customHeight="false" outlineLevel="0" collapsed="false">
      <c r="A278" s="0" t="s">
        <v>881</v>
      </c>
      <c r="B278" s="0" t="s">
        <v>57</v>
      </c>
      <c r="C278" s="30" t="n">
        <f aca="false">m_ai</f>
        <v>6</v>
      </c>
    </row>
    <row r="279" customFormat="false" ht="17.15" hidden="false" customHeight="false" outlineLevel="0" collapsed="false">
      <c r="A279" s="0" t="s">
        <v>882</v>
      </c>
      <c r="B279" s="0" t="s">
        <v>73</v>
      </c>
      <c r="C279" s="38" t="n">
        <f aca="false">Sens!$C$277*Sens!$C$278</f>
        <v>433.768620748718</v>
      </c>
    </row>
    <row r="280" customFormat="false" ht="17.15" hidden="false" customHeight="false" outlineLevel="0" collapsed="false">
      <c r="A280" s="5" t="s">
        <v>883</v>
      </c>
      <c r="B280" s="0" t="s">
        <v>73</v>
      </c>
      <c r="C280" s="38" t="n">
        <f aca="false">Sens!$C$270+Sens!$C$273+Sens!$C$276+Sens!$C$279</f>
        <v>2987.5258739704</v>
      </c>
    </row>
    <row r="281" customFormat="false" ht="17.15" hidden="false" customHeight="false" outlineLevel="0" collapsed="false">
      <c r="A281" s="5" t="s">
        <v>884</v>
      </c>
      <c r="B281" s="0" t="s">
        <v>73</v>
      </c>
      <c r="C281" s="38" t="n">
        <f aca="false">Sens!$H$239</f>
        <v>113.741590679904</v>
      </c>
    </row>
    <row r="282" customFormat="false" ht="15" hidden="false" customHeight="false" outlineLevel="0" collapsed="false">
      <c r="A282" s="5" t="s">
        <v>885</v>
      </c>
      <c r="B282" s="0" t="s">
        <v>73</v>
      </c>
      <c r="C282" s="38" t="n">
        <f aca="false">Sens!$C$280-Sens!$C$281+Sens!$C$263</f>
        <v>3052.7282832905</v>
      </c>
    </row>
    <row r="283" customFormat="false" ht="15" hidden="false" customHeight="false" outlineLevel="0" collapsed="false">
      <c r="A283" s="3" t="s">
        <v>886</v>
      </c>
      <c r="B283" s="8" t="s">
        <v>27</v>
      </c>
      <c r="C283" s="30" t="n">
        <f aca="false">Sens!$C$282/sh_val</f>
        <v>276.758058137828</v>
      </c>
    </row>
    <row r="284" customFormat="false" ht="17.15" hidden="false" customHeight="false" outlineLevel="0" collapsed="false">
      <c r="A284" s="46" t="s">
        <v>887</v>
      </c>
      <c r="B284" s="13" t="s">
        <v>27</v>
      </c>
      <c r="C284" s="43" t="n">
        <f aca="false">w_dcf*Sens!$C$266+(1-w_dcf)*Sens!$C$283</f>
        <v>185.244997752022</v>
      </c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</row>
    <row r="285" customFormat="false" ht="17.15" hidden="false" customHeight="false" outlineLevel="0" collapsed="false">
      <c r="A285" s="5" t="s">
        <v>888</v>
      </c>
      <c r="B285" s="0" t="s">
        <v>27</v>
      </c>
      <c r="C285" s="30" t="n">
        <f aca="false">0.45*Sens!$C$266+0.55*Sens!$C$283</f>
        <v>194.396303790603</v>
      </c>
    </row>
    <row r="288" customFormat="false" ht="19.4" hidden="false" customHeight="false" outlineLevel="0" collapsed="false">
      <c r="A288" s="31" t="s">
        <v>1048</v>
      </c>
    </row>
    <row r="289" customFormat="false" ht="17.15" hidden="false" customHeight="false" outlineLevel="0" collapsed="false">
      <c r="A289" s="6" t="s">
        <v>16</v>
      </c>
      <c r="B289" s="6" t="s">
        <v>17</v>
      </c>
      <c r="C289" s="20" t="s">
        <v>457</v>
      </c>
      <c r="D289" s="20" t="s">
        <v>458</v>
      </c>
      <c r="E289" s="20" t="s">
        <v>540</v>
      </c>
      <c r="F289" s="20" t="s">
        <v>541</v>
      </c>
      <c r="G289" s="20" t="s">
        <v>542</v>
      </c>
      <c r="H289" s="20" t="s">
        <v>543</v>
      </c>
      <c r="I289" s="20" t="s">
        <v>544</v>
      </c>
      <c r="J289" s="20" t="s">
        <v>545</v>
      </c>
      <c r="K289" s="20" t="s">
        <v>546</v>
      </c>
      <c r="L289" s="20" t="s">
        <v>547</v>
      </c>
      <c r="M289" s="20" t="s">
        <v>548</v>
      </c>
      <c r="N289" s="20" t="s">
        <v>549</v>
      </c>
      <c r="O289" s="20" t="s">
        <v>550</v>
      </c>
      <c r="P289" s="6" t="s">
        <v>23</v>
      </c>
      <c r="R289" s="20" t="n">
        <v>2023</v>
      </c>
      <c r="S289" s="20" t="n">
        <v>2024</v>
      </c>
      <c r="T289" s="20" t="n">
        <v>2025</v>
      </c>
      <c r="U289" s="20" t="n">
        <v>2026</v>
      </c>
      <c r="V289" s="20" t="n">
        <v>2027</v>
      </c>
      <c r="W289" s="20" t="n">
        <v>2028</v>
      </c>
      <c r="X289" s="20" t="n">
        <v>2029</v>
      </c>
      <c r="Y289" s="20" t="n">
        <v>2030</v>
      </c>
      <c r="Z289" s="20" t="n">
        <v>2031</v>
      </c>
      <c r="AA289" s="20" t="n">
        <v>2032</v>
      </c>
    </row>
    <row r="290" customFormat="false" ht="17.15" hidden="false" customHeight="false" outlineLevel="0" collapsed="false">
      <c r="A290" s="1" t="s">
        <v>620</v>
      </c>
    </row>
    <row r="291" customFormat="false" ht="17.15" hidden="false" customHeight="false" outlineLevel="0" collapsed="false">
      <c r="A291" s="0" t="s">
        <v>479</v>
      </c>
      <c r="B291" s="0" t="s">
        <v>73</v>
      </c>
      <c r="C291" s="38" t="n">
        <f aca="false">Q!$D$10</f>
        <v>247.029</v>
      </c>
      <c r="D291" s="38" t="n">
        <f aca="false">Q!$E$10</f>
        <v>269.287</v>
      </c>
      <c r="E291" s="38" t="n">
        <f aca="false">Q!$P$10</f>
        <v>134.686</v>
      </c>
      <c r="F291" s="38" t="n">
        <f aca="false">Sens!$O$291*(1+Sens!$F$292)-pd_amt*Q!$O$10/(Q!$O$10+Q!$O$12)</f>
        <v>160.728085930082</v>
      </c>
      <c r="G291" s="38" t="n">
        <f aca="false">Sens!$E$291+Sens!$F$291</f>
        <v>295.414085930082</v>
      </c>
      <c r="H291" s="38" t="n">
        <f aca="false">Sens!$G$291*(1+Sens!$H$292)</f>
        <v>320.828163943375</v>
      </c>
      <c r="I291" s="38" t="n">
        <f aca="false">Sens!$H$291*(1+Sens!$I$292)</f>
        <v>344.575578072228</v>
      </c>
      <c r="J291" s="38" t="n">
        <f aca="false">Sens!$I$291*(1+Sens!$J$292)</f>
        <v>365.942555779681</v>
      </c>
      <c r="K291" s="38" t="n">
        <f aca="false">Sens!$J$291*(1+Sens!$K$292)</f>
        <v>384.239683568665</v>
      </c>
      <c r="L291" s="38" t="n">
        <f aca="false">Sens!$K$291*(1+Sens!$L$292)</f>
        <v>403.451667747098</v>
      </c>
      <c r="M291" s="38" t="n">
        <f aca="false">Sens!$L$291*(1+Sens!$M$292)</f>
        <v>423.624251134453</v>
      </c>
      <c r="N291" s="38" t="n">
        <f aca="false">Q!$N$10</f>
        <v>118.892</v>
      </c>
      <c r="O291" s="38" t="n">
        <f aca="false">Q!$O$10</f>
        <v>150.395</v>
      </c>
      <c r="P291" s="8" t="s">
        <v>621</v>
      </c>
    </row>
    <row r="292" customFormat="false" ht="17.15" hidden="false" customHeight="false" outlineLevel="0" collapsed="false">
      <c r="A292" s="0" t="s">
        <v>622</v>
      </c>
      <c r="B292" s="0" t="s">
        <v>52</v>
      </c>
      <c r="E292" s="12" t="n">
        <f aca="false">Sens!$E$291/Sens!$N$291-1</f>
        <v>0.132843252699929</v>
      </c>
      <c r="F292" s="12" t="n">
        <f aca="false">Sens!$O$291/(Q!$F$10+Q!$G$10)-1</f>
        <v>0.0980382135842941</v>
      </c>
      <c r="G292" s="12" t="n">
        <f aca="false">Sens!$G$291/Sens!$D$291-1</f>
        <v>0.0970231980380869</v>
      </c>
      <c r="H292" s="12" t="n">
        <f aca="false">Sens!$F$292+(g_os-Sens!$F$292)*1/4</f>
        <v>0.0860286601882206</v>
      </c>
      <c r="I292" s="12" t="n">
        <f aca="false">Sens!$F$292+(g_os-Sens!$F$292)*2/4</f>
        <v>0.074019106792147</v>
      </c>
      <c r="J292" s="12" t="n">
        <f aca="false">Sens!$F$292+(g_os-Sens!$F$292)*3/4</f>
        <v>0.0620095533960735</v>
      </c>
      <c r="K292" s="12" t="n">
        <f aca="false">Sens!$F$292+(g_os-Sens!$F$292)*4/4</f>
        <v>0.05</v>
      </c>
      <c r="L292" s="12" t="n">
        <f aca="false">g_os</f>
        <v>0.05</v>
      </c>
      <c r="M292" s="12" t="n">
        <f aca="false">g_os</f>
        <v>0.05</v>
      </c>
      <c r="P292" s="8" t="s">
        <v>623</v>
      </c>
    </row>
    <row r="293" customFormat="false" ht="17.15" hidden="false" customHeight="false" outlineLevel="0" collapsed="false">
      <c r="A293" s="0" t="s">
        <v>480</v>
      </c>
      <c r="B293" s="0" t="s">
        <v>73</v>
      </c>
      <c r="C293" s="38" t="n">
        <f aca="false">Q!$D$11</f>
        <v>21.215</v>
      </c>
      <c r="D293" s="38" t="n">
        <f aca="false">Q!$E$11</f>
        <v>22.561</v>
      </c>
      <c r="E293" s="38" t="n">
        <f aca="false">Q!$P$11</f>
        <v>11.579</v>
      </c>
      <c r="F293" s="38" t="n">
        <f aca="false">Sens!$O$293*(1+Sens!$F$294)</f>
        <v>12.0952613121125</v>
      </c>
      <c r="G293" s="38" t="n">
        <f aca="false">Sens!$E$293+Sens!$F$293</f>
        <v>23.6742613121125</v>
      </c>
      <c r="H293" s="38" t="n">
        <f aca="false">Sens!$G$293*(1+Sens!$H$294)</f>
        <v>24.8803243963206</v>
      </c>
      <c r="I293" s="38" t="n">
        <f aca="false">Sens!$H$293*(1+Sens!$I$294)</f>
        <v>25.9741308664154</v>
      </c>
      <c r="J293" s="38" t="n">
        <f aca="false">Sens!$I$293*(1+Sens!$J$294)</f>
        <v>26.9346894124267</v>
      </c>
      <c r="K293" s="38" t="n">
        <f aca="false">Sens!$J$293*(1+Sens!$K$294)</f>
        <v>27.7427300947995</v>
      </c>
      <c r="L293" s="38" t="n">
        <f aca="false">Sens!$K$293*(1+Sens!$L$294)</f>
        <v>28.5750119976435</v>
      </c>
      <c r="M293" s="38" t="n">
        <f aca="false">Sens!$L$293*(1+Sens!$M$294)</f>
        <v>29.4322623575728</v>
      </c>
      <c r="N293" s="38" t="n">
        <f aca="false">Q!$N$11</f>
        <v>11.128</v>
      </c>
      <c r="O293" s="38" t="n">
        <f aca="false">Q!$O$11</f>
        <v>11.433</v>
      </c>
      <c r="P293" s="8" t="s">
        <v>621</v>
      </c>
    </row>
    <row r="294" customFormat="false" ht="17.15" hidden="false" customHeight="false" outlineLevel="0" collapsed="false">
      <c r="A294" s="0" t="s">
        <v>624</v>
      </c>
      <c r="B294" s="0" t="s">
        <v>52</v>
      </c>
      <c r="E294" s="12" t="n">
        <f aca="false">Sens!$E$293/Sens!$N$293-1</f>
        <v>0.0405283968368082</v>
      </c>
      <c r="F294" s="12" t="n">
        <f aca="false">Sens!$O$293/(Q!$F$11+Q!$G$11)-1</f>
        <v>0.0579254187100955</v>
      </c>
      <c r="G294" s="12" t="n">
        <f aca="false">Sens!$G$293/Sens!$D$293-1</f>
        <v>0.0493445021103904</v>
      </c>
      <c r="H294" s="12" t="n">
        <f aca="false">Sens!$F$294+(g_ps-Sens!$F$294)*1/4</f>
        <v>0.0509440640325716</v>
      </c>
      <c r="I294" s="12" t="n">
        <f aca="false">Sens!$F$294+(g_ps-Sens!$F$294)*2/4</f>
        <v>0.0439627093550477</v>
      </c>
      <c r="J294" s="12" t="n">
        <f aca="false">Sens!$F$294+(g_ps-Sens!$F$294)*3/4</f>
        <v>0.0369813546775239</v>
      </c>
      <c r="K294" s="12" t="n">
        <f aca="false">Sens!$F$294+(g_ps-Sens!$F$294)*4/4</f>
        <v>0.03</v>
      </c>
      <c r="L294" s="12" t="n">
        <f aca="false">g_ps</f>
        <v>0.03</v>
      </c>
      <c r="M294" s="12" t="n">
        <f aca="false">g_ps</f>
        <v>0.03</v>
      </c>
      <c r="P294" s="8" t="s">
        <v>625</v>
      </c>
    </row>
    <row r="295" customFormat="false" ht="17.15" hidden="false" customHeight="false" outlineLevel="0" collapsed="false">
      <c r="A295" s="0" t="s">
        <v>481</v>
      </c>
      <c r="B295" s="0" t="s">
        <v>73</v>
      </c>
      <c r="C295" s="38" t="n">
        <f aca="false">Q!$D$12</f>
        <v>156.146</v>
      </c>
      <c r="D295" s="38" t="n">
        <f aca="false">Q!$E$12</f>
        <v>172.162</v>
      </c>
      <c r="E295" s="38" t="n">
        <f aca="false">Q!$P$12</f>
        <v>88.358</v>
      </c>
      <c r="F295" s="38" t="n">
        <f aca="false">Sens!$O$295*(1+Sens!$F$296)-pd_amt*Q!$O$12/(Q!$O$10+Q!$O$12)</f>
        <v>103.62028337149</v>
      </c>
      <c r="G295" s="38" t="n">
        <f aca="false">Sens!$E$295+Sens!$F$295</f>
        <v>191.97828337149</v>
      </c>
      <c r="H295" s="38" t="n">
        <f aca="false">Sens!$G$295*(1+Sens!$H$296)</f>
        <v>212.128608444755</v>
      </c>
      <c r="I295" s="38" t="n">
        <f aca="false">Sens!$H$295*(1+Sens!$I$296)</f>
        <v>231.92183134134</v>
      </c>
      <c r="J295" s="38" t="n">
        <f aca="false">Sens!$I$295*(1+Sens!$J$296)</f>
        <v>250.859136487863</v>
      </c>
      <c r="K295" s="38" t="n">
        <f aca="false">Sens!$J$295*(1+Sens!$K$296)</f>
        <v>268.419276042014</v>
      </c>
      <c r="L295" s="38" t="n">
        <f aca="false">Sens!$K$295*(1+Sens!$L$296)</f>
        <v>287.208625364954</v>
      </c>
      <c r="M295" s="38" t="n">
        <f aca="false">Sens!$L$295*(1+Sens!$M$296)</f>
        <v>307.313229140501</v>
      </c>
      <c r="N295" s="38" t="n">
        <f aca="false">Q!$N$12</f>
        <v>76.86</v>
      </c>
      <c r="O295" s="38" t="n">
        <f aca="false">Q!$O$12</f>
        <v>95.302</v>
      </c>
      <c r="P295" s="8" t="s">
        <v>621</v>
      </c>
    </row>
    <row r="296" customFormat="false" ht="17.15" hidden="false" customHeight="false" outlineLevel="0" collapsed="false">
      <c r="A296" s="0" t="s">
        <v>626</v>
      </c>
      <c r="B296" s="0" t="s">
        <v>52</v>
      </c>
      <c r="E296" s="12" t="n">
        <f aca="false">Sens!$E$295/Sens!$N$295-1</f>
        <v>0.1495966692688</v>
      </c>
      <c r="F296" s="12" t="n">
        <f aca="false">Sens!$O$295/(Q!$F$12+Q!$G$12)-1</f>
        <v>0.11661530890813</v>
      </c>
      <c r="G296" s="12" t="n">
        <f aca="false">Sens!$G$295/Sens!$D$295-1</f>
        <v>0.115102539303041</v>
      </c>
      <c r="H296" s="12" t="n">
        <f aca="false">Sens!$F$296+(g_sp-Sens!$F$296)*1/4</f>
        <v>0.104961481681098</v>
      </c>
      <c r="I296" s="12" t="n">
        <f aca="false">Sens!$F$296+(g_sp-Sens!$F$296)*2/4</f>
        <v>0.0933076544540651</v>
      </c>
      <c r="J296" s="12" t="n">
        <f aca="false">Sens!$F$296+(g_sp-Sens!$F$296)*3/4</f>
        <v>0.0816538272270325</v>
      </c>
      <c r="K296" s="12" t="n">
        <f aca="false">Sens!$F$296+(g_sp-Sens!$F$296)*4/4</f>
        <v>0.07</v>
      </c>
      <c r="L296" s="12" t="n">
        <f aca="false">g_sp</f>
        <v>0.07</v>
      </c>
      <c r="M296" s="12" t="n">
        <f aca="false">g_sp</f>
        <v>0.07</v>
      </c>
      <c r="P296" s="8" t="s">
        <v>627</v>
      </c>
    </row>
    <row r="297" customFormat="false" ht="17.15" hidden="false" customHeight="false" outlineLevel="0" collapsed="false">
      <c r="A297" s="0" t="s">
        <v>482</v>
      </c>
      <c r="B297" s="0" t="s">
        <v>73</v>
      </c>
      <c r="C297" s="38" t="n">
        <f aca="false">Q!$D$13</f>
        <v>56.214</v>
      </c>
      <c r="D297" s="38" t="n">
        <f aca="false">Q!$E$13</f>
        <v>68.635</v>
      </c>
      <c r="E297" s="38" t="n">
        <f aca="false">Q!$P$13</f>
        <v>37.052</v>
      </c>
      <c r="F297" s="38" t="n">
        <f aca="false">Sens!$O$297*(1+Sens!$F$298)</f>
        <v>48.1533381827382</v>
      </c>
      <c r="G297" s="38" t="n">
        <f aca="false">Sens!$E$297+Sens!$F$297</f>
        <v>85.2053381827382</v>
      </c>
      <c r="H297" s="38" t="n">
        <f aca="false">Sens!$G$297*(1+Sens!$H$298)</f>
        <v>102.29336185894</v>
      </c>
      <c r="I297" s="38" t="n">
        <f aca="false">Sens!$H$297*(1+Sens!$I$298)</f>
        <v>119.379837585241</v>
      </c>
      <c r="J297" s="38" t="n">
        <f aca="false">Sens!$I$297*(1+Sens!$J$298)</f>
        <v>135.319079048844</v>
      </c>
      <c r="K297" s="38" t="n">
        <f aca="false">Sens!$J$297*(1+Sens!$K$298)</f>
        <v>148.850986953729</v>
      </c>
      <c r="L297" s="38" t="n">
        <f aca="false">Sens!$K$297*(1+Sens!$L$298)</f>
        <v>163.736085649102</v>
      </c>
      <c r="M297" s="38" t="n">
        <f aca="false">Sens!$L$297*(1+Sens!$M$298)</f>
        <v>180.109694214012</v>
      </c>
      <c r="N297" s="38" t="n">
        <f aca="false">Q!$N$13</f>
        <v>29.615</v>
      </c>
      <c r="O297" s="38" t="n">
        <f aca="false">Q!$O$13</f>
        <v>39.02</v>
      </c>
      <c r="P297" s="8" t="s">
        <v>621</v>
      </c>
    </row>
    <row r="298" customFormat="false" ht="17.15" hidden="false" customHeight="false" outlineLevel="0" collapsed="false">
      <c r="A298" s="0" t="s">
        <v>628</v>
      </c>
      <c r="B298" s="0" t="s">
        <v>52</v>
      </c>
      <c r="E298" s="12" t="n">
        <f aca="false">Sens!$E$297/Sens!$N$297-1</f>
        <v>0.25112274185379</v>
      </c>
      <c r="F298" s="12" t="n">
        <f aca="false">Sens!$O$297/(Q!$F$13+Q!$G$13)-1</f>
        <v>0.234068123596572</v>
      </c>
      <c r="G298" s="12" t="n">
        <f aca="false">Sens!$G$297/Sens!$D$297-1</f>
        <v>0.241426942270536</v>
      </c>
      <c r="H298" s="12" t="n">
        <f aca="false">Sens!$F$298+(g_ad-Sens!$F$298)*1/4</f>
        <v>0.200551092697429</v>
      </c>
      <c r="I298" s="12" t="n">
        <f aca="false">Sens!$F$298+(g_ad-Sens!$F$298)*2/4</f>
        <v>0.167034061798286</v>
      </c>
      <c r="J298" s="12" t="n">
        <f aca="false">Sens!$F$298+(g_ad-Sens!$F$298)*3/4</f>
        <v>0.133517030899143</v>
      </c>
      <c r="K298" s="12" t="n">
        <f aca="false">Sens!$F$298+(g_ad-Sens!$F$298)*4/4</f>
        <v>0.1</v>
      </c>
      <c r="L298" s="12" t="n">
        <f aca="false">g_ad</f>
        <v>0.1</v>
      </c>
      <c r="M298" s="12" t="n">
        <f aca="false">g_ad</f>
        <v>0.1</v>
      </c>
      <c r="P298" s="8" t="s">
        <v>629</v>
      </c>
    </row>
    <row r="299" customFormat="false" ht="17.15" hidden="false" customHeight="false" outlineLevel="0" collapsed="false">
      <c r="A299" s="0" t="s">
        <v>483</v>
      </c>
      <c r="B299" s="0" t="s">
        <v>73</v>
      </c>
      <c r="C299" s="38" t="n">
        <f aca="false">Q!$D$14</f>
        <v>44.374</v>
      </c>
      <c r="D299" s="38" t="n">
        <f aca="false">Q!$E$14</f>
        <v>49.619</v>
      </c>
      <c r="E299" s="38" t="n">
        <f aca="false">Q!$P$14</f>
        <v>27.157</v>
      </c>
      <c r="F299" s="38" t="n">
        <f aca="false">Sens!$O$299*(1+Sens!$F$300)</f>
        <v>28.9776360923374</v>
      </c>
      <c r="G299" s="38" t="n">
        <f aca="false">Sens!$E$299+Sens!$F$299</f>
        <v>56.1346360923374</v>
      </c>
      <c r="H299" s="38" t="n">
        <f aca="false">Sens!$G$299*(1+Sens!$H$300)</f>
        <v>62.4937078946075</v>
      </c>
      <c r="I299" s="38" t="n">
        <f aca="false">Sens!$H$299*(1+Sens!$I$300)</f>
        <v>68.6715233062498</v>
      </c>
      <c r="J299" s="38" t="n">
        <f aca="false">Sens!$I$299*(1+Sens!$J$300)</f>
        <v>74.4692882949818</v>
      </c>
      <c r="K299" s="38" t="n">
        <f aca="false">Sens!$J$299*(1+Sens!$K$300)</f>
        <v>79.6821384756306</v>
      </c>
      <c r="L299" s="38" t="n">
        <f aca="false">Sens!$K$299*(1+Sens!$L$300)</f>
        <v>85.2598881689247</v>
      </c>
      <c r="M299" s="38" t="n">
        <f aca="false">Sens!$L$299*(1+Sens!$M$300)</f>
        <v>91.2280803407494</v>
      </c>
      <c r="N299" s="38" t="n">
        <f aca="false">Q!$N$14</f>
        <v>23.923</v>
      </c>
      <c r="O299" s="38" t="n">
        <f aca="false">Q!$O$14</f>
        <v>25.696</v>
      </c>
      <c r="P299" s="8" t="s">
        <v>621</v>
      </c>
    </row>
    <row r="300" customFormat="false" ht="17.15" hidden="false" customHeight="false" outlineLevel="0" collapsed="false">
      <c r="A300" s="0" t="s">
        <v>630</v>
      </c>
      <c r="B300" s="0" t="s">
        <v>52</v>
      </c>
      <c r="E300" s="12" t="n">
        <f aca="false">Sens!$E$299/Sens!$N$299-1</f>
        <v>0.135183714417088</v>
      </c>
      <c r="F300" s="12" t="n">
        <f aca="false">Sens!$O$299/(Q!$F$14+Q!$G$14)-1</f>
        <v>0.127709997366804</v>
      </c>
      <c r="G300" s="12" t="n">
        <f aca="false">Sens!$G$299/Sens!$D$299-1</f>
        <v>0.131313329416905</v>
      </c>
      <c r="H300" s="12" t="n">
        <f aca="false">Sens!$F$300+(g_sub-Sens!$F$300)*1/4</f>
        <v>0.113282498025103</v>
      </c>
      <c r="I300" s="12" t="n">
        <f aca="false">Sens!$F$300+(g_sub-Sens!$F$300)*2/4</f>
        <v>0.0988549986834021</v>
      </c>
      <c r="J300" s="12" t="n">
        <f aca="false">Sens!$F$300+(g_sub-Sens!$F$300)*3/4</f>
        <v>0.084427499341701</v>
      </c>
      <c r="K300" s="12" t="n">
        <f aca="false">Sens!$F$300+(g_sub-Sens!$F$300)*4/4</f>
        <v>0.07</v>
      </c>
      <c r="L300" s="12" t="n">
        <f aca="false">g_sub</f>
        <v>0.07</v>
      </c>
      <c r="M300" s="12" t="n">
        <f aca="false">g_sub</f>
        <v>0.07</v>
      </c>
      <c r="P300" s="8" t="s">
        <v>631</v>
      </c>
    </row>
    <row r="301" customFormat="false" ht="17.15" hidden="false" customHeight="false" outlineLevel="0" collapsed="false">
      <c r="A301" s="0" t="s">
        <v>484</v>
      </c>
      <c r="B301" s="0" t="s">
        <v>73</v>
      </c>
      <c r="C301" s="38" t="n">
        <f aca="false">Q!$D$15</f>
        <v>5.425</v>
      </c>
      <c r="D301" s="38" t="n">
        <f aca="false">Q!$E$15</f>
        <v>5.935</v>
      </c>
      <c r="E301" s="38" t="n">
        <f aca="false">Q!$P$15</f>
        <v>3.474</v>
      </c>
      <c r="F301" s="38" t="n">
        <f aca="false">Sens!$O$301*(1+Sens!$F$302)</f>
        <v>3.36182431966931</v>
      </c>
      <c r="G301" s="38" t="n">
        <f aca="false">Sens!$E$301+Sens!$F$301</f>
        <v>6.83582431966931</v>
      </c>
      <c r="H301" s="38" t="n">
        <f aca="false">Sens!$G$301*(1+Sens!$H$302)</f>
        <v>7.31157108370141</v>
      </c>
      <c r="I301" s="38" t="n">
        <f aca="false">Sens!$H$301*(1+Sens!$I$302)</f>
        <v>7.77266852639815</v>
      </c>
      <c r="J301" s="38" t="n">
        <f aca="false">Sens!$I$301*(1+Sens!$J$302)</f>
        <v>8.2120733019884</v>
      </c>
      <c r="K301" s="38" t="n">
        <f aca="false">Sens!$J$301*(1+Sens!$K$302)</f>
        <v>8.62267696708783</v>
      </c>
      <c r="L301" s="38" t="n">
        <f aca="false">Sens!$K$301*(1+Sens!$L$302)</f>
        <v>9.05381081544222</v>
      </c>
      <c r="M301" s="38" t="n">
        <f aca="false">Sens!$L$301*(1+Sens!$M$302)</f>
        <v>9.50650135621433</v>
      </c>
      <c r="N301" s="38" t="n">
        <f aca="false">Q!$N$15</f>
        <v>2.811</v>
      </c>
      <c r="O301" s="38" t="n">
        <f aca="false">Q!$O$15</f>
        <v>3.124</v>
      </c>
      <c r="P301" s="8" t="s">
        <v>621</v>
      </c>
    </row>
    <row r="302" customFormat="false" ht="17.15" hidden="false" customHeight="false" outlineLevel="0" collapsed="false">
      <c r="A302" s="0" t="s">
        <v>632</v>
      </c>
      <c r="B302" s="0" t="s">
        <v>52</v>
      </c>
      <c r="E302" s="12" t="n">
        <f aca="false">Sens!$E$301/Sens!$N$301-1</f>
        <v>0.235859124866596</v>
      </c>
      <c r="F302" s="12" t="n">
        <f aca="false">Sens!$O$301/(Q!$F$15+Q!$G$15)-1</f>
        <v>0.0761281433000345</v>
      </c>
      <c r="G302" s="12" t="n">
        <f aca="false">Sens!$G$301/Sens!$D$301-1</f>
        <v>0.151781688234087</v>
      </c>
      <c r="H302" s="12" t="n">
        <f aca="false">Sens!$F$302+(g_ot-Sens!$F$302)*1/4</f>
        <v>0.0695961074750259</v>
      </c>
      <c r="I302" s="12" t="n">
        <f aca="false">Sens!$F$302+(g_ot-Sens!$F$302)*2/4</f>
        <v>0.0630640716500172</v>
      </c>
      <c r="J302" s="12" t="n">
        <f aca="false">Sens!$F$302+(g_ot-Sens!$F$302)*3/4</f>
        <v>0.0565320358250086</v>
      </c>
      <c r="K302" s="12" t="n">
        <f aca="false">Sens!$F$302+(g_ot-Sens!$F$302)*4/4</f>
        <v>0.05</v>
      </c>
      <c r="L302" s="12" t="n">
        <f aca="false">g_ot</f>
        <v>0.05</v>
      </c>
      <c r="M302" s="12" t="n">
        <f aca="false">g_ot</f>
        <v>0.05</v>
      </c>
      <c r="P302" s="8" t="s">
        <v>633</v>
      </c>
    </row>
    <row r="303" customFormat="false" ht="17.15" hidden="false" customHeight="false" outlineLevel="0" collapsed="false">
      <c r="A303" s="3" t="s">
        <v>634</v>
      </c>
      <c r="B303" s="8" t="s">
        <v>73</v>
      </c>
      <c r="C303" s="38" t="n">
        <f aca="false">Sens!$C$291+Sens!$C$293+Sens!$C$295+Sens!$C$297+Sens!$C$299+Sens!$C$301</f>
        <v>530.403</v>
      </c>
      <c r="D303" s="38" t="n">
        <f aca="false">Sens!$D$291+Sens!$D$293+Sens!$D$295+Sens!$D$297+Sens!$D$299+Sens!$D$301</f>
        <v>588.199</v>
      </c>
      <c r="E303" s="38" t="n">
        <f aca="false">Sens!$E$291+Sens!$E$293+Sens!$E$295+Sens!$E$297+Sens!$E$299+Sens!$E$301</f>
        <v>302.306</v>
      </c>
      <c r="F303" s="38" t="n">
        <f aca="false">Sens!$F$291+Sens!$F$293+Sens!$F$295+Sens!$F$297+Sens!$F$299+Sens!$F$301</f>
        <v>356.93642920843</v>
      </c>
      <c r="G303" s="38" t="n">
        <f aca="false">Sens!$G$291+Sens!$G$293+Sens!$G$295+Sens!$G$297+Sens!$G$299+Sens!$G$301</f>
        <v>659.24242920843</v>
      </c>
      <c r="H303" s="38" t="n">
        <f aca="false">Sens!$H$291+Sens!$H$293+Sens!$H$295+Sens!$H$297+Sens!$H$299+Sens!$H$301</f>
        <v>729.935737621701</v>
      </c>
      <c r="I303" s="38" t="n">
        <f aca="false">Sens!$I$291+Sens!$I$293+Sens!$I$295+Sens!$I$297+Sens!$I$299+Sens!$I$301</f>
        <v>798.295569697873</v>
      </c>
      <c r="J303" s="38" t="n">
        <f aca="false">Sens!$J$291+Sens!$J$293+Sens!$J$295+Sens!$J$297+Sens!$J$299+Sens!$J$301</f>
        <v>861.736822325785</v>
      </c>
      <c r="K303" s="38" t="n">
        <f aca="false">Sens!$K$291+Sens!$K$293+Sens!$K$295+Sens!$K$297+Sens!$K$299+Sens!$K$301</f>
        <v>917.557492101925</v>
      </c>
      <c r="L303" s="38" t="n">
        <f aca="false">Sens!$L$291+Sens!$L$293+Sens!$L$295+Sens!$L$297+Sens!$L$299+Sens!$L$301</f>
        <v>977.285089743165</v>
      </c>
      <c r="M303" s="38" t="n">
        <f aca="false">Sens!$M$291+Sens!$M$293+Sens!$M$295+Sens!$M$297+Sens!$M$299+Sens!$M$301</f>
        <v>1041.2140185435</v>
      </c>
      <c r="N303" s="38" t="n">
        <f aca="false">Sens!$N$291+Sens!$N$293+Sens!$N$295+Sens!$N$297+Sens!$N$299+Sens!$N$301</f>
        <v>263.229</v>
      </c>
      <c r="O303" s="38" t="n">
        <f aca="false">Sens!$O$291+Sens!$O$293+Sens!$O$295+Sens!$O$297+Sens!$O$299+Sens!$O$301</f>
        <v>324.97</v>
      </c>
    </row>
    <row r="304" customFormat="false" ht="17.15" hidden="false" customHeight="false" outlineLevel="0" collapsed="false">
      <c r="A304" s="5" t="s">
        <v>635</v>
      </c>
      <c r="B304" s="0" t="s">
        <v>52</v>
      </c>
      <c r="C304" s="12" t="n">
        <f aca="false">Q!$D$5/(Q!$D$5+Q!$D$6)</f>
        <v>0.730570905519011</v>
      </c>
      <c r="D304" s="12" t="n">
        <f aca="false">Q!$E$5/(Q!$E$5+Q!$E$6)</f>
        <v>0.724763217890544</v>
      </c>
      <c r="E304" s="12" t="n">
        <f aca="false">Q!$P$5/(Q!$P$5+Q!$P$6)</f>
        <v>0.728797972914861</v>
      </c>
      <c r="F304" s="12" t="n">
        <f aca="false">Sens!$O$304</f>
        <v>0.718066283041511</v>
      </c>
      <c r="G304" s="12" t="n">
        <f aca="false">Sens!$G$305/Sens!$G$303</f>
        <v>0.722987468473627</v>
      </c>
      <c r="H304" s="12" t="n">
        <f aca="false">Sens!$G$304</f>
        <v>0.722987468473627</v>
      </c>
      <c r="I304" s="12" t="n">
        <f aca="false">Sens!$G$304</f>
        <v>0.722987468473627</v>
      </c>
      <c r="J304" s="12" t="n">
        <f aca="false">Sens!$G$304</f>
        <v>0.722987468473627</v>
      </c>
      <c r="K304" s="12" t="n">
        <f aca="false">Sens!$G$304</f>
        <v>0.722987468473627</v>
      </c>
      <c r="L304" s="12" t="n">
        <f aca="false">Sens!$G$304</f>
        <v>0.722987468473627</v>
      </c>
      <c r="M304" s="12" t="n">
        <f aca="false">Sens!$G$304</f>
        <v>0.722987468473627</v>
      </c>
      <c r="N304" s="12" t="n">
        <f aca="false">Q!$N$5/(Q!$N$5+Q!$N$6)</f>
        <v>0.733030935041352</v>
      </c>
      <c r="O304" s="12" t="n">
        <f aca="false">Q!$O$5/(Q!$O$5+Q!$O$6)</f>
        <v>0.718066283041511</v>
      </c>
      <c r="P304" s="8" t="s">
        <v>636</v>
      </c>
    </row>
    <row r="305" customFormat="false" ht="17.15" hidden="false" customHeight="false" outlineLevel="0" collapsed="false">
      <c r="A305" s="1" t="s">
        <v>472</v>
      </c>
      <c r="B305" s="8" t="s">
        <v>73</v>
      </c>
      <c r="C305" s="38" t="n">
        <f aca="false">Q!$D$5</f>
        <v>387.497</v>
      </c>
      <c r="D305" s="38" t="n">
        <f aca="false">Q!$E$5</f>
        <v>426.305</v>
      </c>
      <c r="E305" s="38" t="n">
        <f aca="false">Q!$P$5</f>
        <v>220.32</v>
      </c>
      <c r="F305" s="38" t="n">
        <f aca="false">Sens!$F$303*Sens!$F$304</f>
        <v>256.304015003807</v>
      </c>
      <c r="G305" s="38" t="n">
        <f aca="false">Sens!$E$305+Sens!$F$305</f>
        <v>476.624015003807</v>
      </c>
      <c r="H305" s="38" t="n">
        <f aca="false">Sens!$H$303*Sens!$H$304</f>
        <v>527.734391091543</v>
      </c>
      <c r="I305" s="38" t="n">
        <f aca="false">Sens!$I$303*Sens!$I$304</f>
        <v>577.157693029577</v>
      </c>
      <c r="J305" s="38" t="n">
        <f aca="false">Sens!$J$303*Sens!$J$304</f>
        <v>623.024923663827</v>
      </c>
      <c r="K305" s="38" t="n">
        <f aca="false">Sens!$K$303*Sens!$K$304</f>
        <v>663.382568393781</v>
      </c>
      <c r="L305" s="38" t="n">
        <f aca="false">Sens!$L$303*Sens!$L$304</f>
        <v>706.564873010432</v>
      </c>
      <c r="M305" s="38" t="n">
        <f aca="false">Sens!$M$303*Sens!$M$304</f>
        <v>752.784687406019</v>
      </c>
      <c r="N305" s="38" t="n">
        <f aca="false">Q!$N$5</f>
        <v>192.955</v>
      </c>
      <c r="O305" s="38" t="n">
        <f aca="false">Q!$O$5</f>
        <v>233.35</v>
      </c>
      <c r="P305" s="5" t="s">
        <v>637</v>
      </c>
    </row>
    <row r="306" customFormat="false" ht="17.15" hidden="false" customHeight="false" outlineLevel="0" collapsed="false">
      <c r="A306" s="1" t="s">
        <v>475</v>
      </c>
      <c r="B306" s="8" t="s">
        <v>73</v>
      </c>
      <c r="C306" s="38" t="n">
        <f aca="false">Q!$D$6</f>
        <v>142.906</v>
      </c>
      <c r="D306" s="38" t="n">
        <f aca="false">Q!$E$6</f>
        <v>161.894</v>
      </c>
      <c r="E306" s="38" t="n">
        <f aca="false">Q!$P$6</f>
        <v>81.986</v>
      </c>
      <c r="F306" s="38" t="n">
        <f aca="false">Sens!$F$303*(1-Sens!$F$304)</f>
        <v>100.632414204623</v>
      </c>
      <c r="G306" s="38" t="n">
        <f aca="false">Sens!$E$306+Sens!$F$306</f>
        <v>182.618414204623</v>
      </c>
      <c r="H306" s="38" t="n">
        <f aca="false">Sens!$H$303*(1-Sens!$H$304)</f>
        <v>202.201346530158</v>
      </c>
      <c r="I306" s="38" t="n">
        <f aca="false">Sens!$I$303*(1-Sens!$I$304)</f>
        <v>221.137876668296</v>
      </c>
      <c r="J306" s="38" t="n">
        <f aca="false">Sens!$J$303*(1-Sens!$J$304)</f>
        <v>238.711898661958</v>
      </c>
      <c r="K306" s="38" t="n">
        <f aca="false">Sens!$K$303*(1-Sens!$K$304)</f>
        <v>254.174923708144</v>
      </c>
      <c r="L306" s="38" t="n">
        <f aca="false">Sens!$L$303*(1-Sens!$L$304)</f>
        <v>270.720216732733</v>
      </c>
      <c r="M306" s="38" t="n">
        <f aca="false">Sens!$M$303*(1-Sens!$M$304)</f>
        <v>288.429331137484</v>
      </c>
      <c r="N306" s="38" t="n">
        <f aca="false">Q!$N$6</f>
        <v>70.274</v>
      </c>
      <c r="O306" s="38" t="n">
        <f aca="false">Q!$O$6</f>
        <v>91.62</v>
      </c>
      <c r="P306" s="5" t="s">
        <v>638</v>
      </c>
    </row>
    <row r="307" customFormat="false" ht="17.15" hidden="false" customHeight="false" outlineLevel="0" collapsed="false">
      <c r="A307" s="5" t="s">
        <v>639</v>
      </c>
      <c r="B307" s="0" t="s">
        <v>73</v>
      </c>
      <c r="C307" s="38" t="n">
        <f aca="false">Sens!$C$297*Sens!$C$304</f>
        <v>41.0683128828457</v>
      </c>
      <c r="D307" s="38" t="n">
        <f aca="false">Sens!$D$297*Sens!$D$304</f>
        <v>49.7441234599175</v>
      </c>
      <c r="E307" s="38" t="n">
        <f aca="false">Sens!$E$297*Sens!$E$304</f>
        <v>27.0034224924414</v>
      </c>
      <c r="F307" s="38" t="n">
        <f aca="false">Sens!$F$297*Sens!$F$304</f>
        <v>34.5772885649197</v>
      </c>
      <c r="G307" s="38" t="n">
        <f aca="false">Sens!$G$297*Sens!$G$304</f>
        <v>61.6023917531772</v>
      </c>
      <c r="H307" s="38" t="n">
        <f aca="false">Sens!$H$297*Sens!$H$304</f>
        <v>73.9568187320519</v>
      </c>
      <c r="I307" s="38" t="n">
        <f aca="false">Sens!$I$297*Sens!$I$304</f>
        <v>86.3101265625461</v>
      </c>
      <c r="J307" s="38" t="n">
        <f aca="false">Sens!$J$297*Sens!$J$304</f>
        <v>97.8339983977065</v>
      </c>
      <c r="K307" s="38" t="n">
        <f aca="false">Sens!$K$297*Sens!$K$304</f>
        <v>107.617398237477</v>
      </c>
      <c r="L307" s="38" t="n">
        <f aca="false">Sens!$L$297*Sens!$L$304</f>
        <v>118.379138061225</v>
      </c>
      <c r="M307" s="38" t="n">
        <f aca="false">Sens!$M$297*Sens!$M$304</f>
        <v>130.217051867347</v>
      </c>
      <c r="N307" s="38" t="n">
        <f aca="false">Sens!$N$297*Sens!$N$304</f>
        <v>21.7087111412496</v>
      </c>
      <c r="O307" s="38" t="n">
        <f aca="false">Sens!$O$297*Sens!$O$304</f>
        <v>28.0189463642798</v>
      </c>
      <c r="P307" s="5" t="s">
        <v>640</v>
      </c>
    </row>
    <row r="308" customFormat="false" ht="15" hidden="false" customHeight="false" outlineLevel="0" collapsed="false">
      <c r="A308" s="5" t="s">
        <v>641</v>
      </c>
      <c r="B308" s="0" t="s">
        <v>73</v>
      </c>
      <c r="C308" s="38" t="n">
        <f aca="false">Sens!$C$297-Sens!$C$307</f>
        <v>15.1456871171543</v>
      </c>
      <c r="D308" s="38" t="n">
        <f aca="false">Sens!$D$297-Sens!$D$307</f>
        <v>18.8908765400825</v>
      </c>
      <c r="E308" s="38" t="n">
        <f aca="false">Sens!$E$297-Sens!$E$307</f>
        <v>10.0485775075586</v>
      </c>
      <c r="F308" s="38" t="n">
        <f aca="false">Sens!$F$297-Sens!$F$307</f>
        <v>13.5760496178185</v>
      </c>
      <c r="G308" s="38" t="n">
        <f aca="false">Sens!$G$297-Sens!$G$307</f>
        <v>23.6029464295611</v>
      </c>
      <c r="H308" s="38" t="n">
        <f aca="false">Sens!$H$297-Sens!$H$307</f>
        <v>28.3365431268884</v>
      </c>
      <c r="I308" s="38" t="n">
        <f aca="false">Sens!$I$297-Sens!$I$307</f>
        <v>33.0697110226949</v>
      </c>
      <c r="J308" s="38" t="n">
        <f aca="false">Sens!$J$297-Sens!$J$307</f>
        <v>37.4850806511378</v>
      </c>
      <c r="K308" s="38" t="n">
        <f aca="false">Sens!$K$297-Sens!$K$307</f>
        <v>41.2335887162515</v>
      </c>
      <c r="L308" s="38" t="n">
        <f aca="false">Sens!$L$297-Sens!$L$307</f>
        <v>45.3569475878767</v>
      </c>
      <c r="M308" s="38" t="n">
        <f aca="false">Sens!$M$297-Sens!$M$307</f>
        <v>49.8926423466644</v>
      </c>
      <c r="N308" s="38" t="n">
        <f aca="false">Sens!$N$297-Sens!$N$307</f>
        <v>7.90628885875037</v>
      </c>
      <c r="O308" s="38" t="n">
        <f aca="false">Sens!$O$297-Sens!$O$307</f>
        <v>11.0010536357202</v>
      </c>
    </row>
    <row r="309" customFormat="false" ht="19.4" hidden="false" customHeight="false" outlineLevel="0" collapsed="false">
      <c r="A309" s="31" t="s">
        <v>1049</v>
      </c>
    </row>
    <row r="310" customFormat="false" ht="17.15" hidden="false" customHeight="false" outlineLevel="0" collapsed="false">
      <c r="A310" s="6" t="s">
        <v>16</v>
      </c>
      <c r="B310" s="6" t="s">
        <v>17</v>
      </c>
      <c r="C310" s="20" t="s">
        <v>457</v>
      </c>
      <c r="D310" s="20" t="s">
        <v>458</v>
      </c>
      <c r="E310" s="20" t="s">
        <v>540</v>
      </c>
      <c r="F310" s="20" t="s">
        <v>541</v>
      </c>
      <c r="G310" s="20" t="s">
        <v>542</v>
      </c>
      <c r="H310" s="20" t="s">
        <v>543</v>
      </c>
      <c r="I310" s="20" t="s">
        <v>544</v>
      </c>
      <c r="J310" s="20" t="s">
        <v>545</v>
      </c>
      <c r="K310" s="20" t="s">
        <v>546</v>
      </c>
      <c r="L310" s="20" t="s">
        <v>547</v>
      </c>
      <c r="M310" s="20" t="s">
        <v>548</v>
      </c>
      <c r="N310" s="20" t="s">
        <v>549</v>
      </c>
      <c r="O310" s="20" t="s">
        <v>550</v>
      </c>
      <c r="P310" s="6" t="s">
        <v>23</v>
      </c>
      <c r="R310" s="20" t="n">
        <v>2023</v>
      </c>
      <c r="S310" s="20" t="n">
        <v>2024</v>
      </c>
      <c r="T310" s="20" t="n">
        <v>2025</v>
      </c>
      <c r="U310" s="20" t="n">
        <v>2026</v>
      </c>
      <c r="V310" s="20" t="n">
        <v>2027</v>
      </c>
      <c r="W310" s="20" t="n">
        <v>2028</v>
      </c>
      <c r="X310" s="20" t="n">
        <v>2029</v>
      </c>
      <c r="Y310" s="20" t="n">
        <v>2030</v>
      </c>
      <c r="Z310" s="20" t="n">
        <v>2031</v>
      </c>
      <c r="AA310" s="20" t="n">
        <v>2032</v>
      </c>
    </row>
    <row r="311" customFormat="false" ht="17.15" hidden="false" customHeight="false" outlineLevel="0" collapsed="false">
      <c r="A311" s="1" t="s">
        <v>551</v>
      </c>
    </row>
    <row r="312" customFormat="false" ht="17.15" hidden="false" customHeight="false" outlineLevel="0" collapsed="false">
      <c r="A312" s="14" t="s">
        <v>552</v>
      </c>
      <c r="B312" s="13" t="s">
        <v>108</v>
      </c>
      <c r="C312" s="32" t="n">
        <f aca="false">mw_ye24</f>
        <v>360</v>
      </c>
      <c r="D312" s="32" t="n">
        <f aca="false">mw_ye25</f>
        <v>1440</v>
      </c>
      <c r="E312" s="32" t="n">
        <f aca="false">mw_open</f>
        <v>2080</v>
      </c>
      <c r="F312" s="32" t="n">
        <f aca="false">Sens!$E$312+pace_B*0.5</f>
        <v>3897.15</v>
      </c>
      <c r="G312" s="32" t="n">
        <f aca="false">Sens!$F$312</f>
        <v>3897.15</v>
      </c>
      <c r="H312" s="32" t="n">
        <f aca="false">Sens!$G$312+pace_B</f>
        <v>7531.45</v>
      </c>
      <c r="I312" s="32" t="n">
        <f aca="false">Sens!$H$312+pace_B</f>
        <v>11165.75</v>
      </c>
      <c r="J312" s="32" t="n">
        <f aca="false">Sens!$I$312+pace_B</f>
        <v>14800.05</v>
      </c>
      <c r="K312" s="32" t="n">
        <f aca="false">Sens!$J$312+pace_B</f>
        <v>18434.35</v>
      </c>
      <c r="L312" s="32" t="n">
        <f aca="false">Sens!$K$312+pace_B</f>
        <v>22068.65</v>
      </c>
      <c r="M312" s="32" t="n">
        <f aca="false">Sens!$L$312+pace_B</f>
        <v>25702.95</v>
      </c>
      <c r="N312" s="32" t="n">
        <f aca="false">(mw_ye24+mw_ye25)/2</f>
        <v>900</v>
      </c>
      <c r="O312" s="32" t="n">
        <f aca="false">mw_ye25</f>
        <v>1440</v>
      </c>
      <c r="P312" s="5" t="s">
        <v>553</v>
      </c>
    </row>
    <row r="313" customFormat="false" ht="17.15" hidden="false" customHeight="false" outlineLevel="0" collapsed="false">
      <c r="A313" s="5" t="s">
        <v>554</v>
      </c>
      <c r="B313" s="0" t="s">
        <v>108</v>
      </c>
      <c r="C313" s="33" t="n">
        <f aca="false">(mw_ye23+mw_ye24)/2</f>
        <v>240</v>
      </c>
      <c r="D313" s="33" t="n">
        <f aca="false">(Sens!$C$312+Sens!$D$312)/2</f>
        <v>900</v>
      </c>
      <c r="E313" s="33" t="n">
        <f aca="false">(Sens!$D$312+Sens!$E$312)/2</f>
        <v>1760</v>
      </c>
      <c r="F313" s="33" t="n">
        <f aca="false">(Sens!$E$312+Sens!$F$312)/2</f>
        <v>2988.575</v>
      </c>
      <c r="G313" s="33" t="n">
        <f aca="false">(Sens!$E$313+Sens!$F$313)/2</f>
        <v>2374.2875</v>
      </c>
      <c r="H313" s="33" t="n">
        <f aca="false">(Sens!$G$312+Sens!$H$312)/2</f>
        <v>5714.3</v>
      </c>
      <c r="I313" s="33" t="n">
        <f aca="false">(Sens!$H$312+Sens!$I$312)/2</f>
        <v>9348.6</v>
      </c>
      <c r="J313" s="33" t="n">
        <f aca="false">(Sens!$I$312+Sens!$J$312)/2</f>
        <v>12982.9</v>
      </c>
      <c r="K313" s="33" t="n">
        <f aca="false">(Sens!$J$312+Sens!$K$312)/2</f>
        <v>16617.2</v>
      </c>
      <c r="L313" s="33" t="n">
        <f aca="false">(Sens!$K$312+Sens!$L$312)/2</f>
        <v>20251.5</v>
      </c>
      <c r="M313" s="33" t="n">
        <f aca="false">(Sens!$L$312+Sens!$M$312)/2</f>
        <v>23885.8</v>
      </c>
      <c r="N313" s="33" t="n">
        <f aca="false">(Sens!$C$312+Sens!$N$312)/2</f>
        <v>630</v>
      </c>
      <c r="O313" s="33" t="n">
        <f aca="false">(Sens!$N$312+Sens!$O$312)/2</f>
        <v>1170</v>
      </c>
    </row>
    <row r="314" customFormat="false" ht="15" hidden="false" customHeight="false" outlineLevel="0" collapsed="false">
      <c r="A314" s="5" t="s">
        <v>555</v>
      </c>
      <c r="B314" s="5" t="s">
        <v>102</v>
      </c>
      <c r="C314" s="34" t="n">
        <v>1</v>
      </c>
      <c r="D314" s="34" t="n">
        <v>1</v>
      </c>
      <c r="E314" s="34" t="n">
        <v>0.5</v>
      </c>
      <c r="F314" s="34" t="n">
        <v>0.5</v>
      </c>
      <c r="G314" s="34" t="n">
        <v>1</v>
      </c>
      <c r="H314" s="34" t="n">
        <v>1</v>
      </c>
      <c r="I314" s="34" t="n">
        <v>1</v>
      </c>
      <c r="J314" s="34" t="n">
        <v>1</v>
      </c>
      <c r="K314" s="34" t="n">
        <v>1</v>
      </c>
      <c r="L314" s="34" t="n">
        <v>1</v>
      </c>
      <c r="M314" s="34" t="n">
        <v>1</v>
      </c>
      <c r="N314" s="34" t="n">
        <v>0.5</v>
      </c>
      <c r="O314" s="34" t="n">
        <v>0.5</v>
      </c>
    </row>
    <row r="315" customFormat="false" ht="17.15" hidden="false" customHeight="false" outlineLevel="0" collapsed="false">
      <c r="A315" s="5" t="s">
        <v>556</v>
      </c>
      <c r="B315" s="0" t="s">
        <v>108</v>
      </c>
      <c r="C315" s="33" t="n">
        <f aca="false">Sens!$C$312-mw_ye23</f>
        <v>240</v>
      </c>
      <c r="D315" s="33" t="n">
        <f aca="false">Sens!$D$312-Sens!$C$312</f>
        <v>1080</v>
      </c>
      <c r="E315" s="33" t="n">
        <f aca="false">Sens!$E$312-Sens!$D$312</f>
        <v>640</v>
      </c>
      <c r="F315" s="33" t="n">
        <f aca="false">Sens!$F$312-Sens!$E$312</f>
        <v>1817.15</v>
      </c>
      <c r="G315" s="33" t="n">
        <f aca="false">Sens!$E$315+Sens!$F$315</f>
        <v>2457.15</v>
      </c>
      <c r="H315" s="33" t="n">
        <f aca="false">Sens!$H$312-Sens!$G$312</f>
        <v>3634.3</v>
      </c>
      <c r="I315" s="33" t="n">
        <f aca="false">Sens!$I$312-Sens!$H$312</f>
        <v>3634.3</v>
      </c>
      <c r="J315" s="33" t="n">
        <f aca="false">Sens!$J$312-Sens!$I$312</f>
        <v>3634.3</v>
      </c>
      <c r="K315" s="33" t="n">
        <f aca="false">Sens!$K$312-Sens!$J$312</f>
        <v>3634.3</v>
      </c>
      <c r="L315" s="33" t="n">
        <f aca="false">Sens!$L$312-Sens!$K$312</f>
        <v>3634.3</v>
      </c>
      <c r="M315" s="33" t="n">
        <f aca="false">Sens!$M$312-Sens!$L$312</f>
        <v>3634.3</v>
      </c>
      <c r="N315" s="33" t="n">
        <f aca="false">Sens!$N$312-Sens!$C$312</f>
        <v>540</v>
      </c>
      <c r="O315" s="33" t="n">
        <f aca="false">Sens!$O$312-Sens!$N$312</f>
        <v>540</v>
      </c>
    </row>
    <row r="316" customFormat="false" ht="17.15" hidden="false" customHeight="false" outlineLevel="0" collapsed="false">
      <c r="A316" s="5" t="s">
        <v>557</v>
      </c>
      <c r="B316" s="0" t="s">
        <v>108</v>
      </c>
      <c r="C316" s="33" t="n">
        <f aca="false">Sens!$C$315/ext_sh</f>
        <v>300</v>
      </c>
      <c r="D316" s="33" t="n">
        <f aca="false">Sens!$D$315/ext_sh</f>
        <v>1350</v>
      </c>
      <c r="E316" s="33" t="n">
        <f aca="false">Sens!$E$315/ext_sh</f>
        <v>800</v>
      </c>
      <c r="F316" s="33" t="n">
        <f aca="false">Sens!$F$315/ext_sh</f>
        <v>2271.4375</v>
      </c>
      <c r="G316" s="33" t="n">
        <f aca="false">Sens!$G$315/ext_sh</f>
        <v>3071.4375</v>
      </c>
      <c r="H316" s="33" t="n">
        <f aca="false">Sens!$H$315/ext_sh</f>
        <v>4542.875</v>
      </c>
      <c r="I316" s="33" t="n">
        <f aca="false">Sens!$I$315/ext_sh</f>
        <v>4542.875</v>
      </c>
      <c r="J316" s="33" t="n">
        <f aca="false">Sens!$J$315/ext_sh</f>
        <v>4542.875</v>
      </c>
      <c r="K316" s="33" t="n">
        <f aca="false">Sens!$K$315/ext_sh</f>
        <v>4542.875</v>
      </c>
      <c r="L316" s="33" t="n">
        <f aca="false">Sens!$L$315/ext_sh</f>
        <v>4542.875</v>
      </c>
      <c r="M316" s="33" t="n">
        <f aca="false">Sens!$M$315/ext_sh</f>
        <v>4542.875</v>
      </c>
      <c r="N316" s="33" t="n">
        <f aca="false">Sens!$N$315/ext_sh</f>
        <v>675</v>
      </c>
      <c r="O316" s="33" t="n">
        <f aca="false">Sens!$O$315/ext_sh</f>
        <v>675</v>
      </c>
      <c r="P316" s="8" t="s">
        <v>558</v>
      </c>
      <c r="R316" s="33" t="n">
        <f aca="false">mw_ye23/ext_sh</f>
        <v>150</v>
      </c>
      <c r="S316" s="33" t="n">
        <f aca="false">Sens!$C$316</f>
        <v>300</v>
      </c>
      <c r="T316" s="33" t="n">
        <f aca="false">Sens!$D$316</f>
        <v>1350</v>
      </c>
      <c r="U316" s="33" t="n">
        <f aca="false">Sens!$G$316</f>
        <v>3071.4375</v>
      </c>
      <c r="V316" s="33" t="n">
        <f aca="false">Sens!$H$316</f>
        <v>4542.875</v>
      </c>
      <c r="W316" s="33" t="n">
        <f aca="false">Sens!$I$316</f>
        <v>4542.875</v>
      </c>
      <c r="X316" s="33" t="n">
        <f aca="false">Sens!$J$316</f>
        <v>4542.875</v>
      </c>
      <c r="Y316" s="33" t="n">
        <f aca="false">Sens!$K$316</f>
        <v>4542.875</v>
      </c>
      <c r="Z316" s="33" t="n">
        <f aca="false">Sens!$L$316</f>
        <v>4542.875</v>
      </c>
      <c r="AA316" s="33" t="n">
        <f aca="false">Sens!$M$316</f>
        <v>4542.875</v>
      </c>
    </row>
    <row r="317" customFormat="false" ht="17.15" hidden="false" customHeight="false" outlineLevel="0" collapsed="false">
      <c r="A317" s="1" t="s">
        <v>559</v>
      </c>
    </row>
    <row r="318" customFormat="false" ht="17.15" hidden="false" customHeight="false" outlineLevel="0" collapsed="false">
      <c r="A318" s="0" t="s">
        <v>560</v>
      </c>
      <c r="B318" s="0" t="s">
        <v>52</v>
      </c>
      <c r="F318" s="35" t="n">
        <f aca="false">na_vr26</f>
        <v>0</v>
      </c>
      <c r="G318" s="35" t="n">
        <f aca="false">na_vr26</f>
        <v>0</v>
      </c>
      <c r="H318" s="35" t="n">
        <f aca="false">na_vr27</f>
        <v>0.5</v>
      </c>
      <c r="I318" s="35" t="n">
        <f aca="false">na_vr28</f>
        <v>1</v>
      </c>
      <c r="J318" s="35" t="n">
        <f aca="false">na_vr28</f>
        <v>1</v>
      </c>
      <c r="K318" s="35" t="n">
        <f aca="false">na_vr28</f>
        <v>1</v>
      </c>
      <c r="L318" s="35" t="n">
        <f aca="false">na_vr28</f>
        <v>1</v>
      </c>
      <c r="M318" s="35" t="n">
        <f aca="false">na_vr28</f>
        <v>1</v>
      </c>
    </row>
    <row r="319" customFormat="false" ht="17.15" hidden="false" customHeight="false" outlineLevel="0" collapsed="false">
      <c r="A319" s="5" t="s">
        <v>561</v>
      </c>
      <c r="B319" s="0" t="s">
        <v>151</v>
      </c>
      <c r="F319" s="36" t="n">
        <f aca="false">cust_sh*tk_he_gb300*cf_chip+(1-cust_sh)*((1-Sens!$F$318)*tk_he_gb300+Sens!$F$318*tk_he_vr200)</f>
        <v>10.8864110021101</v>
      </c>
      <c r="G319" s="36" t="n">
        <f aca="false">cust_sh*tk_he_gb300*cf_chip+(1-cust_sh)*((1-Sens!$G$318)*tk_he_gb300+Sens!$G$318*tk_he_vr200)</f>
        <v>10.8864110021101</v>
      </c>
      <c r="H319" s="36" t="n">
        <f aca="false">cust_sh*tk_he_gb300*cf_chip+(1-cust_sh)*((1-Sens!$H$318)*tk_he_gb300+Sens!$H$318*tk_he_vr200)</f>
        <v>11.2211760027286</v>
      </c>
      <c r="I319" s="36" t="n">
        <f aca="false">cust_sh*tk_he_gb300*cf_chip+(1-cust_sh)*((1-Sens!$I$318)*tk_he_gb300+Sens!$I$318*tk_he_vr200)</f>
        <v>11.5559410033471</v>
      </c>
      <c r="J319" s="36" t="n">
        <f aca="false">cust_sh*tk_he_gb300*cf_chip+(1-cust_sh)*((1-Sens!$J$318)*tk_he_gb300+Sens!$J$318*tk_he_vr200)</f>
        <v>11.5559410033471</v>
      </c>
      <c r="K319" s="36" t="n">
        <f aca="false">cust_sh*tk_he_gb300*cf_chip+(1-cust_sh)*((1-Sens!$K$318)*tk_he_gb300+Sens!$K$318*tk_he_vr200)</f>
        <v>11.5559410033471</v>
      </c>
      <c r="L319" s="36" t="n">
        <f aca="false">cust_sh*tk_he_gb300*cf_chip+(1-cust_sh)*((1-Sens!$L$318)*tk_he_gb300+Sens!$L$318*tk_he_vr200)</f>
        <v>11.5559410033471</v>
      </c>
      <c r="M319" s="36" t="n">
        <f aca="false">cust_sh*tk_he_gb300*cf_chip+(1-cust_sh)*((1-Sens!$M$318)*tk_he_gb300+Sens!$M$318*tk_he_vr200)</f>
        <v>11.5559410033471</v>
      </c>
    </row>
    <row r="320" customFormat="false" ht="17.15" hidden="false" customHeight="false" outlineLevel="0" collapsed="false">
      <c r="A320" s="5" t="s">
        <v>562</v>
      </c>
      <c r="B320" s="0" t="s">
        <v>151</v>
      </c>
      <c r="F320" s="36" t="n">
        <f aca="false">cust_sh*tk_ox_gb300+(1-cust_sh)*((1-Sens!$F$318)*tk_ox_gb300+Sens!$F$318*tk_ox_vr200)</f>
        <v>1.98263481314457</v>
      </c>
      <c r="G320" s="36" t="n">
        <f aca="false">cust_sh*tk_ox_gb300+(1-cust_sh)*((1-Sens!$G$318)*tk_ox_gb300+Sens!$G$318*tk_ox_vr200)</f>
        <v>1.98263481314457</v>
      </c>
      <c r="H320" s="36" t="n">
        <f aca="false">cust_sh*tk_ox_gb300+(1-cust_sh)*((1-Sens!$H$318)*tk_ox_gb300+Sens!$H$318*tk_ox_vr200)</f>
        <v>2.01034999693694</v>
      </c>
      <c r="I320" s="36" t="n">
        <f aca="false">cust_sh*tk_ox_gb300+(1-cust_sh)*((1-Sens!$I$318)*tk_ox_gb300+Sens!$I$318*tk_ox_vr200)</f>
        <v>2.0380651807293</v>
      </c>
      <c r="J320" s="36" t="n">
        <f aca="false">cust_sh*tk_ox_gb300+(1-cust_sh)*((1-Sens!$J$318)*tk_ox_gb300+Sens!$J$318*tk_ox_vr200)</f>
        <v>2.0380651807293</v>
      </c>
      <c r="K320" s="36" t="n">
        <f aca="false">cust_sh*tk_ox_gb300+(1-cust_sh)*((1-Sens!$K$318)*tk_ox_gb300+Sens!$K$318*tk_ox_vr200)</f>
        <v>2.0380651807293</v>
      </c>
      <c r="L320" s="36" t="n">
        <f aca="false">cust_sh*tk_ox_gb300+(1-cust_sh)*((1-Sens!$L$318)*tk_ox_gb300+Sens!$L$318*tk_ox_vr200)</f>
        <v>2.0380651807293</v>
      </c>
      <c r="M320" s="36" t="n">
        <f aca="false">cust_sh*tk_ox_gb300+(1-cust_sh)*((1-Sens!$M$318)*tk_ox_gb300+Sens!$M$318*tk_ox_vr200)</f>
        <v>2.0380651807293</v>
      </c>
    </row>
    <row r="321" customFormat="false" ht="17.15" hidden="false" customHeight="false" outlineLevel="0" collapsed="false">
      <c r="A321" s="5" t="s">
        <v>563</v>
      </c>
      <c r="B321" s="0" t="s">
        <v>170</v>
      </c>
      <c r="F321" s="36" t="n">
        <f aca="false">cust_sh*tk_cx_gb300*cf_cx+(1-cust_sh)*((1-Sens!$F$318)*tk_cx_gb300+Sens!$F$318*tk_cx_vr200)</f>
        <v>32.237224</v>
      </c>
      <c r="G321" s="36" t="n">
        <f aca="false">cust_sh*tk_cx_gb300*cf_cx+(1-cust_sh)*((1-Sens!$G$318)*tk_cx_gb300+Sens!$G$318*tk_cx_vr200)</f>
        <v>32.237224</v>
      </c>
      <c r="H321" s="36" t="n">
        <f aca="false">cust_sh*tk_cx_gb300*cf_cx+(1-cust_sh)*((1-Sens!$H$318)*tk_cx_gb300+Sens!$H$318*tk_cx_vr200)</f>
        <v>33.574506</v>
      </c>
      <c r="I321" s="36" t="n">
        <f aca="false">cust_sh*tk_cx_gb300*cf_cx+(1-cust_sh)*((1-Sens!$I$318)*tk_cx_gb300+Sens!$I$318*tk_cx_vr200)</f>
        <v>34.911788</v>
      </c>
      <c r="J321" s="36" t="n">
        <f aca="false">cust_sh*tk_cx_gb300*cf_cx+(1-cust_sh)*((1-Sens!$J$318)*tk_cx_gb300+Sens!$J$318*tk_cx_vr200)</f>
        <v>34.911788</v>
      </c>
      <c r="K321" s="36" t="n">
        <f aca="false">cust_sh*tk_cx_gb300*cf_cx+(1-cust_sh)*((1-Sens!$K$318)*tk_cx_gb300+Sens!$K$318*tk_cx_vr200)</f>
        <v>34.911788</v>
      </c>
      <c r="L321" s="36" t="n">
        <f aca="false">cust_sh*tk_cx_gb300*cf_cx+(1-cust_sh)*((1-Sens!$L$318)*tk_cx_gb300+Sens!$L$318*tk_cx_vr200)</f>
        <v>34.911788</v>
      </c>
      <c r="M321" s="36" t="n">
        <f aca="false">cust_sh*tk_cx_gb300*cf_cx+(1-cust_sh)*((1-Sens!$M$318)*tk_cx_gb300+Sens!$M$318*tk_cx_vr200)</f>
        <v>34.911788</v>
      </c>
    </row>
    <row r="322" customFormat="false" ht="17.15" hidden="false" customHeight="false" outlineLevel="0" collapsed="false">
      <c r="A322" s="5" t="s">
        <v>564</v>
      </c>
      <c r="B322" s="0" t="s">
        <v>108</v>
      </c>
      <c r="F322" s="33" t="n">
        <f aca="false">Sens!$F$312-mw_open</f>
        <v>1817.15</v>
      </c>
      <c r="G322" s="33" t="n">
        <f aca="false">Sens!$F$322</f>
        <v>1817.15</v>
      </c>
      <c r="H322" s="33" t="n">
        <f aca="false">Sens!$H$312-mw_open</f>
        <v>5451.45</v>
      </c>
      <c r="I322" s="33" t="n">
        <f aca="false">Sens!$I$312-mw_open</f>
        <v>9085.75</v>
      </c>
      <c r="J322" s="33" t="n">
        <f aca="false">Sens!$J$312-mw_open</f>
        <v>12720.05</v>
      </c>
      <c r="K322" s="33" t="n">
        <f aca="false">Sens!$K$312-mw_open</f>
        <v>16354.35</v>
      </c>
      <c r="L322" s="33" t="n">
        <f aca="false">Sens!$L$312-mw_open</f>
        <v>19988.65</v>
      </c>
      <c r="M322" s="33" t="n">
        <f aca="false">Sens!$M$312-mw_open</f>
        <v>23622.95</v>
      </c>
    </row>
    <row r="323" customFormat="false" ht="17.15" hidden="false" customHeight="false" outlineLevel="0" collapsed="false">
      <c r="A323" s="0" t="s">
        <v>565</v>
      </c>
      <c r="B323" s="0" t="s">
        <v>566</v>
      </c>
      <c r="F323" s="33" t="n">
        <f aca="false">Sens!$F$315*Sens!$F$319</f>
        <v>19782.2417524844</v>
      </c>
      <c r="G323" s="33" t="n">
        <f aca="false">Sens!$F$323</f>
        <v>19782.2417524844</v>
      </c>
      <c r="H323" s="33" t="n">
        <f aca="false">Sens!$G$323+Sens!$H$315*Sens!$H$319</f>
        <v>60563.3616992009</v>
      </c>
      <c r="I323" s="33" t="n">
        <f aca="false">Sens!$H$323+Sens!$I$315*Sens!$I$319</f>
        <v>102561.118087665</v>
      </c>
      <c r="J323" s="33" t="n">
        <f aca="false">Sens!$I$323+Sens!$J$315*Sens!$J$319</f>
        <v>144558.87447613</v>
      </c>
      <c r="K323" s="33" t="n">
        <f aca="false">Sens!$J$323+Sens!$K$315*Sens!$K$319</f>
        <v>186556.630864594</v>
      </c>
      <c r="L323" s="33" t="n">
        <f aca="false">Sens!$K$323+Sens!$L$315*Sens!$L$319</f>
        <v>228554.387253058</v>
      </c>
      <c r="M323" s="33" t="n">
        <f aca="false">Sens!$L$323+Sens!$M$315*Sens!$M$319</f>
        <v>270552.143641523</v>
      </c>
    </row>
    <row r="324" customFormat="false" ht="17.15" hidden="false" customHeight="false" outlineLevel="0" collapsed="false">
      <c r="A324" s="0" t="s">
        <v>567</v>
      </c>
      <c r="B324" s="0" t="s">
        <v>566</v>
      </c>
      <c r="F324" s="33" t="n">
        <f aca="false">Sens!$F$315*Sens!$F$320</f>
        <v>3602.74485070566</v>
      </c>
      <c r="G324" s="33" t="n">
        <f aca="false">Sens!$F$324</f>
        <v>3602.74485070566</v>
      </c>
      <c r="H324" s="33" t="n">
        <f aca="false">Sens!$G$324+Sens!$H$315*Sens!$H$320</f>
        <v>10908.9598445736</v>
      </c>
      <c r="I324" s="33" t="n">
        <f aca="false">Sens!$H$324+Sens!$I$315*Sens!$I$320</f>
        <v>18315.9001308981</v>
      </c>
      <c r="J324" s="33" t="n">
        <f aca="false">Sens!$I$324+Sens!$J$315*Sens!$J$320</f>
        <v>25722.8404172225</v>
      </c>
      <c r="K324" s="33" t="n">
        <f aca="false">Sens!$J$324+Sens!$K$315*Sens!$K$320</f>
        <v>33129.780703547</v>
      </c>
      <c r="L324" s="33" t="n">
        <f aca="false">Sens!$K$324+Sens!$L$315*Sens!$L$320</f>
        <v>40536.7209898715</v>
      </c>
      <c r="M324" s="33" t="n">
        <f aca="false">Sens!$L$324+Sens!$M$315*Sens!$M$320</f>
        <v>47943.661276196</v>
      </c>
    </row>
    <row r="325" customFormat="false" ht="17.15" hidden="false" customHeight="false" outlineLevel="0" collapsed="false">
      <c r="A325" s="5" t="s">
        <v>568</v>
      </c>
      <c r="B325" s="0" t="s">
        <v>151</v>
      </c>
      <c r="F325" s="36" t="n">
        <f aca="false">IF(Sens!$F$322&gt;0,Sens!$F$323/Sens!$F$322,Sens!$F$319)</f>
        <v>10.8864110021101</v>
      </c>
      <c r="G325" s="36" t="n">
        <f aca="false">IF(Sens!$G$322&gt;0,Sens!$G$323/Sens!$G$322,Sens!$G$319)</f>
        <v>10.8864110021101</v>
      </c>
      <c r="H325" s="36" t="n">
        <f aca="false">IF(Sens!$H$322&gt;0,Sens!$H$323/Sens!$H$322,Sens!$H$319)</f>
        <v>11.1095876691891</v>
      </c>
      <c r="I325" s="36" t="n">
        <f aca="false">IF(Sens!$I$322&gt;0,Sens!$I$323/Sens!$I$322,Sens!$I$319)</f>
        <v>11.2881290028523</v>
      </c>
      <c r="J325" s="36" t="n">
        <f aca="false">IF(Sens!$J$322&gt;0,Sens!$J$323/Sens!$J$322,Sens!$J$319)</f>
        <v>11.3646467172794</v>
      </c>
      <c r="K325" s="36" t="n">
        <f aca="false">IF(Sens!$K$322&gt;0,Sens!$K$323/Sens!$K$322,Sens!$K$319)</f>
        <v>11.4071565586278</v>
      </c>
      <c r="L325" s="36" t="n">
        <f aca="false">IF(Sens!$L$322&gt;0,Sens!$L$323/Sens!$L$322,Sens!$L$319)</f>
        <v>11.4342082758495</v>
      </c>
      <c r="M325" s="36" t="n">
        <f aca="false">IF(Sens!$M$322&gt;0,Sens!$M$323/Sens!$M$322,Sens!$M$319)</f>
        <v>11.4529363877722</v>
      </c>
    </row>
    <row r="326" customFormat="false" ht="17.15" hidden="false" customHeight="false" outlineLevel="0" collapsed="false">
      <c r="A326" s="5" t="s">
        <v>569</v>
      </c>
      <c r="B326" s="0" t="s">
        <v>151</v>
      </c>
      <c r="F326" s="36" t="n">
        <f aca="false">IF(Sens!$F$322&gt;0,Sens!$F$324/Sens!$F$322,Sens!$F$320)</f>
        <v>1.98263481314457</v>
      </c>
      <c r="G326" s="36" t="n">
        <f aca="false">IF(Sens!$G$322&gt;0,Sens!$G$324/Sens!$G$322,Sens!$G$320)</f>
        <v>1.98263481314457</v>
      </c>
      <c r="H326" s="36" t="n">
        <f aca="false">IF(Sens!$H$322&gt;0,Sens!$H$324/Sens!$H$322,Sens!$H$320)</f>
        <v>2.00111160233948</v>
      </c>
      <c r="I326" s="36" t="n">
        <f aca="false">IF(Sens!$I$322&gt;0,Sens!$I$324/Sens!$I$322,Sens!$I$320)</f>
        <v>2.01589303369541</v>
      </c>
      <c r="J326" s="36" t="n">
        <f aca="false">IF(Sens!$J$322&gt;0,Sens!$J$324/Sens!$J$322,Sens!$J$320)</f>
        <v>2.02222793284795</v>
      </c>
      <c r="K326" s="36" t="n">
        <f aca="false">IF(Sens!$K$322&gt;0,Sens!$K$324/Sens!$K$322,Sens!$K$320)</f>
        <v>2.02574732126603</v>
      </c>
      <c r="L326" s="36" t="n">
        <f aca="false">IF(Sens!$L$322&gt;0,Sens!$L$324/Sens!$L$322,Sens!$L$320)</f>
        <v>2.02798693207753</v>
      </c>
      <c r="M326" s="36" t="n">
        <f aca="false">IF(Sens!$M$322&gt;0,Sens!$M$324/Sens!$M$322,Sens!$M$320)</f>
        <v>2.02953743187011</v>
      </c>
    </row>
    <row r="327" customFormat="false" ht="17.15" hidden="false" customHeight="false" outlineLevel="0" collapsed="false">
      <c r="A327" s="14" t="s">
        <v>570</v>
      </c>
      <c r="B327" s="13" t="s">
        <v>151</v>
      </c>
      <c r="C327" s="13"/>
      <c r="D327" s="13"/>
      <c r="E327" s="13"/>
      <c r="F327" s="37" t="n">
        <f aca="false">Sens!$F$325*k_C</f>
        <v>8.98049677377134</v>
      </c>
      <c r="G327" s="37" t="n">
        <f aca="false">Sens!$G$325*k_C</f>
        <v>8.98049677377134</v>
      </c>
      <c r="H327" s="37" t="n">
        <f aca="false">Sens!$H$325*k_C</f>
        <v>9.16460128151917</v>
      </c>
      <c r="I327" s="37" t="n">
        <f aca="false">Sens!$I$325*k_C</f>
        <v>9.31188488771743</v>
      </c>
      <c r="J327" s="37" t="n">
        <f aca="false">Sens!$J$325*k_C</f>
        <v>9.37500643323097</v>
      </c>
      <c r="K327" s="37" t="n">
        <f aca="false">Sens!$K$325*k_C</f>
        <v>9.41007395851627</v>
      </c>
      <c r="L327" s="37" t="n">
        <f aca="false">Sens!$L$325*k_C</f>
        <v>9.43238965642509</v>
      </c>
      <c r="M327" s="37" t="n">
        <f aca="false">Sens!$M$325*k_C</f>
        <v>9.44783898574659</v>
      </c>
      <c r="N327" s="13"/>
      <c r="O327" s="13"/>
      <c r="P327" s="5" t="s">
        <v>571</v>
      </c>
    </row>
    <row r="328" customFormat="false" ht="17.15" hidden="false" customHeight="false" outlineLevel="0" collapsed="false">
      <c r="A328" s="5" t="s">
        <v>572</v>
      </c>
      <c r="B328" s="0" t="s">
        <v>108</v>
      </c>
      <c r="F328" s="33" t="n">
        <f aca="false">Sens!$F$322/2</f>
        <v>908.575</v>
      </c>
      <c r="H328" s="33" t="n">
        <f aca="false">(Sens!$G$322+Sens!$H$322)/2</f>
        <v>3634.3</v>
      </c>
      <c r="I328" s="33" t="n">
        <f aca="false">(Sens!$H$322+Sens!$I$322)/2</f>
        <v>7268.6</v>
      </c>
      <c r="J328" s="33" t="n">
        <f aca="false">(Sens!$I$322+Sens!$J$322)/2</f>
        <v>10902.9</v>
      </c>
      <c r="K328" s="33" t="n">
        <f aca="false">(Sens!$J$322+Sens!$K$322)/2</f>
        <v>14537.2</v>
      </c>
      <c r="L328" s="33" t="n">
        <f aca="false">(Sens!$K$322+Sens!$L$322)/2</f>
        <v>18171.5</v>
      </c>
      <c r="M328" s="33" t="n">
        <f aca="false">(Sens!$L$322+Sens!$M$322)/2</f>
        <v>21805.8</v>
      </c>
    </row>
    <row r="329" customFormat="false" ht="17.15" hidden="false" customHeight="false" outlineLevel="0" collapsed="false">
      <c r="A329" s="1" t="s">
        <v>573</v>
      </c>
    </row>
    <row r="330" customFormat="false" ht="17.15" hidden="false" customHeight="false" outlineLevel="0" collapsed="false">
      <c r="A330" s="1" t="s">
        <v>574</v>
      </c>
      <c r="B330" s="8" t="s">
        <v>73</v>
      </c>
      <c r="C330" s="38" t="n">
        <f aca="false">Sens!$C$313*rpm_open*Sens!$C$314/1000</f>
        <v>2.32100535697364</v>
      </c>
      <c r="D330" s="38" t="n">
        <f aca="false">Sens!$D$313*rpm_open*Sens!$D$314/1000</f>
        <v>8.70377008865116</v>
      </c>
      <c r="E330" s="38" t="n">
        <f aca="false">Sens!$E$313*rpm_open*Sens!$E$314/1000</f>
        <v>8.51035297557002</v>
      </c>
      <c r="F330" s="38" t="n">
        <f aca="false">(mw_open*rpm_open+Sens!$F$328*Sens!$F$327)*Sens!$F$314/1000</f>
        <v>14.1374173083338</v>
      </c>
      <c r="G330" s="38" t="n">
        <f aca="false">Sens!$E$330+Sens!$F$330</f>
        <v>22.6477702839038</v>
      </c>
      <c r="H330" s="38" t="n">
        <f aca="false">(mw_open*rpm_open+Sens!$H$328*Sens!$H$327)/1000</f>
        <v>53.4222901978634</v>
      </c>
      <c r="I330" s="38" t="n">
        <f aca="false">(mw_open*rpm_open+Sens!$I$328*Sens!$I$327)/1000</f>
        <v>87.7997462553011</v>
      </c>
      <c r="J330" s="38" t="n">
        <f aca="false">(mw_open*rpm_open+Sens!$J$328*Sens!$J$327)/1000</f>
        <v>122.330137401312</v>
      </c>
      <c r="K330" s="38" t="n">
        <f aca="false">(mw_open*rpm_open+Sens!$K$328*Sens!$K$327)/1000</f>
        <v>156.911506910181</v>
      </c>
      <c r="L330" s="38" t="n">
        <f aca="false">(mw_open*rpm_open+Sens!$L$328*Sens!$L$327)/1000</f>
        <v>191.516048402167</v>
      </c>
      <c r="M330" s="38" t="n">
        <f aca="false">(mw_open*rpm_open+Sens!$M$328*Sens!$M$327)/1000</f>
        <v>226.133067115831</v>
      </c>
      <c r="N330" s="38" t="n">
        <f aca="false">Sens!$N$313*rpm_open*Sens!$N$314/1000</f>
        <v>3.04631953102791</v>
      </c>
      <c r="O330" s="38" t="n">
        <f aca="false">Sens!$O$313*rpm_open*Sens!$O$314/1000</f>
        <v>5.65745055762326</v>
      </c>
      <c r="P330" s="5" t="s">
        <v>575</v>
      </c>
    </row>
    <row r="331" customFormat="false" ht="17.15" hidden="false" customHeight="false" outlineLevel="0" collapsed="false">
      <c r="A331" s="5" t="s">
        <v>576</v>
      </c>
      <c r="B331" s="0" t="s">
        <v>151</v>
      </c>
      <c r="C331" s="36" t="n">
        <f aca="false">Sens!$C$330*1000/(Sens!$C$313*Sens!$C$314)</f>
        <v>9.67085565405685</v>
      </c>
      <c r="D331" s="36" t="n">
        <f aca="false">Sens!$D$330*1000/(Sens!$D$313*Sens!$D$314)</f>
        <v>9.67085565405685</v>
      </c>
      <c r="E331" s="36" t="n">
        <f aca="false">Sens!$E$330*1000/(Sens!$E$313*Sens!$E$314)</f>
        <v>9.67085565405685</v>
      </c>
      <c r="F331" s="36" t="n">
        <f aca="false">Sens!$F$330*1000/(Sens!$F$313*Sens!$F$314)</f>
        <v>9.46097542028142</v>
      </c>
      <c r="G331" s="36" t="n">
        <f aca="false">Sens!$G$330*1000/(Sens!$G$313*Sens!$G$314)</f>
        <v>9.53876490690525</v>
      </c>
      <c r="H331" s="36" t="n">
        <f aca="false">Sens!$H$330*1000/(Sens!$H$313*Sens!$H$314)</f>
        <v>9.34887741243255</v>
      </c>
      <c r="I331" s="36" t="n">
        <f aca="false">Sens!$I$330*1000/(Sens!$I$313*Sens!$I$314)</f>
        <v>9.39175344493305</v>
      </c>
      <c r="J331" s="36" t="n">
        <f aca="false">Sens!$J$330*1000/(Sens!$J$313*Sens!$J$314)</f>
        <v>9.42240465545542</v>
      </c>
      <c r="K331" s="36" t="n">
        <f aca="false">Sens!$K$330*1000/(Sens!$K$313*Sens!$K$314)</f>
        <v>9.44271639687679</v>
      </c>
      <c r="L331" s="36" t="n">
        <f aca="false">Sens!$L$330*1000/(Sens!$L$313*Sens!$L$314)</f>
        <v>9.45688212735683</v>
      </c>
      <c r="M331" s="36" t="n">
        <f aca="false">Sens!$M$330*1000/(Sens!$M$313*Sens!$M$314)</f>
        <v>9.4672595063105</v>
      </c>
      <c r="N331" s="36" t="n">
        <f aca="false">Sens!$N$330*1000/(Sens!$N$313*Sens!$N$314)</f>
        <v>9.67085565405685</v>
      </c>
      <c r="O331" s="36" t="n">
        <f aca="false">Sens!$O$330*1000/(Sens!$O$313*Sens!$O$314)</f>
        <v>9.67085565405685</v>
      </c>
    </row>
    <row r="332" customFormat="false" ht="17.15" hidden="false" customHeight="false" outlineLevel="0" collapsed="false">
      <c r="A332" s="0" t="s">
        <v>577</v>
      </c>
      <c r="B332" s="0" t="s">
        <v>73</v>
      </c>
      <c r="C332" s="38" t="n">
        <f aca="false">Sens!$C$313/ext_sh*(ox_open+rent_mw)*Sens!$C$314/1000</f>
        <v>0.642569210675032</v>
      </c>
      <c r="D332" s="38" t="n">
        <f aca="false">Sens!$D$313/ext_sh*(ox_open+rent_mw)*Sens!$D$314/1000</f>
        <v>2.40963454003137</v>
      </c>
      <c r="E332" s="38" t="n">
        <f aca="false">Sens!$E$313/ext_sh*(ox_open+rent_mw)*Sens!$E$314/1000</f>
        <v>2.35608710580845</v>
      </c>
      <c r="F332" s="38" t="n">
        <f aca="false">((mw_open*ox_open+Sens!$F$328*Sens!$F$326)/ext_sh+Sens!$F$313/ext_sh*rent_mw)*Sens!$F$314/1000</f>
        <v>4.05421991106232</v>
      </c>
      <c r="G332" s="38" t="n">
        <f aca="false">Sens!$E$332+Sens!$F$332</f>
        <v>6.41030701687077</v>
      </c>
      <c r="H332" s="38" t="n">
        <f aca="false">((mw_open*ox_open+Sens!$H$328*Sens!$H$326)/ext_sh+Sens!$H$313/ext_sh*rent_mw)*Sens!$H$314/1000</f>
        <v>15.8108975546616</v>
      </c>
      <c r="I332" s="38" t="n">
        <f aca="false">((mw_open*ox_open+Sens!$I$328*Sens!$I$326)/ext_sh+Sens!$I$313/ext_sh*rent_mw)*Sens!$I$314/1000</f>
        <v>26.1871623400817</v>
      </c>
      <c r="J332" s="38" t="n">
        <f aca="false">((mw_open*ox_open+Sens!$J$328*Sens!$J$326)/ext_sh+Sens!$J$313/ext_sh*rent_mw)*Sens!$J$314/1000</f>
        <v>36.5826128954935</v>
      </c>
      <c r="K332" s="38" t="n">
        <f aca="false">((mw_open*ox_open+Sens!$K$328*Sens!$K$326)/ext_sh+Sens!$K$313/ext_sh*rent_mw)*Sens!$K$314/1000</f>
        <v>46.9844587075692</v>
      </c>
      <c r="L332" s="38" t="n">
        <f aca="false">((mw_open*ox_open+Sens!$L$328*Sens!$L$326)/ext_sh+Sens!$L$313/ext_sh*rent_mw)*Sens!$L$314/1000</f>
        <v>57.3892114544922</v>
      </c>
      <c r="M332" s="38" t="n">
        <f aca="false">((mw_open*ox_open+Sens!$M$328*Sens!$M$326)/ext_sh+Sens!$M$313/ext_sh*rent_mw)*Sens!$M$314/1000</f>
        <v>67.7955294740252</v>
      </c>
      <c r="N332" s="38" t="n">
        <f aca="false">Sens!$N$313/ext_sh*(ox_open+rent_mw)*Sens!$N$314/1000</f>
        <v>0.84337208901098</v>
      </c>
      <c r="O332" s="38" t="n">
        <f aca="false">Sens!$O$313/ext_sh*(ox_open+rent_mw)*Sens!$O$314/1000</f>
        <v>1.56626245102039</v>
      </c>
    </row>
    <row r="333" customFormat="false" ht="17.15" hidden="false" customHeight="false" outlineLevel="0" collapsed="false">
      <c r="A333" s="0" t="s">
        <v>578</v>
      </c>
      <c r="B333" s="0" t="s">
        <v>73</v>
      </c>
      <c r="C333" s="38" t="n">
        <f aca="false">Q!$D$7</f>
        <v>107.556</v>
      </c>
      <c r="D333" s="38" t="n">
        <f aca="false">Q!$E$7</f>
        <v>128.725</v>
      </c>
      <c r="E333" s="38" t="n">
        <f aca="false">Q!$P$7</f>
        <v>79.819</v>
      </c>
      <c r="N333" s="38" t="n">
        <f aca="false">Q!$N$7</f>
        <v>60.14</v>
      </c>
      <c r="O333" s="38" t="n">
        <f aca="false">Q!$O$7</f>
        <v>68.585</v>
      </c>
    </row>
    <row r="334" customFormat="false" ht="17.15" hidden="false" customHeight="false" outlineLevel="0" collapsed="false">
      <c r="A334" s="1" t="s">
        <v>579</v>
      </c>
      <c r="B334" s="8" t="s">
        <v>73</v>
      </c>
      <c r="C334" s="38" t="n">
        <f aca="false">Sens!$C$333-Sens!$C$330</f>
        <v>105.234994643026</v>
      </c>
      <c r="D334" s="38" t="n">
        <f aca="false">Sens!$D$333-Sens!$D$330</f>
        <v>120.021229911349</v>
      </c>
      <c r="E334" s="38" t="n">
        <f aca="false">Sens!$E$333-Sens!$E$330</f>
        <v>71.30864702443</v>
      </c>
      <c r="F334" s="38" t="n">
        <f aca="false">Sens!$O$334*(1+Sens!$F$335)</f>
        <v>78.5950104186653</v>
      </c>
      <c r="G334" s="38" t="n">
        <f aca="false">Sens!$E$334+Sens!$F$334</f>
        <v>149.903657443095</v>
      </c>
      <c r="H334" s="38" t="n">
        <f aca="false">Sens!$G$334*(1+Sens!$H$335)</f>
        <v>180.893560768142</v>
      </c>
      <c r="I334" s="38" t="n">
        <f aca="false">Sens!$H$334*(1+Sens!$I$335)</f>
        <v>210.64839721501</v>
      </c>
      <c r="J334" s="38" t="n">
        <f aca="false">Sens!$I$334*(1+Sens!$J$335)</f>
        <v>236.398909446495</v>
      </c>
      <c r="K334" s="38" t="n">
        <f aca="false">Sens!$J$334*(1+Sens!$K$335)</f>
        <v>255.310822202215</v>
      </c>
      <c r="L334" s="38" t="n">
        <f aca="false">Sens!$K$334*(1+Sens!$L$335)</f>
        <v>275.735687978392</v>
      </c>
      <c r="M334" s="38" t="n">
        <f aca="false">Sens!$L$334*(1+Sens!$M$335)</f>
        <v>297.794543016663</v>
      </c>
      <c r="N334" s="38" t="n">
        <f aca="false">Sens!$N$333-Sens!$N$330</f>
        <v>57.0936804689721</v>
      </c>
      <c r="O334" s="38" t="n">
        <f aca="false">Sens!$O$333-Sens!$O$330</f>
        <v>62.9275494423768</v>
      </c>
      <c r="P334" s="5" t="s">
        <v>580</v>
      </c>
    </row>
    <row r="335" customFormat="false" ht="17.15" hidden="false" customHeight="false" outlineLevel="0" collapsed="false">
      <c r="A335" s="0" t="s">
        <v>581</v>
      </c>
      <c r="B335" s="0" t="s">
        <v>52</v>
      </c>
      <c r="E335" s="12" t="n">
        <f aca="false">Sens!$E$334/Sens!$N$334-1</f>
        <v>0.248976181579029</v>
      </c>
      <c r="F335" s="12" t="n">
        <f aca="false">Sens!$E$335</f>
        <v>0.248976181579029</v>
      </c>
      <c r="G335" s="12" t="n">
        <f aca="false">Sens!$G$334/Sens!$D$334-1</f>
        <v>0.248976181579029</v>
      </c>
      <c r="H335" s="12" t="n">
        <f aca="false">Sens!$E$335+(g_awso_lt-Sens!$E$335)*1/4</f>
        <v>0.206732136184272</v>
      </c>
      <c r="I335" s="12" t="n">
        <f aca="false">Sens!$E$335+(g_awso_lt-Sens!$E$335)*2/4</f>
        <v>0.164488090789515</v>
      </c>
      <c r="J335" s="12" t="n">
        <f aca="false">Sens!$E$335+(g_awso_lt-Sens!$E$335)*3/4</f>
        <v>0.122244045394757</v>
      </c>
      <c r="K335" s="12" t="n">
        <f aca="false">Sens!$E$335+(g_awso_lt-Sens!$E$335)*4/4</f>
        <v>0.08</v>
      </c>
      <c r="L335" s="12" t="n">
        <f aca="false">g_awso_lt</f>
        <v>0.08</v>
      </c>
      <c r="M335" s="12" t="n">
        <f aca="false">g_awso_lt</f>
        <v>0.08</v>
      </c>
      <c r="P335" s="8" t="s">
        <v>582</v>
      </c>
    </row>
    <row r="336" customFormat="false" ht="17.15" hidden="false" customHeight="false" outlineLevel="0" collapsed="false">
      <c r="A336" s="1" t="s">
        <v>583</v>
      </c>
    </row>
    <row r="337" customFormat="false" ht="17.15" hidden="false" customHeight="false" outlineLevel="0" collapsed="false">
      <c r="A337" s="0" t="s">
        <v>584</v>
      </c>
      <c r="B337" s="0" t="s">
        <v>73</v>
      </c>
      <c r="F337" s="38" t="n">
        <f aca="false">cx_rt*Sens!$F$303+cx_awso*Sens!$F$334</f>
        <v>36.8045765066526</v>
      </c>
    </row>
    <row r="338" customFormat="false" ht="17.15" hidden="false" customHeight="false" outlineLevel="0" collapsed="false">
      <c r="A338" s="0" t="s">
        <v>585</v>
      </c>
      <c r="B338" s="0" t="s">
        <v>52</v>
      </c>
      <c r="C338" s="12" t="n">
        <f aca="false">tk_cx_h100/(tk_cx_h100+tk_fac*(1-colo_sh))</f>
        <v>0.730756458006641</v>
      </c>
      <c r="D338" s="12" t="n">
        <f aca="false">tk_cx_h100/(tk_cx_h100+tk_fac*(1-colo_sh))</f>
        <v>0.730756458006641</v>
      </c>
      <c r="E338" s="12" t="n">
        <f aca="false">Sens!$F$338</f>
        <v>0.760792334328868</v>
      </c>
      <c r="F338" s="12" t="n">
        <f aca="false">Sens!$F$321/(Sens!$F$321+tk_fac*(1-colo_sh))</f>
        <v>0.760792334328868</v>
      </c>
      <c r="G338" s="12" t="n">
        <f aca="false">Sens!$G$321/(Sens!$G$321+tk_fac*(1-colo_sh))</f>
        <v>0.760792334328868</v>
      </c>
      <c r="H338" s="12" t="n">
        <f aca="false">Sens!$H$321/(Sens!$H$321+tk_fac*(1-colo_sh))</f>
        <v>0.768110668862996</v>
      </c>
      <c r="I338" s="12" t="n">
        <f aca="false">Sens!$I$321/(Sens!$I$321+tk_fac*(1-colo_sh))</f>
        <v>0.77499450139483</v>
      </c>
      <c r="J338" s="12" t="n">
        <f aca="false">Sens!$J$321/(Sens!$J$321+tk_fac*(1-colo_sh))</f>
        <v>0.77499450139483</v>
      </c>
      <c r="K338" s="12" t="n">
        <f aca="false">Sens!$K$321/(Sens!$K$321+tk_fac*(1-colo_sh))</f>
        <v>0.77499450139483</v>
      </c>
      <c r="L338" s="12" t="n">
        <f aca="false">Sens!$L$321/(Sens!$L$321+tk_fac*(1-colo_sh))</f>
        <v>0.77499450139483</v>
      </c>
      <c r="M338" s="12" t="n">
        <f aca="false">Sens!$M$321/(Sens!$M$321+tk_fac*(1-colo_sh))</f>
        <v>0.77499450139483</v>
      </c>
    </row>
    <row r="339" customFormat="false" ht="17.15" hidden="false" customHeight="false" outlineLevel="0" collapsed="false">
      <c r="A339" s="1" t="s">
        <v>586</v>
      </c>
      <c r="B339" s="8" t="s">
        <v>73</v>
      </c>
      <c r="C339" s="38" t="n">
        <f aca="false">Q!$D$46-cx_rt*Q!$D$16-cx_awso*Sens!$C$334</f>
        <v>25.2781053077374</v>
      </c>
      <c r="D339" s="38" t="n">
        <f aca="false">Q!$E$46-cx_rt*Q!$E$16-cx_awso*Sens!$D$334</f>
        <v>69.5686316310026</v>
      </c>
      <c r="E339" s="38" t="n">
        <f aca="false">Q!$P$46-cx_rt*Q!$P$16-cx_awso*Sens!$E$334</f>
        <v>64.1899206485108</v>
      </c>
      <c r="F339" s="38" t="n">
        <f aca="false">MAX(Sens!$F$316*(Sens!$F$321+tk_fac*(1-colo_sh))/1000,capex_g26-Q!$P$46-Sens!$F$337)</f>
        <v>96.2481299895</v>
      </c>
      <c r="G339" s="38" t="n">
        <f aca="false">Sens!$E$339+Sens!$F$339</f>
        <v>160.438050638011</v>
      </c>
      <c r="H339" s="38" t="n">
        <f aca="false">Sens!$H$316*(Sens!$H$321+tk_fac*(1-colo_sh))/1000+Sens!$H$340</f>
        <v>198.57136494475</v>
      </c>
      <c r="I339" s="38" t="n">
        <f aca="false">Sens!$I$316*(Sens!$I$321+tk_fac*(1-colo_sh))/1000+Sens!$I$340</f>
        <v>204.6464699105</v>
      </c>
      <c r="J339" s="38" t="n">
        <f aca="false">Sens!$J$316*(Sens!$J$321+tk_fac*(1-colo_sh))/1000+Sens!$J$340</f>
        <v>209.8832381105</v>
      </c>
      <c r="K339" s="38" t="n">
        <f aca="false">Sens!$K$316*(Sens!$K$321+tk_fac*(1-colo_sh))/1000+Sens!$K$340</f>
        <v>215.1200063105</v>
      </c>
      <c r="L339" s="38" t="n">
        <f aca="false">Sens!$L$316*(Sens!$L$321+tk_fac*(1-colo_sh))/1000+Sens!$L$340</f>
        <v>251.7773837105</v>
      </c>
      <c r="M339" s="38" t="n">
        <f aca="false">Sens!$M$316*(Sens!$M$321+tk_fac*(1-colo_sh))/1000+Sens!$M$340</f>
        <v>311.87584476575</v>
      </c>
      <c r="P339" s="5" t="s">
        <v>587</v>
      </c>
      <c r="R339" s="38" t="n">
        <f aca="false">Q!$C$46-cx_rt*Q!$C$16-cx_awso*(Q!$C$7-mw_ye23/2*rpm_open/1000)</f>
        <v>1.50429979529945</v>
      </c>
      <c r="S339" s="38" t="n">
        <f aca="false">Sens!$C$339</f>
        <v>25.2781053077374</v>
      </c>
      <c r="T339" s="38" t="n">
        <f aca="false">Sens!$D$339</f>
        <v>69.5686316310026</v>
      </c>
      <c r="U339" s="38" t="n">
        <f aca="false">Sens!$G$339</f>
        <v>160.438050638011</v>
      </c>
      <c r="V339" s="38" t="n">
        <f aca="false">Sens!$H$339</f>
        <v>198.57136494475</v>
      </c>
      <c r="W339" s="38" t="n">
        <f aca="false">Sens!$I$339</f>
        <v>204.6464699105</v>
      </c>
      <c r="X339" s="38" t="n">
        <f aca="false">Sens!$J$339</f>
        <v>209.8832381105</v>
      </c>
      <c r="Y339" s="38" t="n">
        <f aca="false">Sens!$K$339</f>
        <v>215.1200063105</v>
      </c>
      <c r="Z339" s="38" t="n">
        <f aca="false">Sens!$L$339</f>
        <v>251.7773837105</v>
      </c>
      <c r="AA339" s="38" t="n">
        <f aca="false">Sens!$M$339</f>
        <v>311.87584476575</v>
      </c>
    </row>
    <row r="340" customFormat="false" ht="17.15" hidden="false" customHeight="false" outlineLevel="0" collapsed="false">
      <c r="A340" s="0" t="s">
        <v>588</v>
      </c>
      <c r="B340" s="0" t="s">
        <v>73</v>
      </c>
      <c r="H340" s="38" t="n">
        <f aca="false">SUMPRODUCT(--(Sens!$R$310:$AA$310=2027-tk_life),Sens!$R$316:$AA$316)*Sens!$H$321/1000</f>
        <v>0</v>
      </c>
      <c r="I340" s="38" t="n">
        <f aca="false">SUMPRODUCT(--(Sens!$R$310:$AA$310=2028-tk_life),Sens!$R$316:$AA$316)*Sens!$I$321/1000</f>
        <v>0</v>
      </c>
      <c r="J340" s="38" t="n">
        <f aca="false">SUMPRODUCT(--(Sens!$R$310:$AA$310=2029-tk_life),Sens!$R$316:$AA$316)*Sens!$J$321/1000</f>
        <v>5.2367682</v>
      </c>
      <c r="K340" s="38" t="n">
        <f aca="false">SUMPRODUCT(--(Sens!$R$310:$AA$310=2030-tk_life),Sens!$R$316:$AA$316)*Sens!$K$321/1000</f>
        <v>10.4735364</v>
      </c>
      <c r="L340" s="38" t="n">
        <f aca="false">SUMPRODUCT(--(Sens!$R$310:$AA$310=2031-tk_life),Sens!$R$316:$AA$316)*Sens!$L$321/1000</f>
        <v>47.1309138</v>
      </c>
      <c r="M340" s="38" t="n">
        <f aca="false">SUMPRODUCT(--(Sens!$R$310:$AA$310=2032-tk_life),Sens!$R$316:$AA$316)*Sens!$M$321/1000</f>
        <v>107.22937485525</v>
      </c>
    </row>
    <row r="341" customFormat="false" ht="17.15" hidden="false" customHeight="false" outlineLevel="0" collapsed="false">
      <c r="A341" s="5" t="s">
        <v>589</v>
      </c>
      <c r="B341" s="0" t="s">
        <v>73</v>
      </c>
      <c r="C341" s="38" t="n">
        <f aca="false">Sens!$C$339*Sens!$C$338</f>
        <v>18.472138699801</v>
      </c>
      <c r="D341" s="38" t="n">
        <f aca="false">Sens!$D$339*Sens!$D$338</f>
        <v>50.8377268390402</v>
      </c>
      <c r="E341" s="38" t="n">
        <f aca="false">Sens!$E$339*Sens!$E$338</f>
        <v>48.8351995705653</v>
      </c>
      <c r="F341" s="38" t="n">
        <f aca="false">Sens!$F$339*Sens!$F$338</f>
        <v>73.2248394895</v>
      </c>
      <c r="G341" s="38" t="n">
        <f aca="false">Sens!$E$341+Sens!$F$341</f>
        <v>122.060039060065</v>
      </c>
      <c r="H341" s="38" t="n">
        <f aca="false">(Sens!$H$339-Sens!$H$340)*Sens!$H$338+Sens!$H$340</f>
        <v>152.52478394475</v>
      </c>
      <c r="I341" s="38" t="n">
        <f aca="false">(Sens!$I$339-Sens!$I$340)*Sens!$I$338+Sens!$I$340</f>
        <v>158.5998889105</v>
      </c>
      <c r="J341" s="38" t="n">
        <f aca="false">(Sens!$J$339-Sens!$J$340)*Sens!$J$338+Sens!$J$340</f>
        <v>163.8366571105</v>
      </c>
      <c r="K341" s="38" t="n">
        <f aca="false">(Sens!$K$339-Sens!$K$340)*Sens!$K$338+Sens!$K$340</f>
        <v>169.0734253105</v>
      </c>
      <c r="L341" s="38" t="n">
        <f aca="false">(Sens!$L$339-Sens!$L$340)*Sens!$L$338+Sens!$L$340</f>
        <v>205.7308027105</v>
      </c>
      <c r="M341" s="38" t="n">
        <f aca="false">(Sens!$M$339-Sens!$M$340)*Sens!$M$338+Sens!$M$340</f>
        <v>265.82926376575</v>
      </c>
      <c r="R341" s="38" t="n">
        <f aca="false">Sens!$R$339*Sens!$C$338</f>
        <v>1.09927679019314</v>
      </c>
      <c r="S341" s="38" t="n">
        <f aca="false">Sens!$C$341</f>
        <v>18.472138699801</v>
      </c>
      <c r="T341" s="38" t="n">
        <f aca="false">Sens!$D$341</f>
        <v>50.8377268390402</v>
      </c>
      <c r="U341" s="38" t="n">
        <f aca="false">Sens!$G$341</f>
        <v>122.060039060065</v>
      </c>
      <c r="V341" s="38" t="n">
        <f aca="false">Sens!$H$341</f>
        <v>152.52478394475</v>
      </c>
      <c r="W341" s="38" t="n">
        <f aca="false">Sens!$I$341</f>
        <v>158.5998889105</v>
      </c>
      <c r="X341" s="38" t="n">
        <f aca="false">Sens!$J$341</f>
        <v>163.8366571105</v>
      </c>
      <c r="Y341" s="38" t="n">
        <f aca="false">Sens!$K$341</f>
        <v>169.0734253105</v>
      </c>
      <c r="Z341" s="38" t="n">
        <f aca="false">Sens!$L$341</f>
        <v>205.7308027105</v>
      </c>
      <c r="AA341" s="38" t="n">
        <f aca="false">Sens!$M$341</f>
        <v>265.82926376575</v>
      </c>
    </row>
    <row r="342" customFormat="false" ht="15" hidden="false" customHeight="false" outlineLevel="0" collapsed="false">
      <c r="A342" s="5" t="s">
        <v>590</v>
      </c>
      <c r="B342" s="0" t="s">
        <v>73</v>
      </c>
      <c r="R342" s="38" t="n">
        <f aca="false">Sens!$R$339-Sens!$R$341</f>
        <v>0.405023005106309</v>
      </c>
      <c r="S342" s="38" t="n">
        <f aca="false">Sens!$S$339-Sens!$S$341</f>
        <v>6.80596660793636</v>
      </c>
      <c r="T342" s="38" t="n">
        <f aca="false">Sens!$T$339-Sens!$T$341</f>
        <v>18.7309047919624</v>
      </c>
      <c r="U342" s="38" t="n">
        <f aca="false">Sens!$U$339-Sens!$U$341</f>
        <v>38.3780115779455</v>
      </c>
      <c r="V342" s="38" t="n">
        <f aca="false">Sens!$V$339-Sens!$V$341</f>
        <v>46.046581</v>
      </c>
      <c r="W342" s="38" t="n">
        <f aca="false">Sens!$W$339-Sens!$W$341</f>
        <v>46.046581</v>
      </c>
      <c r="X342" s="38" t="n">
        <f aca="false">Sens!$X$339-Sens!$X$341</f>
        <v>46.046581</v>
      </c>
      <c r="Y342" s="38" t="n">
        <f aca="false">Sens!$Y$339-Sens!$Y$341</f>
        <v>46.046581</v>
      </c>
      <c r="Z342" s="38" t="n">
        <f aca="false">Sens!$Z$339-Sens!$Z$341</f>
        <v>46.046581</v>
      </c>
      <c r="AA342" s="38" t="n">
        <f aca="false">Sens!$AA$339-Sens!$AA$341</f>
        <v>46.046581</v>
      </c>
    </row>
    <row r="343" customFormat="false" ht="17.15" hidden="false" customHeight="false" outlineLevel="0" collapsed="false">
      <c r="A343" s="0" t="s">
        <v>591</v>
      </c>
      <c r="B343" s="0" t="s">
        <v>73</v>
      </c>
      <c r="C343" s="38" t="n">
        <f aca="false">Sens!$S$343</f>
        <v>0.183212798365523</v>
      </c>
      <c r="D343" s="38" t="n">
        <f aca="false">Sens!$T$343</f>
        <v>3.2619025816657</v>
      </c>
      <c r="E343" s="38" t="n">
        <f aca="false">Sens!$G$343/2</f>
        <v>5.86742852741953</v>
      </c>
      <c r="F343" s="38" t="n">
        <f aca="false">Sens!$G$343/2</f>
        <v>5.86742852741953</v>
      </c>
      <c r="G343" s="38" t="n">
        <f aca="false">Sens!$U$343</f>
        <v>11.7348570548391</v>
      </c>
      <c r="H343" s="38" t="n">
        <f aca="false">Sens!$V$343</f>
        <v>32.0781968981833</v>
      </c>
      <c r="I343" s="38" t="n">
        <f aca="false">Sens!$W$343</f>
        <v>57.4989942223083</v>
      </c>
      <c r="J343" s="38" t="n">
        <f aca="false">Sens!$X$343</f>
        <v>83.932309040725</v>
      </c>
      <c r="K343" s="38" t="n">
        <f aca="false">Sens!$Y$343</f>
        <v>111.055205760776</v>
      </c>
      <c r="L343" s="38" t="n">
        <f aca="false">Sens!$Z$343</f>
        <v>136.155420195893</v>
      </c>
      <c r="M343" s="38" t="n">
        <f aca="false">Sens!$AA$343</f>
        <v>161.970932841136</v>
      </c>
      <c r="N343" s="38" t="n">
        <f aca="false">Sens!$D$343/2</f>
        <v>1.63095129083285</v>
      </c>
      <c r="O343" s="38" t="n">
        <f aca="false">Sens!$D$343/2</f>
        <v>1.63095129083285</v>
      </c>
      <c r="R343" s="38" t="n">
        <f aca="false">SUMPRODUCT(--(Sens!$R$310:$AA$310&lt;Sens!R$310),--(Sens!$R$310:$AA$310&gt;=Sens!R$310-tk_life),Sens!$R$341:$AA$341)/tk_life</f>
        <v>0</v>
      </c>
      <c r="S343" s="38" t="n">
        <f aca="false">SUMPRODUCT(--(Sens!$R$310:$AA$310&lt;Sens!S$310),--(Sens!$R$310:$AA$310&gt;=Sens!S$310-tk_life),Sens!$R$341:$AA$341)/tk_life</f>
        <v>0.183212798365523</v>
      </c>
      <c r="T343" s="38" t="n">
        <f aca="false">SUMPRODUCT(--(Sens!$R$310:$AA$310&lt;Sens!T$310),--(Sens!$R$310:$AA$310&gt;=Sens!T$310-tk_life),Sens!$R$341:$AA$341)/tk_life</f>
        <v>3.2619025816657</v>
      </c>
      <c r="U343" s="38" t="n">
        <f aca="false">SUMPRODUCT(--(Sens!$R$310:$AA$310&lt;Sens!U$310),--(Sens!$R$310:$AA$310&gt;=Sens!U$310-tk_life),Sens!$R$341:$AA$341)/tk_life</f>
        <v>11.7348570548391</v>
      </c>
      <c r="V343" s="38" t="n">
        <f aca="false">SUMPRODUCT(--(Sens!$R$310:$AA$310&lt;Sens!V$310),--(Sens!$R$310:$AA$310&gt;=Sens!V$310-tk_life),Sens!$R$341:$AA$341)/tk_life</f>
        <v>32.0781968981833</v>
      </c>
      <c r="W343" s="38" t="n">
        <f aca="false">SUMPRODUCT(--(Sens!$R$310:$AA$310&lt;Sens!W$310),--(Sens!$R$310:$AA$310&gt;=Sens!W$310-tk_life),Sens!$R$341:$AA$341)/tk_life</f>
        <v>57.4989942223083</v>
      </c>
      <c r="X343" s="38" t="n">
        <f aca="false">SUMPRODUCT(--(Sens!$R$310:$AA$310&lt;Sens!X$310),--(Sens!$R$310:$AA$310&gt;=Sens!X$310-tk_life),Sens!$R$341:$AA$341)/tk_life</f>
        <v>83.932309040725</v>
      </c>
      <c r="Y343" s="38" t="n">
        <f aca="false">SUMPRODUCT(--(Sens!$R$310:$AA$310&lt;Sens!Y$310),--(Sens!$R$310:$AA$310&gt;=Sens!Y$310-tk_life),Sens!$R$341:$AA$341)/tk_life</f>
        <v>111.055205760776</v>
      </c>
      <c r="Z343" s="38" t="n">
        <f aca="false">SUMPRODUCT(--(Sens!$R$310:$AA$310&lt;Sens!Z$310),--(Sens!$R$310:$AA$310&gt;=Sens!Z$310-tk_life),Sens!$R$341:$AA$341)/tk_life</f>
        <v>136.155420195893</v>
      </c>
      <c r="AA343" s="38" t="n">
        <f aca="false">SUMPRODUCT(--(Sens!$R$310:$AA$310&lt;Sens!AA$310),--(Sens!$R$310:$AA$310&gt;=Sens!AA$310-tk_life),Sens!$R$341:$AA$341)/tk_life</f>
        <v>161.970932841136</v>
      </c>
    </row>
    <row r="344" customFormat="false" ht="17.15" hidden="false" customHeight="false" outlineLevel="0" collapsed="false">
      <c r="A344" s="0" t="s">
        <v>592</v>
      </c>
      <c r="B344" s="0" t="s">
        <v>73</v>
      </c>
      <c r="C344" s="38" t="n">
        <f aca="false">Sens!$S$344</f>
        <v>0.0202511502553155</v>
      </c>
      <c r="D344" s="38" t="n">
        <f aca="false">Sens!$T$344</f>
        <v>0.360549480652134</v>
      </c>
      <c r="E344" s="38" t="n">
        <f aca="false">Sens!$G$344/2</f>
        <v>0.648547360125127</v>
      </c>
      <c r="F344" s="38" t="n">
        <f aca="false">Sens!$G$344/2</f>
        <v>0.648547360125127</v>
      </c>
      <c r="G344" s="38" t="n">
        <f aca="false">Sens!$U$344</f>
        <v>1.29709472025025</v>
      </c>
      <c r="H344" s="38" t="n">
        <f aca="false">Sens!$V$344</f>
        <v>3.21599529914753</v>
      </c>
      <c r="I344" s="38" t="n">
        <f aca="false">Sens!$W$344</f>
        <v>5.51832434914753</v>
      </c>
      <c r="J344" s="38" t="n">
        <f aca="false">Sens!$X$344</f>
        <v>7.82065339914753</v>
      </c>
      <c r="K344" s="38" t="n">
        <f aca="false">Sens!$Y$344</f>
        <v>10.1229824491475</v>
      </c>
      <c r="L344" s="38" t="n">
        <f aca="false">Sens!$Z$344</f>
        <v>12.4253114991475</v>
      </c>
      <c r="M344" s="38" t="n">
        <f aca="false">Sens!$AA$344</f>
        <v>14.7276405491475</v>
      </c>
      <c r="N344" s="38" t="n">
        <f aca="false">Sens!$D$344/2</f>
        <v>0.180274740326067</v>
      </c>
      <c r="O344" s="38" t="n">
        <f aca="false">Sens!$D$344/2</f>
        <v>0.180274740326067</v>
      </c>
      <c r="R344" s="38" t="n">
        <f aca="false">SUMPRODUCT(--(Sens!$R$310:$AA$310&lt;Sens!R$310),Sens!$R$342:$AA$342)/fac_life</f>
        <v>0</v>
      </c>
      <c r="S344" s="38" t="n">
        <f aca="false">SUMPRODUCT(--(Sens!$R$310:$AA$310&lt;Sens!S$310),Sens!$R$342:$AA$342)/fac_life</f>
        <v>0.0202511502553155</v>
      </c>
      <c r="T344" s="38" t="n">
        <f aca="false">SUMPRODUCT(--(Sens!$R$310:$AA$310&lt;Sens!T$310),Sens!$R$342:$AA$342)/fac_life</f>
        <v>0.360549480652134</v>
      </c>
      <c r="U344" s="38" t="n">
        <f aca="false">SUMPRODUCT(--(Sens!$R$310:$AA$310&lt;Sens!U$310),Sens!$R$342:$AA$342)/fac_life</f>
        <v>1.29709472025025</v>
      </c>
      <c r="V344" s="38" t="n">
        <f aca="false">SUMPRODUCT(--(Sens!$R$310:$AA$310&lt;Sens!V$310),Sens!$R$342:$AA$342)/fac_life</f>
        <v>3.21599529914753</v>
      </c>
      <c r="W344" s="38" t="n">
        <f aca="false">SUMPRODUCT(--(Sens!$R$310:$AA$310&lt;Sens!W$310),Sens!$R$342:$AA$342)/fac_life</f>
        <v>5.51832434914753</v>
      </c>
      <c r="X344" s="38" t="n">
        <f aca="false">SUMPRODUCT(--(Sens!$R$310:$AA$310&lt;Sens!X$310),Sens!$R$342:$AA$342)/fac_life</f>
        <v>7.82065339914753</v>
      </c>
      <c r="Y344" s="38" t="n">
        <f aca="false">SUMPRODUCT(--(Sens!$R$310:$AA$310&lt;Sens!Y$310),Sens!$R$342:$AA$342)/fac_life</f>
        <v>10.1229824491475</v>
      </c>
      <c r="Z344" s="38" t="n">
        <f aca="false">SUMPRODUCT(--(Sens!$R$310:$AA$310&lt;Sens!Z$310),Sens!$R$342:$AA$342)/fac_life</f>
        <v>12.4253114991475</v>
      </c>
      <c r="AA344" s="38" t="n">
        <f aca="false">SUMPRODUCT(--(Sens!$R$310:$AA$310&lt;Sens!AA$310),Sens!$R$342:$AA$342)/fac_life</f>
        <v>14.7276405491475</v>
      </c>
    </row>
    <row r="345" customFormat="false" ht="17.15" hidden="false" customHeight="false" outlineLevel="0" collapsed="false">
      <c r="A345" s="1" t="s">
        <v>593</v>
      </c>
      <c r="B345" s="8" t="s">
        <v>73</v>
      </c>
      <c r="C345" s="38" t="n">
        <f aca="false">Sens!$C$343+Sens!$C$344</f>
        <v>0.203463948620839</v>
      </c>
      <c r="D345" s="38" t="n">
        <f aca="false">Sens!$D$343+Sens!$D$344</f>
        <v>3.62245206231783</v>
      </c>
      <c r="E345" s="38" t="n">
        <f aca="false">Sens!$E$343+Sens!$E$344</f>
        <v>6.51597588754466</v>
      </c>
      <c r="F345" s="38" t="n">
        <f aca="false">Sens!$F$343+Sens!$F$344</f>
        <v>6.51597588754466</v>
      </c>
      <c r="G345" s="38" t="n">
        <f aca="false">Sens!$G$343+Sens!$G$344</f>
        <v>13.0319517750893</v>
      </c>
      <c r="H345" s="38" t="n">
        <f aca="false">Sens!$H$343+Sens!$H$344</f>
        <v>35.2941921973308</v>
      </c>
      <c r="I345" s="38" t="n">
        <f aca="false">Sens!$I$343+Sens!$I$344</f>
        <v>63.0173185714558</v>
      </c>
      <c r="J345" s="38" t="n">
        <f aca="false">Sens!$J$343+Sens!$J$344</f>
        <v>91.7529624398725</v>
      </c>
      <c r="K345" s="38" t="n">
        <f aca="false">Sens!$K$343+Sens!$K$344</f>
        <v>121.178188209924</v>
      </c>
      <c r="L345" s="38" t="n">
        <f aca="false">Sens!$L$343+Sens!$L$344</f>
        <v>148.58073169504</v>
      </c>
      <c r="M345" s="38" t="n">
        <f aca="false">Sens!$M$343+Sens!$M$344</f>
        <v>176.698573390283</v>
      </c>
      <c r="N345" s="38" t="n">
        <f aca="false">Sens!$N$343+Sens!$N$344</f>
        <v>1.81122603115892</v>
      </c>
      <c r="O345" s="38" t="n">
        <f aca="false">Sens!$O$343+Sens!$O$344</f>
        <v>1.81122603115892</v>
      </c>
      <c r="R345" s="38" t="n">
        <f aca="false">Sens!$R$343+Sens!$R$344</f>
        <v>0</v>
      </c>
      <c r="S345" s="38" t="n">
        <f aca="false">Sens!$S$343+Sens!$S$344</f>
        <v>0.203463948620839</v>
      </c>
      <c r="T345" s="38" t="n">
        <f aca="false">Sens!$T$343+Sens!$T$344</f>
        <v>3.62245206231783</v>
      </c>
      <c r="U345" s="38" t="n">
        <f aca="false">Sens!$U$343+Sens!$U$344</f>
        <v>13.0319517750893</v>
      </c>
      <c r="V345" s="38" t="n">
        <f aca="false">Sens!$V$343+Sens!$V$344</f>
        <v>35.2941921973308</v>
      </c>
      <c r="W345" s="38" t="n">
        <f aca="false">Sens!$W$343+Sens!$W$344</f>
        <v>63.0173185714558</v>
      </c>
      <c r="X345" s="38" t="n">
        <f aca="false">Sens!$X$343+Sens!$X$344</f>
        <v>91.7529624398725</v>
      </c>
      <c r="Y345" s="38" t="n">
        <f aca="false">Sens!$Y$343+Sens!$Y$344</f>
        <v>121.178188209924</v>
      </c>
      <c r="Z345" s="38" t="n">
        <f aca="false">Sens!$Z$343+Sens!$Z$344</f>
        <v>148.58073169504</v>
      </c>
      <c r="AA345" s="38" t="n">
        <f aca="false">Sens!$AA$343+Sens!$AA$344</f>
        <v>176.698573390283</v>
      </c>
    </row>
    <row r="346" customFormat="false" ht="17.15" hidden="false" customHeight="false" outlineLevel="0" collapsed="false">
      <c r="A346" s="0" t="s">
        <v>594</v>
      </c>
      <c r="B346" s="0" t="s">
        <v>73</v>
      </c>
      <c r="C346" s="38" t="n">
        <f aca="false">Sens!$S$346</f>
        <v>26.578941154416</v>
      </c>
      <c r="D346" s="38" t="n">
        <f aca="false">Sens!$T$346</f>
        <v>92.5251207231008</v>
      </c>
      <c r="G346" s="38" t="n">
        <f aca="false">Sens!$U$346</f>
        <v>239.931219586022</v>
      </c>
      <c r="H346" s="38" t="n">
        <f aca="false">Sens!$V$346</f>
        <v>403.208392333442</v>
      </c>
      <c r="I346" s="38" t="n">
        <f aca="false">Sens!$W$346</f>
        <v>544.837543672486</v>
      </c>
      <c r="J346" s="38" t="n">
        <f aca="false">Sens!$X$346</f>
        <v>662.967819343113</v>
      </c>
      <c r="K346" s="38" t="n">
        <f aca="false">Sens!$Y$346</f>
        <v>756.90963744369</v>
      </c>
      <c r="L346" s="38" t="n">
        <f aca="false">Sens!$Z$346</f>
        <v>860.10628945915</v>
      </c>
      <c r="M346" s="38" t="n">
        <f aca="false">Sens!$AA$346</f>
        <v>995.283560834616</v>
      </c>
      <c r="R346" s="38" t="n">
        <f aca="false">SUM(Sens!$R$339:$R$339)-SUM(Sens!$R$345:$R$345)</f>
        <v>1.50429979529945</v>
      </c>
      <c r="S346" s="38" t="n">
        <f aca="false">SUM(Sens!$R$339:$S$339)-SUM(Sens!$R$345:$S$345)</f>
        <v>26.578941154416</v>
      </c>
      <c r="T346" s="38" t="n">
        <f aca="false">SUM(Sens!$R$339:$T$339)-SUM(Sens!$R$345:$T$345)</f>
        <v>92.5251207231008</v>
      </c>
      <c r="U346" s="38" t="n">
        <f aca="false">SUM(Sens!$R$339:$U$339)-SUM(Sens!$R$345:$U$345)</f>
        <v>239.931219586022</v>
      </c>
      <c r="V346" s="38" t="n">
        <f aca="false">SUM(Sens!$R$339:$V$339)-SUM(Sens!$R$345:$V$345)</f>
        <v>403.208392333442</v>
      </c>
      <c r="W346" s="38" t="n">
        <f aca="false">SUM(Sens!$R$339:$W$339)-SUM(Sens!$R$345:$W$345)</f>
        <v>544.837543672486</v>
      </c>
      <c r="X346" s="38" t="n">
        <f aca="false">SUM(Sens!$R$339:$X$339)-SUM(Sens!$R$345:$X$345)</f>
        <v>662.967819343113</v>
      </c>
      <c r="Y346" s="38" t="n">
        <f aca="false">SUM(Sens!$R$339:$Y$339)-SUM(Sens!$R$345:$Y$345)</f>
        <v>756.90963744369</v>
      </c>
      <c r="Z346" s="38" t="n">
        <f aca="false">SUM(Sens!$R$339:$Z$339)-SUM(Sens!$R$345:$Z$345)</f>
        <v>860.10628945915</v>
      </c>
      <c r="AA346" s="38" t="n">
        <f aca="false">SUM(Sens!$R$339:$AA$339)-SUM(Sens!$R$345:$AA$345)</f>
        <v>995.283560834616</v>
      </c>
    </row>
    <row r="347" customFormat="false" ht="17.15" hidden="false" customHeight="false" outlineLevel="0" collapsed="false">
      <c r="A347" s="1" t="s">
        <v>595</v>
      </c>
    </row>
    <row r="348" customFormat="false" ht="17.15" hidden="false" customHeight="false" outlineLevel="0" collapsed="false">
      <c r="A348" s="0" t="s">
        <v>596</v>
      </c>
      <c r="B348" s="0" t="s">
        <v>73</v>
      </c>
      <c r="C348" s="38" t="n">
        <f aca="false">Sens!$C$330-ext_sh*Sens!$C$332</f>
        <v>1.80694998843362</v>
      </c>
      <c r="D348" s="38" t="n">
        <f aca="false">Sens!$D$330-ext_sh*Sens!$D$332</f>
        <v>6.77606245662607</v>
      </c>
      <c r="E348" s="38" t="n">
        <f aca="false">Sens!$E$330-ext_sh*Sens!$E$332</f>
        <v>6.62548329092326</v>
      </c>
      <c r="F348" s="38" t="n">
        <f aca="false">Sens!$F$330-ext_sh*Sens!$F$332</f>
        <v>10.8940413794839</v>
      </c>
      <c r="G348" s="38" t="n">
        <f aca="false">Sens!$G$330-ext_sh*Sens!$G$332</f>
        <v>17.5195246704072</v>
      </c>
      <c r="H348" s="38" t="n">
        <f aca="false">Sens!$H$330-ext_sh*Sens!$H$332</f>
        <v>40.7735721541341</v>
      </c>
      <c r="I348" s="38" t="n">
        <f aca="false">Sens!$I$330-ext_sh*Sens!$I$332</f>
        <v>66.8500163832358</v>
      </c>
      <c r="J348" s="38" t="n">
        <f aca="false">Sens!$J$330-ext_sh*Sens!$J$332</f>
        <v>93.0640470849174</v>
      </c>
      <c r="K348" s="38" t="n">
        <f aca="false">Sens!$K$330-ext_sh*Sens!$K$332</f>
        <v>119.323939944126</v>
      </c>
      <c r="L348" s="38" t="n">
        <f aca="false">Sens!$L$330-ext_sh*Sens!$L$332</f>
        <v>145.604679238573</v>
      </c>
      <c r="M348" s="38" t="n">
        <f aca="false">Sens!$M$330-ext_sh*Sens!$M$332</f>
        <v>171.896643536611</v>
      </c>
      <c r="N348" s="38" t="n">
        <f aca="false">Sens!$N$330-ext_sh*Sens!$N$332</f>
        <v>2.37162185981912</v>
      </c>
      <c r="O348" s="38" t="n">
        <f aca="false">Sens!$O$330-ext_sh*Sens!$O$332</f>
        <v>4.40444059680694</v>
      </c>
    </row>
    <row r="349" customFormat="false" ht="17.15" hidden="false" customHeight="false" outlineLevel="0" collapsed="false">
      <c r="A349" s="1" t="s">
        <v>597</v>
      </c>
      <c r="B349" s="8" t="s">
        <v>73</v>
      </c>
      <c r="C349" s="38" t="n">
        <f aca="false">Sens!$C$348-ext_sh*Sens!$C$345</f>
        <v>1.64417882953695</v>
      </c>
      <c r="D349" s="38" t="n">
        <f aca="false">Sens!$D$348-ext_sh*Sens!$D$345</f>
        <v>3.8781008067718</v>
      </c>
      <c r="E349" s="38" t="n">
        <f aca="false">Sens!$E$348-ext_sh*Sens!$E$345</f>
        <v>1.41270258088753</v>
      </c>
      <c r="F349" s="38" t="n">
        <f aca="false">Sens!$F$348-ext_sh*Sens!$F$345</f>
        <v>5.68126066944818</v>
      </c>
      <c r="G349" s="38" t="n">
        <f aca="false">Sens!$G$348-ext_sh*Sens!$G$345</f>
        <v>7.09396325033571</v>
      </c>
      <c r="H349" s="38" t="n">
        <f aca="false">Sens!$H$348-ext_sh*Sens!$H$345</f>
        <v>12.5382183962694</v>
      </c>
      <c r="I349" s="38" t="n">
        <f aca="false">Sens!$I$348-ext_sh*Sens!$I$345</f>
        <v>16.4361615260712</v>
      </c>
      <c r="J349" s="38" t="n">
        <f aca="false">Sens!$J$348-ext_sh*Sens!$J$345</f>
        <v>19.6616771330194</v>
      </c>
      <c r="K349" s="38" t="n">
        <f aca="false">Sens!$K$348-ext_sh*Sens!$K$345</f>
        <v>22.3813893761866</v>
      </c>
      <c r="L349" s="38" t="n">
        <f aca="false">Sens!$L$348-ext_sh*Sens!$L$345</f>
        <v>26.740093882541</v>
      </c>
      <c r="M349" s="38" t="n">
        <f aca="false">Sens!$M$348-ext_sh*Sens!$M$345</f>
        <v>30.5377848243843</v>
      </c>
      <c r="N349" s="38" t="n">
        <f aca="false">Sens!$N$348-ext_sh*Sens!$N$345</f>
        <v>0.92264103489199</v>
      </c>
      <c r="O349" s="38" t="n">
        <f aca="false">Sens!$O$348-ext_sh*Sens!$O$345</f>
        <v>2.95545977187981</v>
      </c>
    </row>
    <row r="350" customFormat="false" ht="17.15" hidden="false" customHeight="false" outlineLevel="0" collapsed="false">
      <c r="A350" s="0" t="s">
        <v>598</v>
      </c>
      <c r="B350" s="0" t="s">
        <v>52</v>
      </c>
      <c r="C350" s="12" t="n">
        <f aca="false">Sens!$C$349/Sens!$C$330</f>
        <v>0.708390794789371</v>
      </c>
      <c r="D350" s="12" t="n">
        <f aca="false">Sens!$D$349/Sens!$D$330</f>
        <v>0.445565630441968</v>
      </c>
      <c r="E350" s="12" t="n">
        <f aca="false">Sens!$E$349/Sens!$E$330</f>
        <v>0.165998118402711</v>
      </c>
      <c r="F350" s="12" t="n">
        <f aca="false">Sens!$F$349/Sens!$F$330</f>
        <v>0.401859869136011</v>
      </c>
      <c r="G350" s="12" t="n">
        <f aca="false">Sens!$G$349/Sens!$G$330</f>
        <v>0.313230095563868</v>
      </c>
      <c r="H350" s="12" t="n">
        <f aca="false">Sens!$H$349/Sens!$H$330</f>
        <v>0.23470012891306</v>
      </c>
      <c r="I350" s="12" t="n">
        <f aca="false">Sens!$I$349/Sens!$I$330</f>
        <v>0.187200558396588</v>
      </c>
      <c r="J350" s="12" t="n">
        <f aca="false">Sens!$J$349/Sens!$J$330</f>
        <v>0.160726355342167</v>
      </c>
      <c r="K350" s="12" t="n">
        <f aca="false">Sens!$K$349/Sens!$K$330</f>
        <v>0.142637017621647</v>
      </c>
      <c r="L350" s="12" t="n">
        <f aca="false">Sens!$L$349/Sens!$L$330</f>
        <v>0.139623254059572</v>
      </c>
      <c r="M350" s="12" t="n">
        <f aca="false">Sens!$M$349/Sens!$M$330</f>
        <v>0.135043429136094</v>
      </c>
      <c r="N350" s="12" t="n">
        <f aca="false">Sens!$N$349/Sens!$N$330</f>
        <v>0.302870734830849</v>
      </c>
      <c r="O350" s="12" t="n">
        <f aca="false">Sens!$O$349/Sens!$O$330</f>
        <v>0.52240134346334</v>
      </c>
    </row>
    <row r="351" customFormat="false" ht="17.15" hidden="false" customHeight="false" outlineLevel="0" collapsed="false">
      <c r="A351" s="5" t="s">
        <v>599</v>
      </c>
      <c r="B351" s="0" t="s">
        <v>73</v>
      </c>
      <c r="C351" s="38" t="n">
        <f aca="false">rd2*(1-ext_sh)/ext_sh*Sens!$C$313*he_open*Sens!$C$314/1000</f>
        <v>0</v>
      </c>
      <c r="D351" s="38" t="n">
        <f aca="false">rd2*(1-ext_sh)/ext_sh*Sens!$D$313*he_open*Sens!$D$314/1000</f>
        <v>0</v>
      </c>
      <c r="E351" s="38" t="n">
        <f aca="false">rd2*(1-ext_sh)/ext_sh*Sens!$E$313*he_open*Sens!$E$314/1000</f>
        <v>0</v>
      </c>
      <c r="F351" s="38" t="n">
        <f aca="false">rd2*(1-ext_sh)/ext_sh*(mw_open*he_open+Sens!$F$328*Sens!$F$325)*Sens!$F$314/1000</f>
        <v>0</v>
      </c>
      <c r="G351" s="38" t="n">
        <f aca="false">Sens!$E$351+Sens!$F$351</f>
        <v>0</v>
      </c>
      <c r="H351" s="38" t="n">
        <f aca="false">rd2*(1-ext_sh)/ext_sh*(mw_open*he_open+Sens!$H$328*Sens!$H$325)*Sens!$H$314/1000</f>
        <v>0</v>
      </c>
      <c r="I351" s="38" t="n">
        <f aca="false">rd2*(1-ext_sh)/ext_sh*(mw_open*he_open+Sens!$I$328*Sens!$I$325)*Sens!$I$314/1000</f>
        <v>0</v>
      </c>
      <c r="J351" s="38" t="n">
        <f aca="false">rd2*(1-ext_sh)/ext_sh*(mw_open*he_open+Sens!$J$328*Sens!$J$325)*Sens!$J$314/1000</f>
        <v>0</v>
      </c>
      <c r="K351" s="38" t="n">
        <f aca="false">rd2*(1-ext_sh)/ext_sh*(mw_open*he_open+Sens!$K$328*Sens!$K$325)*Sens!$K$314/1000</f>
        <v>0</v>
      </c>
      <c r="L351" s="38" t="n">
        <f aca="false">rd2*(1-ext_sh)/ext_sh*(mw_open*he_open+Sens!$L$328*Sens!$L$325)*Sens!$L$314/1000</f>
        <v>0</v>
      </c>
      <c r="M351" s="38" t="n">
        <f aca="false">rd2*(1-ext_sh)/ext_sh*(mw_open*he_open+Sens!$M$328*Sens!$M$325)*Sens!$M$314/1000</f>
        <v>0</v>
      </c>
      <c r="N351" s="38" t="n">
        <f aca="false">rd2*(1-ext_sh)/ext_sh*Sens!$N$313*he_open*Sens!$N$314/1000</f>
        <v>0</v>
      </c>
      <c r="O351" s="38" t="n">
        <f aca="false">rd2*(1-ext_sh)/ext_sh*Sens!$O$313*he_open*Sens!$O$314/1000</f>
        <v>0</v>
      </c>
      <c r="P351" s="8" t="s">
        <v>600</v>
      </c>
    </row>
    <row r="352" customFormat="false" ht="17.15" hidden="false" customHeight="false" outlineLevel="0" collapsed="false">
      <c r="A352" s="5" t="s">
        <v>601</v>
      </c>
      <c r="B352" s="0" t="s">
        <v>73</v>
      </c>
      <c r="C352" s="38" t="n">
        <f aca="false">(1-ext_sh)*(Sens!$C$332+Sens!$C$345)-Sens!$C$351</f>
        <v>0.169206631859174</v>
      </c>
      <c r="D352" s="38" t="n">
        <f aca="false">(1-ext_sh)*(Sens!$D$332+Sens!$D$345)-Sens!$D$351</f>
        <v>1.20641732046984</v>
      </c>
      <c r="E352" s="38" t="n">
        <f aca="false">(1-ext_sh)*(Sens!$E$332+Sens!$E$345)-Sens!$E$351</f>
        <v>1.77441259867062</v>
      </c>
      <c r="F352" s="38" t="n">
        <f aca="false">(1-ext_sh)*(Sens!$F$332+Sens!$F$345)-Sens!$F$351</f>
        <v>2.1140391597214</v>
      </c>
      <c r="G352" s="38" t="n">
        <f aca="false">(1-ext_sh)*(Sens!$G$332+Sens!$G$345)-Sens!$G$351</f>
        <v>3.88845175839202</v>
      </c>
      <c r="H352" s="38" t="n">
        <f aca="false">(1-ext_sh)*(Sens!$H$332+Sens!$H$345)-Sens!$H$351</f>
        <v>10.2210179503985</v>
      </c>
      <c r="I352" s="38" t="n">
        <f aca="false">(1-ext_sh)*(Sens!$I$332+Sens!$I$345)-Sens!$I$351</f>
        <v>17.8408961823075</v>
      </c>
      <c r="J352" s="38" t="n">
        <f aca="false">(1-ext_sh)*(Sens!$J$332+Sens!$J$345)-Sens!$J$351</f>
        <v>25.6671150670732</v>
      </c>
      <c r="K352" s="38" t="n">
        <f aca="false">(1-ext_sh)*(Sens!$K$332+Sens!$K$345)-Sens!$K$351</f>
        <v>33.6325293834986</v>
      </c>
      <c r="L352" s="38" t="n">
        <f aca="false">(1-ext_sh)*(Sens!$L$332+Sens!$L$345)-Sens!$L$351</f>
        <v>41.1939886299065</v>
      </c>
      <c r="M352" s="38" t="n">
        <f aca="false">(1-ext_sh)*(Sens!$M$332+Sens!$M$345)-Sens!$M$351</f>
        <v>48.8988205728617</v>
      </c>
      <c r="N352" s="38" t="n">
        <f aca="false">(1-ext_sh)*(Sens!$N$332+Sens!$N$345)-Sens!$N$351</f>
        <v>0.530919624033979</v>
      </c>
      <c r="O352" s="38" t="n">
        <f aca="false">(1-ext_sh)*(Sens!$O$332+Sens!$O$345)-Sens!$O$351</f>
        <v>0.675497696435861</v>
      </c>
    </row>
    <row r="353" customFormat="false" ht="17.15" hidden="false" customHeight="false" outlineLevel="0" collapsed="false">
      <c r="A353" s="0" t="s">
        <v>602</v>
      </c>
      <c r="B353" s="0" t="s">
        <v>73</v>
      </c>
      <c r="C353" s="38" t="n">
        <f aca="false">Q!$D$24</f>
        <v>39.834</v>
      </c>
      <c r="D353" s="38" t="n">
        <f aca="false">Q!$E$24</f>
        <v>45.606</v>
      </c>
      <c r="E353" s="38" t="n">
        <f aca="false">Q!$P$24</f>
        <v>30.782</v>
      </c>
      <c r="N353" s="38" t="n">
        <f aca="false">Q!$N$24</f>
        <v>21.707</v>
      </c>
      <c r="O353" s="38" t="n">
        <f aca="false">Q!$O$24</f>
        <v>23.899</v>
      </c>
    </row>
    <row r="354" customFormat="false" ht="17.15" hidden="false" customHeight="false" outlineLevel="0" collapsed="false">
      <c r="A354" s="0" t="s">
        <v>603</v>
      </c>
      <c r="B354" s="0" t="s">
        <v>73</v>
      </c>
      <c r="C354" s="38" t="n">
        <f aca="false">Sens!$C$353-Sens!$C$349</f>
        <v>38.1898211704631</v>
      </c>
      <c r="D354" s="38" t="n">
        <f aca="false">Sens!$D$353-Sens!$D$349</f>
        <v>41.7278991932282</v>
      </c>
      <c r="E354" s="38" t="n">
        <f aca="false">Sens!$E$353-Sens!$E$349</f>
        <v>29.3692974191125</v>
      </c>
      <c r="F354" s="38" t="n">
        <f aca="false">Sens!$F$334*Sens!$F$355</f>
        <v>29.458060516894</v>
      </c>
      <c r="G354" s="38" t="n">
        <f aca="false">Sens!$E$354+Sens!$F$354</f>
        <v>58.8273579360065</v>
      </c>
      <c r="H354" s="38" t="n">
        <f aca="false">Sens!$H$334*Sens!$H$355</f>
        <v>67.8004040185081</v>
      </c>
      <c r="I354" s="38" t="n">
        <f aca="false">Sens!$I$334*Sens!$I$355</f>
        <v>78.9527630302702</v>
      </c>
      <c r="J354" s="38" t="n">
        <f aca="false">Sens!$J$334*Sens!$J$355</f>
        <v>88.6042681781841</v>
      </c>
      <c r="K354" s="38" t="n">
        <f aca="false">Sens!$K$334*Sens!$K$355</f>
        <v>95.6926096324389</v>
      </c>
      <c r="L354" s="38" t="n">
        <f aca="false">Sens!$L$334*Sens!$L$355</f>
        <v>103.348018403034</v>
      </c>
      <c r="M354" s="38" t="n">
        <f aca="false">Sens!$M$334*Sens!$M$355</f>
        <v>111.615859875277</v>
      </c>
      <c r="N354" s="38" t="n">
        <f aca="false">Sens!$N$353-Sens!$N$349</f>
        <v>20.784358965108</v>
      </c>
      <c r="O354" s="38" t="n">
        <f aca="false">Sens!$O$353-Sens!$O$349</f>
        <v>20.9435402281202</v>
      </c>
      <c r="P354" s="5" t="s">
        <v>604</v>
      </c>
    </row>
    <row r="355" customFormat="false" ht="17.15" hidden="false" customHeight="false" outlineLevel="0" collapsed="false">
      <c r="A355" s="0" t="s">
        <v>605</v>
      </c>
      <c r="B355" s="0" t="s">
        <v>52</v>
      </c>
      <c r="C355" s="12" t="n">
        <f aca="false">Sens!$C$354/Sens!$C$334</f>
        <v>0.362900395443635</v>
      </c>
      <c r="D355" s="12" t="n">
        <f aca="false">Sens!$D$354/Sens!$D$334</f>
        <v>0.34767098474203</v>
      </c>
      <c r="E355" s="12" t="n">
        <f aca="false">Sens!$E$354/Sens!$E$334</f>
        <v>0.411861655558416</v>
      </c>
      <c r="F355" s="12" t="n">
        <f aca="false">(Sens!$O$354+Sens!$E$354)/(Sens!$O$334+Sens!$E$334)</f>
        <v>0.37480827803158</v>
      </c>
      <c r="G355" s="12" t="n">
        <f aca="false">Sens!$G$354/Sens!$G$334</f>
        <v>0.392434440489471</v>
      </c>
      <c r="H355" s="12" t="n">
        <f aca="false">Sens!$F$355</f>
        <v>0.37480827803158</v>
      </c>
      <c r="I355" s="12" t="n">
        <f aca="false">Sens!$F$355</f>
        <v>0.37480827803158</v>
      </c>
      <c r="J355" s="12" t="n">
        <f aca="false">Sens!$F$355</f>
        <v>0.37480827803158</v>
      </c>
      <c r="K355" s="12" t="n">
        <f aca="false">Sens!$F$355</f>
        <v>0.37480827803158</v>
      </c>
      <c r="L355" s="12" t="n">
        <f aca="false">Sens!$F$355</f>
        <v>0.37480827803158</v>
      </c>
      <c r="M355" s="12" t="n">
        <f aca="false">Sens!$F$355</f>
        <v>0.37480827803158</v>
      </c>
      <c r="N355" s="12" t="n">
        <f aca="false">Sens!$N$354/Sens!$N$334</f>
        <v>0.364039571356823</v>
      </c>
      <c r="O355" s="12" t="n">
        <f aca="false">Sens!$O$354/Sens!$O$334</f>
        <v>0.332819892300086</v>
      </c>
      <c r="P355" s="8" t="s">
        <v>606</v>
      </c>
    </row>
    <row r="356" customFormat="false" ht="17.15" hidden="false" customHeight="false" outlineLevel="0" collapsed="false">
      <c r="A356" s="0" t="s">
        <v>607</v>
      </c>
      <c r="B356" s="0" t="s">
        <v>52</v>
      </c>
      <c r="D356" s="12" t="n">
        <f aca="false">(Q!$E$31-ext_sh*Sens!$D$345)/Sens!$D$334</f>
        <v>0.154572973163571</v>
      </c>
    </row>
    <row r="357" customFormat="false" ht="17.15" hidden="false" customHeight="false" outlineLevel="0" collapsed="false">
      <c r="A357" s="0" t="s">
        <v>608</v>
      </c>
      <c r="B357" s="0" t="s">
        <v>73</v>
      </c>
      <c r="C357" s="38" t="n">
        <f aca="false">Q!$D$31</f>
        <v>13.32</v>
      </c>
      <c r="D357" s="38" t="n">
        <f aca="false">Q!$E$31</f>
        <v>21.45</v>
      </c>
      <c r="E357" s="38" t="n">
        <f aca="false">Q!$P$31</f>
        <v>15.353</v>
      </c>
      <c r="F357" s="38" t="n">
        <f aca="false">ext_sh*Sens!$F$345+Sens!$D$356*Sens!$F$334</f>
        <v>17.3614451462707</v>
      </c>
      <c r="G357" s="38" t="n">
        <f aca="false">Sens!$E$357+Sens!$F$357</f>
        <v>32.7144451462707</v>
      </c>
      <c r="H357" s="38" t="n">
        <f aca="false">ext_sh*Sens!$H$345+Sens!$D$356*Sens!$H$334</f>
        <v>56.1966092719415</v>
      </c>
      <c r="I357" s="38" t="n">
        <f aca="false">ext_sh*Sens!$I$345+Sens!$D$356*Sens!$I$334</f>
        <v>82.9744039068297</v>
      </c>
      <c r="J357" s="38" t="n">
        <f aca="false">ext_sh*Sens!$J$345+Sens!$D$356*Sens!$J$334</f>
        <v>109.943252237669</v>
      </c>
      <c r="K357" s="38" t="n">
        <f aca="false">ext_sh*Sens!$K$345+Sens!$D$356*Sens!$K$334</f>
        <v>136.406703436571</v>
      </c>
      <c r="L357" s="38" t="n">
        <f aca="false">ext_sh*Sens!$L$345+Sens!$D$356*Sens!$L$334</f>
        <v>161.485870454155</v>
      </c>
      <c r="M357" s="38" t="n">
        <f aca="false">ext_sh*Sens!$M$345+Sens!$D$356*Sens!$M$334</f>
        <v>187.389846618199</v>
      </c>
      <c r="N357" s="38" t="n">
        <f aca="false">Q!$N$31</f>
        <v>9.234</v>
      </c>
      <c r="O357" s="38" t="n">
        <f aca="false">Q!$O$31</f>
        <v>12.216</v>
      </c>
    </row>
    <row r="358" customFormat="false" ht="17.15" hidden="false" customHeight="false" outlineLevel="0" collapsed="false">
      <c r="A358" s="1" t="s">
        <v>609</v>
      </c>
    </row>
    <row r="359" customFormat="false" ht="17.15" hidden="false" customHeight="false" outlineLevel="0" collapsed="false">
      <c r="A359" s="14" t="s">
        <v>610</v>
      </c>
      <c r="B359" s="13" t="s">
        <v>52</v>
      </c>
      <c r="C359" s="13"/>
      <c r="D359" s="13"/>
      <c r="E359" s="13"/>
      <c r="F359" s="13"/>
      <c r="G359" s="16" t="n">
        <f aca="false">Sens!$G$349*(1-tax)/(ext_sh*(Sens!$D$346+Sens!$G$346)/2)</f>
        <v>0.0440851947071316</v>
      </c>
      <c r="H359" s="16" t="n">
        <f aca="false">Sens!$H$349*(1-tax)/(ext_sh*(Sens!$G$346+Sens!$H$346)/2)</f>
        <v>0.0402781040820865</v>
      </c>
      <c r="I359" s="16" t="n">
        <f aca="false">Sens!$I$349*(1-tax)/(ext_sh*(Sens!$H$346+Sens!$I$346)/2)</f>
        <v>0.0358186710480674</v>
      </c>
      <c r="J359" s="16" t="n">
        <f aca="false">Sens!$J$349*(1-tax)/(ext_sh*(Sens!$I$346+Sens!$J$346)/2)</f>
        <v>0.0336327249258515</v>
      </c>
      <c r="K359" s="16" t="n">
        <f aca="false">Sens!$K$349*(1-tax)/(ext_sh*(Sens!$J$346+Sens!$K$346)/2)</f>
        <v>0.0325667655468976</v>
      </c>
      <c r="L359" s="16" t="n">
        <f aca="false">Sens!$L$349*(1-tax)/(ext_sh*(Sens!$K$346+Sens!$L$346)/2)</f>
        <v>0.034165444780845</v>
      </c>
      <c r="M359" s="16" t="n">
        <f aca="false">Sens!$M$349*(1-tax)/(ext_sh*(Sens!$L$346+Sens!$M$346)/2)</f>
        <v>0.0340048452587916</v>
      </c>
      <c r="N359" s="13"/>
      <c r="O359" s="13"/>
      <c r="P359" s="8" t="s">
        <v>611</v>
      </c>
    </row>
    <row r="360" customFormat="false" ht="17.15" hidden="false" customHeight="false" outlineLevel="0" collapsed="false">
      <c r="A360" s="5" t="s">
        <v>612</v>
      </c>
      <c r="B360" s="0" t="s">
        <v>57</v>
      </c>
      <c r="H360" s="36" t="n">
        <f aca="false">Sens!$H$330*1000/(mw_open*he_open+Sens!$H$328*Sens!$H$325)</f>
        <v>0.880767940782091</v>
      </c>
      <c r="I360" s="36" t="n">
        <f aca="false">Sens!$I$330*1000/(mw_open*he_open+Sens!$I$328*Sens!$I$325)</f>
        <v>0.858026572758645</v>
      </c>
      <c r="J360" s="36" t="n">
        <f aca="false">Sens!$J$330*1000/(mw_open*he_open+Sens!$J$328*Sens!$J$325)</f>
        <v>0.848417499448742</v>
      </c>
      <c r="K360" s="36" t="n">
        <f aca="false">Sens!$K$330*1000/(mw_open*he_open+Sens!$K$328*Sens!$K$325)</f>
        <v>0.843126318994332</v>
      </c>
      <c r="L360" s="36" t="n">
        <f aca="false">Sens!$L$330*1000/(mw_open*he_open+Sens!$L$328*Sens!$L$325)</f>
        <v>0.839778769178837</v>
      </c>
      <c r="M360" s="36" t="n">
        <f aca="false">Sens!$M$330*1000/(mw_open*he_open+Sens!$M$328*Sens!$M$325)</f>
        <v>0.837470686826078</v>
      </c>
    </row>
    <row r="361" customFormat="false" ht="17.15" hidden="false" customHeight="false" outlineLevel="0" collapsed="false">
      <c r="A361" s="5" t="s">
        <v>613</v>
      </c>
      <c r="B361" s="0" t="s">
        <v>57</v>
      </c>
      <c r="H361" s="36" t="n">
        <f aca="false">Sens!$H$360*(Sens!$H$330+wacc*ext_sh*(Sens!$G$346+Sens!$H$346)/2/(1-tax)-Sens!$H$349)/Sens!$H$330</f>
        <v>1.3149781212103</v>
      </c>
      <c r="I361" s="36" t="n">
        <f aca="false">Sens!$I$360*(Sens!$I$330+wacc*ext_sh*(Sens!$H$346+Sens!$I$346)/2/(1-tax)-Sens!$I$349)/Sens!$I$330</f>
        <v>1.25742005569107</v>
      </c>
      <c r="J361" s="36" t="n">
        <f aca="false">Sens!$J$360*(Sens!$J$330+wacc*ext_sh*(Sens!$I$346+Sens!$J$346)/2/(1-tax)-Sens!$J$349)/Sens!$J$330</f>
        <v>1.21838845868559</v>
      </c>
      <c r="K361" s="36" t="n">
        <f aca="false">Sens!$K$360*(Sens!$K$330+wacc*ext_sh*(Sens!$J$346+Sens!$K$346)/2/(1-tax)-Sens!$K$349)/Sens!$K$330</f>
        <v>1.18402644209548</v>
      </c>
      <c r="L361" s="36" t="n">
        <f aca="false">Sens!$L$360*(Sens!$L$330+wacc*ext_sh*(Sens!$K$346+Sens!$L$346)/2/(1-tax)-Sens!$L$349)/Sens!$L$330</f>
        <v>1.15111215322059</v>
      </c>
      <c r="M361" s="36" t="n">
        <f aca="false">Sens!$M$360*(Sens!$M$330+wacc*ext_sh*(Sens!$L$346+Sens!$M$346)/2/(1-tax)-Sens!$M$349)/Sens!$M$330</f>
        <v>1.1397166845677</v>
      </c>
    </row>
    <row r="362" customFormat="false" ht="17.15" hidden="false" customHeight="false" outlineLevel="0" collapsed="false">
      <c r="A362" s="5" t="s">
        <v>614</v>
      </c>
      <c r="B362" s="0" t="s">
        <v>52</v>
      </c>
      <c r="C362" s="12" t="n">
        <f aca="false">Sens!$C$331/tk_pq</f>
        <v>0.195316432429398</v>
      </c>
      <c r="D362" s="12" t="n">
        <f aca="false">Sens!$D$331/tk_pq</f>
        <v>0.195316432429398</v>
      </c>
      <c r="E362" s="12" t="n">
        <f aca="false">Sens!$E$331/tk_pq</f>
        <v>0.195316432429398</v>
      </c>
      <c r="F362" s="12" t="n">
        <f aca="false">Sens!$F$331/tk_pq</f>
        <v>0.191077608072499</v>
      </c>
      <c r="G362" s="12" t="n">
        <f aca="false">Sens!$G$331/tk_pq</f>
        <v>0.192648675364927</v>
      </c>
      <c r="H362" s="12" t="n">
        <f aca="false">Sens!$H$331/tk_pq</f>
        <v>0.188813632292207</v>
      </c>
      <c r="I362" s="12" t="n">
        <f aca="false">Sens!$I$331/tk_pq</f>
        <v>0.18967957363228</v>
      </c>
      <c r="J362" s="12" t="n">
        <f aca="false">Sens!$J$331/tk_pq</f>
        <v>0.190298617624149</v>
      </c>
      <c r="K362" s="12" t="n">
        <f aca="false">Sens!$K$331/tk_pq</f>
        <v>0.190708841601505</v>
      </c>
      <c r="L362" s="12" t="n">
        <f aca="false">Sens!$L$331/tk_pq</f>
        <v>0.190994938306812</v>
      </c>
      <c r="M362" s="12" t="n">
        <f aca="false">Sens!$M$331/tk_pq</f>
        <v>0.191204523963728</v>
      </c>
      <c r="N362" s="12" t="n">
        <f aca="false">Sens!$N$331/tk_pq</f>
        <v>0.195316432429398</v>
      </c>
      <c r="O362" s="12" t="n">
        <f aca="false">Sens!$O$331/tk_pq</f>
        <v>0.195316432429398</v>
      </c>
      <c r="P362" s="5" t="s">
        <v>615</v>
      </c>
    </row>
    <row r="365" customFormat="false" ht="17.15" hidden="false" customHeight="false" outlineLevel="0" collapsed="false">
      <c r="A365" s="1" t="s">
        <v>642</v>
      </c>
    </row>
    <row r="366" customFormat="false" ht="17.15" hidden="false" customHeight="false" outlineLevel="0" collapsed="false">
      <c r="A366" s="0" t="s">
        <v>643</v>
      </c>
      <c r="B366" s="0" t="s">
        <v>73</v>
      </c>
      <c r="C366" s="38" t="n">
        <f aca="false">Sens!$C$330</f>
        <v>2.32100535697364</v>
      </c>
      <c r="D366" s="38" t="n">
        <f aca="false">Sens!$D$330</f>
        <v>8.70377008865116</v>
      </c>
      <c r="E366" s="38" t="n">
        <f aca="false">Sens!$E$330</f>
        <v>8.51035297557002</v>
      </c>
      <c r="F366" s="38" t="n">
        <f aca="false">Sens!$F$330</f>
        <v>14.1374173083338</v>
      </c>
      <c r="G366" s="38" t="n">
        <f aca="false">Sens!$G$330</f>
        <v>22.6477702839038</v>
      </c>
      <c r="H366" s="38" t="n">
        <f aca="false">Sens!$H$330</f>
        <v>53.4222901978634</v>
      </c>
      <c r="I366" s="38" t="n">
        <f aca="false">Sens!$I$330</f>
        <v>87.7997462553011</v>
      </c>
      <c r="J366" s="38" t="n">
        <f aca="false">Sens!$J$330</f>
        <v>122.330137401312</v>
      </c>
      <c r="K366" s="38" t="n">
        <f aca="false">Sens!$K$330</f>
        <v>156.911506910181</v>
      </c>
      <c r="L366" s="38" t="n">
        <f aca="false">Sens!$L$330</f>
        <v>191.516048402167</v>
      </c>
      <c r="M366" s="38" t="n">
        <f aca="false">Sens!$M$330</f>
        <v>226.133067115831</v>
      </c>
      <c r="N366" s="38" t="n">
        <f aca="false">Sens!$N$330</f>
        <v>3.04631953102791</v>
      </c>
      <c r="O366" s="38" t="n">
        <f aca="false">Sens!$O$330</f>
        <v>5.65745055762326</v>
      </c>
      <c r="P366" s="8" t="s">
        <v>644</v>
      </c>
    </row>
    <row r="367" customFormat="false" ht="17.15" hidden="false" customHeight="false" outlineLevel="0" collapsed="false">
      <c r="A367" s="0" t="s">
        <v>645</v>
      </c>
      <c r="B367" s="0" t="s">
        <v>73</v>
      </c>
      <c r="C367" s="38" t="n">
        <f aca="false">Sens!$C$334</f>
        <v>105.234994643026</v>
      </c>
      <c r="D367" s="38" t="n">
        <f aca="false">Sens!$D$334</f>
        <v>120.021229911349</v>
      </c>
      <c r="E367" s="38" t="n">
        <f aca="false">Sens!$E$334</f>
        <v>71.30864702443</v>
      </c>
      <c r="F367" s="38" t="n">
        <f aca="false">Sens!$F$334</f>
        <v>78.5950104186653</v>
      </c>
      <c r="G367" s="38" t="n">
        <f aca="false">Sens!$G$334</f>
        <v>149.903657443095</v>
      </c>
      <c r="H367" s="38" t="n">
        <f aca="false">Sens!$H$334</f>
        <v>180.893560768142</v>
      </c>
      <c r="I367" s="38" t="n">
        <f aca="false">Sens!$I$334</f>
        <v>210.64839721501</v>
      </c>
      <c r="J367" s="38" t="n">
        <f aca="false">Sens!$J$334</f>
        <v>236.398909446495</v>
      </c>
      <c r="K367" s="38" t="n">
        <f aca="false">Sens!$K$334</f>
        <v>255.310822202215</v>
      </c>
      <c r="L367" s="38" t="n">
        <f aca="false">Sens!$L$334</f>
        <v>275.735687978392</v>
      </c>
      <c r="M367" s="38" t="n">
        <f aca="false">Sens!$M$334</f>
        <v>297.794543016663</v>
      </c>
      <c r="N367" s="38" t="n">
        <f aca="false">Sens!$N$334</f>
        <v>57.0936804689721</v>
      </c>
      <c r="O367" s="38" t="n">
        <f aca="false">Sens!$O$334</f>
        <v>62.9275494423768</v>
      </c>
      <c r="P367" s="8" t="s">
        <v>644</v>
      </c>
    </row>
    <row r="368" customFormat="false" ht="17.15" hidden="false" customHeight="false" outlineLevel="0" collapsed="false">
      <c r="A368" s="1" t="s">
        <v>476</v>
      </c>
      <c r="B368" s="8" t="s">
        <v>73</v>
      </c>
      <c r="C368" s="38" t="n">
        <f aca="false">Q!$D$7</f>
        <v>107.556</v>
      </c>
      <c r="D368" s="38" t="n">
        <f aca="false">Q!$E$7</f>
        <v>128.725</v>
      </c>
      <c r="E368" s="38" t="n">
        <f aca="false">Q!$P$7</f>
        <v>79.819</v>
      </c>
      <c r="F368" s="38" t="n">
        <f aca="false">Sens!$F$366+Sens!$F$367</f>
        <v>92.7324277269991</v>
      </c>
      <c r="G368" s="38" t="n">
        <f aca="false">Sens!$G$366+Sens!$G$367</f>
        <v>172.551427726999</v>
      </c>
      <c r="H368" s="38" t="n">
        <f aca="false">Sens!$H$366+Sens!$H$367</f>
        <v>234.315850966005</v>
      </c>
      <c r="I368" s="38" t="n">
        <f aca="false">Sens!$I$366+Sens!$I$367</f>
        <v>298.448143470312</v>
      </c>
      <c r="J368" s="38" t="n">
        <f aca="false">Sens!$J$366+Sens!$J$367</f>
        <v>358.729046847807</v>
      </c>
      <c r="K368" s="38" t="n">
        <f aca="false">Sens!$K$366+Sens!$K$367</f>
        <v>412.222329112395</v>
      </c>
      <c r="L368" s="38" t="n">
        <f aca="false">Sens!$L$366+Sens!$L$367</f>
        <v>467.251736380559</v>
      </c>
      <c r="M368" s="38" t="n">
        <f aca="false">Sens!$M$366+Sens!$M$367</f>
        <v>523.927610132494</v>
      </c>
      <c r="N368" s="38" t="n">
        <f aca="false">Q!$N$7</f>
        <v>60.14</v>
      </c>
      <c r="O368" s="38" t="n">
        <f aca="false">Q!$O$7</f>
        <v>68.585</v>
      </c>
      <c r="P368" s="5" t="s">
        <v>646</v>
      </c>
    </row>
    <row r="369" customFormat="false" ht="15" hidden="false" customHeight="false" outlineLevel="0" collapsed="false">
      <c r="A369" s="3" t="s">
        <v>647</v>
      </c>
      <c r="B369" s="8" t="s">
        <v>73</v>
      </c>
      <c r="C369" s="38" t="n">
        <f aca="false">Q!$D$8</f>
        <v>637.959</v>
      </c>
      <c r="D369" s="38" t="n">
        <f aca="false">Q!$E$8</f>
        <v>716.924</v>
      </c>
      <c r="E369" s="38" t="n">
        <f aca="false">Q!$P$8</f>
        <v>382.125</v>
      </c>
      <c r="F369" s="38" t="n">
        <f aca="false">Sens!$F$303+Sens!$F$368</f>
        <v>449.668856935429</v>
      </c>
      <c r="G369" s="38" t="n">
        <f aca="false">Sens!$G$303+Sens!$G$368</f>
        <v>831.793856935429</v>
      </c>
      <c r="H369" s="38" t="n">
        <f aca="false">Sens!$H$303+Sens!$H$368</f>
        <v>964.251588587706</v>
      </c>
      <c r="I369" s="38" t="n">
        <f aca="false">Sens!$I$303+Sens!$I$368</f>
        <v>1096.74371316818</v>
      </c>
      <c r="J369" s="38" t="n">
        <f aca="false">Sens!$J$303+Sens!$J$368</f>
        <v>1220.46586917359</v>
      </c>
      <c r="K369" s="38" t="n">
        <f aca="false">Sens!$K$303+Sens!$K$368</f>
        <v>1329.77982121432</v>
      </c>
      <c r="L369" s="38" t="n">
        <f aca="false">Sens!$L$303+Sens!$L$368</f>
        <v>1444.53682612372</v>
      </c>
      <c r="M369" s="38" t="n">
        <f aca="false">Sens!$M$303+Sens!$M$368</f>
        <v>1565.141628676</v>
      </c>
      <c r="N369" s="38" t="n">
        <f aca="false">Q!$N$8</f>
        <v>323.369</v>
      </c>
      <c r="O369" s="38" t="n">
        <f aca="false">Q!$O$8</f>
        <v>393.555</v>
      </c>
    </row>
    <row r="370" customFormat="false" ht="17.15" hidden="false" customHeight="false" outlineLevel="0" collapsed="false">
      <c r="A370" s="24" t="s">
        <v>655</v>
      </c>
      <c r="B370" s="25" t="s">
        <v>73</v>
      </c>
      <c r="C370" s="39" t="n">
        <f aca="false">Sens!$C$303-(Sens!$C$305+Sens!$C$306)</f>
        <v>0</v>
      </c>
      <c r="D370" s="39" t="n">
        <f aca="false">Sens!$D$303-(Sens!$D$305+Sens!$D$306)</f>
        <v>0</v>
      </c>
      <c r="E370" s="39" t="n">
        <f aca="false">Sens!$E$303-(Sens!$E$305+Sens!$E$306)</f>
        <v>0</v>
      </c>
      <c r="F370" s="39" t="n">
        <f aca="false">Sens!$F$303-(Sens!$F$305+Sens!$F$306)</f>
        <v>0</v>
      </c>
      <c r="G370" s="39" t="n">
        <f aca="false">Sens!$G$303-(Sens!$G$305+Sens!$G$306)</f>
        <v>0</v>
      </c>
      <c r="H370" s="39" t="n">
        <f aca="false">Sens!$H$303-(Sens!$H$305+Sens!$H$306)</f>
        <v>0</v>
      </c>
      <c r="I370" s="39" t="n">
        <f aca="false">Sens!$I$303-(Sens!$I$305+Sens!$I$306)</f>
        <v>0</v>
      </c>
      <c r="J370" s="39" t="n">
        <f aca="false">Sens!$J$303-(Sens!$J$305+Sens!$J$306)</f>
        <v>0</v>
      </c>
      <c r="K370" s="39" t="n">
        <f aca="false">Sens!$K$303-(Sens!$K$305+Sens!$K$306)</f>
        <v>0</v>
      </c>
      <c r="L370" s="39" t="n">
        <f aca="false">Sens!$L$303-(Sens!$L$305+Sens!$L$306)</f>
        <v>0</v>
      </c>
      <c r="M370" s="39" t="n">
        <f aca="false">Sens!$M$303-(Sens!$M$305+Sens!$M$306)</f>
        <v>0</v>
      </c>
      <c r="N370" s="39" t="n">
        <f aca="false">Sens!$N$303-(Sens!$N$305+Sens!$N$306)</f>
        <v>0</v>
      </c>
      <c r="O370" s="39" t="n">
        <f aca="false">Sens!$O$303-(Sens!$O$305+Sens!$O$306)</f>
        <v>0</v>
      </c>
    </row>
    <row r="371" customFormat="false" ht="17.15" hidden="false" customHeight="false" outlineLevel="0" collapsed="false">
      <c r="A371" s="24" t="s">
        <v>656</v>
      </c>
      <c r="B371" s="25" t="s">
        <v>73</v>
      </c>
      <c r="C371" s="39" t="n">
        <f aca="false">Sens!$C$366+Sens!$C$367-Sens!$C$368</f>
        <v>0</v>
      </c>
      <c r="D371" s="39" t="n">
        <f aca="false">Sens!$D$366+Sens!$D$367-Sens!$D$368</f>
        <v>0</v>
      </c>
      <c r="E371" s="39" t="n">
        <f aca="false">Sens!$E$366+Sens!$E$367-Sens!$E$368</f>
        <v>0</v>
      </c>
      <c r="F371" s="39" t="n">
        <f aca="false">Sens!$F$366+Sens!$F$367-Sens!$F$368</f>
        <v>0</v>
      </c>
      <c r="G371" s="39" t="n">
        <f aca="false">Sens!$G$366+Sens!$G$367-Sens!$G$368</f>
        <v>0</v>
      </c>
      <c r="H371" s="39" t="n">
        <f aca="false">Sens!$H$366+Sens!$H$367-Sens!$H$368</f>
        <v>0</v>
      </c>
      <c r="I371" s="39" t="n">
        <f aca="false">Sens!$I$366+Sens!$I$367-Sens!$I$368</f>
        <v>0</v>
      </c>
      <c r="J371" s="39" t="n">
        <f aca="false">Sens!$J$366+Sens!$J$367-Sens!$J$368</f>
        <v>0</v>
      </c>
      <c r="K371" s="39" t="n">
        <f aca="false">Sens!$K$366+Sens!$K$367-Sens!$K$368</f>
        <v>0</v>
      </c>
      <c r="L371" s="39" t="n">
        <f aca="false">Sens!$L$366+Sens!$L$367-Sens!$L$368</f>
        <v>0</v>
      </c>
      <c r="M371" s="39" t="n">
        <f aca="false">Sens!$M$366+Sens!$M$367-Sens!$M$368</f>
        <v>0</v>
      </c>
      <c r="N371" s="39" t="n">
        <f aca="false">Sens!$N$366+Sens!$N$367-Sens!$N$368</f>
        <v>0</v>
      </c>
      <c r="O371" s="39" t="n">
        <f aca="false">Sens!$O$366+Sens!$O$367-Sens!$O$368</f>
        <v>0</v>
      </c>
    </row>
    <row r="372" customFormat="false" ht="17.15" hidden="false" customHeight="false" outlineLevel="0" collapsed="false">
      <c r="A372" s="24" t="s">
        <v>657</v>
      </c>
      <c r="B372" s="25" t="s">
        <v>73</v>
      </c>
      <c r="C372" s="39" t="n">
        <f aca="false">Sens!$C$305+Sens!$C$306+Sens!$C$368-Sens!$C$369</f>
        <v>0</v>
      </c>
      <c r="D372" s="39" t="n">
        <f aca="false">Sens!$D$305+Sens!$D$306+Sens!$D$368-Sens!$D$369</f>
        <v>0</v>
      </c>
      <c r="E372" s="39" t="n">
        <f aca="false">Sens!$E$305+Sens!$E$306+Sens!$E$368-Sens!$E$369</f>
        <v>0</v>
      </c>
      <c r="F372" s="39" t="n">
        <f aca="false">Sens!$F$305+Sens!$F$306+Sens!$F$368-Sens!$F$369</f>
        <v>0</v>
      </c>
      <c r="G372" s="39" t="n">
        <f aca="false">Sens!$G$305+Sens!$G$306+Sens!$G$368-Sens!$G$369</f>
        <v>0</v>
      </c>
      <c r="H372" s="39" t="n">
        <f aca="false">Sens!$H$305+Sens!$H$306+Sens!$H$368-Sens!$H$369</f>
        <v>0</v>
      </c>
      <c r="I372" s="39" t="n">
        <f aca="false">Sens!$I$305+Sens!$I$306+Sens!$I$368-Sens!$I$369</f>
        <v>0</v>
      </c>
      <c r="J372" s="39" t="n">
        <f aca="false">Sens!$J$305+Sens!$J$306+Sens!$J$368-Sens!$J$369</f>
        <v>0</v>
      </c>
      <c r="K372" s="39" t="n">
        <f aca="false">Sens!$K$305+Sens!$K$306+Sens!$K$368-Sens!$K$369</f>
        <v>0</v>
      </c>
      <c r="L372" s="39" t="n">
        <f aca="false">Sens!$L$305+Sens!$L$306+Sens!$L$368-Sens!$L$369</f>
        <v>0</v>
      </c>
      <c r="M372" s="39" t="n">
        <f aca="false">Sens!$M$305+Sens!$M$306+Sens!$M$368-Sens!$M$369</f>
        <v>0</v>
      </c>
      <c r="N372" s="39" t="n">
        <f aca="false">Sens!$N$305+Sens!$N$306+Sens!$N$368-Sens!$N$369</f>
        <v>0</v>
      </c>
      <c r="O372" s="39" t="n">
        <f aca="false">Sens!$O$305+Sens!$O$306+Sens!$O$368-Sens!$O$369</f>
        <v>0</v>
      </c>
    </row>
    <row r="373" customFormat="false" ht="15" hidden="false" customHeight="false" outlineLevel="0" collapsed="false">
      <c r="A373" s="5" t="s">
        <v>651</v>
      </c>
      <c r="B373" s="0" t="s">
        <v>52</v>
      </c>
      <c r="G373" s="12" t="n">
        <f aca="false">Sens!$G$369/Sens!$D$369-1</f>
        <v>0.160225988996642</v>
      </c>
      <c r="H373" s="12" t="n">
        <f aca="false">Sens!$H$369/Sens!$G$369-1</f>
        <v>0.159243459840266</v>
      </c>
      <c r="I373" s="12" t="n">
        <f aca="false">Sens!$I$369/Sens!$H$369-1</f>
        <v>0.137404102983676</v>
      </c>
      <c r="J373" s="12" t="n">
        <f aca="false">Sens!$J$369/Sens!$I$369-1</f>
        <v>0.1128086302387</v>
      </c>
      <c r="K373" s="12" t="n">
        <f aca="false">Sens!$K$369/Sens!$J$369-1</f>
        <v>0.0895673978287874</v>
      </c>
      <c r="L373" s="12" t="n">
        <f aca="false">Sens!$L$369/Sens!$K$369-1</f>
        <v>0.0862977487540833</v>
      </c>
      <c r="M373" s="12" t="n">
        <f aca="false">Sens!$M$369/Sens!$L$369-1</f>
        <v>0.0834902927853387</v>
      </c>
    </row>
    <row r="374" customFormat="false" ht="17.15" hidden="false" customHeight="false" outlineLevel="0" collapsed="false">
      <c r="A374" s="0" t="s">
        <v>652</v>
      </c>
      <c r="B374" s="0" t="s">
        <v>52</v>
      </c>
      <c r="C374" s="12" t="n">
        <f aca="false">Sens!$C$368/Sens!$C$369</f>
        <v>0.168593906504964</v>
      </c>
      <c r="D374" s="12" t="n">
        <f aca="false">Sens!$D$368/Sens!$D$369</f>
        <v>0.179551807444025</v>
      </c>
      <c r="E374" s="12" t="n">
        <f aca="false">Sens!$E$368/Sens!$E$369</f>
        <v>0.208881910369643</v>
      </c>
      <c r="F374" s="12" t="n">
        <f aca="false">Sens!$F$368/Sens!$F$369</f>
        <v>0.206223816252223</v>
      </c>
      <c r="G374" s="12" t="n">
        <f aca="false">Sens!$G$368/Sens!$G$369</f>
        <v>0.207444941181375</v>
      </c>
      <c r="H374" s="12" t="n">
        <f aca="false">Sens!$H$368/Sens!$H$369</f>
        <v>0.243002815592139</v>
      </c>
      <c r="I374" s="12" t="n">
        <f aca="false">Sens!$I$368/Sens!$I$369</f>
        <v>0.272122046278413</v>
      </c>
      <c r="J374" s="12" t="n">
        <f aca="false">Sens!$J$368/Sens!$J$369</f>
        <v>0.293927963008676</v>
      </c>
      <c r="K374" s="12" t="n">
        <f aca="false">Sens!$K$368/Sens!$K$369</f>
        <v>0.309992919531569</v>
      </c>
      <c r="L374" s="12" t="n">
        <f aca="false">Sens!$L$368/Sens!$L$369</f>
        <v>0.323461283873519</v>
      </c>
      <c r="M374" s="12" t="n">
        <f aca="false">Sens!$M$368/Sens!$M$369</f>
        <v>0.334747731791979</v>
      </c>
      <c r="N374" s="12" t="n">
        <f aca="false">Sens!$N$368/Sens!$N$369</f>
        <v>0.185979484737251</v>
      </c>
      <c r="O374" s="12" t="n">
        <f aca="false">Sens!$O$368/Sens!$O$369</f>
        <v>0.174270432341096</v>
      </c>
    </row>
    <row r="375" customFormat="false" ht="17.15" hidden="false" customHeight="false" outlineLevel="0" collapsed="false">
      <c r="A375" s="0" t="s">
        <v>653</v>
      </c>
      <c r="B375" s="0" t="s">
        <v>52</v>
      </c>
      <c r="C375" s="12" t="n">
        <f aca="false">Sens!$C$366/Sens!$C$368</f>
        <v>0.0215795060896058</v>
      </c>
      <c r="D375" s="12" t="n">
        <f aca="false">Sens!$D$366/Sens!$D$368</f>
        <v>0.0676152269462122</v>
      </c>
      <c r="E375" s="12" t="n">
        <f aca="false">Sens!$E$366/Sens!$E$368</f>
        <v>0.106620641395783</v>
      </c>
      <c r="F375" s="12" t="n">
        <f aca="false">Sens!$F$366/Sens!$F$368</f>
        <v>0.15245386813288</v>
      </c>
      <c r="G375" s="12" t="n">
        <f aca="false">Sens!$G$366/Sens!$G$368</f>
        <v>0.131252291460235</v>
      </c>
      <c r="H375" s="12" t="n">
        <f aca="false">Sens!$H$366/Sens!$H$368</f>
        <v>0.227992643167849</v>
      </c>
      <c r="I375" s="12" t="n">
        <f aca="false">Sens!$I$366/Sens!$I$368</f>
        <v>0.294187610733237</v>
      </c>
      <c r="J375" s="12" t="n">
        <f aca="false">Sens!$J$366/Sens!$J$368</f>
        <v>0.341009847059336</v>
      </c>
      <c r="K375" s="12" t="n">
        <f aca="false">Sens!$K$366/Sens!$K$368</f>
        <v>0.380647761726168</v>
      </c>
      <c r="L375" s="12" t="n">
        <f aca="false">Sens!$L$366/Sens!$L$368</f>
        <v>0.409877660136044</v>
      </c>
      <c r="M375" s="12" t="n">
        <f aca="false">Sens!$M$366/Sens!$M$368</f>
        <v>0.431611281296371</v>
      </c>
      <c r="N375" s="12" t="n">
        <f aca="false">Sens!$N$366/Sens!$N$368</f>
        <v>0.0506537999838362</v>
      </c>
      <c r="O375" s="12" t="n">
        <f aca="false">Sens!$O$366/Sens!$O$368</f>
        <v>0.0824881615167056</v>
      </c>
    </row>
    <row r="378" customFormat="false" ht="19.4" hidden="false" customHeight="false" outlineLevel="0" collapsed="false">
      <c r="A378" s="31" t="s">
        <v>1050</v>
      </c>
    </row>
    <row r="379" customFormat="false" ht="17.15" hidden="false" customHeight="false" outlineLevel="0" collapsed="false">
      <c r="A379" s="6" t="s">
        <v>16</v>
      </c>
      <c r="B379" s="6" t="s">
        <v>17</v>
      </c>
      <c r="C379" s="20" t="s">
        <v>457</v>
      </c>
      <c r="D379" s="20" t="s">
        <v>458</v>
      </c>
      <c r="E379" s="20" t="s">
        <v>540</v>
      </c>
      <c r="F379" s="20" t="s">
        <v>541</v>
      </c>
      <c r="G379" s="20" t="s">
        <v>542</v>
      </c>
      <c r="H379" s="20" t="s">
        <v>543</v>
      </c>
      <c r="I379" s="20" t="s">
        <v>544</v>
      </c>
      <c r="J379" s="20" t="s">
        <v>545</v>
      </c>
      <c r="K379" s="20" t="s">
        <v>546</v>
      </c>
      <c r="L379" s="20" t="s">
        <v>547</v>
      </c>
      <c r="M379" s="20" t="s">
        <v>548</v>
      </c>
      <c r="N379" s="20" t="s">
        <v>549</v>
      </c>
      <c r="O379" s="20" t="s">
        <v>550</v>
      </c>
      <c r="P379" s="6" t="s">
        <v>23</v>
      </c>
      <c r="R379" s="20" t="n">
        <v>2023</v>
      </c>
      <c r="S379" s="20" t="n">
        <v>2024</v>
      </c>
      <c r="T379" s="20" t="n">
        <v>2025</v>
      </c>
      <c r="U379" s="20" t="n">
        <v>2026</v>
      </c>
      <c r="V379" s="20" t="n">
        <v>2027</v>
      </c>
      <c r="W379" s="20" t="n">
        <v>2028</v>
      </c>
      <c r="X379" s="20" t="n">
        <v>2029</v>
      </c>
      <c r="Y379" s="20" t="n">
        <v>2030</v>
      </c>
      <c r="Z379" s="20" t="n">
        <v>2031</v>
      </c>
      <c r="AA379" s="20" t="n">
        <v>2032</v>
      </c>
    </row>
    <row r="380" customFormat="false" ht="17.15" hidden="false" customHeight="false" outlineLevel="0" collapsed="false">
      <c r="A380" s="1" t="s">
        <v>668</v>
      </c>
    </row>
    <row r="381" customFormat="false" ht="15" hidden="false" customHeight="false" outlineLevel="0" collapsed="false">
      <c r="A381" s="0" t="s">
        <v>479</v>
      </c>
      <c r="B381" s="0" t="s">
        <v>73</v>
      </c>
      <c r="C381" s="38" t="n">
        <f aca="false">Sens!$C$291</f>
        <v>247.029</v>
      </c>
      <c r="D381" s="38" t="n">
        <f aca="false">Sens!$D$291</f>
        <v>269.287</v>
      </c>
      <c r="E381" s="38" t="n">
        <f aca="false">Sens!$E$291</f>
        <v>134.686</v>
      </c>
      <c r="F381" s="38" t="n">
        <f aca="false">Sens!$F$291</f>
        <v>160.728085930082</v>
      </c>
      <c r="G381" s="38" t="n">
        <f aca="false">Sens!$G$291</f>
        <v>295.414085930082</v>
      </c>
      <c r="H381" s="38" t="n">
        <f aca="false">Sens!$H$291</f>
        <v>320.828163943375</v>
      </c>
      <c r="I381" s="38" t="n">
        <f aca="false">Sens!$I$291</f>
        <v>344.575578072228</v>
      </c>
      <c r="J381" s="38" t="n">
        <f aca="false">Sens!$J$291</f>
        <v>365.942555779681</v>
      </c>
      <c r="K381" s="38" t="n">
        <f aca="false">Sens!$K$291</f>
        <v>384.239683568665</v>
      </c>
      <c r="L381" s="38" t="n">
        <f aca="false">Sens!$L$291</f>
        <v>403.451667747098</v>
      </c>
      <c r="M381" s="38" t="n">
        <f aca="false">Sens!$M$291</f>
        <v>423.624251134453</v>
      </c>
      <c r="N381" s="38" t="n">
        <f aca="false">Sens!$N$291</f>
        <v>118.892</v>
      </c>
      <c r="O381" s="38" t="n">
        <f aca="false">Sens!$O$291</f>
        <v>150.395</v>
      </c>
    </row>
    <row r="382" customFormat="false" ht="15" hidden="false" customHeight="false" outlineLevel="0" collapsed="false">
      <c r="A382" s="0" t="s">
        <v>480</v>
      </c>
      <c r="B382" s="0" t="s">
        <v>73</v>
      </c>
      <c r="C382" s="38" t="n">
        <f aca="false">Sens!$C$293</f>
        <v>21.215</v>
      </c>
      <c r="D382" s="38" t="n">
        <f aca="false">Sens!$D$293</f>
        <v>22.561</v>
      </c>
      <c r="E382" s="38" t="n">
        <f aca="false">Sens!$E$293</f>
        <v>11.579</v>
      </c>
      <c r="F382" s="38" t="n">
        <f aca="false">Sens!$F$293</f>
        <v>12.0952613121125</v>
      </c>
      <c r="G382" s="38" t="n">
        <f aca="false">Sens!$G$293</f>
        <v>23.6742613121125</v>
      </c>
      <c r="H382" s="38" t="n">
        <f aca="false">Sens!$H$293</f>
        <v>24.8803243963206</v>
      </c>
      <c r="I382" s="38" t="n">
        <f aca="false">Sens!$I$293</f>
        <v>25.9741308664154</v>
      </c>
      <c r="J382" s="38" t="n">
        <f aca="false">Sens!$J$293</f>
        <v>26.9346894124267</v>
      </c>
      <c r="K382" s="38" t="n">
        <f aca="false">Sens!$K$293</f>
        <v>27.7427300947995</v>
      </c>
      <c r="L382" s="38" t="n">
        <f aca="false">Sens!$L$293</f>
        <v>28.5750119976435</v>
      </c>
      <c r="M382" s="38" t="n">
        <f aca="false">Sens!$M$293</f>
        <v>29.4322623575728</v>
      </c>
      <c r="N382" s="38" t="n">
        <f aca="false">Sens!$N$293</f>
        <v>11.128</v>
      </c>
      <c r="O382" s="38" t="n">
        <f aca="false">Sens!$O$293</f>
        <v>11.433</v>
      </c>
    </row>
    <row r="383" customFormat="false" ht="15" hidden="false" customHeight="false" outlineLevel="0" collapsed="false">
      <c r="A383" s="0" t="s">
        <v>481</v>
      </c>
      <c r="B383" s="0" t="s">
        <v>73</v>
      </c>
      <c r="C383" s="38" t="n">
        <f aca="false">Sens!$C$295</f>
        <v>156.146</v>
      </c>
      <c r="D383" s="38" t="n">
        <f aca="false">Sens!$D$295</f>
        <v>172.162</v>
      </c>
      <c r="E383" s="38" t="n">
        <f aca="false">Sens!$E$295</f>
        <v>88.358</v>
      </c>
      <c r="F383" s="38" t="n">
        <f aca="false">Sens!$F$295</f>
        <v>103.62028337149</v>
      </c>
      <c r="G383" s="38" t="n">
        <f aca="false">Sens!$G$295</f>
        <v>191.97828337149</v>
      </c>
      <c r="H383" s="38" t="n">
        <f aca="false">Sens!$H$295</f>
        <v>212.128608444755</v>
      </c>
      <c r="I383" s="38" t="n">
        <f aca="false">Sens!$I$295</f>
        <v>231.92183134134</v>
      </c>
      <c r="J383" s="38" t="n">
        <f aca="false">Sens!$J$295</f>
        <v>250.859136487863</v>
      </c>
      <c r="K383" s="38" t="n">
        <f aca="false">Sens!$K$295</f>
        <v>268.419276042014</v>
      </c>
      <c r="L383" s="38" t="n">
        <f aca="false">Sens!$L$295</f>
        <v>287.208625364954</v>
      </c>
      <c r="M383" s="38" t="n">
        <f aca="false">Sens!$M$295</f>
        <v>307.313229140501</v>
      </c>
      <c r="N383" s="38" t="n">
        <f aca="false">Sens!$N$295</f>
        <v>76.86</v>
      </c>
      <c r="O383" s="38" t="n">
        <f aca="false">Sens!$O$295</f>
        <v>95.302</v>
      </c>
    </row>
    <row r="384" customFormat="false" ht="15" hidden="false" customHeight="false" outlineLevel="0" collapsed="false">
      <c r="A384" s="0" t="s">
        <v>482</v>
      </c>
      <c r="B384" s="0" t="s">
        <v>73</v>
      </c>
      <c r="C384" s="38" t="n">
        <f aca="false">Sens!$C$297</f>
        <v>56.214</v>
      </c>
      <c r="D384" s="38" t="n">
        <f aca="false">Sens!$D$297</f>
        <v>68.635</v>
      </c>
      <c r="E384" s="38" t="n">
        <f aca="false">Sens!$E$297</f>
        <v>37.052</v>
      </c>
      <c r="F384" s="38" t="n">
        <f aca="false">Sens!$F$297</f>
        <v>48.1533381827382</v>
      </c>
      <c r="G384" s="38" t="n">
        <f aca="false">Sens!$G$297</f>
        <v>85.2053381827382</v>
      </c>
      <c r="H384" s="38" t="n">
        <f aca="false">Sens!$H$297</f>
        <v>102.29336185894</v>
      </c>
      <c r="I384" s="38" t="n">
        <f aca="false">Sens!$I$297</f>
        <v>119.379837585241</v>
      </c>
      <c r="J384" s="38" t="n">
        <f aca="false">Sens!$J$297</f>
        <v>135.319079048844</v>
      </c>
      <c r="K384" s="38" t="n">
        <f aca="false">Sens!$K$297</f>
        <v>148.850986953729</v>
      </c>
      <c r="L384" s="38" t="n">
        <f aca="false">Sens!$L$297</f>
        <v>163.736085649102</v>
      </c>
      <c r="M384" s="38" t="n">
        <f aca="false">Sens!$M$297</f>
        <v>180.109694214012</v>
      </c>
      <c r="N384" s="38" t="n">
        <f aca="false">Sens!$N$297</f>
        <v>29.615</v>
      </c>
      <c r="O384" s="38" t="n">
        <f aca="false">Sens!$O$297</f>
        <v>39.02</v>
      </c>
    </row>
    <row r="385" customFormat="false" ht="15" hidden="false" customHeight="false" outlineLevel="0" collapsed="false">
      <c r="A385" s="0" t="s">
        <v>483</v>
      </c>
      <c r="B385" s="0" t="s">
        <v>73</v>
      </c>
      <c r="C385" s="38" t="n">
        <f aca="false">Sens!$C$299</f>
        <v>44.374</v>
      </c>
      <c r="D385" s="38" t="n">
        <f aca="false">Sens!$D$299</f>
        <v>49.619</v>
      </c>
      <c r="E385" s="38" t="n">
        <f aca="false">Sens!$E$299</f>
        <v>27.157</v>
      </c>
      <c r="F385" s="38" t="n">
        <f aca="false">Sens!$F$299</f>
        <v>28.9776360923374</v>
      </c>
      <c r="G385" s="38" t="n">
        <f aca="false">Sens!$G$299</f>
        <v>56.1346360923374</v>
      </c>
      <c r="H385" s="38" t="n">
        <f aca="false">Sens!$H$299</f>
        <v>62.4937078946075</v>
      </c>
      <c r="I385" s="38" t="n">
        <f aca="false">Sens!$I$299</f>
        <v>68.6715233062498</v>
      </c>
      <c r="J385" s="38" t="n">
        <f aca="false">Sens!$J$299</f>
        <v>74.4692882949818</v>
      </c>
      <c r="K385" s="38" t="n">
        <f aca="false">Sens!$K$299</f>
        <v>79.6821384756306</v>
      </c>
      <c r="L385" s="38" t="n">
        <f aca="false">Sens!$L$299</f>
        <v>85.2598881689247</v>
      </c>
      <c r="M385" s="38" t="n">
        <f aca="false">Sens!$M$299</f>
        <v>91.2280803407494</v>
      </c>
      <c r="N385" s="38" t="n">
        <f aca="false">Sens!$N$299</f>
        <v>23.923</v>
      </c>
      <c r="O385" s="38" t="n">
        <f aca="false">Sens!$O$299</f>
        <v>25.696</v>
      </c>
    </row>
    <row r="386" customFormat="false" ht="15" hidden="false" customHeight="false" outlineLevel="0" collapsed="false">
      <c r="A386" s="0" t="s">
        <v>484</v>
      </c>
      <c r="B386" s="0" t="s">
        <v>73</v>
      </c>
      <c r="C386" s="38" t="n">
        <f aca="false">Sens!$C$301</f>
        <v>5.425</v>
      </c>
      <c r="D386" s="38" t="n">
        <f aca="false">Sens!$D$301</f>
        <v>5.935</v>
      </c>
      <c r="E386" s="38" t="n">
        <f aca="false">Sens!$E$301</f>
        <v>3.474</v>
      </c>
      <c r="F386" s="38" t="n">
        <f aca="false">Sens!$F$301</f>
        <v>3.36182431966931</v>
      </c>
      <c r="G386" s="38" t="n">
        <f aca="false">Sens!$G$301</f>
        <v>6.83582431966931</v>
      </c>
      <c r="H386" s="38" t="n">
        <f aca="false">Sens!$H$301</f>
        <v>7.31157108370141</v>
      </c>
      <c r="I386" s="38" t="n">
        <f aca="false">Sens!$I$301</f>
        <v>7.77266852639815</v>
      </c>
      <c r="J386" s="38" t="n">
        <f aca="false">Sens!$J$301</f>
        <v>8.2120733019884</v>
      </c>
      <c r="K386" s="38" t="n">
        <f aca="false">Sens!$K$301</f>
        <v>8.62267696708783</v>
      </c>
      <c r="L386" s="38" t="n">
        <f aca="false">Sens!$L$301</f>
        <v>9.05381081544222</v>
      </c>
      <c r="M386" s="38" t="n">
        <f aca="false">Sens!$M$301</f>
        <v>9.50650135621433</v>
      </c>
      <c r="N386" s="38" t="n">
        <f aca="false">Sens!$N$301</f>
        <v>2.811</v>
      </c>
      <c r="O386" s="38" t="n">
        <f aca="false">Sens!$O$301</f>
        <v>3.124</v>
      </c>
    </row>
    <row r="387" customFormat="false" ht="17.15" hidden="false" customHeight="false" outlineLevel="0" collapsed="false">
      <c r="A387" s="0" t="s">
        <v>669</v>
      </c>
      <c r="B387" s="0" t="s">
        <v>73</v>
      </c>
      <c r="C387" s="38" t="n">
        <f aca="false">Sens!$C$368</f>
        <v>107.556</v>
      </c>
      <c r="D387" s="38" t="n">
        <f aca="false">Sens!$D$368</f>
        <v>128.725</v>
      </c>
      <c r="E387" s="38" t="n">
        <f aca="false">Sens!$E$368</f>
        <v>79.819</v>
      </c>
      <c r="F387" s="38" t="n">
        <f aca="false">Sens!$F$368</f>
        <v>92.7324277269991</v>
      </c>
      <c r="G387" s="38" t="n">
        <f aca="false">Sens!$G$368</f>
        <v>172.551427726999</v>
      </c>
      <c r="H387" s="38" t="n">
        <f aca="false">Sens!$H$368</f>
        <v>234.315850966005</v>
      </c>
      <c r="I387" s="38" t="n">
        <f aca="false">Sens!$I$368</f>
        <v>298.448143470312</v>
      </c>
      <c r="J387" s="38" t="n">
        <f aca="false">Sens!$J$368</f>
        <v>358.729046847807</v>
      </c>
      <c r="K387" s="38" t="n">
        <f aca="false">Sens!$K$368</f>
        <v>412.222329112395</v>
      </c>
      <c r="L387" s="38" t="n">
        <f aca="false">Sens!$L$368</f>
        <v>467.251736380559</v>
      </c>
      <c r="M387" s="38" t="n">
        <f aca="false">Sens!$M$368</f>
        <v>523.927610132494</v>
      </c>
      <c r="N387" s="38" t="n">
        <f aca="false">Sens!$N$368</f>
        <v>60.14</v>
      </c>
      <c r="O387" s="38" t="n">
        <f aca="false">Sens!$O$368</f>
        <v>68.585</v>
      </c>
    </row>
    <row r="388" customFormat="false" ht="15" hidden="false" customHeight="false" outlineLevel="0" collapsed="false">
      <c r="A388" s="1" t="s">
        <v>472</v>
      </c>
      <c r="B388" s="8" t="s">
        <v>73</v>
      </c>
      <c r="C388" s="38" t="n">
        <f aca="false">Sens!$C$305</f>
        <v>387.497</v>
      </c>
      <c r="D388" s="38" t="n">
        <f aca="false">Sens!$D$305</f>
        <v>426.305</v>
      </c>
      <c r="E388" s="38" t="n">
        <f aca="false">Sens!$E$305</f>
        <v>220.32</v>
      </c>
      <c r="F388" s="38" t="n">
        <f aca="false">Sens!$F$305</f>
        <v>256.304015003807</v>
      </c>
      <c r="G388" s="38" t="n">
        <f aca="false">Sens!$G$305</f>
        <v>476.624015003807</v>
      </c>
      <c r="H388" s="38" t="n">
        <f aca="false">Sens!$H$305</f>
        <v>527.734391091543</v>
      </c>
      <c r="I388" s="38" t="n">
        <f aca="false">Sens!$I$305</f>
        <v>577.157693029577</v>
      </c>
      <c r="J388" s="38" t="n">
        <f aca="false">Sens!$J$305</f>
        <v>623.024923663827</v>
      </c>
      <c r="K388" s="38" t="n">
        <f aca="false">Sens!$K$305</f>
        <v>663.382568393781</v>
      </c>
      <c r="L388" s="38" t="n">
        <f aca="false">Sens!$L$305</f>
        <v>706.564873010432</v>
      </c>
      <c r="M388" s="38" t="n">
        <f aca="false">Sens!$M$305</f>
        <v>752.784687406019</v>
      </c>
      <c r="N388" s="38" t="n">
        <f aca="false">Sens!$N$305</f>
        <v>192.955</v>
      </c>
      <c r="O388" s="38" t="n">
        <f aca="false">Sens!$O$305</f>
        <v>233.35</v>
      </c>
    </row>
    <row r="389" customFormat="false" ht="15" hidden="false" customHeight="false" outlineLevel="0" collapsed="false">
      <c r="A389" s="1" t="s">
        <v>475</v>
      </c>
      <c r="B389" s="8" t="s">
        <v>73</v>
      </c>
      <c r="C389" s="38" t="n">
        <f aca="false">Sens!$C$306</f>
        <v>142.906</v>
      </c>
      <c r="D389" s="38" t="n">
        <f aca="false">Sens!$D$306</f>
        <v>161.894</v>
      </c>
      <c r="E389" s="38" t="n">
        <f aca="false">Sens!$E$306</f>
        <v>81.986</v>
      </c>
      <c r="F389" s="38" t="n">
        <f aca="false">Sens!$F$306</f>
        <v>100.632414204623</v>
      </c>
      <c r="G389" s="38" t="n">
        <f aca="false">Sens!$G$306</f>
        <v>182.618414204623</v>
      </c>
      <c r="H389" s="38" t="n">
        <f aca="false">Sens!$H$306</f>
        <v>202.201346530158</v>
      </c>
      <c r="I389" s="38" t="n">
        <f aca="false">Sens!$I$306</f>
        <v>221.137876668296</v>
      </c>
      <c r="J389" s="38" t="n">
        <f aca="false">Sens!$J$306</f>
        <v>238.711898661958</v>
      </c>
      <c r="K389" s="38" t="n">
        <f aca="false">Sens!$K$306</f>
        <v>254.174923708144</v>
      </c>
      <c r="L389" s="38" t="n">
        <f aca="false">Sens!$L$306</f>
        <v>270.720216732733</v>
      </c>
      <c r="M389" s="38" t="n">
        <f aca="false">Sens!$M$306</f>
        <v>288.429331137484</v>
      </c>
      <c r="N389" s="38" t="n">
        <f aca="false">Sens!$N$306</f>
        <v>70.274</v>
      </c>
      <c r="O389" s="38" t="n">
        <f aca="false">Sens!$O$306</f>
        <v>91.62</v>
      </c>
    </row>
    <row r="390" customFormat="false" ht="15" hidden="false" customHeight="false" outlineLevel="0" collapsed="false">
      <c r="A390" s="1" t="s">
        <v>476</v>
      </c>
      <c r="B390" s="8" t="s">
        <v>73</v>
      </c>
      <c r="C390" s="38" t="n">
        <f aca="false">Sens!$C$368</f>
        <v>107.556</v>
      </c>
      <c r="D390" s="38" t="n">
        <f aca="false">Sens!$D$368</f>
        <v>128.725</v>
      </c>
      <c r="E390" s="38" t="n">
        <f aca="false">Sens!$E$368</f>
        <v>79.819</v>
      </c>
      <c r="F390" s="38" t="n">
        <f aca="false">Sens!$F$368</f>
        <v>92.7324277269991</v>
      </c>
      <c r="G390" s="38" t="n">
        <f aca="false">Sens!$G$368</f>
        <v>172.551427726999</v>
      </c>
      <c r="H390" s="38" t="n">
        <f aca="false">Sens!$H$368</f>
        <v>234.315850966005</v>
      </c>
      <c r="I390" s="38" t="n">
        <f aca="false">Sens!$I$368</f>
        <v>298.448143470312</v>
      </c>
      <c r="J390" s="38" t="n">
        <f aca="false">Sens!$J$368</f>
        <v>358.729046847807</v>
      </c>
      <c r="K390" s="38" t="n">
        <f aca="false">Sens!$K$368</f>
        <v>412.222329112395</v>
      </c>
      <c r="L390" s="38" t="n">
        <f aca="false">Sens!$L$368</f>
        <v>467.251736380559</v>
      </c>
      <c r="M390" s="38" t="n">
        <f aca="false">Sens!$M$368</f>
        <v>523.927610132494</v>
      </c>
      <c r="N390" s="38" t="n">
        <f aca="false">Sens!$N$368</f>
        <v>60.14</v>
      </c>
      <c r="O390" s="38" t="n">
        <f aca="false">Sens!$O$368</f>
        <v>68.585</v>
      </c>
    </row>
    <row r="391" customFormat="false" ht="17.15" hidden="false" customHeight="false" outlineLevel="0" collapsed="false">
      <c r="A391" s="0" t="s">
        <v>643</v>
      </c>
      <c r="B391" s="0" t="s">
        <v>73</v>
      </c>
      <c r="C391" s="38" t="n">
        <f aca="false">Sens!$C$366</f>
        <v>2.32100535697364</v>
      </c>
      <c r="D391" s="38" t="n">
        <f aca="false">Sens!$D$366</f>
        <v>8.70377008865116</v>
      </c>
      <c r="E391" s="38" t="n">
        <f aca="false">Sens!$E$366</f>
        <v>8.51035297557002</v>
      </c>
      <c r="F391" s="38" t="n">
        <f aca="false">Sens!$F$366</f>
        <v>14.1374173083338</v>
      </c>
      <c r="G391" s="38" t="n">
        <f aca="false">Sens!$G$366</f>
        <v>22.6477702839038</v>
      </c>
      <c r="H391" s="38" t="n">
        <f aca="false">Sens!$H$366</f>
        <v>53.4222901978634</v>
      </c>
      <c r="I391" s="38" t="n">
        <f aca="false">Sens!$I$366</f>
        <v>87.7997462553011</v>
      </c>
      <c r="J391" s="38" t="n">
        <f aca="false">Sens!$J$366</f>
        <v>122.330137401312</v>
      </c>
      <c r="K391" s="38" t="n">
        <f aca="false">Sens!$K$366</f>
        <v>156.911506910181</v>
      </c>
      <c r="L391" s="38" t="n">
        <f aca="false">Sens!$L$366</f>
        <v>191.516048402167</v>
      </c>
      <c r="M391" s="38" t="n">
        <f aca="false">Sens!$M$366</f>
        <v>226.133067115831</v>
      </c>
      <c r="N391" s="38" t="n">
        <f aca="false">Sens!$N$366</f>
        <v>3.04631953102791</v>
      </c>
      <c r="O391" s="38" t="n">
        <f aca="false">Sens!$O$366</f>
        <v>5.65745055762326</v>
      </c>
    </row>
    <row r="392" customFormat="false" ht="17.15" hidden="false" customHeight="false" outlineLevel="0" collapsed="false">
      <c r="A392" s="0" t="s">
        <v>645</v>
      </c>
      <c r="B392" s="0" t="s">
        <v>73</v>
      </c>
      <c r="C392" s="38" t="n">
        <f aca="false">Sens!$C$367</f>
        <v>105.234994643026</v>
      </c>
      <c r="D392" s="38" t="n">
        <f aca="false">Sens!$D$367</f>
        <v>120.021229911349</v>
      </c>
      <c r="E392" s="38" t="n">
        <f aca="false">Sens!$E$367</f>
        <v>71.30864702443</v>
      </c>
      <c r="F392" s="38" t="n">
        <f aca="false">Sens!$F$367</f>
        <v>78.5950104186653</v>
      </c>
      <c r="G392" s="38" t="n">
        <f aca="false">Sens!$G$367</f>
        <v>149.903657443095</v>
      </c>
      <c r="H392" s="38" t="n">
        <f aca="false">Sens!$H$367</f>
        <v>180.893560768142</v>
      </c>
      <c r="I392" s="38" t="n">
        <f aca="false">Sens!$I$367</f>
        <v>210.64839721501</v>
      </c>
      <c r="J392" s="38" t="n">
        <f aca="false">Sens!$J$367</f>
        <v>236.398909446495</v>
      </c>
      <c r="K392" s="38" t="n">
        <f aca="false">Sens!$K$367</f>
        <v>255.310822202215</v>
      </c>
      <c r="L392" s="38" t="n">
        <f aca="false">Sens!$L$367</f>
        <v>275.735687978392</v>
      </c>
      <c r="M392" s="38" t="n">
        <f aca="false">Sens!$M$367</f>
        <v>297.794543016663</v>
      </c>
      <c r="N392" s="38" t="n">
        <f aca="false">Sens!$N$367</f>
        <v>57.0936804689721</v>
      </c>
      <c r="O392" s="38" t="n">
        <f aca="false">Sens!$O$367</f>
        <v>62.9275494423768</v>
      </c>
    </row>
    <row r="393" customFormat="false" ht="15" hidden="false" customHeight="false" outlineLevel="0" collapsed="false">
      <c r="A393" s="3" t="s">
        <v>477</v>
      </c>
      <c r="B393" s="8" t="s">
        <v>73</v>
      </c>
      <c r="C393" s="38" t="n">
        <f aca="false">Sens!$C$369</f>
        <v>637.959</v>
      </c>
      <c r="D393" s="38" t="n">
        <f aca="false">Sens!$D$369</f>
        <v>716.924</v>
      </c>
      <c r="E393" s="38" t="n">
        <f aca="false">Sens!$E$369</f>
        <v>382.125</v>
      </c>
      <c r="F393" s="38" t="n">
        <f aca="false">Sens!$F$369</f>
        <v>449.668856935429</v>
      </c>
      <c r="G393" s="38" t="n">
        <f aca="false">Sens!$G$369</f>
        <v>831.793856935429</v>
      </c>
      <c r="H393" s="38" t="n">
        <f aca="false">Sens!$H$369</f>
        <v>964.251588587706</v>
      </c>
      <c r="I393" s="38" t="n">
        <f aca="false">Sens!$I$369</f>
        <v>1096.74371316818</v>
      </c>
      <c r="J393" s="38" t="n">
        <f aca="false">Sens!$J$369</f>
        <v>1220.46586917359</v>
      </c>
      <c r="K393" s="38" t="n">
        <f aca="false">Sens!$K$369</f>
        <v>1329.77982121432</v>
      </c>
      <c r="L393" s="38" t="n">
        <f aca="false">Sens!$L$369</f>
        <v>1444.53682612372</v>
      </c>
      <c r="M393" s="38" t="n">
        <f aca="false">Sens!$M$369</f>
        <v>1565.141628676</v>
      </c>
      <c r="N393" s="38" t="n">
        <f aca="false">Sens!$N$369</f>
        <v>323.369</v>
      </c>
      <c r="O393" s="38" t="n">
        <f aca="false">Sens!$O$369</f>
        <v>393.555</v>
      </c>
    </row>
    <row r="394" customFormat="false" ht="17.15" hidden="false" customHeight="false" outlineLevel="0" collapsed="false">
      <c r="A394" s="24" t="s">
        <v>655</v>
      </c>
      <c r="B394" s="25" t="s">
        <v>73</v>
      </c>
      <c r="C394" s="39" t="n">
        <f aca="false">Sens!$C$381+Sens!$C$382+Sens!$C$383+Sens!$C$384+Sens!$C$385+Sens!$C$386-(Sens!$C$388+Sens!$C$389)</f>
        <v>0</v>
      </c>
      <c r="D394" s="39" t="n">
        <f aca="false">Sens!$D$381+Sens!$D$382+Sens!$D$383+Sens!$D$384+Sens!$D$385+Sens!$D$386-(Sens!$D$388+Sens!$D$389)</f>
        <v>0</v>
      </c>
      <c r="E394" s="39" t="n">
        <f aca="false">Sens!$E$381+Sens!$E$382+Sens!$E$383+Sens!$E$384+Sens!$E$385+Sens!$E$386-(Sens!$E$388+Sens!$E$389)</f>
        <v>0</v>
      </c>
      <c r="F394" s="39" t="n">
        <f aca="false">Sens!$F$381+Sens!$F$382+Sens!$F$383+Sens!$F$384+Sens!$F$385+Sens!$F$386-(Sens!$F$388+Sens!$F$389)</f>
        <v>0</v>
      </c>
      <c r="G394" s="39" t="n">
        <f aca="false">Sens!$G$381+Sens!$G$382+Sens!$G$383+Sens!$G$384+Sens!$G$385+Sens!$G$386-(Sens!$G$388+Sens!$G$389)</f>
        <v>0</v>
      </c>
      <c r="H394" s="39" t="n">
        <f aca="false">Sens!$H$381+Sens!$H$382+Sens!$H$383+Sens!$H$384+Sens!$H$385+Sens!$H$386-(Sens!$H$388+Sens!$H$389)</f>
        <v>0</v>
      </c>
      <c r="I394" s="39" t="n">
        <f aca="false">Sens!$I$381+Sens!$I$382+Sens!$I$383+Sens!$I$384+Sens!$I$385+Sens!$I$386-(Sens!$I$388+Sens!$I$389)</f>
        <v>0</v>
      </c>
      <c r="J394" s="39" t="n">
        <f aca="false">Sens!$J$381+Sens!$J$382+Sens!$J$383+Sens!$J$384+Sens!$J$385+Sens!$J$386-(Sens!$J$388+Sens!$J$389)</f>
        <v>0</v>
      </c>
      <c r="K394" s="39" t="n">
        <f aca="false">Sens!$K$381+Sens!$K$382+Sens!$K$383+Sens!$K$384+Sens!$K$385+Sens!$K$386-(Sens!$K$388+Sens!$K$389)</f>
        <v>0</v>
      </c>
      <c r="L394" s="39" t="n">
        <f aca="false">Sens!$L$381+Sens!$L$382+Sens!$L$383+Sens!$L$384+Sens!$L$385+Sens!$L$386-(Sens!$L$388+Sens!$L$389)</f>
        <v>0</v>
      </c>
      <c r="M394" s="39" t="n">
        <f aca="false">Sens!$M$381+Sens!$M$382+Sens!$M$383+Sens!$M$384+Sens!$M$385+Sens!$M$386-(Sens!$M$388+Sens!$M$389)</f>
        <v>0</v>
      </c>
      <c r="N394" s="39" t="n">
        <f aca="false">Sens!$N$381+Sens!$N$382+Sens!$N$383+Sens!$N$384+Sens!$N$385+Sens!$N$386-(Sens!$N$388+Sens!$N$389)</f>
        <v>0</v>
      </c>
      <c r="O394" s="39" t="n">
        <f aca="false">Sens!$O$381+Sens!$O$382+Sens!$O$383+Sens!$O$384+Sens!$O$385+Sens!$O$386-(Sens!$O$388+Sens!$O$389)</f>
        <v>0</v>
      </c>
    </row>
    <row r="395" customFormat="false" ht="17.15" hidden="false" customHeight="false" outlineLevel="0" collapsed="false">
      <c r="A395" s="24" t="s">
        <v>656</v>
      </c>
      <c r="B395" s="25" t="s">
        <v>73</v>
      </c>
      <c r="C395" s="39" t="n">
        <f aca="false">Sens!$C$391+Sens!$C$392-Sens!$C$390</f>
        <v>0</v>
      </c>
      <c r="D395" s="39" t="n">
        <f aca="false">Sens!$D$391+Sens!$D$392-Sens!$D$390</f>
        <v>0</v>
      </c>
      <c r="E395" s="39" t="n">
        <f aca="false">Sens!$E$391+Sens!$E$392-Sens!$E$390</f>
        <v>0</v>
      </c>
      <c r="F395" s="39" t="n">
        <f aca="false">Sens!$F$391+Sens!$F$392-Sens!$F$390</f>
        <v>0</v>
      </c>
      <c r="G395" s="39" t="n">
        <f aca="false">Sens!$G$391+Sens!$G$392-Sens!$G$390</f>
        <v>0</v>
      </c>
      <c r="H395" s="39" t="n">
        <f aca="false">Sens!$H$391+Sens!$H$392-Sens!$H$390</f>
        <v>0</v>
      </c>
      <c r="I395" s="39" t="n">
        <f aca="false">Sens!$I$391+Sens!$I$392-Sens!$I$390</f>
        <v>0</v>
      </c>
      <c r="J395" s="39" t="n">
        <f aca="false">Sens!$J$391+Sens!$J$392-Sens!$J$390</f>
        <v>0</v>
      </c>
      <c r="K395" s="39" t="n">
        <f aca="false">Sens!$K$391+Sens!$K$392-Sens!$K$390</f>
        <v>0</v>
      </c>
      <c r="L395" s="39" t="n">
        <f aca="false">Sens!$L$391+Sens!$L$392-Sens!$L$390</f>
        <v>0</v>
      </c>
      <c r="M395" s="39" t="n">
        <f aca="false">Sens!$M$391+Sens!$M$392-Sens!$M$390</f>
        <v>0</v>
      </c>
      <c r="N395" s="39" t="n">
        <f aca="false">Sens!$N$391+Sens!$N$392-Sens!$N$390</f>
        <v>0</v>
      </c>
      <c r="O395" s="39" t="n">
        <f aca="false">Sens!$O$391+Sens!$O$392-Sens!$O$390</f>
        <v>0</v>
      </c>
    </row>
    <row r="396" customFormat="false" ht="17.15" hidden="false" customHeight="false" outlineLevel="0" collapsed="false">
      <c r="A396" s="24" t="s">
        <v>710</v>
      </c>
      <c r="B396" s="25" t="s">
        <v>73</v>
      </c>
      <c r="C396" s="39" t="n">
        <f aca="false">Sens!$C$381+Sens!$C$382+Sens!$C$383+Sens!$C$384+Sens!$C$385+Sens!$C$386+Sens!$C$387-Sens!$C$393</f>
        <v>0</v>
      </c>
      <c r="D396" s="39" t="n">
        <f aca="false">Sens!$D$381+Sens!$D$382+Sens!$D$383+Sens!$D$384+Sens!$D$385+Sens!$D$386+Sens!$D$387-Sens!$D$393</f>
        <v>0</v>
      </c>
      <c r="E396" s="39" t="n">
        <f aca="false">Sens!$E$381+Sens!$E$382+Sens!$E$383+Sens!$E$384+Sens!$E$385+Sens!$E$386+Sens!$E$387-Sens!$E$393</f>
        <v>0</v>
      </c>
      <c r="F396" s="39" t="n">
        <f aca="false">Sens!$F$381+Sens!$F$382+Sens!$F$383+Sens!$F$384+Sens!$F$385+Sens!$F$386+Sens!$F$387-Sens!$F$393</f>
        <v>0</v>
      </c>
      <c r="G396" s="39" t="n">
        <f aca="false">Sens!$G$381+Sens!$G$382+Sens!$G$383+Sens!$G$384+Sens!$G$385+Sens!$G$386+Sens!$G$387-Sens!$G$393</f>
        <v>0</v>
      </c>
      <c r="H396" s="39" t="n">
        <f aca="false">Sens!$H$381+Sens!$H$382+Sens!$H$383+Sens!$H$384+Sens!$H$385+Sens!$H$386+Sens!$H$387-Sens!$H$393</f>
        <v>0</v>
      </c>
      <c r="I396" s="39" t="n">
        <f aca="false">Sens!$I$381+Sens!$I$382+Sens!$I$383+Sens!$I$384+Sens!$I$385+Sens!$I$386+Sens!$I$387-Sens!$I$393</f>
        <v>0</v>
      </c>
      <c r="J396" s="39" t="n">
        <f aca="false">Sens!$J$381+Sens!$J$382+Sens!$J$383+Sens!$J$384+Sens!$J$385+Sens!$J$386+Sens!$J$387-Sens!$J$393</f>
        <v>0</v>
      </c>
      <c r="K396" s="39" t="n">
        <f aca="false">Sens!$K$381+Sens!$K$382+Sens!$K$383+Sens!$K$384+Sens!$K$385+Sens!$K$386+Sens!$K$387-Sens!$K$393</f>
        <v>0</v>
      </c>
      <c r="L396" s="39" t="n">
        <f aca="false">Sens!$L$381+Sens!$L$382+Sens!$L$383+Sens!$L$384+Sens!$L$385+Sens!$L$386+Sens!$L$387-Sens!$L$393</f>
        <v>0</v>
      </c>
      <c r="M396" s="39" t="n">
        <f aca="false">Sens!$M$381+Sens!$M$382+Sens!$M$383+Sens!$M$384+Sens!$M$385+Sens!$M$386+Sens!$M$387-Sens!$M$393</f>
        <v>0</v>
      </c>
      <c r="N396" s="39" t="n">
        <f aca="false">Sens!$N$381+Sens!$N$382+Sens!$N$383+Sens!$N$384+Sens!$N$385+Sens!$N$386+Sens!$N$387-Sens!$N$393</f>
        <v>0</v>
      </c>
      <c r="O396" s="39" t="n">
        <f aca="false">Sens!$O$381+Sens!$O$382+Sens!$O$383+Sens!$O$384+Sens!$O$385+Sens!$O$386+Sens!$O$387-Sens!$O$393</f>
        <v>0</v>
      </c>
    </row>
    <row r="397" customFormat="false" ht="17.15" hidden="false" customHeight="false" outlineLevel="0" collapsed="false">
      <c r="A397" s="24" t="s">
        <v>657</v>
      </c>
      <c r="B397" s="25" t="s">
        <v>73</v>
      </c>
      <c r="C397" s="39" t="n">
        <f aca="false">Sens!$C$388+Sens!$C$389+Sens!$C$390-Sens!$C$393</f>
        <v>0</v>
      </c>
      <c r="D397" s="39" t="n">
        <f aca="false">Sens!$D$388+Sens!$D$389+Sens!$D$390-Sens!$D$393</f>
        <v>0</v>
      </c>
      <c r="E397" s="39" t="n">
        <f aca="false">Sens!$E$388+Sens!$E$389+Sens!$E$390-Sens!$E$393</f>
        <v>0</v>
      </c>
      <c r="F397" s="39" t="n">
        <f aca="false">Sens!$F$388+Sens!$F$389+Sens!$F$390-Sens!$F$393</f>
        <v>0</v>
      </c>
      <c r="G397" s="39" t="n">
        <f aca="false">Sens!$G$388+Sens!$G$389+Sens!$G$390-Sens!$G$393</f>
        <v>0</v>
      </c>
      <c r="H397" s="39" t="n">
        <f aca="false">Sens!$H$388+Sens!$H$389+Sens!$H$390-Sens!$H$393</f>
        <v>0</v>
      </c>
      <c r="I397" s="39" t="n">
        <f aca="false">Sens!$I$388+Sens!$I$389+Sens!$I$390-Sens!$I$393</f>
        <v>0</v>
      </c>
      <c r="J397" s="39" t="n">
        <f aca="false">Sens!$J$388+Sens!$J$389+Sens!$J$390-Sens!$J$393</f>
        <v>0</v>
      </c>
      <c r="K397" s="39" t="n">
        <f aca="false">Sens!$K$388+Sens!$K$389+Sens!$K$390-Sens!$K$393</f>
        <v>0</v>
      </c>
      <c r="L397" s="39" t="n">
        <f aca="false">Sens!$L$388+Sens!$L$389+Sens!$L$390-Sens!$L$393</f>
        <v>0</v>
      </c>
      <c r="M397" s="39" t="n">
        <f aca="false">Sens!$M$388+Sens!$M$389+Sens!$M$390-Sens!$M$393</f>
        <v>0</v>
      </c>
      <c r="N397" s="39" t="n">
        <f aca="false">Sens!$N$388+Sens!$N$389+Sens!$N$390-Sens!$N$393</f>
        <v>0</v>
      </c>
      <c r="O397" s="39" t="n">
        <f aca="false">Sens!$O$388+Sens!$O$389+Sens!$O$390-Sens!$O$393</f>
        <v>0</v>
      </c>
    </row>
    <row r="398" customFormat="false" ht="17.15" hidden="false" customHeight="false" outlineLevel="0" collapsed="false">
      <c r="A398" s="1" t="s">
        <v>671</v>
      </c>
    </row>
    <row r="399" customFormat="false" ht="17.15" hidden="false" customHeight="false" outlineLevel="0" collapsed="false">
      <c r="A399" s="0" t="s">
        <v>672</v>
      </c>
      <c r="B399" s="0" t="s">
        <v>73</v>
      </c>
      <c r="C399" s="38" t="n">
        <f aca="false">Sens!$C$307*m_ad</f>
        <v>20.5341564414228</v>
      </c>
      <c r="D399" s="38" t="n">
        <f aca="false">Sens!$D$307*m_ad</f>
        <v>24.8720617299587</v>
      </c>
      <c r="E399" s="38" t="n">
        <f aca="false">Sens!$E$307*m_ad</f>
        <v>13.5017112462207</v>
      </c>
      <c r="F399" s="38" t="n">
        <f aca="false">Sens!$F$307*m_ad</f>
        <v>17.2886442824599</v>
      </c>
      <c r="G399" s="38" t="n">
        <f aca="false">Sens!$G$307*m_ad</f>
        <v>30.8011958765886</v>
      </c>
      <c r="H399" s="38" t="n">
        <f aca="false">Sens!$H$307*m_ad</f>
        <v>36.978409366026</v>
      </c>
      <c r="I399" s="38" t="n">
        <f aca="false">Sens!$I$307*m_ad</f>
        <v>43.155063281273</v>
      </c>
      <c r="J399" s="38" t="n">
        <f aca="false">Sens!$J$307*m_ad</f>
        <v>48.9169991988532</v>
      </c>
      <c r="K399" s="38" t="n">
        <f aca="false">Sens!$K$307*m_ad</f>
        <v>53.8086991187386</v>
      </c>
      <c r="L399" s="38" t="n">
        <f aca="false">Sens!$L$307*m_ad</f>
        <v>59.1895690306124</v>
      </c>
      <c r="M399" s="38" t="n">
        <f aca="false">Sens!$M$307*m_ad</f>
        <v>65.1085259336737</v>
      </c>
      <c r="N399" s="38" t="n">
        <f aca="false">Sens!$N$307*m_ad</f>
        <v>10.8543555706248</v>
      </c>
      <c r="O399" s="38" t="n">
        <f aca="false">Sens!$O$307*m_ad</f>
        <v>14.0094731821399</v>
      </c>
    </row>
    <row r="400" customFormat="false" ht="17.15" hidden="false" customHeight="false" outlineLevel="0" collapsed="false">
      <c r="A400" s="0" t="s">
        <v>673</v>
      </c>
      <c r="B400" s="0" t="s">
        <v>73</v>
      </c>
      <c r="C400" s="38" t="n">
        <f aca="false">Sens!$C$305-Sens!$C$307</f>
        <v>346.428687117154</v>
      </c>
      <c r="D400" s="38" t="n">
        <f aca="false">Sens!$D$305-Sens!$D$307</f>
        <v>376.560876540083</v>
      </c>
      <c r="E400" s="38" t="n">
        <f aca="false">Sens!$E$305-Sens!$E$307</f>
        <v>193.316577507559</v>
      </c>
      <c r="F400" s="38" t="n">
        <f aca="false">Sens!$F$305-Sens!$F$307</f>
        <v>221.726726438887</v>
      </c>
      <c r="G400" s="38" t="n">
        <f aca="false">Sens!$G$305-Sens!$G$307</f>
        <v>415.02162325063</v>
      </c>
      <c r="H400" s="38" t="n">
        <f aca="false">Sens!$H$305-Sens!$H$307</f>
        <v>453.777572359491</v>
      </c>
      <c r="I400" s="38" t="n">
        <f aca="false">Sens!$I$305-Sens!$I$307</f>
        <v>490.847566467031</v>
      </c>
      <c r="J400" s="38" t="n">
        <f aca="false">Sens!$J$305-Sens!$J$307</f>
        <v>525.190925266121</v>
      </c>
      <c r="K400" s="38" t="n">
        <f aca="false">Sens!$K$305-Sens!$K$307</f>
        <v>555.765170156304</v>
      </c>
      <c r="L400" s="38" t="n">
        <f aca="false">Sens!$L$305-Sens!$L$307</f>
        <v>588.185734949207</v>
      </c>
      <c r="M400" s="38" t="n">
        <f aca="false">Sens!$M$305-Sens!$M$307</f>
        <v>622.567635538672</v>
      </c>
      <c r="N400" s="38" t="n">
        <f aca="false">Sens!$N$305-Sens!$N$307</f>
        <v>171.24628885875</v>
      </c>
      <c r="O400" s="38" t="n">
        <f aca="false">Sens!$O$305-Sens!$O$307</f>
        <v>205.33105363572</v>
      </c>
    </row>
    <row r="401" customFormat="false" ht="17.15" hidden="false" customHeight="false" outlineLevel="0" collapsed="false">
      <c r="A401" s="0" t="s">
        <v>674</v>
      </c>
      <c r="B401" s="0" t="s">
        <v>73</v>
      </c>
      <c r="C401" s="38" t="n">
        <f aca="false">Sens!$C$352*Sens!$C$304</f>
        <v>0.123617442257179</v>
      </c>
      <c r="D401" s="38" t="n">
        <f aca="false">Sens!$D$352*Sens!$D$304</f>
        <v>0.874366899302609</v>
      </c>
      <c r="E401" s="38" t="n">
        <f aca="false">Sens!$E$352*Sens!$E$304</f>
        <v>1.29318830502574</v>
      </c>
      <c r="F401" s="38" t="n">
        <f aca="false">Sens!$F$352*Sens!$F$304</f>
        <v>1.51802024162534</v>
      </c>
      <c r="G401" s="38" t="n">
        <f aca="false">Sens!$G$352*Sens!$G$304</f>
        <v>2.81130189308167</v>
      </c>
      <c r="H401" s="38" t="n">
        <f aca="false">Sens!$H$352*Sens!$H$304</f>
        <v>7.38966789318209</v>
      </c>
      <c r="I401" s="38" t="n">
        <f aca="false">Sens!$I$352*Sens!$I$304</f>
        <v>12.8987443661473</v>
      </c>
      <c r="J401" s="38" t="n">
        <f aca="false">Sens!$J$352*Sens!$J$304</f>
        <v>18.5570025453645</v>
      </c>
      <c r="K401" s="38" t="n">
        <f aca="false">Sens!$K$352*Sens!$K$304</f>
        <v>24.3158972773405</v>
      </c>
      <c r="L401" s="38" t="n">
        <f aca="false">Sens!$L$352*Sens!$L$304</f>
        <v>29.7827375558674</v>
      </c>
      <c r="M401" s="38" t="n">
        <f aca="false">Sens!$M$352*Sens!$M$304</f>
        <v>35.3532344973194</v>
      </c>
      <c r="N401" s="38" t="n">
        <f aca="false">Sens!$N$352*Sens!$N$304</f>
        <v>0.389180508437431</v>
      </c>
      <c r="O401" s="38" t="n">
        <f aca="false">Sens!$O$352*Sens!$O$304</f>
        <v>0.485052120082802</v>
      </c>
    </row>
    <row r="402" customFormat="false" ht="17.15" hidden="false" customHeight="false" outlineLevel="0" collapsed="false">
      <c r="A402" s="0" t="s">
        <v>675</v>
      </c>
      <c r="B402" s="0" t="s">
        <v>52</v>
      </c>
      <c r="C402" s="28" t="n">
        <f aca="false">(Sens!$C$403-Sens!$C$399+Sens!$C$401)/Sens!$C$400</f>
        <v>0.0131526665379575</v>
      </c>
      <c r="D402" s="28" t="n">
        <f aca="false">(Sens!$D$403-Sens!$D$399+Sens!$D$401)/Sens!$D$400</f>
        <v>0.0149280116962589</v>
      </c>
      <c r="E402" s="28" t="n">
        <f aca="false">(Sens!$E$403-Sens!$E$399+Sens!$E$401)/Sens!$E$400</f>
        <v>0.0268030663774938</v>
      </c>
      <c r="F402" s="28" t="n">
        <f aca="false">Sens!$O$402+(Sens!$E$402-Sens!$N$402)</f>
        <v>0.0232379346966962</v>
      </c>
      <c r="G402" s="28" t="n">
        <f aca="false">(Sens!$G$403-Sens!$G$399+Sens!$G$401)/Sens!$G$400</f>
        <v>0.0248738876928168</v>
      </c>
      <c r="H402" s="28" t="n">
        <f aca="false">Sens!$G$402+step_na</f>
        <v>0.0278738876928168</v>
      </c>
      <c r="I402" s="28" t="n">
        <f aca="false">Sens!$H$402+step_na</f>
        <v>0.0308738876928168</v>
      </c>
      <c r="J402" s="28" t="n">
        <f aca="false">Sens!$I$402+step_na</f>
        <v>0.0338738876928168</v>
      </c>
      <c r="K402" s="28" t="n">
        <f aca="false">Sens!$J$402+step_na</f>
        <v>0.0368738876928168</v>
      </c>
      <c r="L402" s="28" t="n">
        <f aca="false">Sens!$K$402</f>
        <v>0.0368738876928168</v>
      </c>
      <c r="M402" s="28" t="n">
        <f aca="false">Sens!$L$402</f>
        <v>0.0368738876928168</v>
      </c>
      <c r="N402" s="28" t="n">
        <f aca="false">(Sens!$N$403-Sens!$N$399+Sens!$N$401)/Sens!$N$400</f>
        <v>0.0168927744775755</v>
      </c>
      <c r="O402" s="28" t="n">
        <f aca="false">(Sens!$O$403-Sens!$O$399+Sens!$O$401)/Sens!$O$400</f>
        <v>0.0133276427967779</v>
      </c>
      <c r="P402" s="8" t="s">
        <v>676</v>
      </c>
    </row>
    <row r="403" customFormat="false" ht="17.15" hidden="false" customHeight="false" outlineLevel="0" collapsed="false">
      <c r="A403" s="1" t="s">
        <v>677</v>
      </c>
      <c r="B403" s="8" t="s">
        <v>73</v>
      </c>
      <c r="C403" s="38" t="n">
        <f aca="false">Q!$D$22</f>
        <v>24.967</v>
      </c>
      <c r="D403" s="38" t="n">
        <f aca="false">Q!$E$22</f>
        <v>29.619</v>
      </c>
      <c r="E403" s="38" t="n">
        <f aca="false">Q!$P$22</f>
        <v>17.39</v>
      </c>
      <c r="F403" s="38" t="n">
        <f aca="false">Sens!$F$399+Sens!$F$400*Sens!$F$402-Sens!$F$401</f>
        <v>20.9230952303336</v>
      </c>
      <c r="G403" s="38" t="n">
        <f aca="false">Sens!$E$403+Sens!$F$403</f>
        <v>38.3130952303336</v>
      </c>
      <c r="H403" s="38" t="n">
        <f aca="false">Sens!$H$399+Sens!$H$400*Sens!$H$402-Sens!$H$401</f>
        <v>42.2372865623114</v>
      </c>
      <c r="I403" s="38" t="n">
        <f aca="false">Sens!$I$399+Sens!$I$400*Sens!$I$402-Sens!$I$401</f>
        <v>45.4106915565213</v>
      </c>
      <c r="J403" s="38" t="n">
        <f aca="false">Sens!$J$399+Sens!$J$400*Sens!$J$402-Sens!$J$401</f>
        <v>48.1502550732398</v>
      </c>
      <c r="K403" s="38" t="n">
        <f aca="false">Sens!$K$399+Sens!$K$400*Sens!$K$402-Sens!$K$401</f>
        <v>49.9860243093208</v>
      </c>
      <c r="L403" s="38" t="n">
        <f aca="false">Sens!$L$399+Sens!$L$400*Sens!$L$402-Sens!$L$401</f>
        <v>51.095526207779</v>
      </c>
      <c r="M403" s="38" t="n">
        <f aca="false">Sens!$M$399+Sens!$M$400*Sens!$M$402-Sens!$M$401</f>
        <v>52.7117805103898</v>
      </c>
      <c r="N403" s="38" t="n">
        <f aca="false">Q!$N$22</f>
        <v>13.358</v>
      </c>
      <c r="O403" s="38" t="n">
        <f aca="false">Q!$O$22</f>
        <v>16.261</v>
      </c>
    </row>
    <row r="404" customFormat="false" ht="17.15" hidden="false" customHeight="false" outlineLevel="0" collapsed="false">
      <c r="A404" s="0" t="s">
        <v>678</v>
      </c>
      <c r="B404" s="0" t="s">
        <v>73</v>
      </c>
      <c r="C404" s="38" t="n">
        <f aca="false">Sens!$C$308*m_ad</f>
        <v>7.57284355857716</v>
      </c>
      <c r="D404" s="38" t="n">
        <f aca="false">Sens!$D$308*m_ad</f>
        <v>9.44543827004127</v>
      </c>
      <c r="E404" s="38" t="n">
        <f aca="false">Sens!$E$308*m_ad</f>
        <v>5.02428875377928</v>
      </c>
      <c r="F404" s="38" t="n">
        <f aca="false">Sens!$F$308*m_ad</f>
        <v>6.78802480890925</v>
      </c>
      <c r="G404" s="38" t="n">
        <f aca="false">Sens!$G$308*m_ad</f>
        <v>11.8014732147805</v>
      </c>
      <c r="H404" s="38" t="n">
        <f aca="false">Sens!$H$308*m_ad</f>
        <v>14.1682715634442</v>
      </c>
      <c r="I404" s="38" t="n">
        <f aca="false">Sens!$I$308*m_ad</f>
        <v>16.5348555113474</v>
      </c>
      <c r="J404" s="38" t="n">
        <f aca="false">Sens!$J$308*m_ad</f>
        <v>18.7425403255689</v>
      </c>
      <c r="K404" s="38" t="n">
        <f aca="false">Sens!$K$308*m_ad</f>
        <v>20.6167943581258</v>
      </c>
      <c r="L404" s="38" t="n">
        <f aca="false">Sens!$L$308*m_ad</f>
        <v>22.6784737939383</v>
      </c>
      <c r="M404" s="38" t="n">
        <f aca="false">Sens!$M$308*m_ad</f>
        <v>24.9463211733322</v>
      </c>
      <c r="N404" s="38" t="n">
        <f aca="false">Sens!$N$308*m_ad</f>
        <v>3.95314442937518</v>
      </c>
      <c r="O404" s="38" t="n">
        <f aca="false">Sens!$O$308*m_ad</f>
        <v>5.50052681786011</v>
      </c>
    </row>
    <row r="405" customFormat="false" ht="17.15" hidden="false" customHeight="false" outlineLevel="0" collapsed="false">
      <c r="A405" s="0" t="s">
        <v>679</v>
      </c>
      <c r="B405" s="0" t="s">
        <v>73</v>
      </c>
      <c r="C405" s="38" t="n">
        <f aca="false">Sens!$C$306-Sens!$C$308</f>
        <v>127.760312882846</v>
      </c>
      <c r="D405" s="38" t="n">
        <f aca="false">Sens!$D$306-Sens!$D$308</f>
        <v>143.003123459917</v>
      </c>
      <c r="E405" s="38" t="n">
        <f aca="false">Sens!$E$306-Sens!$E$308</f>
        <v>71.9374224924414</v>
      </c>
      <c r="F405" s="38" t="n">
        <f aca="false">Sens!$F$306-Sens!$F$308</f>
        <v>87.0563645868046</v>
      </c>
      <c r="G405" s="38" t="n">
        <f aca="false">Sens!$G$306-Sens!$G$308</f>
        <v>159.015467775062</v>
      </c>
      <c r="H405" s="38" t="n">
        <f aca="false">Sens!$H$306-Sens!$H$308</f>
        <v>173.864803403269</v>
      </c>
      <c r="I405" s="38" t="n">
        <f aca="false">Sens!$I$306-Sens!$I$308</f>
        <v>188.068165645601</v>
      </c>
      <c r="J405" s="38" t="n">
        <f aca="false">Sens!$J$306-Sens!$J$308</f>
        <v>201.22681801082</v>
      </c>
      <c r="K405" s="38" t="n">
        <f aca="false">Sens!$K$306-Sens!$K$308</f>
        <v>212.941334991893</v>
      </c>
      <c r="L405" s="38" t="n">
        <f aca="false">Sens!$L$306-Sens!$L$308</f>
        <v>225.363269144856</v>
      </c>
      <c r="M405" s="38" t="n">
        <f aca="false">Sens!$M$306-Sens!$M$308</f>
        <v>238.536688790819</v>
      </c>
      <c r="N405" s="38" t="n">
        <f aca="false">Sens!$N$306-Sens!$N$308</f>
        <v>62.3677111412496</v>
      </c>
      <c r="O405" s="38" t="n">
        <f aca="false">Sens!$O$306-Sens!$O$308</f>
        <v>80.6189463642798</v>
      </c>
    </row>
    <row r="406" customFormat="false" ht="17.15" hidden="false" customHeight="false" outlineLevel="0" collapsed="false">
      <c r="A406" s="0" t="s">
        <v>680</v>
      </c>
      <c r="B406" s="0" t="s">
        <v>73</v>
      </c>
      <c r="C406" s="38" t="n">
        <f aca="false">Sens!$C$352*(1-Sens!$C$304)</f>
        <v>0.0455891896019953</v>
      </c>
      <c r="D406" s="38" t="n">
        <f aca="false">Sens!$D$352*(1-Sens!$D$304)</f>
        <v>0.332050421167231</v>
      </c>
      <c r="E406" s="38" t="n">
        <f aca="false">Sens!$E$352*(1-Sens!$E$304)</f>
        <v>0.481224293644882</v>
      </c>
      <c r="F406" s="38" t="n">
        <f aca="false">Sens!$F$352*(1-Sens!$F$304)</f>
        <v>0.596018918096053</v>
      </c>
      <c r="G406" s="38" t="n">
        <f aca="false">Sens!$G$352*(1-Sens!$G$304)</f>
        <v>1.07714986531035</v>
      </c>
      <c r="H406" s="38" t="n">
        <f aca="false">Sens!$H$352*(1-Sens!$H$304)</f>
        <v>2.83135005721638</v>
      </c>
      <c r="I406" s="38" t="n">
        <f aca="false">Sens!$I$352*(1-Sens!$I$304)</f>
        <v>4.9421518161602</v>
      </c>
      <c r="J406" s="38" t="n">
        <f aca="false">Sens!$J$352*(1-Sens!$J$304)</f>
        <v>7.11011252170866</v>
      </c>
      <c r="K406" s="38" t="n">
        <f aca="false">Sens!$K$352*(1-Sens!$K$304)</f>
        <v>9.31663210615807</v>
      </c>
      <c r="L406" s="38" t="n">
        <f aca="false">Sens!$L$352*(1-Sens!$L$304)</f>
        <v>11.411251074039</v>
      </c>
      <c r="M406" s="38" t="n">
        <f aca="false">Sens!$M$352*(1-Sens!$M$304)</f>
        <v>13.5455860755423</v>
      </c>
      <c r="N406" s="38" t="n">
        <f aca="false">Sens!$N$352*(1-Sens!$N$304)</f>
        <v>0.141739115596548</v>
      </c>
      <c r="O406" s="38" t="n">
        <f aca="false">Sens!$O$352*(1-Sens!$O$304)</f>
        <v>0.190445576353059</v>
      </c>
    </row>
    <row r="407" customFormat="false" ht="17.15" hidden="false" customHeight="false" outlineLevel="0" collapsed="false">
      <c r="A407" s="0" t="s">
        <v>681</v>
      </c>
      <c r="B407" s="0" t="s">
        <v>52</v>
      </c>
      <c r="C407" s="28" t="n">
        <f aca="false">(Sens!$C$408-Sens!$C$404+Sens!$C$406)/Sens!$C$405</f>
        <v>-0.0292364215826579</v>
      </c>
      <c r="D407" s="28" t="n">
        <f aca="false">(Sens!$D$408-Sens!$D$404+Sens!$D$406)/Sens!$D$405</f>
        <v>-0.0305125352740778</v>
      </c>
      <c r="E407" s="28" t="n">
        <f aca="false">(Sens!$E$408-Sens!$E$404+Sens!$E$406)/Sens!$E$405</f>
        <v>-0.019490056934994</v>
      </c>
      <c r="F407" s="28" t="n">
        <f aca="false">Sens!$O$407+(Sens!$E$407-Sens!$N$407)</f>
        <v>-0.0367332293992226</v>
      </c>
      <c r="G407" s="28" t="n">
        <f aca="false">(Sens!$G$408-Sens!$G$404+Sens!$G$406)/Sens!$G$405</f>
        <v>-0.0288599526442178</v>
      </c>
      <c r="H407" s="28" t="n">
        <f aca="false">Sens!$G$407+step_in</f>
        <v>-0.0288599526442178</v>
      </c>
      <c r="I407" s="28" t="n">
        <f aca="false">Sens!$H$407+step_in</f>
        <v>-0.0288599526442178</v>
      </c>
      <c r="J407" s="28" t="n">
        <f aca="false">Sens!$I$407+step_in</f>
        <v>-0.0288599526442178</v>
      </c>
      <c r="K407" s="28" t="n">
        <f aca="false">Sens!$J$407+step_in</f>
        <v>-0.0288599526442178</v>
      </c>
      <c r="L407" s="28" t="n">
        <f aca="false">Sens!$K$407</f>
        <v>-0.0288599526442178</v>
      </c>
      <c r="M407" s="28" t="n">
        <f aca="false">Sens!$L$407</f>
        <v>-0.0288599526442178</v>
      </c>
      <c r="N407" s="28" t="n">
        <f aca="false">(Sens!$N$408-Sens!$N$404+Sens!$N$406)/Sens!$N$405</f>
        <v>-0.02085061789158</v>
      </c>
      <c r="O407" s="28" t="n">
        <f aca="false">(Sens!$O$408-Sens!$O$404+Sens!$O$406)/Sens!$O$405</f>
        <v>-0.0380937903558086</v>
      </c>
      <c r="P407" s="8" t="s">
        <v>676</v>
      </c>
    </row>
    <row r="408" customFormat="false" ht="17.15" hidden="false" customHeight="false" outlineLevel="0" collapsed="false">
      <c r="A408" s="1" t="s">
        <v>682</v>
      </c>
      <c r="B408" s="8" t="s">
        <v>73</v>
      </c>
      <c r="C408" s="38" t="n">
        <f aca="false">Q!$D$23</f>
        <v>3.792</v>
      </c>
      <c r="D408" s="38" t="n">
        <f aca="false">Q!$E$23</f>
        <v>4.75</v>
      </c>
      <c r="E408" s="38" t="n">
        <f aca="false">Q!$P$23</f>
        <v>3.141</v>
      </c>
      <c r="F408" s="38" t="n">
        <f aca="false">Sens!$F$404+Sens!$F$405*Sens!$F$407-Sens!$F$406</f>
        <v>2.99414447978375</v>
      </c>
      <c r="G408" s="38" t="n">
        <f aca="false">Sens!$E$408+Sens!$F$408</f>
        <v>6.13514447978375</v>
      </c>
      <c r="H408" s="38" t="n">
        <f aca="false">Sens!$H$404+Sens!$H$405*Sens!$H$407-Sens!$H$406</f>
        <v>6.31919151351322</v>
      </c>
      <c r="I408" s="38" t="n">
        <f aca="false">Sens!$I$404+Sens!$I$405*Sens!$I$407-Sens!$I$406</f>
        <v>6.16506534077027</v>
      </c>
      <c r="J408" s="38" t="n">
        <f aca="false">Sens!$J$404+Sens!$J$405*Sens!$J$407-Sens!$J$406</f>
        <v>5.8250313653213</v>
      </c>
      <c r="K408" s="38" t="n">
        <f aca="false">Sens!$K$404+Sens!$K$405*Sens!$K$407-Sens!$K$406</f>
        <v>5.15468540810514</v>
      </c>
      <c r="L408" s="38" t="n">
        <f aca="false">Sens!$L$404+Sens!$L$405*Sens!$L$407-Sens!$L$406</f>
        <v>4.76324944463266</v>
      </c>
      <c r="M408" s="38" t="n">
        <f aca="false">Sens!$M$404+Sens!$M$405*Sens!$M$407-Sens!$M$406</f>
        <v>4.51657755537829</v>
      </c>
      <c r="N408" s="38" t="n">
        <f aca="false">Q!$N$23</f>
        <v>2.511</v>
      </c>
      <c r="O408" s="38" t="n">
        <f aca="false">Q!$O$23</f>
        <v>2.239</v>
      </c>
    </row>
    <row r="409" customFormat="false" ht="17.15" hidden="false" customHeight="false" outlineLevel="0" collapsed="false">
      <c r="A409" s="0" t="s">
        <v>683</v>
      </c>
      <c r="B409" s="0" t="s">
        <v>73</v>
      </c>
      <c r="C409" s="38" t="n">
        <f aca="false">Sens!$C$349</f>
        <v>1.64417882953695</v>
      </c>
      <c r="D409" s="38" t="n">
        <f aca="false">Sens!$D$349</f>
        <v>3.8781008067718</v>
      </c>
      <c r="E409" s="38" t="n">
        <f aca="false">Sens!$E$349</f>
        <v>1.41270258088753</v>
      </c>
      <c r="F409" s="38" t="n">
        <f aca="false">Sens!$F$349</f>
        <v>5.68126066944818</v>
      </c>
      <c r="G409" s="38" t="n">
        <f aca="false">Sens!$G$349</f>
        <v>7.09396325033571</v>
      </c>
      <c r="H409" s="38" t="n">
        <f aca="false">Sens!$H$349</f>
        <v>12.5382183962694</v>
      </c>
      <c r="I409" s="38" t="n">
        <f aca="false">Sens!$I$349</f>
        <v>16.4361615260712</v>
      </c>
      <c r="J409" s="38" t="n">
        <f aca="false">Sens!$J$349</f>
        <v>19.6616771330194</v>
      </c>
      <c r="K409" s="38" t="n">
        <f aca="false">Sens!$K$349</f>
        <v>22.3813893761866</v>
      </c>
      <c r="L409" s="38" t="n">
        <f aca="false">Sens!$L$349</f>
        <v>26.740093882541</v>
      </c>
      <c r="M409" s="38" t="n">
        <f aca="false">Sens!$M$349</f>
        <v>30.5377848243843</v>
      </c>
      <c r="N409" s="38" t="n">
        <f aca="false">Sens!$N$349</f>
        <v>0.92264103489199</v>
      </c>
      <c r="O409" s="38" t="n">
        <f aca="false">Sens!$O$349</f>
        <v>2.95545977187981</v>
      </c>
    </row>
    <row r="410" customFormat="false" ht="17.15" hidden="false" customHeight="false" outlineLevel="0" collapsed="false">
      <c r="A410" s="0" t="s">
        <v>603</v>
      </c>
      <c r="B410" s="0" t="s">
        <v>73</v>
      </c>
      <c r="C410" s="38" t="n">
        <f aca="false">Sens!$C$354</f>
        <v>38.1898211704631</v>
      </c>
      <c r="D410" s="38" t="n">
        <f aca="false">Sens!$D$354</f>
        <v>41.7278991932282</v>
      </c>
      <c r="E410" s="38" t="n">
        <f aca="false">Sens!$E$354</f>
        <v>29.3692974191125</v>
      </c>
      <c r="F410" s="38" t="n">
        <f aca="false">Sens!$F$354</f>
        <v>29.458060516894</v>
      </c>
      <c r="G410" s="38" t="n">
        <f aca="false">Sens!$G$354</f>
        <v>58.8273579360065</v>
      </c>
      <c r="H410" s="38" t="n">
        <f aca="false">Sens!$H$354</f>
        <v>67.8004040185081</v>
      </c>
      <c r="I410" s="38" t="n">
        <f aca="false">Sens!$I$354</f>
        <v>78.9527630302702</v>
      </c>
      <c r="J410" s="38" t="n">
        <f aca="false">Sens!$J$354</f>
        <v>88.6042681781841</v>
      </c>
      <c r="K410" s="38" t="n">
        <f aca="false">Sens!$K$354</f>
        <v>95.6926096324389</v>
      </c>
      <c r="L410" s="38" t="n">
        <f aca="false">Sens!$L$354</f>
        <v>103.348018403034</v>
      </c>
      <c r="M410" s="38" t="n">
        <f aca="false">Sens!$M$354</f>
        <v>111.615859875277</v>
      </c>
      <c r="N410" s="38" t="n">
        <f aca="false">Sens!$N$354</f>
        <v>20.784358965108</v>
      </c>
      <c r="O410" s="38" t="n">
        <f aca="false">Sens!$O$354</f>
        <v>20.9435402281202</v>
      </c>
    </row>
    <row r="411" customFormat="false" ht="17.15" hidden="false" customHeight="false" outlineLevel="0" collapsed="false">
      <c r="A411" s="1" t="s">
        <v>684</v>
      </c>
      <c r="B411" s="8" t="s">
        <v>73</v>
      </c>
      <c r="C411" s="38" t="n">
        <f aca="false">Q!$D$24</f>
        <v>39.834</v>
      </c>
      <c r="D411" s="38" t="n">
        <f aca="false">Q!$E$24</f>
        <v>45.606</v>
      </c>
      <c r="E411" s="38" t="n">
        <f aca="false">Q!$P$24</f>
        <v>30.782</v>
      </c>
      <c r="F411" s="38" t="n">
        <f aca="false">Sens!$F$409+Sens!$F$410</f>
        <v>35.1393211863422</v>
      </c>
      <c r="G411" s="38" t="n">
        <f aca="false">Sens!$G$409+Sens!$G$410</f>
        <v>65.9213211863422</v>
      </c>
      <c r="H411" s="38" t="n">
        <f aca="false">Sens!$H$409+Sens!$H$410</f>
        <v>80.3386224147775</v>
      </c>
      <c r="I411" s="38" t="n">
        <f aca="false">Sens!$I$409+Sens!$I$410</f>
        <v>95.3889245563414</v>
      </c>
      <c r="J411" s="38" t="n">
        <f aca="false">Sens!$J$409+Sens!$J$410</f>
        <v>108.265945311203</v>
      </c>
      <c r="K411" s="38" t="n">
        <f aca="false">Sens!$K$409+Sens!$K$410</f>
        <v>118.073999008625</v>
      </c>
      <c r="L411" s="38" t="n">
        <f aca="false">Sens!$L$409+Sens!$L$410</f>
        <v>130.088112285575</v>
      </c>
      <c r="M411" s="38" t="n">
        <f aca="false">Sens!$M$409+Sens!$M$410</f>
        <v>142.153644699661</v>
      </c>
      <c r="N411" s="38" t="n">
        <f aca="false">Q!$N$24</f>
        <v>21.707</v>
      </c>
      <c r="O411" s="38" t="n">
        <f aca="false">Q!$O$24</f>
        <v>23.899</v>
      </c>
    </row>
    <row r="412" customFormat="false" ht="17.15" hidden="false" customHeight="false" outlineLevel="0" collapsed="false">
      <c r="A412" s="5" t="s">
        <v>685</v>
      </c>
      <c r="B412" s="0" t="s">
        <v>73</v>
      </c>
      <c r="C412" s="38" t="n">
        <f aca="false">Q!$D$26</f>
        <v>0</v>
      </c>
      <c r="D412" s="38" t="n">
        <f aca="false">Q!$E$26</f>
        <v>0</v>
      </c>
      <c r="E412" s="38" t="n">
        <f aca="false">Q!$P$26</f>
        <v>0</v>
      </c>
      <c r="F412" s="41" t="n">
        <v>0</v>
      </c>
      <c r="G412" s="38" t="n">
        <f aca="false">Sens!$E$412+Sens!$F$412</f>
        <v>0</v>
      </c>
      <c r="H412" s="41" t="n">
        <v>0</v>
      </c>
      <c r="I412" s="41" t="n">
        <v>0</v>
      </c>
      <c r="J412" s="41" t="n">
        <v>0</v>
      </c>
      <c r="K412" s="41" t="n">
        <v>0</v>
      </c>
      <c r="L412" s="41" t="n">
        <v>0</v>
      </c>
      <c r="M412" s="41" t="n">
        <v>0</v>
      </c>
      <c r="N412" s="38" t="n">
        <f aca="false">Q!$N$26</f>
        <v>0</v>
      </c>
      <c r="O412" s="38" t="n">
        <f aca="false">Q!$O$26</f>
        <v>0</v>
      </c>
    </row>
    <row r="413" customFormat="false" ht="15" hidden="false" customHeight="false" outlineLevel="0" collapsed="false">
      <c r="A413" s="3" t="s">
        <v>494</v>
      </c>
      <c r="B413" s="8" t="s">
        <v>73</v>
      </c>
      <c r="C413" s="38" t="n">
        <f aca="false">Q!$D$25</f>
        <v>68.593</v>
      </c>
      <c r="D413" s="38" t="n">
        <f aca="false">Q!$E$25</f>
        <v>79.975</v>
      </c>
      <c r="E413" s="38" t="n">
        <f aca="false">Q!$P$25</f>
        <v>51.313</v>
      </c>
      <c r="F413" s="38" t="n">
        <f aca="false">Sens!$F$403+Sens!$F$408+Sens!$F$411+Sens!$F$412</f>
        <v>59.0565608964595</v>
      </c>
      <c r="G413" s="38" t="n">
        <f aca="false">Sens!$G$403+Sens!$G$408+Sens!$G$411+Sens!$G$412</f>
        <v>110.36956089646</v>
      </c>
      <c r="H413" s="38" t="n">
        <f aca="false">Sens!$H$403+Sens!$H$408+Sens!$H$411+Sens!$H$412</f>
        <v>128.895100490602</v>
      </c>
      <c r="I413" s="38" t="n">
        <f aca="false">Sens!$I$403+Sens!$I$408+Sens!$I$411+Sens!$I$412</f>
        <v>146.964681453633</v>
      </c>
      <c r="J413" s="38" t="n">
        <f aca="false">Sens!$J$403+Sens!$J$408+Sens!$J$411+Sens!$J$412</f>
        <v>162.241231749765</v>
      </c>
      <c r="K413" s="38" t="n">
        <f aca="false">Sens!$K$403+Sens!$K$408+Sens!$K$411+Sens!$K$412</f>
        <v>173.214708726051</v>
      </c>
      <c r="L413" s="38" t="n">
        <f aca="false">Sens!$L$403+Sens!$L$408+Sens!$L$411+Sens!$L$412</f>
        <v>185.946887937987</v>
      </c>
      <c r="M413" s="38" t="n">
        <f aca="false">Sens!$M$403+Sens!$M$408+Sens!$M$411+Sens!$M$412</f>
        <v>199.382002765429</v>
      </c>
      <c r="N413" s="38" t="n">
        <f aca="false">Q!$N$25</f>
        <v>37.576</v>
      </c>
      <c r="O413" s="38" t="n">
        <f aca="false">Q!$O$25</f>
        <v>42.399</v>
      </c>
    </row>
    <row r="414" customFormat="false" ht="17.15" hidden="false" customHeight="false" outlineLevel="0" collapsed="false">
      <c r="A414" s="24" t="s">
        <v>711</v>
      </c>
      <c r="B414" s="25" t="s">
        <v>73</v>
      </c>
      <c r="C414" s="39" t="n">
        <f aca="false">Sens!$C$403+Sens!$C$408+Sens!$C$411+Sens!$C$412-Sens!$C$413</f>
        <v>0</v>
      </c>
      <c r="D414" s="39" t="n">
        <f aca="false">Sens!$D$403+Sens!$D$408+Sens!$D$411+Sens!$D$412-Sens!$D$413</f>
        <v>0</v>
      </c>
      <c r="E414" s="39" t="n">
        <f aca="false">Sens!$E$403+Sens!$E$408+Sens!$E$411+Sens!$E$412-Sens!$E$413</f>
        <v>0</v>
      </c>
      <c r="F414" s="39" t="n">
        <f aca="false">Sens!$F$403+Sens!$F$408+Sens!$F$411+Sens!$F$412-Sens!$F$413</f>
        <v>0</v>
      </c>
      <c r="G414" s="39" t="n">
        <f aca="false">Sens!$G$403+Sens!$G$408+Sens!$G$411+Sens!$G$412-Sens!$G$413</f>
        <v>0</v>
      </c>
      <c r="H414" s="39" t="n">
        <f aca="false">Sens!$H$403+Sens!$H$408+Sens!$H$411+Sens!$H$412-Sens!$H$413</f>
        <v>0</v>
      </c>
      <c r="I414" s="39" t="n">
        <f aca="false">Sens!$I$403+Sens!$I$408+Sens!$I$411+Sens!$I$412-Sens!$I$413</f>
        <v>0</v>
      </c>
      <c r="J414" s="39" t="n">
        <f aca="false">Sens!$J$403+Sens!$J$408+Sens!$J$411+Sens!$J$412-Sens!$J$413</f>
        <v>0</v>
      </c>
      <c r="K414" s="39" t="n">
        <f aca="false">Sens!$K$403+Sens!$K$408+Sens!$K$411+Sens!$K$412-Sens!$K$413</f>
        <v>0</v>
      </c>
      <c r="L414" s="39" t="n">
        <f aca="false">Sens!$L$403+Sens!$L$408+Sens!$L$411+Sens!$L$412-Sens!$L$413</f>
        <v>0</v>
      </c>
      <c r="M414" s="39" t="n">
        <f aca="false">Sens!$M$403+Sens!$M$408+Sens!$M$411+Sens!$M$412-Sens!$M$413</f>
        <v>0</v>
      </c>
      <c r="N414" s="39" t="n">
        <f aca="false">Sens!$N$403+Sens!$N$408+Sens!$N$411+Sens!$N$412-Sens!$N$413</f>
        <v>0</v>
      </c>
      <c r="O414" s="39" t="n">
        <f aca="false">Sens!$O$403+Sens!$O$408+Sens!$O$411+Sens!$O$412-Sens!$O$413</f>
        <v>0</v>
      </c>
    </row>
    <row r="415" customFormat="false" ht="17.15" hidden="false" customHeight="false" outlineLevel="0" collapsed="false">
      <c r="A415" s="0" t="s">
        <v>687</v>
      </c>
      <c r="B415" s="0" t="s">
        <v>52</v>
      </c>
      <c r="C415" s="12" t="n">
        <f aca="false">Sens!$C$403/Sens!$C$388</f>
        <v>0.0644314665661928</v>
      </c>
      <c r="D415" s="12" t="n">
        <f aca="false">Sens!$D$403/Sens!$D$388</f>
        <v>0.0694784250712518</v>
      </c>
      <c r="E415" s="12" t="n">
        <f aca="false">Sens!$E$403/Sens!$E$388</f>
        <v>0.0789306463326071</v>
      </c>
      <c r="F415" s="12" t="n">
        <f aca="false">Sens!$F$403/Sens!$F$388</f>
        <v>0.0816338957078875</v>
      </c>
      <c r="G415" s="12" t="n">
        <f aca="false">Sens!$G$403/Sens!$G$388</f>
        <v>0.080384315570057</v>
      </c>
      <c r="H415" s="12" t="n">
        <f aca="false">Sens!$H$403/Sens!$H$388</f>
        <v>0.080035122355679</v>
      </c>
      <c r="I415" s="12" t="n">
        <f aca="false">Sens!$I$403/Sens!$I$388</f>
        <v>0.0786798687862144</v>
      </c>
      <c r="J415" s="12" t="n">
        <f aca="false">Sens!$J$403/Sens!$J$388</f>
        <v>0.0772846370095153</v>
      </c>
      <c r="K415" s="12" t="n">
        <f aca="false">Sens!$K$403/Sens!$K$388</f>
        <v>0.0753502227686655</v>
      </c>
      <c r="L415" s="12" t="n">
        <f aca="false">Sens!$L$403/Sens!$L$388</f>
        <v>0.0723154067793922</v>
      </c>
      <c r="M415" s="12" t="n">
        <f aca="false">Sens!$M$403/Sens!$M$388</f>
        <v>0.070022386735876</v>
      </c>
      <c r="N415" s="12" t="n">
        <f aca="false">Sens!$N$403/Sens!$N$388</f>
        <v>0.069228576611127</v>
      </c>
      <c r="O415" s="12" t="n">
        <f aca="false">Sens!$O$403/Sens!$O$388</f>
        <v>0.069685022498393</v>
      </c>
    </row>
    <row r="416" customFormat="false" ht="17.15" hidden="false" customHeight="false" outlineLevel="0" collapsed="false">
      <c r="A416" s="0" t="s">
        <v>688</v>
      </c>
      <c r="B416" s="0" t="s">
        <v>52</v>
      </c>
      <c r="C416" s="12" t="n">
        <f aca="false">Sens!$C$408/Sens!$C$389</f>
        <v>0.026534925055631</v>
      </c>
      <c r="D416" s="12" t="n">
        <f aca="false">Sens!$D$408/Sens!$D$389</f>
        <v>0.0293401855535103</v>
      </c>
      <c r="E416" s="12" t="n">
        <f aca="false">Sens!$E$408/Sens!$E$389</f>
        <v>0.03831141902276</v>
      </c>
      <c r="F416" s="12" t="n">
        <f aca="false">Sens!$F$408/Sens!$F$389</f>
        <v>0.0297532808235678</v>
      </c>
      <c r="G416" s="12" t="n">
        <f aca="false">Sens!$G$408/Sens!$G$389</f>
        <v>0.0335954317997163</v>
      </c>
      <c r="H416" s="12" t="n">
        <f aca="false">Sens!$H$408/Sens!$H$389</f>
        <v>0.0312519754292078</v>
      </c>
      <c r="I416" s="12" t="n">
        <f aca="false">Sens!$I$408/Sens!$I$389</f>
        <v>0.0278788303191397</v>
      </c>
      <c r="J416" s="12" t="n">
        <f aca="false">Sens!$J$408/Sens!$J$389</f>
        <v>0.0244019313573061</v>
      </c>
      <c r="K416" s="12" t="n">
        <f aca="false">Sens!$K$408/Sens!$K$389</f>
        <v>0.020280070641524</v>
      </c>
      <c r="L416" s="12" t="n">
        <f aca="false">Sens!$L$408/Sens!$L$389</f>
        <v>0.0175947312030086</v>
      </c>
      <c r="M416" s="12" t="n">
        <f aca="false">Sens!$M$408/Sens!$M$389</f>
        <v>0.0156592172424565</v>
      </c>
      <c r="N416" s="12" t="n">
        <f aca="false">Sens!$N$408/Sens!$N$389</f>
        <v>0.0357315650169337</v>
      </c>
      <c r="O416" s="12" t="n">
        <f aca="false">Sens!$O$408/Sens!$O$389</f>
        <v>0.0244378956559703</v>
      </c>
    </row>
    <row r="417" customFormat="false" ht="17.15" hidden="false" customHeight="false" outlineLevel="0" collapsed="false">
      <c r="A417" s="13" t="s">
        <v>689</v>
      </c>
      <c r="B417" s="13" t="s">
        <v>52</v>
      </c>
      <c r="C417" s="16" t="n">
        <f aca="false">Sens!$C$411/Sens!$C$390</f>
        <v>0.370355907620217</v>
      </c>
      <c r="D417" s="16" t="n">
        <f aca="false">Sens!$D$411/Sens!$D$390</f>
        <v>0.35429015342785</v>
      </c>
      <c r="E417" s="16" t="n">
        <f aca="false">Sens!$E$411/Sens!$E$390</f>
        <v>0.385647527531039</v>
      </c>
      <c r="F417" s="16" t="n">
        <f aca="false">Sens!$F$411/Sens!$F$390</f>
        <v>0.378932397734599</v>
      </c>
      <c r="G417" s="16" t="n">
        <f aca="false">Sens!$G$411/Sens!$G$390</f>
        <v>0.382038688724379</v>
      </c>
      <c r="H417" s="16" t="n">
        <f aca="false">Sens!$H$411/Sens!$H$390</f>
        <v>0.342864650784693</v>
      </c>
      <c r="I417" s="16" t="n">
        <f aca="false">Sens!$I$411/Sens!$I$390</f>
        <v>0.319616411237051</v>
      </c>
      <c r="J417" s="16" t="n">
        <f aca="false">Sens!$J$411/Sens!$J$390</f>
        <v>0.301804234317094</v>
      </c>
      <c r="K417" s="16" t="n">
        <f aca="false">Sens!$K$411/Sens!$K$390</f>
        <v>0.286432807419396</v>
      </c>
      <c r="L417" s="16" t="n">
        <f aca="false">Sens!$L$411/Sens!$L$390</f>
        <v>0.278411190706894</v>
      </c>
      <c r="M417" s="16" t="n">
        <f aca="false">Sens!$M$411/Sens!$M$390</f>
        <v>0.271323064389968</v>
      </c>
      <c r="N417" s="16" t="n">
        <f aca="false">Sens!$N$411/Sens!$N$390</f>
        <v>0.360941137346192</v>
      </c>
      <c r="O417" s="16" t="n">
        <f aca="false">Sens!$O$411/Sens!$O$390</f>
        <v>0.348458117664212</v>
      </c>
    </row>
    <row r="418" customFormat="false" ht="17.15" hidden="false" customHeight="false" outlineLevel="0" collapsed="false">
      <c r="A418" s="0" t="s">
        <v>690</v>
      </c>
      <c r="B418" s="0" t="s">
        <v>52</v>
      </c>
      <c r="C418" s="12" t="n">
        <f aca="false">Sens!$C$409/Sens!$C$391</f>
        <v>0.708390794789371</v>
      </c>
      <c r="D418" s="12" t="n">
        <f aca="false">Sens!$D$409/Sens!$D$391</f>
        <v>0.445565630441968</v>
      </c>
      <c r="E418" s="12" t="n">
        <f aca="false">Sens!$E$409/Sens!$E$391</f>
        <v>0.165998118402711</v>
      </c>
      <c r="F418" s="12" t="n">
        <f aca="false">Sens!$F$409/Sens!$F$391</f>
        <v>0.401859869136011</v>
      </c>
      <c r="G418" s="12" t="n">
        <f aca="false">Sens!$G$409/Sens!$G$391</f>
        <v>0.313230095563868</v>
      </c>
      <c r="H418" s="12" t="n">
        <f aca="false">Sens!$H$409/Sens!$H$391</f>
        <v>0.23470012891306</v>
      </c>
      <c r="I418" s="12" t="n">
        <f aca="false">Sens!$I$409/Sens!$I$391</f>
        <v>0.187200558396588</v>
      </c>
      <c r="J418" s="12" t="n">
        <f aca="false">Sens!$J$409/Sens!$J$391</f>
        <v>0.160726355342167</v>
      </c>
      <c r="K418" s="12" t="n">
        <f aca="false">Sens!$K$409/Sens!$K$391</f>
        <v>0.142637017621647</v>
      </c>
      <c r="L418" s="12" t="n">
        <f aca="false">Sens!$L$409/Sens!$L$391</f>
        <v>0.139623254059572</v>
      </c>
      <c r="M418" s="12" t="n">
        <f aca="false">Sens!$M$409/Sens!$M$391</f>
        <v>0.135043429136094</v>
      </c>
      <c r="N418" s="12" t="n">
        <f aca="false">Sens!$N$409/Sens!$N$391</f>
        <v>0.302870734830849</v>
      </c>
      <c r="O418" s="12" t="n">
        <f aca="false">Sens!$O$409/Sens!$O$391</f>
        <v>0.52240134346334</v>
      </c>
    </row>
    <row r="419" customFormat="false" ht="15" hidden="false" customHeight="false" outlineLevel="0" collapsed="false">
      <c r="A419" s="5" t="s">
        <v>691</v>
      </c>
      <c r="B419" s="0" t="s">
        <v>52</v>
      </c>
      <c r="C419" s="12" t="n">
        <f aca="false">Sens!$C$413/Sens!$C$393</f>
        <v>0.107519448742004</v>
      </c>
      <c r="D419" s="12" t="n">
        <f aca="false">Sens!$D$413/Sens!$D$393</f>
        <v>0.111552967957552</v>
      </c>
      <c r="E419" s="12" t="n">
        <f aca="false">Sens!$E$413/Sens!$E$393</f>
        <v>0.13428328426562</v>
      </c>
      <c r="F419" s="12" t="n">
        <f aca="false">Sens!$F$413/Sens!$F$393</f>
        <v>0.131333446792247</v>
      </c>
      <c r="G419" s="12" t="n">
        <f aca="false">Sens!$G$413/Sens!$G$393</f>
        <v>0.132688598234054</v>
      </c>
      <c r="H419" s="12" t="n">
        <f aca="false">Sens!$H$413/Sens!$H$393</f>
        <v>0.133673723762684</v>
      </c>
      <c r="I419" s="12" t="n">
        <f aca="false">Sens!$I$413/Sens!$I$393</f>
        <v>0.134000933571886</v>
      </c>
      <c r="J419" s="12" t="n">
        <f aca="false">Sens!$J$413/Sens!$J$393</f>
        <v>0.132933854069694</v>
      </c>
      <c r="K419" s="12" t="n">
        <f aca="false">Sens!$K$413/Sens!$K$393</f>
        <v>0.130258187079329</v>
      </c>
      <c r="L419" s="12" t="n">
        <f aca="false">Sens!$L$413/Sens!$L$393</f>
        <v>0.128724228122974</v>
      </c>
      <c r="M419" s="12" t="n">
        <f aca="false">Sens!$M$413/Sens!$M$393</f>
        <v>0.127389112341285</v>
      </c>
      <c r="N419" s="12" t="n">
        <f aca="false">Sens!$N$413/Sens!$N$393</f>
        <v>0.116201614873411</v>
      </c>
      <c r="O419" s="12" t="n">
        <f aca="false">Sens!$O$413/Sens!$O$393</f>
        <v>0.107733353660861</v>
      </c>
    </row>
    <row r="420" customFormat="false" ht="17.15" hidden="false" customHeight="false" outlineLevel="0" collapsed="false">
      <c r="A420" s="1" t="s">
        <v>692</v>
      </c>
    </row>
    <row r="421" customFormat="false" ht="17.15" hidden="false" customHeight="false" outlineLevel="0" collapsed="false">
      <c r="A421" s="5" t="s">
        <v>693</v>
      </c>
      <c r="B421" s="0" t="s">
        <v>52</v>
      </c>
      <c r="D421" s="28" t="n">
        <f aca="false">(Q!$E$29+Q!$E$30-(1-ext_sh)*Sens!$D$345)/Sens!$D$303</f>
        <v>0.0334674312393194</v>
      </c>
    </row>
    <row r="422" customFormat="false" ht="17.15" hidden="false" customHeight="false" outlineLevel="0" collapsed="false">
      <c r="A422" s="0" t="s">
        <v>498</v>
      </c>
      <c r="B422" s="0" t="s">
        <v>73</v>
      </c>
      <c r="C422" s="38" t="n">
        <f aca="false">Q!$D$29</f>
        <v>14.285</v>
      </c>
      <c r="D422" s="38" t="n">
        <f aca="false">Q!$E$29</f>
        <v>15.503</v>
      </c>
      <c r="E422" s="38" t="n">
        <f aca="false">Q!$P$29</f>
        <v>8.78</v>
      </c>
      <c r="F422" s="38" t="n">
        <f aca="false">(Sens!$D$421*Sens!$F$303+(1-ext_sh)*Sens!$F$345)*Sens!$F$304</f>
        <v>9.51361751569285</v>
      </c>
      <c r="G422" s="38" t="n">
        <f aca="false">Sens!$E$422+Sens!$F$422</f>
        <v>18.2936175156929</v>
      </c>
      <c r="H422" s="38" t="n">
        <f aca="false">(Sens!$D$421*Sens!$H$303+(1-ext_sh)*Sens!$H$345)*Sens!$H$304</f>
        <v>22.7653661801943</v>
      </c>
      <c r="I422" s="38" t="n">
        <f aca="false">(Sens!$D$421*Sens!$I$303+(1-ext_sh)*Sens!$I$345)*Sens!$I$304</f>
        <v>28.4281317305062</v>
      </c>
      <c r="J422" s="38" t="n">
        <f aca="false">(Sens!$D$421*Sens!$J$303+(1-ext_sh)*Sens!$J$345)*Sens!$J$304</f>
        <v>34.1182922009732</v>
      </c>
      <c r="K422" s="38" t="n">
        <f aca="false">(Sens!$D$421*Sens!$K$303+(1-ext_sh)*Sens!$K$345)*Sens!$K$304</f>
        <v>39.7237727987046</v>
      </c>
      <c r="L422" s="38" t="n">
        <f aca="false">(Sens!$D$421*Sens!$L$303+(1-ext_sh)*Sens!$L$345)*Sens!$L$304</f>
        <v>45.1313127180263</v>
      </c>
      <c r="M422" s="38" t="n">
        <f aca="false">(Sens!$D$421*Sens!$M$303+(1-ext_sh)*Sens!$M$345)*Sens!$M$304</f>
        <v>50.743940615442</v>
      </c>
      <c r="N422" s="38" t="n">
        <f aca="false">Q!$N$29</f>
        <v>7.272</v>
      </c>
      <c r="O422" s="38" t="n">
        <f aca="false">Q!$O$29</f>
        <v>8.231</v>
      </c>
    </row>
    <row r="423" customFormat="false" ht="17.15" hidden="false" customHeight="false" outlineLevel="0" collapsed="false">
      <c r="A423" s="0" t="s">
        <v>500</v>
      </c>
      <c r="B423" s="0" t="s">
        <v>73</v>
      </c>
      <c r="C423" s="38" t="n">
        <f aca="false">Q!$D$30</f>
        <v>4.462</v>
      </c>
      <c r="D423" s="38" t="n">
        <f aca="false">Q!$E$30</f>
        <v>4.907</v>
      </c>
      <c r="E423" s="38" t="n">
        <f aca="false">Q!$P$30</f>
        <v>2.57</v>
      </c>
      <c r="F423" s="38" t="n">
        <f aca="false">(Sens!$D$421*Sens!$F$303+(1-ext_sh)*Sens!$F$345)*(1-Sens!$F$304)</f>
        <v>3.7353230631574</v>
      </c>
      <c r="G423" s="38" t="n">
        <f aca="false">Sens!$E$423+Sens!$F$423</f>
        <v>6.3053230631574</v>
      </c>
      <c r="H423" s="38" t="n">
        <f aca="false">(Sens!$D$421*Sens!$H$303+(1-ext_sh)*Sens!$H$345)*(1-Sens!$H$304)</f>
        <v>8.72254636724805</v>
      </c>
      <c r="I423" s="38" t="n">
        <f aca="false">(Sens!$D$421*Sens!$I$303+(1-ext_sh)*Sens!$I$345)*(1-Sens!$I$304)</f>
        <v>10.8922340713019</v>
      </c>
      <c r="J423" s="38" t="n">
        <f aca="false">(Sens!$D$421*Sens!$J$303+(1-ext_sh)*Sens!$J$345)*(1-Sens!$J$304)</f>
        <v>13.0724181345791</v>
      </c>
      <c r="K423" s="38" t="n">
        <f aca="false">(Sens!$D$421*Sens!$K$303+(1-ext_sh)*Sens!$K$345)*(1-Sens!$K$304)</f>
        <v>15.2201571183236</v>
      </c>
      <c r="L423" s="38" t="n">
        <f aca="false">(Sens!$D$421*Sens!$L$303+(1-ext_sh)*Sens!$L$345)*(1-Sens!$L$304)</f>
        <v>17.2920551631732</v>
      </c>
      <c r="M423" s="38" t="n">
        <f aca="false">(Sens!$D$421*Sens!$M$303+(1-ext_sh)*Sens!$M$345)*(1-Sens!$M$304)</f>
        <v>19.4425326336348</v>
      </c>
      <c r="N423" s="38" t="n">
        <f aca="false">Q!$N$30</f>
        <v>2.316</v>
      </c>
      <c r="O423" s="38" t="n">
        <f aca="false">Q!$O$30</f>
        <v>2.591</v>
      </c>
    </row>
    <row r="424" customFormat="false" ht="17.15" hidden="false" customHeight="false" outlineLevel="0" collapsed="false">
      <c r="A424" s="0" t="s">
        <v>501</v>
      </c>
      <c r="B424" s="0" t="s">
        <v>73</v>
      </c>
      <c r="C424" s="38" t="n">
        <f aca="false">Sens!$C$357</f>
        <v>13.32</v>
      </c>
      <c r="D424" s="38" t="n">
        <f aca="false">Sens!$D$357</f>
        <v>21.45</v>
      </c>
      <c r="E424" s="38" t="n">
        <f aca="false">Sens!$E$357</f>
        <v>15.353</v>
      </c>
      <c r="F424" s="38" t="n">
        <f aca="false">Sens!$F$357</f>
        <v>17.3614451462707</v>
      </c>
      <c r="G424" s="38" t="n">
        <f aca="false">Sens!$G$357</f>
        <v>32.7144451462707</v>
      </c>
      <c r="H424" s="38" t="n">
        <f aca="false">Sens!$H$357</f>
        <v>56.1966092719415</v>
      </c>
      <c r="I424" s="38" t="n">
        <f aca="false">Sens!$I$357</f>
        <v>82.9744039068297</v>
      </c>
      <c r="J424" s="38" t="n">
        <f aca="false">Sens!$J$357</f>
        <v>109.943252237669</v>
      </c>
      <c r="K424" s="38" t="n">
        <f aca="false">Sens!$K$357</f>
        <v>136.406703436571</v>
      </c>
      <c r="L424" s="38" t="n">
        <f aca="false">Sens!$L$357</f>
        <v>161.485870454155</v>
      </c>
      <c r="M424" s="38" t="n">
        <f aca="false">Sens!$M$357</f>
        <v>187.389846618199</v>
      </c>
      <c r="N424" s="38" t="n">
        <f aca="false">Sens!$N$357</f>
        <v>9.234</v>
      </c>
      <c r="O424" s="38" t="n">
        <f aca="false">Sens!$O$357</f>
        <v>12.216</v>
      </c>
    </row>
    <row r="425" customFormat="false" ht="17.15" hidden="false" customHeight="false" outlineLevel="0" collapsed="false">
      <c r="A425" s="5" t="s">
        <v>694</v>
      </c>
      <c r="B425" s="0" t="s">
        <v>73</v>
      </c>
      <c r="C425" s="38" t="n">
        <f aca="false">Sens!$C$422+Sens!$C$423+Sens!$C$424</f>
        <v>32.067</v>
      </c>
      <c r="D425" s="38" t="n">
        <f aca="false">Sens!$D$422+Sens!$D$423+Sens!$D$424</f>
        <v>41.86</v>
      </c>
      <c r="E425" s="38" t="n">
        <f aca="false">Sens!$E$422+Sens!$E$423+Sens!$E$424</f>
        <v>26.703</v>
      </c>
      <c r="F425" s="38" t="n">
        <f aca="false">Sens!$F$422+Sens!$F$423+Sens!$F$424</f>
        <v>30.6103857251209</v>
      </c>
      <c r="G425" s="38" t="n">
        <f aca="false">Sens!$G$422+Sens!$G$423+Sens!$G$424</f>
        <v>57.3133857251209</v>
      </c>
      <c r="H425" s="38" t="n">
        <f aca="false">Sens!$H$422+Sens!$H$423+Sens!$H$424</f>
        <v>87.6845218193838</v>
      </c>
      <c r="I425" s="38" t="n">
        <f aca="false">Sens!$I$422+Sens!$I$423+Sens!$I$424</f>
        <v>122.294769708638</v>
      </c>
      <c r="J425" s="38" t="n">
        <f aca="false">Sens!$J$422+Sens!$J$423+Sens!$J$424</f>
        <v>157.133962573221</v>
      </c>
      <c r="K425" s="38" t="n">
        <f aca="false">Sens!$K$422+Sens!$K$423+Sens!$K$424</f>
        <v>191.350633353599</v>
      </c>
      <c r="L425" s="38" t="n">
        <f aca="false">Sens!$L$422+Sens!$L$423+Sens!$L$424</f>
        <v>223.909238335354</v>
      </c>
      <c r="M425" s="38" t="n">
        <f aca="false">Sens!$M$422+Sens!$M$423+Sens!$M$424</f>
        <v>257.576319867276</v>
      </c>
      <c r="N425" s="38" t="n">
        <f aca="false">Sens!$N$422+Sens!$N$423+Sens!$N$424</f>
        <v>18.822</v>
      </c>
      <c r="O425" s="38" t="n">
        <f aca="false">Sens!$O$422+Sens!$O$423+Sens!$O$424</f>
        <v>23.038</v>
      </c>
    </row>
    <row r="426" customFormat="false" ht="17.15" hidden="false" customHeight="false" outlineLevel="0" collapsed="false">
      <c r="A426" s="0" t="s">
        <v>695</v>
      </c>
      <c r="B426" s="0" t="s">
        <v>73</v>
      </c>
      <c r="C426" s="38" t="n">
        <f aca="false">Sens!$C$399+Sens!$C$404</f>
        <v>28.107</v>
      </c>
      <c r="D426" s="38" t="n">
        <f aca="false">Sens!$D$399+Sens!$D$404</f>
        <v>34.3175</v>
      </c>
      <c r="E426" s="38" t="n">
        <f aca="false">Sens!$E$399+Sens!$E$404</f>
        <v>18.526</v>
      </c>
      <c r="F426" s="38" t="n">
        <f aca="false">Sens!$F$399+Sens!$F$404</f>
        <v>24.0766690913691</v>
      </c>
      <c r="G426" s="38" t="n">
        <f aca="false">Sens!$G$399+Sens!$G$404</f>
        <v>42.6026690913691</v>
      </c>
      <c r="H426" s="38" t="n">
        <f aca="false">Sens!$H$399+Sens!$H$404</f>
        <v>51.1466809294702</v>
      </c>
      <c r="I426" s="38" t="n">
        <f aca="false">Sens!$I$399+Sens!$I$404</f>
        <v>59.6899187926205</v>
      </c>
      <c r="J426" s="38" t="n">
        <f aca="false">Sens!$J$399+Sens!$J$404</f>
        <v>67.6595395244221</v>
      </c>
      <c r="K426" s="38" t="n">
        <f aca="false">Sens!$K$399+Sens!$K$404</f>
        <v>74.4254934768643</v>
      </c>
      <c r="L426" s="38" t="n">
        <f aca="false">Sens!$L$399+Sens!$L$404</f>
        <v>81.8680428245508</v>
      </c>
      <c r="M426" s="38" t="n">
        <f aca="false">Sens!$M$399+Sens!$M$404</f>
        <v>90.0548471070059</v>
      </c>
      <c r="N426" s="38" t="n">
        <f aca="false">Sens!$N$399+Sens!$N$404</f>
        <v>14.8075</v>
      </c>
      <c r="O426" s="38" t="n">
        <f aca="false">Sens!$O$399+Sens!$O$404</f>
        <v>19.51</v>
      </c>
    </row>
    <row r="427" customFormat="false" ht="17.15" hidden="false" customHeight="false" outlineLevel="0" collapsed="false">
      <c r="A427" s="0" t="s">
        <v>696</v>
      </c>
      <c r="B427" s="0" t="s">
        <v>73</v>
      </c>
      <c r="C427" s="38" t="n">
        <f aca="false">Sens!$C$403+Sens!$C$408+Sens!$C$422+Sens!$C$423-Sens!$C$426</f>
        <v>19.399</v>
      </c>
      <c r="D427" s="38" t="n">
        <f aca="false">Sens!$D$403+Sens!$D$408+Sens!$D$422+Sens!$D$423-Sens!$D$426</f>
        <v>20.4615</v>
      </c>
      <c r="E427" s="38" t="n">
        <f aca="false">Sens!$E$403+Sens!$E$408+Sens!$E$422+Sens!$E$423-Sens!$E$426</f>
        <v>13.355</v>
      </c>
      <c r="F427" s="38" t="n">
        <f aca="false">Sens!$F$403+Sens!$F$408+Sens!$F$422+Sens!$F$423-Sens!$F$426</f>
        <v>13.0895111975985</v>
      </c>
      <c r="G427" s="38" t="n">
        <f aca="false">Sens!$G$403+Sens!$G$408+Sens!$G$422+Sens!$G$423-Sens!$G$426</f>
        <v>26.4445111975985</v>
      </c>
      <c r="H427" s="38" t="n">
        <f aca="false">Sens!$H$403+Sens!$H$408+Sens!$H$422+Sens!$H$423-Sens!$H$426</f>
        <v>28.8977096937968</v>
      </c>
      <c r="I427" s="38" t="n">
        <f aca="false">Sens!$I$403+Sens!$I$408+Sens!$I$422+Sens!$I$423-Sens!$I$426</f>
        <v>31.2062039064791</v>
      </c>
      <c r="J427" s="38" t="n">
        <f aca="false">Sens!$J$403+Sens!$J$408+Sens!$J$422+Sens!$J$423-Sens!$J$426</f>
        <v>33.5064572496913</v>
      </c>
      <c r="K427" s="38" t="n">
        <f aca="false">Sens!$K$403+Sens!$K$408+Sens!$K$422+Sens!$K$423-Sens!$K$426</f>
        <v>35.6591461575899</v>
      </c>
      <c r="L427" s="38" t="n">
        <f aca="false">Sens!$L$403+Sens!$L$408+Sens!$L$422+Sens!$L$423-Sens!$L$426</f>
        <v>36.4141007090604</v>
      </c>
      <c r="M427" s="38" t="n">
        <f aca="false">Sens!$M$403+Sens!$M$408+Sens!$M$422+Sens!$M$423-Sens!$M$426</f>
        <v>37.359984207839</v>
      </c>
      <c r="N427" s="38" t="n">
        <f aca="false">Sens!$N$403+Sens!$N$408+Sens!$N$422+Sens!$N$423-Sens!$N$426</f>
        <v>10.6495</v>
      </c>
      <c r="O427" s="38" t="n">
        <f aca="false">Sens!$O$403+Sens!$O$408+Sens!$O$422+Sens!$O$423-Sens!$O$426</f>
        <v>9.81200000000001</v>
      </c>
    </row>
    <row r="428" customFormat="false" ht="17.15" hidden="false" customHeight="false" outlineLevel="0" collapsed="false">
      <c r="A428" s="0" t="s">
        <v>697</v>
      </c>
      <c r="B428" s="0" t="s">
        <v>73</v>
      </c>
      <c r="C428" s="38" t="n">
        <f aca="false">Sens!$C$410+Sens!$C$424-ext_sh*Sens!$C$345</f>
        <v>51.3470500115664</v>
      </c>
      <c r="D428" s="38" t="n">
        <f aca="false">Sens!$D$410+Sens!$D$424-ext_sh*Sens!$D$345</f>
        <v>60.2799375433739</v>
      </c>
      <c r="E428" s="38" t="n">
        <f aca="false">Sens!$E$410+Sens!$E$424-ext_sh*Sens!$E$345</f>
        <v>39.5095167090767</v>
      </c>
      <c r="F428" s="38" t="n">
        <f aca="false">Sens!$F$410+Sens!$F$424-ext_sh*Sens!$F$345</f>
        <v>41.606724953129</v>
      </c>
      <c r="G428" s="38" t="n">
        <f aca="false">Sens!$G$410+Sens!$G$424-ext_sh*Sens!$G$345</f>
        <v>81.1162416622057</v>
      </c>
      <c r="H428" s="38" t="n">
        <f aca="false">Sens!$H$410+Sens!$H$424-ext_sh*Sens!$H$345</f>
        <v>95.7616595325849</v>
      </c>
      <c r="I428" s="38" t="n">
        <f aca="false">Sens!$I$410+Sens!$I$424-ext_sh*Sens!$I$345</f>
        <v>111.513312079935</v>
      </c>
      <c r="J428" s="38" t="n">
        <f aca="false">Sens!$J$410+Sens!$J$424-ext_sh*Sens!$J$345</f>
        <v>125.145150463955</v>
      </c>
      <c r="K428" s="38" t="n">
        <f aca="false">Sens!$K$410+Sens!$K$424-ext_sh*Sens!$K$345</f>
        <v>135.156762501071</v>
      </c>
      <c r="L428" s="38" t="n">
        <f aca="false">Sens!$L$410+Sens!$L$424-ext_sh*Sens!$L$345</f>
        <v>145.969303501157</v>
      </c>
      <c r="M428" s="38" t="n">
        <f aca="false">Sens!$M$410+Sens!$M$424-ext_sh*Sens!$M$345</f>
        <v>157.646847781249</v>
      </c>
      <c r="N428" s="38" t="n">
        <f aca="false">Sens!$N$410+Sens!$N$424-ext_sh*Sens!$N$345</f>
        <v>28.5693781401809</v>
      </c>
      <c r="O428" s="38" t="n">
        <f aca="false">Sens!$O$410+Sens!$O$424-ext_sh*Sens!$O$345</f>
        <v>31.7105594031931</v>
      </c>
    </row>
    <row r="429" customFormat="false" ht="17.15" hidden="false" customHeight="false" outlineLevel="0" collapsed="false">
      <c r="A429" s="0" t="s">
        <v>698</v>
      </c>
      <c r="B429" s="0" t="s">
        <v>73</v>
      </c>
      <c r="C429" s="38" t="n">
        <f aca="false">Sens!$C$348</f>
        <v>1.80694998843362</v>
      </c>
      <c r="D429" s="38" t="n">
        <f aca="false">Sens!$D$348</f>
        <v>6.77606245662607</v>
      </c>
      <c r="E429" s="38" t="n">
        <f aca="false">Sens!$E$348</f>
        <v>6.62548329092326</v>
      </c>
      <c r="F429" s="38" t="n">
        <f aca="false">Sens!$F$348</f>
        <v>10.8940413794839</v>
      </c>
      <c r="G429" s="38" t="n">
        <f aca="false">Sens!$G$348</f>
        <v>17.5195246704072</v>
      </c>
      <c r="H429" s="38" t="n">
        <f aca="false">Sens!$H$348</f>
        <v>40.7735721541341</v>
      </c>
      <c r="I429" s="38" t="n">
        <f aca="false">Sens!$I$348</f>
        <v>66.8500163832358</v>
      </c>
      <c r="J429" s="38" t="n">
        <f aca="false">Sens!$J$348</f>
        <v>93.0640470849174</v>
      </c>
      <c r="K429" s="38" t="n">
        <f aca="false">Sens!$K$348</f>
        <v>119.323939944126</v>
      </c>
      <c r="L429" s="38" t="n">
        <f aca="false">Sens!$L$348</f>
        <v>145.604679238573</v>
      </c>
      <c r="M429" s="38" t="n">
        <f aca="false">Sens!$M$348</f>
        <v>171.896643536611</v>
      </c>
      <c r="N429" s="38" t="n">
        <f aca="false">Sens!$N$348</f>
        <v>2.37162185981912</v>
      </c>
      <c r="O429" s="38" t="n">
        <f aca="false">Sens!$O$348</f>
        <v>4.40444059680694</v>
      </c>
    </row>
    <row r="430" customFormat="false" ht="17.15" hidden="false" customHeight="false" outlineLevel="0" collapsed="false">
      <c r="A430" s="0" t="s">
        <v>699</v>
      </c>
      <c r="B430" s="0" t="s">
        <v>73</v>
      </c>
      <c r="C430" s="38" t="n">
        <f aca="false">Sens!$C$413+Sens!$C$425</f>
        <v>100.66</v>
      </c>
      <c r="D430" s="38" t="n">
        <f aca="false">Sens!$D$413+Sens!$D$425</f>
        <v>121.835</v>
      </c>
      <c r="E430" s="38" t="n">
        <f aca="false">Sens!$E$413+Sens!$E$425</f>
        <v>78.016</v>
      </c>
      <c r="F430" s="38" t="n">
        <f aca="false">Sens!$F$413+Sens!$F$425</f>
        <v>89.6669466215805</v>
      </c>
      <c r="G430" s="38" t="n">
        <f aca="false">Sens!$G$413+Sens!$G$425</f>
        <v>167.68294662158</v>
      </c>
      <c r="H430" s="38" t="n">
        <f aca="false">Sens!$H$413+Sens!$H$425</f>
        <v>216.579622309986</v>
      </c>
      <c r="I430" s="38" t="n">
        <f aca="false">Sens!$I$413+Sens!$I$425</f>
        <v>269.259451162271</v>
      </c>
      <c r="J430" s="38" t="n">
        <f aca="false">Sens!$J$413+Sens!$J$425</f>
        <v>319.375194322985</v>
      </c>
      <c r="K430" s="38" t="n">
        <f aca="false">Sens!$K$413+Sens!$K$425</f>
        <v>364.565342079651</v>
      </c>
      <c r="L430" s="38" t="n">
        <f aca="false">Sens!$L$413+Sens!$L$425</f>
        <v>409.856126273341</v>
      </c>
      <c r="M430" s="38" t="n">
        <f aca="false">Sens!$M$413+Sens!$M$425</f>
        <v>456.958322632705</v>
      </c>
      <c r="N430" s="38" t="n">
        <f aca="false">Sens!$N$413+Sens!$N$425</f>
        <v>56.398</v>
      </c>
      <c r="O430" s="38" t="n">
        <f aca="false">Sens!$O$413+Sens!$O$425</f>
        <v>65.437</v>
      </c>
    </row>
    <row r="431" customFormat="false" ht="17.15" hidden="false" customHeight="false" outlineLevel="0" collapsed="false">
      <c r="A431" s="1" t="s">
        <v>700</v>
      </c>
    </row>
    <row r="432" customFormat="false" ht="15" hidden="false" customHeight="false" outlineLevel="0" collapsed="false">
      <c r="A432" s="5" t="s">
        <v>504</v>
      </c>
      <c r="B432" s="0" t="s">
        <v>73</v>
      </c>
      <c r="C432" s="38" t="n">
        <f aca="false">Q!$D$34</f>
        <v>2.406</v>
      </c>
      <c r="D432" s="38" t="n">
        <f aca="false">Q!$E$34</f>
        <v>2.274</v>
      </c>
      <c r="E432" s="38" t="n">
        <f aca="false">Q!$P$34</f>
        <v>2.114</v>
      </c>
      <c r="F432" s="38" t="n">
        <f aca="false">Sens!$F$468</f>
        <v>3.24888964316061</v>
      </c>
      <c r="G432" s="38" t="n">
        <f aca="false">Sens!$E$432+Sens!$F$432</f>
        <v>5.36288964316061</v>
      </c>
      <c r="H432" s="38" t="n">
        <f aca="false">Sens!$H$468</f>
        <v>7.42354178632123</v>
      </c>
      <c r="I432" s="38" t="n">
        <f aca="false">Sens!$I$468</f>
        <v>7.93350291307667</v>
      </c>
      <c r="J432" s="38" t="n">
        <f aca="false">Sens!$J$468</f>
        <v>8.95576692016377</v>
      </c>
      <c r="K432" s="38" t="n">
        <f aca="false">Sens!$K$468</f>
        <v>8.95576692016377</v>
      </c>
      <c r="L432" s="38" t="n">
        <f aca="false">Sens!$L$468</f>
        <v>8.95576692016377</v>
      </c>
      <c r="M432" s="38" t="n">
        <f aca="false">Sens!$M$468</f>
        <v>8.95576692016377</v>
      </c>
      <c r="N432" s="38" t="n">
        <f aca="false">Q!$N$34</f>
        <v>1.057</v>
      </c>
      <c r="O432" s="38" t="n">
        <f aca="false">Q!$O$34</f>
        <v>1.217</v>
      </c>
    </row>
    <row r="433" customFormat="false" ht="15" hidden="false" customHeight="false" outlineLevel="0" collapsed="false">
      <c r="A433" s="5" t="s">
        <v>701</v>
      </c>
      <c r="B433" s="0" t="s">
        <v>73</v>
      </c>
      <c r="F433" s="38" t="n">
        <f aca="false">Sens!$F$469</f>
        <v>2.59</v>
      </c>
      <c r="H433" s="38" t="n">
        <f aca="false">Sens!$H$469</f>
        <v>3.97968175674031</v>
      </c>
      <c r="I433" s="38" t="n">
        <f aca="false">Sens!$I$469</f>
        <v>2.10589651022864</v>
      </c>
      <c r="J433" s="38" t="n">
        <f aca="false">Sens!$J$469</f>
        <v>2.10589651022864</v>
      </c>
      <c r="K433" s="38" t="n">
        <f aca="false">Sens!$K$469</f>
        <v>2.9860952409183</v>
      </c>
      <c r="L433" s="38" t="n">
        <f aca="false">Sens!$L$469</f>
        <v>5.37108266863553</v>
      </c>
      <c r="M433" s="38" t="n">
        <f aca="false">Sens!$M$469</f>
        <v>7.96723599091899</v>
      </c>
    </row>
    <row r="434" customFormat="false" ht="17.15" hidden="false" customHeight="false" outlineLevel="0" collapsed="false">
      <c r="A434" s="5" t="s">
        <v>702</v>
      </c>
      <c r="B434" s="0" t="s">
        <v>73</v>
      </c>
      <c r="C434" s="38" t="n">
        <f aca="false">Q!$D$39</f>
        <v>2.427</v>
      </c>
      <c r="D434" s="38" t="n">
        <f aca="false">Q!$E$39</f>
        <v>19.61</v>
      </c>
      <c r="E434" s="38" t="n">
        <f aca="false">Q!$P$39</f>
        <v>71.492</v>
      </c>
      <c r="F434" s="41" t="n">
        <v>0</v>
      </c>
      <c r="G434" s="38" t="n">
        <f aca="false">Sens!$E$434+Sens!$F$434</f>
        <v>71.492</v>
      </c>
      <c r="H434" s="41" t="n">
        <v>0</v>
      </c>
      <c r="I434" s="41" t="n">
        <v>0</v>
      </c>
      <c r="J434" s="41" t="n">
        <v>0</v>
      </c>
      <c r="K434" s="41" t="n">
        <v>0</v>
      </c>
      <c r="L434" s="41" t="n">
        <v>0</v>
      </c>
      <c r="M434" s="41" t="n">
        <v>0</v>
      </c>
      <c r="N434" s="38" t="n">
        <f aca="false">Q!$N$39</f>
        <v>6.017</v>
      </c>
      <c r="O434" s="38" t="n">
        <f aca="false">Q!$O$39</f>
        <v>13.593</v>
      </c>
      <c r="P434" s="5" t="s">
        <v>703</v>
      </c>
    </row>
    <row r="435" customFormat="false" ht="15" hidden="false" customHeight="false" outlineLevel="0" collapsed="false">
      <c r="A435" s="5" t="s">
        <v>507</v>
      </c>
      <c r="B435" s="0" t="s">
        <v>73</v>
      </c>
      <c r="C435" s="38" t="n">
        <f aca="false">Q!$D$36</f>
        <v>68.614</v>
      </c>
      <c r="D435" s="38" t="n">
        <f aca="false">Q!$E$36</f>
        <v>97.311</v>
      </c>
      <c r="E435" s="38" t="n">
        <f aca="false">Q!$P$36</f>
        <v>120.691</v>
      </c>
      <c r="F435" s="38" t="n">
        <f aca="false">Sens!$F$413-Sens!$F$432+Sens!$F$433+Sens!$F$434</f>
        <v>58.3976712532989</v>
      </c>
      <c r="G435" s="38" t="n">
        <f aca="false">Sens!$E$435+Sens!$F$435</f>
        <v>179.088671253299</v>
      </c>
      <c r="H435" s="38" t="n">
        <f aca="false">Sens!$H$413-Sens!$H$432+Sens!$H$433+Sens!$H$434</f>
        <v>125.451240461021</v>
      </c>
      <c r="I435" s="38" t="n">
        <f aca="false">Sens!$I$413-Sens!$I$432+Sens!$I$433+Sens!$I$434</f>
        <v>141.137075050785</v>
      </c>
      <c r="J435" s="38" t="n">
        <f aca="false">Sens!$J$413-Sens!$J$432+Sens!$J$433+Sens!$J$434</f>
        <v>155.391361339829</v>
      </c>
      <c r="K435" s="38" t="n">
        <f aca="false">Sens!$K$413-Sens!$K$432+Sens!$K$433+Sens!$K$434</f>
        <v>167.245037046806</v>
      </c>
      <c r="L435" s="38" t="n">
        <f aca="false">Sens!$L$413-Sens!$L$432+Sens!$L$433+Sens!$L$434</f>
        <v>182.362203686458</v>
      </c>
      <c r="M435" s="38" t="n">
        <f aca="false">Sens!$M$413-Sens!$M$432+Sens!$M$433+Sens!$M$434</f>
        <v>198.393471836184</v>
      </c>
      <c r="N435" s="38" t="n">
        <f aca="false">Q!$N$36</f>
        <v>42.536</v>
      </c>
      <c r="O435" s="38" t="n">
        <f aca="false">Q!$O$36</f>
        <v>54.775</v>
      </c>
    </row>
    <row r="436" customFormat="false" ht="15" hidden="false" customHeight="false" outlineLevel="0" collapsed="false">
      <c r="A436" s="5" t="s">
        <v>508</v>
      </c>
      <c r="B436" s="0" t="s">
        <v>73</v>
      </c>
      <c r="C436" s="38" t="n">
        <f aca="false">Q!$D$37</f>
        <v>9.265</v>
      </c>
      <c r="D436" s="38" t="n">
        <f aca="false">Q!$E$37</f>
        <v>19.087</v>
      </c>
      <c r="E436" s="38" t="n">
        <f aca="false">Q!$P$37</f>
        <v>27.759</v>
      </c>
      <c r="F436" s="38" t="n">
        <f aca="false">Sens!$F$435*tax</f>
        <v>10.1369321202742</v>
      </c>
      <c r="G436" s="38" t="n">
        <f aca="false">Sens!$E$436+Sens!$F$436</f>
        <v>37.8959321202742</v>
      </c>
      <c r="H436" s="38" t="n">
        <f aca="false">Sens!$H$435*tax</f>
        <v>21.7763941894468</v>
      </c>
      <c r="I436" s="38" t="n">
        <f aca="false">Sens!$I$435*tax</f>
        <v>24.4992123613667</v>
      </c>
      <c r="J436" s="38" t="n">
        <f aca="false">Sens!$J$435*tax</f>
        <v>26.9735358991711</v>
      </c>
      <c r="K436" s="38" t="n">
        <f aca="false">Sens!$K$435*tax</f>
        <v>29.0311505854857</v>
      </c>
      <c r="L436" s="38" t="n">
        <f aca="false">Sens!$L$435*tax</f>
        <v>31.655256800481</v>
      </c>
      <c r="M436" s="38" t="n">
        <f aca="false">Sens!$M$435*tax</f>
        <v>34.4380368933859</v>
      </c>
      <c r="N436" s="38" t="n">
        <f aca="false">Q!$N$37</f>
        <v>7.231</v>
      </c>
      <c r="O436" s="38" t="n">
        <f aca="false">Q!$O$37</f>
        <v>11.856</v>
      </c>
    </row>
    <row r="437" customFormat="false" ht="15" hidden="false" customHeight="false" outlineLevel="0" collapsed="false">
      <c r="A437" s="3" t="s">
        <v>509</v>
      </c>
      <c r="B437" s="8" t="s">
        <v>73</v>
      </c>
      <c r="C437" s="38" t="n">
        <f aca="false">Q!$D$38</f>
        <v>59.248</v>
      </c>
      <c r="D437" s="38" t="n">
        <f aca="false">Q!$E$38</f>
        <v>77.67</v>
      </c>
      <c r="E437" s="38" t="n">
        <f aca="false">Q!$P$38</f>
        <v>92.902</v>
      </c>
      <c r="F437" s="38" t="n">
        <f aca="false">Sens!$F$435-Sens!$F$436</f>
        <v>48.2607391330247</v>
      </c>
      <c r="G437" s="38" t="n">
        <f aca="false">Sens!$E$437+Sens!$F$437</f>
        <v>141.162739133025</v>
      </c>
      <c r="H437" s="38" t="n">
        <f aca="false">Sens!$H$435-Sens!$H$436</f>
        <v>103.674846271574</v>
      </c>
      <c r="I437" s="38" t="n">
        <f aca="false">Sens!$I$435-Sens!$I$436</f>
        <v>116.637862689418</v>
      </c>
      <c r="J437" s="38" t="n">
        <f aca="false">Sens!$J$435-Sens!$J$436</f>
        <v>128.417825440658</v>
      </c>
      <c r="K437" s="38" t="n">
        <f aca="false">Sens!$K$435-Sens!$K$436</f>
        <v>138.21388646132</v>
      </c>
      <c r="L437" s="38" t="n">
        <f aca="false">Sens!$L$435-Sens!$L$436</f>
        <v>150.706946885977</v>
      </c>
      <c r="M437" s="38" t="n">
        <f aca="false">Sens!$M$435-Sens!$M$436</f>
        <v>163.955434942798</v>
      </c>
      <c r="N437" s="38" t="n">
        <f aca="false">Q!$N$38</f>
        <v>35.291</v>
      </c>
      <c r="O437" s="38" t="n">
        <f aca="false">Q!$O$38</f>
        <v>42.379</v>
      </c>
    </row>
    <row r="438" customFormat="false" ht="17.15" hidden="false" customHeight="false" outlineLevel="0" collapsed="false">
      <c r="A438" s="5" t="s">
        <v>512</v>
      </c>
      <c r="B438" s="5" t="s">
        <v>33</v>
      </c>
      <c r="C438" s="22" t="n">
        <f aca="false">Q!$D$41</f>
        <v>10.721</v>
      </c>
      <c r="D438" s="22" t="n">
        <f aca="false">Q!$E$41</f>
        <v>10.827</v>
      </c>
      <c r="E438" s="22" t="n">
        <f aca="false">(Q!$L$41+Q!$M$41)/2</f>
        <v>10.8885</v>
      </c>
      <c r="F438" s="22" t="n">
        <f aca="false">Sens!$G$438</f>
        <v>10.924806</v>
      </c>
      <c r="G438" s="22" t="n">
        <f aca="false">Q!$M$41*(1+sh_g*0.25)</f>
        <v>10.924806</v>
      </c>
      <c r="H438" s="22" t="n">
        <f aca="false">Sens!$G$438*(1+sh_g)</f>
        <v>11.012204448</v>
      </c>
      <c r="I438" s="22" t="n">
        <f aca="false">Sens!$H$438*(1+sh_g)</f>
        <v>11.100302083584</v>
      </c>
      <c r="J438" s="22" t="n">
        <f aca="false">Sens!$I$438*(1+sh_g)</f>
        <v>11.1891045002527</v>
      </c>
      <c r="K438" s="22" t="n">
        <f aca="false">Sens!$J$438*(1+sh_g)</f>
        <v>11.2786173362547</v>
      </c>
      <c r="L438" s="22" t="n">
        <f aca="false">Sens!$K$438*(1+sh_g)</f>
        <v>11.3688462749447</v>
      </c>
      <c r="M438" s="22" t="n">
        <f aca="false">Sens!$L$438*(1+sh_g)</f>
        <v>11.4597970451443</v>
      </c>
      <c r="P438" s="5" t="s">
        <v>704</v>
      </c>
    </row>
    <row r="439" customFormat="false" ht="17.15" hidden="false" customHeight="false" outlineLevel="0" collapsed="false">
      <c r="A439" s="42" t="s">
        <v>705</v>
      </c>
      <c r="B439" s="13" t="s">
        <v>27</v>
      </c>
      <c r="C439" s="43" t="n">
        <f aca="false">Sens!$C$437/Sens!$C$438</f>
        <v>5.52635015390355</v>
      </c>
      <c r="D439" s="43" t="n">
        <f aca="false">Sens!$D$437/Sens!$D$438</f>
        <v>7.1737323358271</v>
      </c>
      <c r="E439" s="43" t="n">
        <f aca="false">Sens!$E$437/Sens!$E$438</f>
        <v>8.53212104513937</v>
      </c>
      <c r="F439" s="13"/>
      <c r="G439" s="43" t="n">
        <f aca="false">Sens!$G$437/Sens!$G$438</f>
        <v>12.9213039694274</v>
      </c>
      <c r="H439" s="43" t="n">
        <f aca="false">Sens!$H$437/Sens!$H$438</f>
        <v>9.41454063635764</v>
      </c>
      <c r="I439" s="43" t="n">
        <f aca="false">Sens!$I$437/Sens!$I$438</f>
        <v>10.5076295952262</v>
      </c>
      <c r="J439" s="43" t="n">
        <f aca="false">Sens!$J$437/Sens!$J$438</f>
        <v>11.4770422814228</v>
      </c>
      <c r="K439" s="43" t="n">
        <f aca="false">Sens!$K$437/Sens!$K$438</f>
        <v>12.2545062342914</v>
      </c>
      <c r="L439" s="43" t="n">
        <f aca="false">Sens!$L$437/Sens!$L$438</f>
        <v>13.2561337572233</v>
      </c>
      <c r="M439" s="43" t="n">
        <f aca="false">Sens!$M$437/Sens!$M$438</f>
        <v>14.3070103507871</v>
      </c>
      <c r="N439" s="13"/>
      <c r="O439" s="13"/>
    </row>
    <row r="440" customFormat="false" ht="17.15" hidden="false" customHeight="false" outlineLevel="0" collapsed="false">
      <c r="A440" s="0" t="s">
        <v>706</v>
      </c>
      <c r="B440" s="0" t="s">
        <v>27</v>
      </c>
      <c r="C440" s="30" t="n">
        <f aca="false">(Sens!$C$437-Sens!$C$434*(1-tax))/Sens!$C$438</f>
        <v>5.33926775917445</v>
      </c>
      <c r="D440" s="30" t="n">
        <f aca="false">(Sens!$D$437-Sens!$D$434*(1-tax))/Sens!$D$438</f>
        <v>5.67691812755503</v>
      </c>
      <c r="E440" s="30" t="n">
        <f aca="false">(Sens!$E$437-Sens!$E$434*(1-tax))/Sens!$E$438</f>
        <v>3.10602057006846</v>
      </c>
      <c r="G440" s="30" t="n">
        <f aca="false">(Sens!$G$437-Sens!$G$434*(1-tax))/Sens!$G$438</f>
        <v>7.51323585153046</v>
      </c>
      <c r="H440" s="30" t="n">
        <f aca="false">(Sens!$H$437-Sens!$H$434*(1-tax))/Sens!$H$438</f>
        <v>9.41454063635764</v>
      </c>
      <c r="I440" s="30" t="n">
        <f aca="false">(Sens!$I$437-Sens!$I$434*(1-tax))/Sens!$I$438</f>
        <v>10.5076295952262</v>
      </c>
      <c r="J440" s="30" t="n">
        <f aca="false">(Sens!$J$437-Sens!$J$434*(1-tax))/Sens!$J$438</f>
        <v>11.4770422814228</v>
      </c>
      <c r="K440" s="30" t="n">
        <f aca="false">(Sens!$K$437-Sens!$K$434*(1-tax))/Sens!$K$438</f>
        <v>12.2545062342914</v>
      </c>
      <c r="L440" s="30" t="n">
        <f aca="false">(Sens!$L$437-Sens!$L$434*(1-tax))/Sens!$L$438</f>
        <v>13.2561337572233</v>
      </c>
      <c r="M440" s="30" t="n">
        <f aca="false">(Sens!$M$437-Sens!$M$434*(1-tax))/Sens!$M$438</f>
        <v>14.3070103507871</v>
      </c>
      <c r="P440" s="5" t="s">
        <v>707</v>
      </c>
    </row>
    <row r="441" customFormat="false" ht="17.15" hidden="false" customHeight="false" outlineLevel="0" collapsed="false">
      <c r="A441" s="0" t="s">
        <v>708</v>
      </c>
      <c r="B441" s="0" t="s">
        <v>52</v>
      </c>
      <c r="H441" s="12" t="n">
        <f aca="false">Sens!$H$439/Sens!$G$439-1</f>
        <v>-0.271393919790681</v>
      </c>
      <c r="I441" s="12" t="n">
        <f aca="false">Sens!$I$439/Sens!$H$439-1</f>
        <v>0.11610645713793</v>
      </c>
      <c r="J441" s="12" t="n">
        <f aca="false">Sens!$J$439/Sens!$I$439-1</f>
        <v>0.0922579804903911</v>
      </c>
      <c r="K441" s="12" t="n">
        <f aca="false">Sens!$K$439/Sens!$J$439-1</f>
        <v>0.0677407936474195</v>
      </c>
      <c r="L441" s="12" t="n">
        <f aca="false">Sens!$L$439/Sens!$K$439-1</f>
        <v>0.0817354452135402</v>
      </c>
      <c r="M441" s="12" t="n">
        <f aca="false">Sens!$M$439/Sens!$L$439-1</f>
        <v>0.0792747427575651</v>
      </c>
    </row>
    <row r="444" customFormat="false" ht="19.4" hidden="false" customHeight="false" outlineLevel="0" collapsed="false">
      <c r="A444" s="31" t="s">
        <v>1051</v>
      </c>
    </row>
    <row r="445" customFormat="false" ht="17.15" hidden="false" customHeight="false" outlineLevel="0" collapsed="false">
      <c r="A445" s="6" t="s">
        <v>16</v>
      </c>
      <c r="B445" s="6" t="s">
        <v>17</v>
      </c>
      <c r="C445" s="20" t="s">
        <v>457</v>
      </c>
      <c r="D445" s="20" t="s">
        <v>458</v>
      </c>
      <c r="E445" s="20" t="s">
        <v>540</v>
      </c>
      <c r="F445" s="20" t="s">
        <v>541</v>
      </c>
      <c r="G445" s="20" t="s">
        <v>542</v>
      </c>
      <c r="H445" s="20" t="s">
        <v>543</v>
      </c>
      <c r="I445" s="20" t="s">
        <v>544</v>
      </c>
      <c r="J445" s="20" t="s">
        <v>545</v>
      </c>
      <c r="K445" s="20" t="s">
        <v>546</v>
      </c>
      <c r="L445" s="20" t="s">
        <v>547</v>
      </c>
      <c r="M445" s="20" t="s">
        <v>548</v>
      </c>
      <c r="N445" s="20" t="s">
        <v>549</v>
      </c>
      <c r="O445" s="20" t="s">
        <v>550</v>
      </c>
      <c r="P445" s="6" t="s">
        <v>23</v>
      </c>
      <c r="R445" s="20" t="n">
        <v>2023</v>
      </c>
      <c r="S445" s="20" t="n">
        <v>2024</v>
      </c>
      <c r="T445" s="20" t="n">
        <v>2025</v>
      </c>
      <c r="U445" s="20" t="n">
        <v>2026</v>
      </c>
      <c r="V445" s="20" t="n">
        <v>2027</v>
      </c>
      <c r="W445" s="20" t="n">
        <v>2028</v>
      </c>
      <c r="X445" s="20" t="n">
        <v>2029</v>
      </c>
      <c r="Y445" s="20" t="n">
        <v>2030</v>
      </c>
      <c r="Z445" s="20" t="n">
        <v>2031</v>
      </c>
      <c r="AA445" s="20" t="n">
        <v>2032</v>
      </c>
    </row>
    <row r="446" customFormat="false" ht="15" hidden="false" customHeight="false" outlineLevel="0" collapsed="false">
      <c r="A446" s="5" t="s">
        <v>509</v>
      </c>
      <c r="B446" s="0" t="s">
        <v>73</v>
      </c>
      <c r="C446" s="38" t="n">
        <f aca="false">Sens!$C$437</f>
        <v>59.248</v>
      </c>
      <c r="D446" s="38" t="n">
        <f aca="false">Sens!$D$437</f>
        <v>77.67</v>
      </c>
      <c r="E446" s="38" t="n">
        <f aca="false">Sens!$E$437</f>
        <v>92.902</v>
      </c>
      <c r="F446" s="38" t="n">
        <f aca="false">Sens!$F$437</f>
        <v>48.2607391330247</v>
      </c>
      <c r="G446" s="38" t="n">
        <f aca="false">Sens!$G$437</f>
        <v>141.162739133025</v>
      </c>
      <c r="H446" s="38" t="n">
        <f aca="false">Sens!$H$437</f>
        <v>103.674846271574</v>
      </c>
      <c r="I446" s="38" t="n">
        <f aca="false">Sens!$I$437</f>
        <v>116.637862689418</v>
      </c>
      <c r="J446" s="38" t="n">
        <f aca="false">Sens!$J$437</f>
        <v>128.417825440658</v>
      </c>
      <c r="K446" s="38" t="n">
        <f aca="false">Sens!$K$437</f>
        <v>138.21388646132</v>
      </c>
      <c r="L446" s="38" t="n">
        <f aca="false">Sens!$L$437</f>
        <v>150.706946885977</v>
      </c>
      <c r="M446" s="38" t="n">
        <f aca="false">Sens!$M$437</f>
        <v>163.955434942798</v>
      </c>
    </row>
    <row r="447" customFormat="false" ht="17.15" hidden="false" customHeight="false" outlineLevel="0" collapsed="false">
      <c r="A447" s="5" t="s">
        <v>730</v>
      </c>
      <c r="B447" s="0" t="s">
        <v>73</v>
      </c>
      <c r="C447" s="38" t="n">
        <f aca="false">Sens!$C$425</f>
        <v>32.067</v>
      </c>
      <c r="D447" s="38" t="n">
        <f aca="false">Sens!$D$425</f>
        <v>41.86</v>
      </c>
      <c r="E447" s="38" t="n">
        <f aca="false">Sens!$E$425</f>
        <v>26.703</v>
      </c>
      <c r="F447" s="38" t="n">
        <f aca="false">Sens!$F$425</f>
        <v>30.6103857251209</v>
      </c>
      <c r="G447" s="38" t="n">
        <f aca="false">Sens!$G$425</f>
        <v>57.3133857251209</v>
      </c>
      <c r="H447" s="38" t="n">
        <f aca="false">Sens!$H$425</f>
        <v>87.6845218193838</v>
      </c>
      <c r="I447" s="38" t="n">
        <f aca="false">Sens!$I$425</f>
        <v>122.294769708638</v>
      </c>
      <c r="J447" s="38" t="n">
        <f aca="false">Sens!$J$425</f>
        <v>157.133962573221</v>
      </c>
      <c r="K447" s="38" t="n">
        <f aca="false">Sens!$K$425</f>
        <v>191.350633353599</v>
      </c>
      <c r="L447" s="38" t="n">
        <f aca="false">Sens!$L$425</f>
        <v>223.909238335354</v>
      </c>
      <c r="M447" s="38" t="n">
        <f aca="false">Sens!$M$425</f>
        <v>257.576319867276</v>
      </c>
    </row>
    <row r="448" customFormat="false" ht="15" hidden="false" customHeight="false" outlineLevel="0" collapsed="false">
      <c r="A448" s="5" t="s">
        <v>731</v>
      </c>
      <c r="B448" s="0" t="s">
        <v>73</v>
      </c>
      <c r="C448" s="38" t="n">
        <f aca="false">Q!$D$48</f>
        <v>22.011</v>
      </c>
      <c r="D448" s="38" t="n">
        <f aca="false">Q!$E$48</f>
        <v>19.467</v>
      </c>
      <c r="E448" s="38" t="n">
        <f aca="false">Q!$P$48</f>
        <v>10.07</v>
      </c>
      <c r="F448" s="38" t="n">
        <f aca="false">sbc_r*Sens!$F$369</f>
        <v>11.196504103304</v>
      </c>
      <c r="G448" s="38" t="n">
        <f aca="false">Sens!$E$448+Sens!$F$448</f>
        <v>21.266504103304</v>
      </c>
      <c r="H448" s="38" t="n">
        <f aca="false">sbc_r*Sens!$H$369</f>
        <v>24.0093275345283</v>
      </c>
      <c r="I448" s="38" t="n">
        <f aca="false">sbc_r*Sens!$I$369</f>
        <v>27.3083076476515</v>
      </c>
      <c r="J448" s="38" t="n">
        <f aca="false">sbc_r*Sens!$J$369</f>
        <v>30.3889204275201</v>
      </c>
      <c r="K448" s="38" t="n">
        <f aca="false">sbc_r*Sens!$K$369</f>
        <v>33.1107769530391</v>
      </c>
      <c r="L448" s="38" t="n">
        <f aca="false">sbc_r*Sens!$L$369</f>
        <v>35.968162463585</v>
      </c>
      <c r="M448" s="38" t="n">
        <f aca="false">sbc_r*Sens!$M$369</f>
        <v>38.9711548786203</v>
      </c>
    </row>
    <row r="449" customFormat="false" ht="17.15" hidden="false" customHeight="false" outlineLevel="0" collapsed="false">
      <c r="A449" s="5" t="s">
        <v>732</v>
      </c>
      <c r="B449" s="0" t="s">
        <v>73</v>
      </c>
      <c r="C449" s="38" t="n">
        <f aca="false">Q!$D$44-Sens!$C$446-Sens!$C$447-Sens!$C$448</f>
        <v>2.551</v>
      </c>
      <c r="D449" s="38" t="n">
        <f aca="false">Q!$E$44-Sens!$D$446-Sens!$D$447-Sens!$D$448</f>
        <v>0.51700000000001</v>
      </c>
      <c r="E449" s="38" t="n">
        <f aca="false">Q!$P$44-Sens!$E$446-Sens!$E$447-Sens!$E$448</f>
        <v>-58.256</v>
      </c>
      <c r="F449" s="38" t="n">
        <f aca="false">wc_2h26+oth_r*Sens!$F$369</f>
        <v>7.33609295902278</v>
      </c>
      <c r="G449" s="38" t="n">
        <f aca="false">Sens!$E$449+Sens!$F$449</f>
        <v>-50.9199070409772</v>
      </c>
      <c r="H449" s="38" t="n">
        <f aca="false">oth_r*Sens!$H$369</f>
        <v>11.5561515249225</v>
      </c>
      <c r="I449" s="38" t="n">
        <f aca="false">oth_r*Sens!$I$369</f>
        <v>13.144014159148</v>
      </c>
      <c r="J449" s="38" t="n">
        <f aca="false">oth_r*Sens!$J$369</f>
        <v>14.6267723922795</v>
      </c>
      <c r="K449" s="38" t="n">
        <f aca="false">oth_r*Sens!$K$369</f>
        <v>15.93685433409</v>
      </c>
      <c r="L449" s="38" t="n">
        <f aca="false">oth_r*Sens!$L$369</f>
        <v>17.3121689853437</v>
      </c>
      <c r="M449" s="38" t="n">
        <f aca="false">oth_r*Sens!$M$369</f>
        <v>18.7575670426793</v>
      </c>
      <c r="P449" s="8" t="s">
        <v>733</v>
      </c>
    </row>
    <row r="450" customFormat="false" ht="15" hidden="false" customHeight="false" outlineLevel="0" collapsed="false">
      <c r="A450" s="3" t="s">
        <v>515</v>
      </c>
      <c r="B450" s="8" t="s">
        <v>73</v>
      </c>
      <c r="C450" s="38" t="n">
        <f aca="false">Q!$D$44</f>
        <v>115.877</v>
      </c>
      <c r="D450" s="38" t="n">
        <f aca="false">Q!$E$44</f>
        <v>139.514</v>
      </c>
      <c r="E450" s="38" t="n">
        <f aca="false">Q!$P$44</f>
        <v>71.419</v>
      </c>
      <c r="F450" s="38" t="n">
        <f aca="false">Sens!$F$446+Sens!$F$447+Sens!$F$448+Sens!$F$449</f>
        <v>97.4037219204725</v>
      </c>
      <c r="G450" s="38" t="n">
        <f aca="false">Sens!$E$450+Sens!$F$450</f>
        <v>168.822721920472</v>
      </c>
      <c r="H450" s="38" t="n">
        <f aca="false">Sens!$H$446+Sens!$H$447+Sens!$H$448+Sens!$H$449</f>
        <v>226.924847150409</v>
      </c>
      <c r="I450" s="38" t="n">
        <f aca="false">Sens!$I$446+Sens!$I$447+Sens!$I$448+Sens!$I$449</f>
        <v>279.384954204855</v>
      </c>
      <c r="J450" s="38" t="n">
        <f aca="false">Sens!$J$446+Sens!$J$447+Sens!$J$448+Sens!$J$449</f>
        <v>330.567480833679</v>
      </c>
      <c r="K450" s="38" t="n">
        <f aca="false">Sens!$K$446+Sens!$K$447+Sens!$K$448+Sens!$K$449</f>
        <v>378.612151102049</v>
      </c>
      <c r="L450" s="38" t="n">
        <f aca="false">Sens!$L$446+Sens!$L$447+Sens!$L$448+Sens!$L$449</f>
        <v>427.89651667026</v>
      </c>
      <c r="M450" s="38" t="n">
        <f aca="false">Sens!$M$446+Sens!$M$447+Sens!$M$448+Sens!$M$449</f>
        <v>479.260476731374</v>
      </c>
    </row>
    <row r="451" customFormat="false" ht="17.15" hidden="false" customHeight="false" outlineLevel="0" collapsed="false">
      <c r="A451" s="5" t="s">
        <v>734</v>
      </c>
      <c r="B451" s="0" t="s">
        <v>73</v>
      </c>
      <c r="C451" s="38" t="n">
        <f aca="false">Sens!$C$339</f>
        <v>25.2781053077374</v>
      </c>
      <c r="D451" s="38" t="n">
        <f aca="false">Sens!$D$339</f>
        <v>69.5686316310026</v>
      </c>
      <c r="E451" s="38" t="n">
        <f aca="false">Sens!$E$339</f>
        <v>64.1899206485108</v>
      </c>
      <c r="F451" s="38" t="n">
        <f aca="false">Sens!$F$339</f>
        <v>96.2481299895</v>
      </c>
      <c r="G451" s="38" t="n">
        <f aca="false">Sens!$G$339</f>
        <v>160.438050638011</v>
      </c>
      <c r="H451" s="38" t="n">
        <f aca="false">Sens!$H$339</f>
        <v>198.57136494475</v>
      </c>
      <c r="I451" s="38" t="n">
        <f aca="false">Sens!$I$339</f>
        <v>204.6464699105</v>
      </c>
      <c r="J451" s="38" t="n">
        <f aca="false">Sens!$J$339</f>
        <v>209.8832381105</v>
      </c>
      <c r="K451" s="38" t="n">
        <f aca="false">Sens!$K$339</f>
        <v>215.1200063105</v>
      </c>
      <c r="L451" s="38" t="n">
        <f aca="false">Sens!$L$339</f>
        <v>251.7773837105</v>
      </c>
      <c r="M451" s="38" t="n">
        <f aca="false">Sens!$M$339</f>
        <v>311.87584476575</v>
      </c>
    </row>
    <row r="452" customFormat="false" ht="17.15" hidden="false" customHeight="false" outlineLevel="0" collapsed="false">
      <c r="A452" s="5" t="s">
        <v>735</v>
      </c>
      <c r="B452" s="0" t="s">
        <v>73</v>
      </c>
      <c r="C452" s="38" t="n">
        <f aca="false">cx_awso*Sens!$C$367</f>
        <v>21.0469989286053</v>
      </c>
      <c r="D452" s="38" t="n">
        <f aca="false">cx_awso*Sens!$D$367</f>
        <v>24.0042459822698</v>
      </c>
      <c r="E452" s="38" t="n">
        <f aca="false">cx_awso*Sens!$E$367</f>
        <v>14.261729404886</v>
      </c>
      <c r="F452" s="38" t="n">
        <f aca="false">cx_awso*Sens!$F$367</f>
        <v>15.7190020837331</v>
      </c>
      <c r="G452" s="38" t="n">
        <f aca="false">Sens!$E$452+Sens!$F$452</f>
        <v>29.9807314886191</v>
      </c>
      <c r="H452" s="38" t="n">
        <f aca="false">cx_awso*Sens!$H$367</f>
        <v>36.1787121536283</v>
      </c>
      <c r="I452" s="38" t="n">
        <f aca="false">cx_awso*Sens!$I$367</f>
        <v>42.1296794430021</v>
      </c>
      <c r="J452" s="38" t="n">
        <f aca="false">cx_awso*Sens!$J$367</f>
        <v>47.279781889299</v>
      </c>
      <c r="K452" s="38" t="n">
        <f aca="false">cx_awso*Sens!$K$367</f>
        <v>51.0621644404429</v>
      </c>
      <c r="L452" s="38" t="n">
        <f aca="false">cx_awso*Sens!$L$367</f>
        <v>55.1471375956783</v>
      </c>
      <c r="M452" s="38" t="n">
        <f aca="false">cx_awso*Sens!$M$367</f>
        <v>59.5589086033326</v>
      </c>
    </row>
    <row r="453" customFormat="false" ht="17.15" hidden="false" customHeight="false" outlineLevel="0" collapsed="false">
      <c r="A453" s="5" t="s">
        <v>736</v>
      </c>
      <c r="B453" s="0" t="s">
        <v>73</v>
      </c>
      <c r="C453" s="38" t="n">
        <f aca="false">Q!$D$46-Sens!$C$451-Sens!$C$452</f>
        <v>31.3328957636573</v>
      </c>
      <c r="D453" s="38" t="n">
        <f aca="false">Q!$E$46-Sens!$D$451-Sens!$D$452</f>
        <v>34.7471223867276</v>
      </c>
      <c r="E453" s="38" t="n">
        <f aca="false">Q!$P$46-Sens!$E$451-Sens!$E$452</f>
        <v>17.8583499466032</v>
      </c>
      <c r="F453" s="38" t="n">
        <f aca="false">cx_rt*Sens!$F$303</f>
        <v>21.0855744229195</v>
      </c>
      <c r="G453" s="38" t="n">
        <f aca="false">Sens!$E$453+Sens!$F$453</f>
        <v>38.9439243695228</v>
      </c>
      <c r="H453" s="38" t="n">
        <f aca="false">cx_rt*Sens!$H$303</f>
        <v>43.1200434029767</v>
      </c>
      <c r="I453" s="38" t="n">
        <f aca="false">cx_rt*Sens!$I$303</f>
        <v>47.1583152318763</v>
      </c>
      <c r="J453" s="38" t="n">
        <f aca="false">cx_rt*Sens!$J$303</f>
        <v>50.9060281137911</v>
      </c>
      <c r="K453" s="38" t="n">
        <f aca="false">cx_rt*Sens!$K$303</f>
        <v>54.2035645673053</v>
      </c>
      <c r="L453" s="38" t="n">
        <f aca="false">cx_rt*Sens!$L$303</f>
        <v>57.7318979121519</v>
      </c>
      <c r="M453" s="38" t="n">
        <f aca="false">cx_rt*Sens!$M$303</f>
        <v>61.5084196557756</v>
      </c>
    </row>
    <row r="454" customFormat="false" ht="15" hidden="false" customHeight="false" outlineLevel="0" collapsed="false">
      <c r="A454" s="3" t="s">
        <v>737</v>
      </c>
      <c r="B454" s="8" t="s">
        <v>73</v>
      </c>
      <c r="C454" s="38" t="n">
        <f aca="false">Q!$D$46</f>
        <v>77.658</v>
      </c>
      <c r="D454" s="38" t="n">
        <f aca="false">Q!$E$46</f>
        <v>128.32</v>
      </c>
      <c r="E454" s="38" t="n">
        <f aca="false">Q!$P$46</f>
        <v>96.31</v>
      </c>
      <c r="F454" s="38" t="n">
        <f aca="false">Sens!$F$451+Sens!$F$452+Sens!$F$453</f>
        <v>133.052706496153</v>
      </c>
      <c r="G454" s="38" t="n">
        <f aca="false">Sens!$E$454+Sens!$F$454</f>
        <v>229.362706496153</v>
      </c>
      <c r="H454" s="38" t="n">
        <f aca="false">Sens!$H$451+Sens!$H$452+Sens!$H$453</f>
        <v>277.870120501355</v>
      </c>
      <c r="I454" s="38" t="n">
        <f aca="false">Sens!$I$451+Sens!$I$452+Sens!$I$453</f>
        <v>293.934464585378</v>
      </c>
      <c r="J454" s="38" t="n">
        <f aca="false">Sens!$J$451+Sens!$J$452+Sens!$J$453</f>
        <v>308.06904811359</v>
      </c>
      <c r="K454" s="38" t="n">
        <f aca="false">Sens!$K$451+Sens!$K$452+Sens!$K$453</f>
        <v>320.385735318248</v>
      </c>
      <c r="L454" s="38" t="n">
        <f aca="false">Sens!$L$451+Sens!$L$452+Sens!$L$453</f>
        <v>364.65641921833</v>
      </c>
      <c r="M454" s="38" t="n">
        <f aca="false">Sens!$M$451+Sens!$M$452+Sens!$M$453</f>
        <v>432.943173024858</v>
      </c>
    </row>
    <row r="455" customFormat="false" ht="17.15" hidden="false" customHeight="false" outlineLevel="0" collapsed="false">
      <c r="A455" s="5" t="s">
        <v>523</v>
      </c>
      <c r="B455" s="0" t="s">
        <v>73</v>
      </c>
      <c r="C455" s="38" t="n">
        <f aca="false">Q!$D$50</f>
        <v>2.043</v>
      </c>
      <c r="D455" s="38" t="n">
        <f aca="false">Q!$E$50</f>
        <v>1.557</v>
      </c>
      <c r="E455" s="38" t="n">
        <f aca="false">lease_pr/2</f>
        <v>0.8</v>
      </c>
      <c r="F455" s="38" t="n">
        <f aca="false">lease_pr/2</f>
        <v>0.8</v>
      </c>
      <c r="G455" s="38" t="n">
        <f aca="false">Sens!$E$455+Sens!$F$455</f>
        <v>1.6</v>
      </c>
      <c r="H455" s="38" t="n">
        <f aca="false">lease_pr</f>
        <v>1.6</v>
      </c>
      <c r="I455" s="38" t="n">
        <f aca="false">lease_pr</f>
        <v>1.6</v>
      </c>
      <c r="J455" s="38" t="n">
        <f aca="false">lease_pr</f>
        <v>1.6</v>
      </c>
      <c r="K455" s="38" t="n">
        <f aca="false">lease_pr</f>
        <v>1.6</v>
      </c>
      <c r="L455" s="38" t="n">
        <f aca="false">lease_pr</f>
        <v>1.6</v>
      </c>
      <c r="M455" s="38" t="n">
        <f aca="false">lease_pr</f>
        <v>1.6</v>
      </c>
      <c r="P455" s="8" t="s">
        <v>738</v>
      </c>
    </row>
    <row r="456" customFormat="false" ht="15" hidden="false" customHeight="false" outlineLevel="0" collapsed="false">
      <c r="A456" s="46" t="s">
        <v>739</v>
      </c>
      <c r="B456" s="13" t="s">
        <v>73</v>
      </c>
      <c r="C456" s="47" t="n">
        <f aca="false">Sens!$C$450-Sens!$C$454-Sens!$C$455</f>
        <v>36.176</v>
      </c>
      <c r="D456" s="47" t="n">
        <f aca="false">Sens!$D$450-Sens!$D$454-Sens!$D$455</f>
        <v>9.63700000000002</v>
      </c>
      <c r="E456" s="47" t="n">
        <f aca="false">Sens!$E$450-Sens!$E$454-Sens!$E$455</f>
        <v>-25.691</v>
      </c>
      <c r="F456" s="47" t="n">
        <f aca="false">Sens!$F$450-Sens!$F$454-Sens!$F$455</f>
        <v>-36.4489845756801</v>
      </c>
      <c r="G456" s="47" t="n">
        <f aca="false">Sens!$G$450-Sens!$G$454-Sens!$G$455</f>
        <v>-62.1399845756801</v>
      </c>
      <c r="H456" s="47" t="n">
        <f aca="false">Sens!$H$450-Sens!$H$454-Sens!$H$455</f>
        <v>-52.5452733509461</v>
      </c>
      <c r="I456" s="47" t="n">
        <f aca="false">Sens!$I$450-Sens!$I$454-Sens!$I$455</f>
        <v>-16.1495103805229</v>
      </c>
      <c r="J456" s="47" t="n">
        <f aca="false">Sens!$J$450-Sens!$J$454-Sens!$J$455</f>
        <v>20.8984327200888</v>
      </c>
      <c r="K456" s="47" t="n">
        <f aca="false">Sens!$K$450-Sens!$K$454-Sens!$K$455</f>
        <v>56.6264157838005</v>
      </c>
      <c r="L456" s="47" t="n">
        <f aca="false">Sens!$L$450-Sens!$L$454-Sens!$L$455</f>
        <v>61.6400974519302</v>
      </c>
      <c r="M456" s="47" t="n">
        <f aca="false">Sens!$M$450-Sens!$M$454-Sens!$M$455</f>
        <v>44.717303706516</v>
      </c>
      <c r="N456" s="13"/>
      <c r="O456" s="13"/>
    </row>
    <row r="457" customFormat="false" ht="17.15" hidden="false" customHeight="false" outlineLevel="0" collapsed="false">
      <c r="A457" s="5" t="s">
        <v>740</v>
      </c>
      <c r="B457" s="0" t="s">
        <v>73</v>
      </c>
      <c r="C457" s="38" t="n">
        <f aca="false">dps*Sens!$C$438</f>
        <v>0</v>
      </c>
      <c r="D457" s="38" t="n">
        <f aca="false">dps*Sens!$D$438</f>
        <v>0</v>
      </c>
      <c r="E457" s="38" t="n">
        <f aca="false">dps*Sens!$E$438</f>
        <v>0</v>
      </c>
      <c r="F457" s="38" t="n">
        <f aca="false">0</f>
        <v>0</v>
      </c>
      <c r="G457" s="38" t="n">
        <f aca="false">dps*Sens!$G$438</f>
        <v>0</v>
      </c>
      <c r="H457" s="38" t="n">
        <f aca="false">dps*Sens!$H$438</f>
        <v>0</v>
      </c>
      <c r="I457" s="38" t="n">
        <f aca="false">dps*Sens!$I$438</f>
        <v>0</v>
      </c>
      <c r="J457" s="38" t="n">
        <f aca="false">dps*Sens!$J$438</f>
        <v>0</v>
      </c>
      <c r="K457" s="38" t="n">
        <f aca="false">dps*Sens!$K$438</f>
        <v>0</v>
      </c>
      <c r="L457" s="38" t="n">
        <f aca="false">dps*Sens!$L$438</f>
        <v>0</v>
      </c>
      <c r="M457" s="38" t="n">
        <f aca="false">dps*Sens!$M$438</f>
        <v>0</v>
      </c>
      <c r="P457" s="8" t="s">
        <v>741</v>
      </c>
    </row>
    <row r="458" customFormat="false" ht="17.15" hidden="false" customHeight="false" outlineLevel="0" collapsed="false">
      <c r="A458" s="5" t="s">
        <v>742</v>
      </c>
      <c r="B458" s="0" t="s">
        <v>73</v>
      </c>
      <c r="C458" s="38" t="n">
        <f aca="false">0</f>
        <v>0</v>
      </c>
      <c r="D458" s="38" t="n">
        <f aca="false">0</f>
        <v>0</v>
      </c>
      <c r="E458" s="38" t="n">
        <f aca="false">0</f>
        <v>0</v>
      </c>
      <c r="F458" s="38" t="n">
        <f aca="false">0</f>
        <v>0</v>
      </c>
      <c r="G458" s="38" t="n">
        <f aca="false">0</f>
        <v>0</v>
      </c>
      <c r="H458" s="38" t="n">
        <f aca="false">0</f>
        <v>0</v>
      </c>
      <c r="I458" s="38" t="n">
        <f aca="false">0</f>
        <v>0</v>
      </c>
      <c r="J458" s="38" t="n">
        <f aca="false">0</f>
        <v>0</v>
      </c>
      <c r="K458" s="38" t="n">
        <f aca="false">0</f>
        <v>0</v>
      </c>
      <c r="L458" s="38" t="n">
        <f aca="false">0</f>
        <v>0</v>
      </c>
      <c r="M458" s="38" t="n">
        <f aca="false">0</f>
        <v>0</v>
      </c>
      <c r="P458" s="8" t="s">
        <v>743</v>
      </c>
    </row>
    <row r="459" customFormat="false" ht="15" hidden="false" customHeight="false" outlineLevel="0" collapsed="false">
      <c r="A459" s="3" t="s">
        <v>744</v>
      </c>
      <c r="B459" s="8" t="s">
        <v>73</v>
      </c>
      <c r="C459" s="38" t="n">
        <f aca="false">Sens!$C$456-Sens!$C$457</f>
        <v>36.176</v>
      </c>
      <c r="D459" s="38" t="n">
        <f aca="false">Sens!$D$456-Sens!$D$457</f>
        <v>9.63700000000002</v>
      </c>
      <c r="E459" s="38" t="n">
        <f aca="false">Sens!$E$456-Sens!$E$457</f>
        <v>-25.691</v>
      </c>
      <c r="F459" s="38" t="n">
        <f aca="false">Sens!$F$456-Sens!$F$457</f>
        <v>-36.4489845756801</v>
      </c>
      <c r="G459" s="38" t="n">
        <f aca="false">Sens!$G$456-Sens!$G$457</f>
        <v>-62.1399845756801</v>
      </c>
      <c r="H459" s="38" t="n">
        <f aca="false">Sens!$H$456-Sens!$H$457</f>
        <v>-52.5452733509461</v>
      </c>
      <c r="I459" s="38" t="n">
        <f aca="false">Sens!$I$456-Sens!$I$457</f>
        <v>-16.1495103805229</v>
      </c>
      <c r="J459" s="38" t="n">
        <f aca="false">Sens!$J$456-Sens!$J$457</f>
        <v>20.8984327200888</v>
      </c>
      <c r="K459" s="38" t="n">
        <f aca="false">Sens!$K$456-Sens!$K$457</f>
        <v>56.6264157838005</v>
      </c>
      <c r="L459" s="38" t="n">
        <f aca="false">Sens!$L$456-Sens!$L$457</f>
        <v>61.6400974519302</v>
      </c>
      <c r="M459" s="38" t="n">
        <f aca="false">Sens!$M$456-Sens!$M$457</f>
        <v>44.717303706516</v>
      </c>
    </row>
    <row r="460" customFormat="false" ht="17.15" hidden="false" customHeight="false" outlineLevel="0" collapsed="false">
      <c r="A460" s="5" t="s">
        <v>745</v>
      </c>
      <c r="B460" s="0" t="s">
        <v>73</v>
      </c>
      <c r="E460" s="38" t="n">
        <f aca="false">Q!$P$53</f>
        <v>39.767</v>
      </c>
      <c r="F460" s="38" t="n">
        <f aca="false">inv_2h26</f>
        <v>21.3</v>
      </c>
      <c r="G460" s="38" t="n">
        <f aca="false">Sens!$E$460+Sens!$F$460</f>
        <v>61.067</v>
      </c>
      <c r="H460" s="41" t="n">
        <v>0</v>
      </c>
      <c r="I460" s="41" t="n">
        <v>0</v>
      </c>
      <c r="J460" s="41" t="n">
        <v>0</v>
      </c>
      <c r="K460" s="41" t="n">
        <v>0</v>
      </c>
      <c r="L460" s="41" t="n">
        <v>0</v>
      </c>
      <c r="M460" s="41" t="n">
        <v>0</v>
      </c>
    </row>
    <row r="461" customFormat="false" ht="17.15" hidden="false" customHeight="false" outlineLevel="0" collapsed="false">
      <c r="A461" s="5" t="s">
        <v>746</v>
      </c>
      <c r="B461" s="0" t="s">
        <v>73</v>
      </c>
      <c r="F461" s="38" t="n">
        <f aca="false">iss_2h26</f>
        <v>29.25</v>
      </c>
      <c r="G461" s="38" t="n">
        <f aca="false">Sens!$F$461</f>
        <v>29.25</v>
      </c>
      <c r="H461" s="41" t="n">
        <v>0</v>
      </c>
      <c r="I461" s="41" t="n">
        <v>0</v>
      </c>
      <c r="J461" s="41" t="n">
        <v>0</v>
      </c>
      <c r="K461" s="41" t="n">
        <v>0</v>
      </c>
      <c r="L461" s="41" t="n">
        <v>0</v>
      </c>
      <c r="M461" s="41" t="n">
        <v>0</v>
      </c>
    </row>
    <row r="462" customFormat="false" ht="17.15" hidden="false" customHeight="false" outlineLevel="0" collapsed="false">
      <c r="A462" s="5" t="s">
        <v>747</v>
      </c>
      <c r="B462" s="0" t="s">
        <v>73</v>
      </c>
      <c r="F462" s="38" t="n">
        <f aca="false">cash_q2</f>
        <v>122.988</v>
      </c>
      <c r="G462" s="38" t="n">
        <f aca="false">cash_q2</f>
        <v>122.988</v>
      </c>
      <c r="H462" s="38" t="n">
        <f aca="false">Sens!$G$465</f>
        <v>94.4890154243199</v>
      </c>
      <c r="I462" s="38" t="n">
        <f aca="false">Sens!$H$465</f>
        <v>50</v>
      </c>
      <c r="J462" s="38" t="n">
        <f aca="false">Sens!$I$465</f>
        <v>50</v>
      </c>
      <c r="K462" s="38" t="n">
        <f aca="false">Sens!$J$465</f>
        <v>70.8984327200888</v>
      </c>
      <c r="L462" s="38" t="n">
        <f aca="false">Sens!$K$465</f>
        <v>127.524848503889</v>
      </c>
      <c r="M462" s="38" t="n">
        <f aca="false">Sens!$L$465</f>
        <v>189.16494595582</v>
      </c>
    </row>
    <row r="463" customFormat="false" ht="15" hidden="false" customHeight="false" outlineLevel="0" collapsed="false">
      <c r="A463" s="5" t="s">
        <v>748</v>
      </c>
      <c r="B463" s="0" t="s">
        <v>73</v>
      </c>
      <c r="F463" s="38" t="n">
        <f aca="false">Sens!$F$462+Sens!$F$459-Sens!$F$458-Sens!$F$460+Sens!$F$461</f>
        <v>94.4890154243199</v>
      </c>
      <c r="H463" s="38" t="n">
        <f aca="false">Sens!$H$462+Sens!$H$459-Sens!$H$458-Sens!$H$460+Sens!$H$461</f>
        <v>41.9437420733738</v>
      </c>
      <c r="I463" s="38" t="n">
        <f aca="false">Sens!$I$462+Sens!$I$459-Sens!$I$458-Sens!$I$460+Sens!$I$461</f>
        <v>33.8504896194771</v>
      </c>
      <c r="J463" s="38" t="n">
        <f aca="false">Sens!$J$462+Sens!$J$459-Sens!$J$458-Sens!$J$460+Sens!$J$461</f>
        <v>70.8984327200888</v>
      </c>
      <c r="K463" s="38" t="n">
        <f aca="false">Sens!$K$462+Sens!$K$459-Sens!$K$458-Sens!$K$460+Sens!$K$461</f>
        <v>127.524848503889</v>
      </c>
      <c r="L463" s="38" t="n">
        <f aca="false">Sens!$L$462+Sens!$L$459-Sens!$L$458-Sens!$L$460+Sens!$L$461</f>
        <v>189.16494595582</v>
      </c>
      <c r="M463" s="38" t="n">
        <f aca="false">Sens!$M$462+Sens!$M$459-Sens!$M$458-Sens!$M$460+Sens!$M$461</f>
        <v>233.882249662336</v>
      </c>
    </row>
    <row r="464" customFormat="false" ht="17.15" hidden="false" customHeight="false" outlineLevel="0" collapsed="false">
      <c r="A464" s="5" t="s">
        <v>749</v>
      </c>
      <c r="B464" s="0" t="s">
        <v>73</v>
      </c>
      <c r="F464" s="38" t="n">
        <f aca="false">MAX(0,min_cash-Sens!$F$463)</f>
        <v>0</v>
      </c>
      <c r="G464" s="38" t="n">
        <f aca="false">Sens!$F$464</f>
        <v>0</v>
      </c>
      <c r="H464" s="38" t="n">
        <f aca="false">MAX(0,min_cash-Sens!$H$463)</f>
        <v>8.0562579266262</v>
      </c>
      <c r="I464" s="38" t="n">
        <f aca="false">MAX(0,min_cash-Sens!$I$463)</f>
        <v>16.1495103805229</v>
      </c>
      <c r="J464" s="38" t="n">
        <f aca="false">MAX(0,min_cash-Sens!$J$463)</f>
        <v>0</v>
      </c>
      <c r="K464" s="38" t="n">
        <f aca="false">MAX(0,min_cash-Sens!$K$463)</f>
        <v>0</v>
      </c>
      <c r="L464" s="38" t="n">
        <f aca="false">MAX(0,min_cash-Sens!$L$463)</f>
        <v>0</v>
      </c>
      <c r="M464" s="38" t="n">
        <f aca="false">MAX(0,min_cash-Sens!$M$463)</f>
        <v>0</v>
      </c>
      <c r="P464" s="5" t="s">
        <v>750</v>
      </c>
    </row>
    <row r="465" customFormat="false" ht="15" hidden="false" customHeight="false" outlineLevel="0" collapsed="false">
      <c r="A465" s="5" t="s">
        <v>751</v>
      </c>
      <c r="B465" s="0" t="s">
        <v>73</v>
      </c>
      <c r="D465" s="38" t="n">
        <f aca="false">Q!$E$61</f>
        <v>123.029</v>
      </c>
      <c r="E465" s="38" t="n">
        <f aca="false">Q!$M$61</f>
        <v>122.988</v>
      </c>
      <c r="F465" s="38" t="n">
        <f aca="false">Sens!$F$463+Sens!$F$464</f>
        <v>94.4890154243199</v>
      </c>
      <c r="G465" s="38" t="n">
        <f aca="false">Sens!$F$465</f>
        <v>94.4890154243199</v>
      </c>
      <c r="H465" s="38" t="n">
        <f aca="false">Sens!$H$463+Sens!$H$464</f>
        <v>50</v>
      </c>
      <c r="I465" s="38" t="n">
        <f aca="false">Sens!$I$463+Sens!$I$464</f>
        <v>50</v>
      </c>
      <c r="J465" s="38" t="n">
        <f aca="false">Sens!$J$463+Sens!$J$464</f>
        <v>70.8984327200888</v>
      </c>
      <c r="K465" s="38" t="n">
        <f aca="false">Sens!$K$463+Sens!$K$464</f>
        <v>127.524848503889</v>
      </c>
      <c r="L465" s="38" t="n">
        <f aca="false">Sens!$L$463+Sens!$L$464</f>
        <v>189.16494595582</v>
      </c>
      <c r="M465" s="38" t="n">
        <f aca="false">Sens!$M$463+Sens!$M$464</f>
        <v>233.882249662336</v>
      </c>
    </row>
    <row r="466" customFormat="false" ht="15" hidden="false" customHeight="false" outlineLevel="0" collapsed="false">
      <c r="A466" s="5" t="s">
        <v>752</v>
      </c>
      <c r="B466" s="0" t="s">
        <v>73</v>
      </c>
      <c r="D466" s="38" t="n">
        <f aca="false">Q!$E$62</f>
        <v>68.836</v>
      </c>
      <c r="E466" s="38" t="n">
        <f aca="false">Q!$M$62</f>
        <v>132.995</v>
      </c>
      <c r="F466" s="38" t="n">
        <f aca="false">debt_q2+Sens!$F$461+Sens!$F$464</f>
        <v>162.245</v>
      </c>
      <c r="G466" s="38" t="n">
        <f aca="false">Sens!$F$466</f>
        <v>162.245</v>
      </c>
      <c r="H466" s="38" t="n">
        <f aca="false">Sens!$G$466+Sens!$H$464</f>
        <v>170.301257926626</v>
      </c>
      <c r="I466" s="38" t="n">
        <f aca="false">Sens!$H$466+Sens!$I$464</f>
        <v>186.450768307149</v>
      </c>
      <c r="J466" s="38" t="n">
        <f aca="false">Sens!$I$466+Sens!$J$464</f>
        <v>186.450768307149</v>
      </c>
      <c r="K466" s="38" t="n">
        <f aca="false">Sens!$J$466+Sens!$K$464</f>
        <v>186.450768307149</v>
      </c>
      <c r="L466" s="38" t="n">
        <f aca="false">Sens!$K$466+Sens!$L$464</f>
        <v>186.450768307149</v>
      </c>
      <c r="M466" s="38" t="n">
        <f aca="false">Sens!$L$466+Sens!$M$464</f>
        <v>186.450768307149</v>
      </c>
    </row>
    <row r="467" customFormat="false" ht="15" hidden="false" customHeight="false" outlineLevel="0" collapsed="false">
      <c r="A467" s="5" t="s">
        <v>753</v>
      </c>
      <c r="B467" s="0" t="s">
        <v>73</v>
      </c>
      <c r="D467" s="38" t="n">
        <f aca="false">Sens!$D$466-Sens!$D$465</f>
        <v>-54.193</v>
      </c>
      <c r="E467" s="38" t="n">
        <f aca="false">Sens!$E$466-Sens!$E$465</f>
        <v>10.007</v>
      </c>
      <c r="F467" s="38" t="n">
        <f aca="false">Sens!$F$466-Sens!$F$465</f>
        <v>67.7559845756801</v>
      </c>
      <c r="G467" s="38" t="n">
        <f aca="false">Sens!$G$466-Sens!$G$465</f>
        <v>67.7559845756801</v>
      </c>
      <c r="H467" s="38" t="n">
        <f aca="false">Sens!$H$466-Sens!$H$465</f>
        <v>120.301257926626</v>
      </c>
      <c r="I467" s="38" t="n">
        <f aca="false">Sens!$I$466-Sens!$I$465</f>
        <v>136.450768307149</v>
      </c>
      <c r="J467" s="38" t="n">
        <f aca="false">Sens!$J$466-Sens!$J$465</f>
        <v>115.55233558706</v>
      </c>
      <c r="K467" s="38" t="n">
        <f aca="false">Sens!$K$466-Sens!$K$465</f>
        <v>58.9259198032598</v>
      </c>
      <c r="L467" s="38" t="n">
        <f aca="false">Sens!$L$466-Sens!$L$465</f>
        <v>-2.71417764867039</v>
      </c>
      <c r="M467" s="38" t="n">
        <f aca="false">Sens!$M$466-Sens!$M$465</f>
        <v>-47.4314813551864</v>
      </c>
    </row>
    <row r="468" customFormat="false" ht="17.15" hidden="false" customHeight="false" outlineLevel="0" collapsed="false">
      <c r="A468" s="5" t="s">
        <v>754</v>
      </c>
      <c r="B468" s="0" t="s">
        <v>73</v>
      </c>
      <c r="F468" s="38" t="n">
        <f aca="false">debt_q2*kd_book*0.5+iss_2h26*kd_new*0.25</f>
        <v>3.24888964316061</v>
      </c>
      <c r="H468" s="38" t="n">
        <f aca="false">debt_q2*kd_book+(Sens!$G$466-debt_q2)*kd_new</f>
        <v>7.42354178632123</v>
      </c>
      <c r="I468" s="38" t="n">
        <f aca="false">debt_q2*kd_book+(Sens!$H$466-debt_q2)*kd_new</f>
        <v>7.93350291307667</v>
      </c>
      <c r="J468" s="38" t="n">
        <f aca="false">debt_q2*kd_book+(Sens!$I$466-debt_q2)*kd_new</f>
        <v>8.95576692016377</v>
      </c>
      <c r="K468" s="38" t="n">
        <f aca="false">debt_q2*kd_book+(Sens!$J$466-debt_q2)*kd_new</f>
        <v>8.95576692016377</v>
      </c>
      <c r="L468" s="38" t="n">
        <f aca="false">debt_q2*kd_book+(Sens!$K$466-debt_q2)*kd_new</f>
        <v>8.95576692016377</v>
      </c>
      <c r="M468" s="38" t="n">
        <f aca="false">debt_q2*kd_book+(Sens!$L$466-debt_q2)*kd_new</f>
        <v>8.95576692016377</v>
      </c>
    </row>
    <row r="469" customFormat="false" ht="17.15" hidden="false" customHeight="false" outlineLevel="0" collapsed="false">
      <c r="A469" s="5" t="s">
        <v>755</v>
      </c>
      <c r="B469" s="0" t="s">
        <v>73</v>
      </c>
      <c r="F469" s="38" t="n">
        <f aca="false">cash_q2*y_cash*0.5</f>
        <v>2.59</v>
      </c>
      <c r="H469" s="38" t="n">
        <f aca="false">Sens!$G$465*y_cash</f>
        <v>3.97968175674031</v>
      </c>
      <c r="I469" s="38" t="n">
        <f aca="false">Sens!$H$465*y_cash</f>
        <v>2.10589651022864</v>
      </c>
      <c r="J469" s="38" t="n">
        <f aca="false">Sens!$I$465*y_cash</f>
        <v>2.10589651022864</v>
      </c>
      <c r="K469" s="38" t="n">
        <f aca="false">Sens!$J$465*y_cash</f>
        <v>2.9860952409183</v>
      </c>
      <c r="L469" s="38" t="n">
        <f aca="false">Sens!$K$465*y_cash</f>
        <v>5.37108266863553</v>
      </c>
      <c r="M469" s="38" t="n">
        <f aca="false">Sens!$L$465*y_cash</f>
        <v>7.96723599091899</v>
      </c>
    </row>
    <row r="470" customFormat="false" ht="17.15" hidden="false" customHeight="false" outlineLevel="0" collapsed="false">
      <c r="A470" s="46" t="s">
        <v>756</v>
      </c>
      <c r="B470" s="13" t="s">
        <v>73</v>
      </c>
      <c r="C470" s="13"/>
      <c r="D470" s="13"/>
      <c r="E470" s="13"/>
      <c r="F470" s="13"/>
      <c r="G470" s="47" t="n">
        <f aca="false">SUM(Sens!$G$459:$K$459)</f>
        <v>-53.3099198032599</v>
      </c>
      <c r="H470" s="13"/>
      <c r="I470" s="13"/>
      <c r="J470" s="13"/>
      <c r="K470" s="13"/>
      <c r="L470" s="13"/>
      <c r="M470" s="13"/>
      <c r="N470" s="13"/>
      <c r="O470" s="13"/>
    </row>
    <row r="471" customFormat="false" ht="17.15" hidden="false" customHeight="false" outlineLevel="0" collapsed="false">
      <c r="A471" s="0" t="s">
        <v>723</v>
      </c>
      <c r="B471" s="0" t="s">
        <v>73</v>
      </c>
      <c r="G471" s="38" t="n">
        <f aca="false">SUM(Sens!$G$464:$K$464)</f>
        <v>24.2057683071491</v>
      </c>
    </row>
    <row r="474" customFormat="false" ht="19.4" hidden="false" customHeight="false" outlineLevel="0" collapsed="false">
      <c r="A474" s="31" t="s">
        <v>1052</v>
      </c>
    </row>
    <row r="475" customFormat="false" ht="17.15" hidden="false" customHeight="false" outlineLevel="0" collapsed="false">
      <c r="A475" s="6" t="s">
        <v>16</v>
      </c>
      <c r="B475" s="6" t="s">
        <v>17</v>
      </c>
      <c r="C475" s="20" t="s">
        <v>457</v>
      </c>
      <c r="D475" s="20" t="s">
        <v>458</v>
      </c>
      <c r="E475" s="20" t="s">
        <v>540</v>
      </c>
      <c r="F475" s="20" t="s">
        <v>541</v>
      </c>
      <c r="G475" s="20" t="s">
        <v>542</v>
      </c>
      <c r="H475" s="20" t="s">
        <v>543</v>
      </c>
      <c r="I475" s="20" t="s">
        <v>544</v>
      </c>
      <c r="J475" s="20" t="s">
        <v>545</v>
      </c>
      <c r="K475" s="20" t="s">
        <v>546</v>
      </c>
      <c r="L475" s="20" t="s">
        <v>547</v>
      </c>
      <c r="M475" s="20" t="s">
        <v>548</v>
      </c>
      <c r="N475" s="20" t="s">
        <v>549</v>
      </c>
      <c r="O475" s="20" t="s">
        <v>550</v>
      </c>
      <c r="P475" s="6" t="s">
        <v>23</v>
      </c>
      <c r="R475" s="20" t="n">
        <v>2023</v>
      </c>
      <c r="S475" s="20" t="n">
        <v>2024</v>
      </c>
      <c r="T475" s="20" t="n">
        <v>2025</v>
      </c>
      <c r="U475" s="20" t="n">
        <v>2026</v>
      </c>
      <c r="V475" s="20" t="n">
        <v>2027</v>
      </c>
      <c r="W475" s="20" t="n">
        <v>2028</v>
      </c>
      <c r="X475" s="20" t="n">
        <v>2029</v>
      </c>
      <c r="Y475" s="20" t="n">
        <v>2030</v>
      </c>
      <c r="Z475" s="20" t="n">
        <v>2031</v>
      </c>
      <c r="AA475" s="20" t="n">
        <v>2032</v>
      </c>
    </row>
    <row r="476" customFormat="false" ht="17.15" hidden="false" customHeight="false" outlineLevel="0" collapsed="false">
      <c r="A476" s="1" t="s">
        <v>851</v>
      </c>
    </row>
    <row r="477" customFormat="false" ht="17.15" hidden="false" customHeight="false" outlineLevel="0" collapsed="false">
      <c r="A477" s="0" t="s">
        <v>852</v>
      </c>
      <c r="B477" s="0" t="s">
        <v>73</v>
      </c>
      <c r="H477" s="38" t="n">
        <f aca="false">Sens!$H$413*(1-tax)</f>
        <v>106.520905488171</v>
      </c>
      <c r="I477" s="38" t="n">
        <f aca="false">Sens!$I$413*(1-tax)</f>
        <v>121.453886793494</v>
      </c>
      <c r="J477" s="38" t="n">
        <f aca="false">Sens!$J$413*(1-tax)</f>
        <v>134.07866433807</v>
      </c>
      <c r="K477" s="38" t="n">
        <f aca="false">Sens!$K$413*(1-tax)</f>
        <v>143.147315508041</v>
      </c>
      <c r="L477" s="38" t="n">
        <f aca="false">Sens!$L$413*(1-tax)</f>
        <v>153.669385418618</v>
      </c>
      <c r="M477" s="38" t="n">
        <f aca="false">Sens!$M$413*(1-tax)</f>
        <v>164.77237219864</v>
      </c>
    </row>
    <row r="478" customFormat="false" ht="15" hidden="false" customHeight="false" outlineLevel="0" collapsed="false">
      <c r="A478" s="5" t="s">
        <v>853</v>
      </c>
      <c r="B478" s="0" t="s">
        <v>73</v>
      </c>
      <c r="H478" s="38" t="n">
        <f aca="false">Sens!$H$425</f>
        <v>87.6845218193838</v>
      </c>
      <c r="I478" s="38" t="n">
        <f aca="false">Sens!$I$425</f>
        <v>122.294769708638</v>
      </c>
      <c r="J478" s="38" t="n">
        <f aca="false">Sens!$J$425</f>
        <v>157.133962573221</v>
      </c>
      <c r="K478" s="38" t="n">
        <f aca="false">Sens!$K$425</f>
        <v>191.350633353599</v>
      </c>
      <c r="L478" s="38" t="n">
        <f aca="false">Sens!$L$425</f>
        <v>223.909238335354</v>
      </c>
      <c r="M478" s="38" t="n">
        <f aca="false">Sens!$M$425</f>
        <v>257.576319867276</v>
      </c>
    </row>
    <row r="479" customFormat="false" ht="15" hidden="false" customHeight="false" outlineLevel="0" collapsed="false">
      <c r="A479" s="5" t="s">
        <v>854</v>
      </c>
      <c r="B479" s="0" t="s">
        <v>73</v>
      </c>
      <c r="H479" s="38" t="n">
        <f aca="false">Sens!$H$454</f>
        <v>277.870120501355</v>
      </c>
      <c r="I479" s="38" t="n">
        <f aca="false">Sens!$I$454</f>
        <v>293.934464585378</v>
      </c>
      <c r="J479" s="38" t="n">
        <f aca="false">Sens!$J$454</f>
        <v>308.06904811359</v>
      </c>
      <c r="K479" s="38" t="n">
        <f aca="false">Sens!$K$454</f>
        <v>320.385735318248</v>
      </c>
      <c r="L479" s="38" t="n">
        <f aca="false">Sens!$L$454</f>
        <v>364.65641921833</v>
      </c>
      <c r="M479" s="38" t="n">
        <f aca="false">Sens!$M$454</f>
        <v>432.943173024858</v>
      </c>
    </row>
    <row r="480" customFormat="false" ht="15" hidden="false" customHeight="false" outlineLevel="0" collapsed="false">
      <c r="A480" s="5" t="s">
        <v>855</v>
      </c>
      <c r="B480" s="0" t="s">
        <v>73</v>
      </c>
      <c r="H480" s="38" t="n">
        <f aca="false">Sens!$H$455</f>
        <v>1.6</v>
      </c>
      <c r="I480" s="38" t="n">
        <f aca="false">Sens!$I$455</f>
        <v>1.6</v>
      </c>
      <c r="J480" s="38" t="n">
        <f aca="false">Sens!$J$455</f>
        <v>1.6</v>
      </c>
      <c r="K480" s="38" t="n">
        <f aca="false">Sens!$K$455</f>
        <v>1.6</v>
      </c>
      <c r="L480" s="38" t="n">
        <f aca="false">Sens!$L$455</f>
        <v>1.6</v>
      </c>
      <c r="M480" s="38" t="n">
        <f aca="false">Sens!$M$455</f>
        <v>1.6</v>
      </c>
    </row>
    <row r="481" customFormat="false" ht="15" hidden="false" customHeight="false" outlineLevel="0" collapsed="false">
      <c r="A481" s="5" t="s">
        <v>856</v>
      </c>
      <c r="B481" s="0" t="s">
        <v>73</v>
      </c>
      <c r="H481" s="38" t="n">
        <f aca="false">Sens!$H$449</f>
        <v>11.5561515249225</v>
      </c>
      <c r="I481" s="38" t="n">
        <f aca="false">Sens!$I$449</f>
        <v>13.144014159148</v>
      </c>
      <c r="J481" s="38" t="n">
        <f aca="false">Sens!$J$449</f>
        <v>14.6267723922795</v>
      </c>
      <c r="K481" s="38" t="n">
        <f aca="false">Sens!$K$449</f>
        <v>15.93685433409</v>
      </c>
      <c r="L481" s="38" t="n">
        <f aca="false">Sens!$L$449</f>
        <v>17.3121689853437</v>
      </c>
      <c r="M481" s="38" t="n">
        <f aca="false">Sens!$M$449</f>
        <v>18.7575670426793</v>
      </c>
    </row>
    <row r="482" customFormat="false" ht="17.15" hidden="false" customHeight="false" outlineLevel="0" collapsed="false">
      <c r="A482" s="1" t="s">
        <v>857</v>
      </c>
      <c r="B482" s="8" t="s">
        <v>73</v>
      </c>
      <c r="H482" s="38" t="n">
        <f aca="false">Sens!$H$477+Sens!$H$478-Sens!$H$479-Sens!$H$480+Sens!$H$481</f>
        <v>-73.7085416688774</v>
      </c>
      <c r="I482" s="38" t="n">
        <f aca="false">Sens!$I$477+Sens!$I$478-Sens!$I$479-Sens!$I$480+Sens!$I$481</f>
        <v>-38.6417939240984</v>
      </c>
      <c r="J482" s="38" t="n">
        <f aca="false">Sens!$J$477+Sens!$J$478-Sens!$J$479-Sens!$J$480+Sens!$J$481</f>
        <v>-3.82964881002013</v>
      </c>
      <c r="K482" s="38" t="n">
        <f aca="false">Sens!$K$477+Sens!$K$478-Sens!$K$479-Sens!$K$480+Sens!$K$481</f>
        <v>28.4490678774821</v>
      </c>
      <c r="L482" s="38" t="n">
        <f aca="false">Sens!$L$477+Sens!$L$478-Sens!$L$479-Sens!$L$480+Sens!$L$481</f>
        <v>28.6343735209861</v>
      </c>
      <c r="M482" s="38" t="n">
        <f aca="false">Sens!$M$477+Sens!$M$478-Sens!$M$479-Sens!$M$480+Sens!$M$481</f>
        <v>6.56308608373724</v>
      </c>
    </row>
    <row r="483" customFormat="false" ht="15" hidden="false" customHeight="false" outlineLevel="0" collapsed="false">
      <c r="A483" s="5" t="s">
        <v>858</v>
      </c>
      <c r="B483" s="0" t="s">
        <v>57</v>
      </c>
      <c r="H483" s="51" t="n">
        <f aca="false">1/(1+wacc)^(2027-2026-0.5)</f>
        <v>0.942858177653364</v>
      </c>
      <c r="I483" s="51" t="n">
        <f aca="false">1/(1+wacc)^(2028-2026-0.5)</f>
        <v>0.838183517758688</v>
      </c>
      <c r="J483" s="51" t="n">
        <f aca="false">1/(1+wacc)^(2029-2026-0.5)</f>
        <v>0.745129677074952</v>
      </c>
      <c r="K483" s="51" t="n">
        <f aca="false">1/(1+wacc)^(2030-2026-0.5)</f>
        <v>0.662406530186232</v>
      </c>
      <c r="L483" s="51" t="n">
        <f aca="false">1/(1+wacc)^(2031-2026-0.5)</f>
        <v>0.588867179409399</v>
      </c>
      <c r="M483" s="51" t="n">
        <f aca="false">1/(1+wacc)^(2032-2026-0.5)</f>
        <v>0.52349205387225</v>
      </c>
    </row>
    <row r="484" customFormat="false" ht="15" hidden="false" customHeight="false" outlineLevel="0" collapsed="false">
      <c r="A484" s="5" t="s">
        <v>859</v>
      </c>
      <c r="B484" s="0" t="s">
        <v>73</v>
      </c>
      <c r="H484" s="38" t="n">
        <f aca="false">Sens!$H$482*Sens!$H$483</f>
        <v>-69.4967012754048</v>
      </c>
      <c r="I484" s="38" t="n">
        <f aca="false">Sens!$I$482*Sens!$I$483</f>
        <v>-32.3889147638071</v>
      </c>
      <c r="J484" s="38" t="n">
        <f aca="false">Sens!$J$482*Sens!$J$483</f>
        <v>-2.85358498112078</v>
      </c>
      <c r="K484" s="38" t="n">
        <f aca="false">Sens!$K$482*Sens!$K$483</f>
        <v>18.8448483397555</v>
      </c>
      <c r="L484" s="38" t="n">
        <f aca="false">Sens!$L$482*Sens!$L$483</f>
        <v>16.8618427694583</v>
      </c>
      <c r="M484" s="38" t="n">
        <f aca="false">Sens!$M$482*Sens!$M$483</f>
        <v>3.43572341371599</v>
      </c>
    </row>
    <row r="485" customFormat="false" ht="15" hidden="false" customHeight="false" outlineLevel="0" collapsed="false">
      <c r="A485" s="5" t="s">
        <v>860</v>
      </c>
      <c r="B485" s="0" t="s">
        <v>73</v>
      </c>
      <c r="C485" s="38" t="n">
        <f aca="false">SUM(Sens!$H$484:$M$484)</f>
        <v>-65.5967864974029</v>
      </c>
    </row>
    <row r="486" customFormat="false" ht="17.15" hidden="false" customHeight="false" outlineLevel="0" collapsed="false">
      <c r="A486" s="5" t="s">
        <v>861</v>
      </c>
      <c r="B486" s="0" t="s">
        <v>73</v>
      </c>
      <c r="C486" s="38" t="n">
        <f aca="false">Sens!$M$477*(1+tg)*(1-tg/ronic)/(wacc-tg)</f>
        <v>1358.99912451402</v>
      </c>
    </row>
    <row r="487" customFormat="false" ht="15" hidden="false" customHeight="false" outlineLevel="0" collapsed="false">
      <c r="A487" s="5" t="s">
        <v>862</v>
      </c>
      <c r="B487" s="0" t="s">
        <v>73</v>
      </c>
      <c r="C487" s="38" t="n">
        <f aca="false">Sens!$C$486/(1+wacc)^6</f>
        <v>670.77310805959</v>
      </c>
    </row>
    <row r="488" customFormat="false" ht="17.15" hidden="false" customHeight="false" outlineLevel="0" collapsed="false">
      <c r="A488" s="5" t="s">
        <v>863</v>
      </c>
      <c r="B488" s="0" t="s">
        <v>73</v>
      </c>
      <c r="C488" s="38" t="n">
        <f aca="false">Sens!$C$485+Sens!$C$487</f>
        <v>605.176321562187</v>
      </c>
    </row>
    <row r="489" customFormat="false" ht="17.15" hidden="false" customHeight="false" outlineLevel="0" collapsed="false">
      <c r="A489" s="5" t="s">
        <v>864</v>
      </c>
      <c r="B489" s="0" t="s">
        <v>52</v>
      </c>
      <c r="C489" s="12" t="n">
        <f aca="false">Sens!$C$487/Sens!$C$488</f>
        <v>1.10839285041436</v>
      </c>
    </row>
    <row r="490" customFormat="false" ht="17.15" hidden="false" customHeight="false" outlineLevel="0" collapsed="false">
      <c r="A490" s="5" t="s">
        <v>865</v>
      </c>
      <c r="B490" s="0" t="s">
        <v>73</v>
      </c>
      <c r="C490" s="38" t="n">
        <f aca="false">Sens!$G$467</f>
        <v>67.7559845756801</v>
      </c>
    </row>
    <row r="491" customFormat="false" ht="17.15" hidden="false" customHeight="false" outlineLevel="0" collapsed="false">
      <c r="A491" s="5" t="s">
        <v>866</v>
      </c>
      <c r="B491" s="0" t="s">
        <v>73</v>
      </c>
      <c r="C491" s="38" t="n">
        <f aca="false">(ant_val*ant_sh+oai_val*oai_sh)*(1-liq_disc)</f>
        <v>178.944</v>
      </c>
    </row>
    <row r="492" customFormat="false" ht="15" hidden="false" customHeight="false" outlineLevel="0" collapsed="false">
      <c r="A492" s="5" t="s">
        <v>867</v>
      </c>
      <c r="B492" s="0" t="s">
        <v>73</v>
      </c>
      <c r="C492" s="38" t="n">
        <f aca="false">Sens!$C$488-Sens!$C$490+Sens!$C$491</f>
        <v>716.364336986507</v>
      </c>
    </row>
    <row r="493" customFormat="false" ht="17.15" hidden="false" customHeight="false" outlineLevel="0" collapsed="false">
      <c r="A493" s="5" t="s">
        <v>868</v>
      </c>
      <c r="B493" s="0" t="s">
        <v>27</v>
      </c>
      <c r="C493" s="30" t="n">
        <f aca="false">Sens!$C$492/sh_val</f>
        <v>64.9450538748495</v>
      </c>
    </row>
    <row r="494" customFormat="false" ht="17.15" hidden="false" customHeight="false" outlineLevel="0" collapsed="false">
      <c r="A494" s="1" t="s">
        <v>869</v>
      </c>
      <c r="B494" s="8" t="s">
        <v>27</v>
      </c>
      <c r="C494" s="30" t="n">
        <f aca="false">Sens!$C$493*(1+ke)^tp_yf</f>
        <v>71.728234858627</v>
      </c>
    </row>
    <row r="495" customFormat="false" ht="17.15" hidden="false" customHeight="false" outlineLevel="0" collapsed="false">
      <c r="A495" s="3" t="s">
        <v>870</v>
      </c>
    </row>
    <row r="496" customFormat="false" ht="17.15" hidden="false" customHeight="false" outlineLevel="0" collapsed="false">
      <c r="A496" s="5" t="s">
        <v>871</v>
      </c>
      <c r="B496" s="0" t="s">
        <v>73</v>
      </c>
      <c r="C496" s="38" t="n">
        <f aca="false">0.25*Sens!$H$426+0.75*Sens!$I$426</f>
        <v>57.5541093268329</v>
      </c>
    </row>
    <row r="497" customFormat="false" ht="15" hidden="false" customHeight="false" outlineLevel="0" collapsed="false">
      <c r="A497" s="5" t="s">
        <v>872</v>
      </c>
      <c r="B497" s="0" t="s">
        <v>57</v>
      </c>
      <c r="C497" s="30" t="n">
        <f aca="false">m_ads*m_x</f>
        <v>9.11</v>
      </c>
    </row>
    <row r="498" customFormat="false" ht="17.15" hidden="false" customHeight="false" outlineLevel="0" collapsed="false">
      <c r="A498" s="5" t="s">
        <v>873</v>
      </c>
      <c r="B498" s="0" t="s">
        <v>73</v>
      </c>
      <c r="C498" s="38" t="n">
        <f aca="false">Sens!$C$496*Sens!$C$497</f>
        <v>524.317935967448</v>
      </c>
    </row>
    <row r="499" customFormat="false" ht="17.15" hidden="false" customHeight="false" outlineLevel="0" collapsed="false">
      <c r="A499" s="5" t="s">
        <v>874</v>
      </c>
      <c r="B499" s="0" t="s">
        <v>73</v>
      </c>
      <c r="C499" s="38" t="n">
        <f aca="false">0.25*Sens!$H$427+0.75*Sens!$I$427</f>
        <v>30.6290803533085</v>
      </c>
    </row>
    <row r="500" customFormat="false" ht="15" hidden="false" customHeight="false" outlineLevel="0" collapsed="false">
      <c r="A500" s="5" t="s">
        <v>875</v>
      </c>
      <c r="B500" s="0" t="s">
        <v>57</v>
      </c>
      <c r="C500" s="30" t="n">
        <f aca="false">m_retail*m_x</f>
        <v>17.72</v>
      </c>
    </row>
    <row r="501" customFormat="false" ht="17.15" hidden="false" customHeight="false" outlineLevel="0" collapsed="false">
      <c r="A501" s="5" t="s">
        <v>876</v>
      </c>
      <c r="B501" s="0" t="s">
        <v>73</v>
      </c>
      <c r="C501" s="38" t="n">
        <f aca="false">Sens!$C$499*Sens!$C$500</f>
        <v>542.747303860627</v>
      </c>
    </row>
    <row r="502" customFormat="false" ht="17.15" hidden="false" customHeight="false" outlineLevel="0" collapsed="false">
      <c r="A502" s="0" t="s">
        <v>877</v>
      </c>
      <c r="B502" s="0" t="s">
        <v>73</v>
      </c>
      <c r="C502" s="38" t="n">
        <f aca="false">0.25*Sens!$H$428+0.75*Sens!$I$428</f>
        <v>107.575398943098</v>
      </c>
    </row>
    <row r="503" customFormat="false" ht="17.15" hidden="false" customHeight="false" outlineLevel="0" collapsed="false">
      <c r="A503" s="0" t="s">
        <v>878</v>
      </c>
      <c r="B503" s="0" t="s">
        <v>57</v>
      </c>
      <c r="C503" s="30" t="n">
        <f aca="false">m_cloud*m_x</f>
        <v>13.82</v>
      </c>
    </row>
    <row r="504" customFormat="false" ht="17.15" hidden="false" customHeight="false" outlineLevel="0" collapsed="false">
      <c r="A504" s="0" t="s">
        <v>879</v>
      </c>
      <c r="B504" s="0" t="s">
        <v>73</v>
      </c>
      <c r="C504" s="38" t="n">
        <f aca="false">Sens!$C$502*Sens!$C$503</f>
        <v>1486.69201339361</v>
      </c>
    </row>
    <row r="505" customFormat="false" ht="17.15" hidden="false" customHeight="false" outlineLevel="0" collapsed="false">
      <c r="A505" s="0" t="s">
        <v>880</v>
      </c>
      <c r="B505" s="0" t="s">
        <v>73</v>
      </c>
      <c r="C505" s="38" t="n">
        <f aca="false">0.25*Sens!$H$429+0.75*Sens!$I$429</f>
        <v>60.3309053259604</v>
      </c>
    </row>
    <row r="506" customFormat="false" ht="17.15" hidden="false" customHeight="false" outlineLevel="0" collapsed="false">
      <c r="A506" s="0" t="s">
        <v>881</v>
      </c>
      <c r="B506" s="0" t="s">
        <v>57</v>
      </c>
      <c r="C506" s="30" t="n">
        <f aca="false">m_ai</f>
        <v>6</v>
      </c>
    </row>
    <row r="507" customFormat="false" ht="17.15" hidden="false" customHeight="false" outlineLevel="0" collapsed="false">
      <c r="A507" s="0" t="s">
        <v>882</v>
      </c>
      <c r="B507" s="0" t="s">
        <v>73</v>
      </c>
      <c r="C507" s="38" t="n">
        <f aca="false">Sens!$C$505*Sens!$C$506</f>
        <v>361.985431955762</v>
      </c>
    </row>
    <row r="508" customFormat="false" ht="17.15" hidden="false" customHeight="false" outlineLevel="0" collapsed="false">
      <c r="A508" s="5" t="s">
        <v>883</v>
      </c>
      <c r="B508" s="0" t="s">
        <v>73</v>
      </c>
      <c r="C508" s="38" t="n">
        <f aca="false">Sens!$C$498+Sens!$C$501+Sens!$C$504+Sens!$C$507</f>
        <v>2915.74268517745</v>
      </c>
    </row>
    <row r="509" customFormat="false" ht="17.15" hidden="false" customHeight="false" outlineLevel="0" collapsed="false">
      <c r="A509" s="5" t="s">
        <v>884</v>
      </c>
      <c r="B509" s="0" t="s">
        <v>73</v>
      </c>
      <c r="C509" s="38" t="n">
        <f aca="false">Sens!$H$467</f>
        <v>120.301257926626</v>
      </c>
    </row>
    <row r="510" customFormat="false" ht="15" hidden="false" customHeight="false" outlineLevel="0" collapsed="false">
      <c r="A510" s="5" t="s">
        <v>885</v>
      </c>
      <c r="B510" s="0" t="s">
        <v>73</v>
      </c>
      <c r="C510" s="38" t="n">
        <f aca="false">Sens!$C$508-Sens!$C$509+Sens!$C$491</f>
        <v>2974.38542725082</v>
      </c>
    </row>
    <row r="511" customFormat="false" ht="15" hidden="false" customHeight="false" outlineLevel="0" collapsed="false">
      <c r="A511" s="3" t="s">
        <v>886</v>
      </c>
      <c r="B511" s="8" t="s">
        <v>27</v>
      </c>
      <c r="C511" s="30" t="n">
        <f aca="false">Sens!$C$510/sh_val</f>
        <v>269.655553527381</v>
      </c>
    </row>
    <row r="512" customFormat="false" ht="17.15" hidden="false" customHeight="false" outlineLevel="0" collapsed="false">
      <c r="A512" s="46" t="s">
        <v>887</v>
      </c>
      <c r="B512" s="13" t="s">
        <v>27</v>
      </c>
      <c r="C512" s="43" t="n">
        <f aca="false">w_dcf*Sens!$C$494+(1-w_dcf)*Sens!$C$511</f>
        <v>170.691894193004</v>
      </c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</row>
    <row r="513" customFormat="false" ht="17.15" hidden="false" customHeight="false" outlineLevel="0" collapsed="false">
      <c r="A513" s="5" t="s">
        <v>888</v>
      </c>
      <c r="B513" s="0" t="s">
        <v>27</v>
      </c>
      <c r="C513" s="30" t="n">
        <f aca="false">0.45*Sens!$C$494+0.55*Sens!$C$511</f>
        <v>180.588260126442</v>
      </c>
    </row>
    <row r="516" customFormat="false" ht="19.4" hidden="false" customHeight="false" outlineLevel="0" collapsed="false">
      <c r="A516" s="31" t="s">
        <v>1053</v>
      </c>
    </row>
    <row r="517" customFormat="false" ht="17.15" hidden="false" customHeight="false" outlineLevel="0" collapsed="false">
      <c r="A517" s="6" t="s">
        <v>16</v>
      </c>
      <c r="B517" s="6" t="s">
        <v>17</v>
      </c>
      <c r="C517" s="20" t="s">
        <v>457</v>
      </c>
      <c r="D517" s="20" t="s">
        <v>458</v>
      </c>
      <c r="E517" s="20" t="s">
        <v>540</v>
      </c>
      <c r="F517" s="20" t="s">
        <v>541</v>
      </c>
      <c r="G517" s="20" t="s">
        <v>542</v>
      </c>
      <c r="H517" s="20" t="s">
        <v>543</v>
      </c>
      <c r="I517" s="20" t="s">
        <v>544</v>
      </c>
      <c r="J517" s="20" t="s">
        <v>545</v>
      </c>
      <c r="K517" s="20" t="s">
        <v>546</v>
      </c>
      <c r="L517" s="20" t="s">
        <v>547</v>
      </c>
      <c r="M517" s="20" t="s">
        <v>548</v>
      </c>
      <c r="N517" s="20" t="s">
        <v>549</v>
      </c>
      <c r="O517" s="20" t="s">
        <v>550</v>
      </c>
      <c r="P517" s="6" t="s">
        <v>23</v>
      </c>
      <c r="R517" s="20" t="n">
        <v>2023</v>
      </c>
      <c r="S517" s="20" t="n">
        <v>2024</v>
      </c>
      <c r="T517" s="20" t="n">
        <v>2025</v>
      </c>
      <c r="U517" s="20" t="n">
        <v>2026</v>
      </c>
      <c r="V517" s="20" t="n">
        <v>2027</v>
      </c>
      <c r="W517" s="20" t="n">
        <v>2028</v>
      </c>
      <c r="X517" s="20" t="n">
        <v>2029</v>
      </c>
      <c r="Y517" s="20" t="n">
        <v>2030</v>
      </c>
      <c r="Z517" s="20" t="n">
        <v>2031</v>
      </c>
      <c r="AA517" s="20" t="n">
        <v>2032</v>
      </c>
    </row>
    <row r="518" customFormat="false" ht="17.15" hidden="false" customHeight="false" outlineLevel="0" collapsed="false">
      <c r="A518" s="1" t="s">
        <v>620</v>
      </c>
    </row>
    <row r="519" customFormat="false" ht="17.15" hidden="false" customHeight="false" outlineLevel="0" collapsed="false">
      <c r="A519" s="0" t="s">
        <v>479</v>
      </c>
      <c r="B519" s="0" t="s">
        <v>73</v>
      </c>
      <c r="C519" s="38" t="n">
        <f aca="false">Q!$D$10</f>
        <v>247.029</v>
      </c>
      <c r="D519" s="38" t="n">
        <f aca="false">Q!$E$10</f>
        <v>269.287</v>
      </c>
      <c r="E519" s="38" t="n">
        <f aca="false">Q!$P$10</f>
        <v>134.686</v>
      </c>
      <c r="F519" s="38" t="n">
        <f aca="false">Sens!$O$519*(1+Sens!$F$520)-pd_amt*Q!$O$10/(Q!$O$10+Q!$O$12)</f>
        <v>160.728085930082</v>
      </c>
      <c r="G519" s="38" t="n">
        <f aca="false">Sens!$E$519+Sens!$F$519</f>
        <v>295.414085930082</v>
      </c>
      <c r="H519" s="38" t="n">
        <f aca="false">Sens!$G$519*(1+Sens!$H$520)</f>
        <v>320.828163943375</v>
      </c>
      <c r="I519" s="38" t="n">
        <f aca="false">Sens!$H$519*(1+Sens!$I$520)</f>
        <v>344.575578072228</v>
      </c>
      <c r="J519" s="38" t="n">
        <f aca="false">Sens!$I$519*(1+Sens!$J$520)</f>
        <v>365.942555779681</v>
      </c>
      <c r="K519" s="38" t="n">
        <f aca="false">Sens!$J$519*(1+Sens!$K$520)</f>
        <v>384.239683568665</v>
      </c>
      <c r="L519" s="38" t="n">
        <f aca="false">Sens!$K$519*(1+Sens!$L$520)</f>
        <v>403.451667747098</v>
      </c>
      <c r="M519" s="38" t="n">
        <f aca="false">Sens!$L$519*(1+Sens!$M$520)</f>
        <v>423.624251134453</v>
      </c>
      <c r="N519" s="38" t="n">
        <f aca="false">Q!$N$10</f>
        <v>118.892</v>
      </c>
      <c r="O519" s="38" t="n">
        <f aca="false">Q!$O$10</f>
        <v>150.395</v>
      </c>
      <c r="P519" s="8" t="s">
        <v>621</v>
      </c>
    </row>
    <row r="520" customFormat="false" ht="17.15" hidden="false" customHeight="false" outlineLevel="0" collapsed="false">
      <c r="A520" s="0" t="s">
        <v>622</v>
      </c>
      <c r="B520" s="0" t="s">
        <v>52</v>
      </c>
      <c r="E520" s="12" t="n">
        <f aca="false">Sens!$E$519/Sens!$N$519-1</f>
        <v>0.132843252699929</v>
      </c>
      <c r="F520" s="12" t="n">
        <f aca="false">Sens!$O$519/(Q!$F$10+Q!$G$10)-1</f>
        <v>0.0980382135842941</v>
      </c>
      <c r="G520" s="12" t="n">
        <f aca="false">Sens!$G$519/Sens!$D$519-1</f>
        <v>0.0970231980380869</v>
      </c>
      <c r="H520" s="12" t="n">
        <f aca="false">Sens!$F$520+(g_os-Sens!$F$520)*1/4</f>
        <v>0.0860286601882206</v>
      </c>
      <c r="I520" s="12" t="n">
        <f aca="false">Sens!$F$520+(g_os-Sens!$F$520)*2/4</f>
        <v>0.074019106792147</v>
      </c>
      <c r="J520" s="12" t="n">
        <f aca="false">Sens!$F$520+(g_os-Sens!$F$520)*3/4</f>
        <v>0.0620095533960735</v>
      </c>
      <c r="K520" s="12" t="n">
        <f aca="false">Sens!$F$520+(g_os-Sens!$F$520)*4/4</f>
        <v>0.05</v>
      </c>
      <c r="L520" s="12" t="n">
        <f aca="false">g_os</f>
        <v>0.05</v>
      </c>
      <c r="M520" s="12" t="n">
        <f aca="false">g_os</f>
        <v>0.05</v>
      </c>
      <c r="P520" s="8" t="s">
        <v>623</v>
      </c>
    </row>
    <row r="521" customFormat="false" ht="17.15" hidden="false" customHeight="false" outlineLevel="0" collapsed="false">
      <c r="A521" s="0" t="s">
        <v>480</v>
      </c>
      <c r="B521" s="0" t="s">
        <v>73</v>
      </c>
      <c r="C521" s="38" t="n">
        <f aca="false">Q!$D$11</f>
        <v>21.215</v>
      </c>
      <c r="D521" s="38" t="n">
        <f aca="false">Q!$E$11</f>
        <v>22.561</v>
      </c>
      <c r="E521" s="38" t="n">
        <f aca="false">Q!$P$11</f>
        <v>11.579</v>
      </c>
      <c r="F521" s="38" t="n">
        <f aca="false">Sens!$O$521*(1+Sens!$F$522)</f>
        <v>12.0952613121125</v>
      </c>
      <c r="G521" s="38" t="n">
        <f aca="false">Sens!$E$521+Sens!$F$521</f>
        <v>23.6742613121125</v>
      </c>
      <c r="H521" s="38" t="n">
        <f aca="false">Sens!$G$521*(1+Sens!$H$522)</f>
        <v>24.8803243963206</v>
      </c>
      <c r="I521" s="38" t="n">
        <f aca="false">Sens!$H$521*(1+Sens!$I$522)</f>
        <v>25.9741308664154</v>
      </c>
      <c r="J521" s="38" t="n">
        <f aca="false">Sens!$I$521*(1+Sens!$J$522)</f>
        <v>26.9346894124267</v>
      </c>
      <c r="K521" s="38" t="n">
        <f aca="false">Sens!$J$521*(1+Sens!$K$522)</f>
        <v>27.7427300947995</v>
      </c>
      <c r="L521" s="38" t="n">
        <f aca="false">Sens!$K$521*(1+Sens!$L$522)</f>
        <v>28.5750119976435</v>
      </c>
      <c r="M521" s="38" t="n">
        <f aca="false">Sens!$L$521*(1+Sens!$M$522)</f>
        <v>29.4322623575728</v>
      </c>
      <c r="N521" s="38" t="n">
        <f aca="false">Q!$N$11</f>
        <v>11.128</v>
      </c>
      <c r="O521" s="38" t="n">
        <f aca="false">Q!$O$11</f>
        <v>11.433</v>
      </c>
      <c r="P521" s="8" t="s">
        <v>621</v>
      </c>
    </row>
    <row r="522" customFormat="false" ht="17.15" hidden="false" customHeight="false" outlineLevel="0" collapsed="false">
      <c r="A522" s="0" t="s">
        <v>624</v>
      </c>
      <c r="B522" s="0" t="s">
        <v>52</v>
      </c>
      <c r="E522" s="12" t="n">
        <f aca="false">Sens!$E$521/Sens!$N$521-1</f>
        <v>0.0405283968368082</v>
      </c>
      <c r="F522" s="12" t="n">
        <f aca="false">Sens!$O$521/(Q!$F$11+Q!$G$11)-1</f>
        <v>0.0579254187100955</v>
      </c>
      <c r="G522" s="12" t="n">
        <f aca="false">Sens!$G$521/Sens!$D$521-1</f>
        <v>0.0493445021103904</v>
      </c>
      <c r="H522" s="12" t="n">
        <f aca="false">Sens!$F$522+(g_ps-Sens!$F$522)*1/4</f>
        <v>0.0509440640325716</v>
      </c>
      <c r="I522" s="12" t="n">
        <f aca="false">Sens!$F$522+(g_ps-Sens!$F$522)*2/4</f>
        <v>0.0439627093550477</v>
      </c>
      <c r="J522" s="12" t="n">
        <f aca="false">Sens!$F$522+(g_ps-Sens!$F$522)*3/4</f>
        <v>0.0369813546775239</v>
      </c>
      <c r="K522" s="12" t="n">
        <f aca="false">Sens!$F$522+(g_ps-Sens!$F$522)*4/4</f>
        <v>0.03</v>
      </c>
      <c r="L522" s="12" t="n">
        <f aca="false">g_ps</f>
        <v>0.03</v>
      </c>
      <c r="M522" s="12" t="n">
        <f aca="false">g_ps</f>
        <v>0.03</v>
      </c>
      <c r="P522" s="8" t="s">
        <v>625</v>
      </c>
    </row>
    <row r="523" customFormat="false" ht="17.15" hidden="false" customHeight="false" outlineLevel="0" collapsed="false">
      <c r="A523" s="0" t="s">
        <v>481</v>
      </c>
      <c r="B523" s="0" t="s">
        <v>73</v>
      </c>
      <c r="C523" s="38" t="n">
        <f aca="false">Q!$D$12</f>
        <v>156.146</v>
      </c>
      <c r="D523" s="38" t="n">
        <f aca="false">Q!$E$12</f>
        <v>172.162</v>
      </c>
      <c r="E523" s="38" t="n">
        <f aca="false">Q!$P$12</f>
        <v>88.358</v>
      </c>
      <c r="F523" s="38" t="n">
        <f aca="false">Sens!$O$523*(1+Sens!$F$524)-pd_amt*Q!$O$12/(Q!$O$10+Q!$O$12)</f>
        <v>103.62028337149</v>
      </c>
      <c r="G523" s="38" t="n">
        <f aca="false">Sens!$E$523+Sens!$F$523</f>
        <v>191.97828337149</v>
      </c>
      <c r="H523" s="38" t="n">
        <f aca="false">Sens!$G$523*(1+Sens!$H$524)</f>
        <v>212.128608444755</v>
      </c>
      <c r="I523" s="38" t="n">
        <f aca="false">Sens!$H$523*(1+Sens!$I$524)</f>
        <v>231.92183134134</v>
      </c>
      <c r="J523" s="38" t="n">
        <f aca="false">Sens!$I$523*(1+Sens!$J$524)</f>
        <v>250.859136487863</v>
      </c>
      <c r="K523" s="38" t="n">
        <f aca="false">Sens!$J$523*(1+Sens!$K$524)</f>
        <v>268.419276042014</v>
      </c>
      <c r="L523" s="38" t="n">
        <f aca="false">Sens!$K$523*(1+Sens!$L$524)</f>
        <v>287.208625364954</v>
      </c>
      <c r="M523" s="38" t="n">
        <f aca="false">Sens!$L$523*(1+Sens!$M$524)</f>
        <v>307.313229140501</v>
      </c>
      <c r="N523" s="38" t="n">
        <f aca="false">Q!$N$12</f>
        <v>76.86</v>
      </c>
      <c r="O523" s="38" t="n">
        <f aca="false">Q!$O$12</f>
        <v>95.302</v>
      </c>
      <c r="P523" s="8" t="s">
        <v>621</v>
      </c>
    </row>
    <row r="524" customFormat="false" ht="17.15" hidden="false" customHeight="false" outlineLevel="0" collapsed="false">
      <c r="A524" s="0" t="s">
        <v>626</v>
      </c>
      <c r="B524" s="0" t="s">
        <v>52</v>
      </c>
      <c r="E524" s="12" t="n">
        <f aca="false">Sens!$E$523/Sens!$N$523-1</f>
        <v>0.1495966692688</v>
      </c>
      <c r="F524" s="12" t="n">
        <f aca="false">Sens!$O$523/(Q!$F$12+Q!$G$12)-1</f>
        <v>0.11661530890813</v>
      </c>
      <c r="G524" s="12" t="n">
        <f aca="false">Sens!$G$523/Sens!$D$523-1</f>
        <v>0.115102539303041</v>
      </c>
      <c r="H524" s="12" t="n">
        <f aca="false">Sens!$F$524+(g_sp-Sens!$F$524)*1/4</f>
        <v>0.104961481681098</v>
      </c>
      <c r="I524" s="12" t="n">
        <f aca="false">Sens!$F$524+(g_sp-Sens!$F$524)*2/4</f>
        <v>0.0933076544540651</v>
      </c>
      <c r="J524" s="12" t="n">
        <f aca="false">Sens!$F$524+(g_sp-Sens!$F$524)*3/4</f>
        <v>0.0816538272270325</v>
      </c>
      <c r="K524" s="12" t="n">
        <f aca="false">Sens!$F$524+(g_sp-Sens!$F$524)*4/4</f>
        <v>0.07</v>
      </c>
      <c r="L524" s="12" t="n">
        <f aca="false">g_sp</f>
        <v>0.07</v>
      </c>
      <c r="M524" s="12" t="n">
        <f aca="false">g_sp</f>
        <v>0.07</v>
      </c>
      <c r="P524" s="8" t="s">
        <v>627</v>
      </c>
    </row>
    <row r="525" customFormat="false" ht="17.15" hidden="false" customHeight="false" outlineLevel="0" collapsed="false">
      <c r="A525" s="0" t="s">
        <v>482</v>
      </c>
      <c r="B525" s="0" t="s">
        <v>73</v>
      </c>
      <c r="C525" s="38" t="n">
        <f aca="false">Q!$D$13</f>
        <v>56.214</v>
      </c>
      <c r="D525" s="38" t="n">
        <f aca="false">Q!$E$13</f>
        <v>68.635</v>
      </c>
      <c r="E525" s="38" t="n">
        <f aca="false">Q!$P$13</f>
        <v>37.052</v>
      </c>
      <c r="F525" s="38" t="n">
        <f aca="false">Sens!$O$525*(1+Sens!$F$526)</f>
        <v>48.1533381827382</v>
      </c>
      <c r="G525" s="38" t="n">
        <f aca="false">Sens!$E$525+Sens!$F$525</f>
        <v>85.2053381827382</v>
      </c>
      <c r="H525" s="38" t="n">
        <f aca="false">Sens!$G$525*(1+Sens!$H$526)</f>
        <v>102.29336185894</v>
      </c>
      <c r="I525" s="38" t="n">
        <f aca="false">Sens!$H$525*(1+Sens!$I$526)</f>
        <v>119.379837585241</v>
      </c>
      <c r="J525" s="38" t="n">
        <f aca="false">Sens!$I$525*(1+Sens!$J$526)</f>
        <v>135.319079048844</v>
      </c>
      <c r="K525" s="38" t="n">
        <f aca="false">Sens!$J$525*(1+Sens!$K$526)</f>
        <v>148.850986953729</v>
      </c>
      <c r="L525" s="38" t="n">
        <f aca="false">Sens!$K$525*(1+Sens!$L$526)</f>
        <v>163.736085649102</v>
      </c>
      <c r="M525" s="38" t="n">
        <f aca="false">Sens!$L$525*(1+Sens!$M$526)</f>
        <v>180.109694214012</v>
      </c>
      <c r="N525" s="38" t="n">
        <f aca="false">Q!$N$13</f>
        <v>29.615</v>
      </c>
      <c r="O525" s="38" t="n">
        <f aca="false">Q!$O$13</f>
        <v>39.02</v>
      </c>
      <c r="P525" s="8" t="s">
        <v>621</v>
      </c>
    </row>
    <row r="526" customFormat="false" ht="17.15" hidden="false" customHeight="false" outlineLevel="0" collapsed="false">
      <c r="A526" s="0" t="s">
        <v>628</v>
      </c>
      <c r="B526" s="0" t="s">
        <v>52</v>
      </c>
      <c r="E526" s="12" t="n">
        <f aca="false">Sens!$E$525/Sens!$N$525-1</f>
        <v>0.25112274185379</v>
      </c>
      <c r="F526" s="12" t="n">
        <f aca="false">Sens!$O$525/(Q!$F$13+Q!$G$13)-1</f>
        <v>0.234068123596572</v>
      </c>
      <c r="G526" s="12" t="n">
        <f aca="false">Sens!$G$525/Sens!$D$525-1</f>
        <v>0.241426942270536</v>
      </c>
      <c r="H526" s="12" t="n">
        <f aca="false">Sens!$F$526+(g_ad-Sens!$F$526)*1/4</f>
        <v>0.200551092697429</v>
      </c>
      <c r="I526" s="12" t="n">
        <f aca="false">Sens!$F$526+(g_ad-Sens!$F$526)*2/4</f>
        <v>0.167034061798286</v>
      </c>
      <c r="J526" s="12" t="n">
        <f aca="false">Sens!$F$526+(g_ad-Sens!$F$526)*3/4</f>
        <v>0.133517030899143</v>
      </c>
      <c r="K526" s="12" t="n">
        <f aca="false">Sens!$F$526+(g_ad-Sens!$F$526)*4/4</f>
        <v>0.1</v>
      </c>
      <c r="L526" s="12" t="n">
        <f aca="false">g_ad</f>
        <v>0.1</v>
      </c>
      <c r="M526" s="12" t="n">
        <f aca="false">g_ad</f>
        <v>0.1</v>
      </c>
      <c r="P526" s="8" t="s">
        <v>629</v>
      </c>
    </row>
    <row r="527" customFormat="false" ht="17.15" hidden="false" customHeight="false" outlineLevel="0" collapsed="false">
      <c r="A527" s="0" t="s">
        <v>483</v>
      </c>
      <c r="B527" s="0" t="s">
        <v>73</v>
      </c>
      <c r="C527" s="38" t="n">
        <f aca="false">Q!$D$14</f>
        <v>44.374</v>
      </c>
      <c r="D527" s="38" t="n">
        <f aca="false">Q!$E$14</f>
        <v>49.619</v>
      </c>
      <c r="E527" s="38" t="n">
        <f aca="false">Q!$P$14</f>
        <v>27.157</v>
      </c>
      <c r="F527" s="38" t="n">
        <f aca="false">Sens!$O$527*(1+Sens!$F$528)</f>
        <v>28.9776360923374</v>
      </c>
      <c r="G527" s="38" t="n">
        <f aca="false">Sens!$E$527+Sens!$F$527</f>
        <v>56.1346360923374</v>
      </c>
      <c r="H527" s="38" t="n">
        <f aca="false">Sens!$G$527*(1+Sens!$H$528)</f>
        <v>62.4937078946075</v>
      </c>
      <c r="I527" s="38" t="n">
        <f aca="false">Sens!$H$527*(1+Sens!$I$528)</f>
        <v>68.6715233062498</v>
      </c>
      <c r="J527" s="38" t="n">
        <f aca="false">Sens!$I$527*(1+Sens!$J$528)</f>
        <v>74.4692882949818</v>
      </c>
      <c r="K527" s="38" t="n">
        <f aca="false">Sens!$J$527*(1+Sens!$K$528)</f>
        <v>79.6821384756306</v>
      </c>
      <c r="L527" s="38" t="n">
        <f aca="false">Sens!$K$527*(1+Sens!$L$528)</f>
        <v>85.2598881689247</v>
      </c>
      <c r="M527" s="38" t="n">
        <f aca="false">Sens!$L$527*(1+Sens!$M$528)</f>
        <v>91.2280803407494</v>
      </c>
      <c r="N527" s="38" t="n">
        <f aca="false">Q!$N$14</f>
        <v>23.923</v>
      </c>
      <c r="O527" s="38" t="n">
        <f aca="false">Q!$O$14</f>
        <v>25.696</v>
      </c>
      <c r="P527" s="8" t="s">
        <v>621</v>
      </c>
    </row>
    <row r="528" customFormat="false" ht="17.15" hidden="false" customHeight="false" outlineLevel="0" collapsed="false">
      <c r="A528" s="0" t="s">
        <v>630</v>
      </c>
      <c r="B528" s="0" t="s">
        <v>52</v>
      </c>
      <c r="E528" s="12" t="n">
        <f aca="false">Sens!$E$527/Sens!$N$527-1</f>
        <v>0.135183714417088</v>
      </c>
      <c r="F528" s="12" t="n">
        <f aca="false">Sens!$O$527/(Q!$F$14+Q!$G$14)-1</f>
        <v>0.127709997366804</v>
      </c>
      <c r="G528" s="12" t="n">
        <f aca="false">Sens!$G$527/Sens!$D$527-1</f>
        <v>0.131313329416905</v>
      </c>
      <c r="H528" s="12" t="n">
        <f aca="false">Sens!$F$528+(g_sub-Sens!$F$528)*1/4</f>
        <v>0.113282498025103</v>
      </c>
      <c r="I528" s="12" t="n">
        <f aca="false">Sens!$F$528+(g_sub-Sens!$F$528)*2/4</f>
        <v>0.0988549986834021</v>
      </c>
      <c r="J528" s="12" t="n">
        <f aca="false">Sens!$F$528+(g_sub-Sens!$F$528)*3/4</f>
        <v>0.084427499341701</v>
      </c>
      <c r="K528" s="12" t="n">
        <f aca="false">Sens!$F$528+(g_sub-Sens!$F$528)*4/4</f>
        <v>0.07</v>
      </c>
      <c r="L528" s="12" t="n">
        <f aca="false">g_sub</f>
        <v>0.07</v>
      </c>
      <c r="M528" s="12" t="n">
        <f aca="false">g_sub</f>
        <v>0.07</v>
      </c>
      <c r="P528" s="8" t="s">
        <v>631</v>
      </c>
    </row>
    <row r="529" customFormat="false" ht="17.15" hidden="false" customHeight="false" outlineLevel="0" collapsed="false">
      <c r="A529" s="0" t="s">
        <v>484</v>
      </c>
      <c r="B529" s="0" t="s">
        <v>73</v>
      </c>
      <c r="C529" s="38" t="n">
        <f aca="false">Q!$D$15</f>
        <v>5.425</v>
      </c>
      <c r="D529" s="38" t="n">
        <f aca="false">Q!$E$15</f>
        <v>5.935</v>
      </c>
      <c r="E529" s="38" t="n">
        <f aca="false">Q!$P$15</f>
        <v>3.474</v>
      </c>
      <c r="F529" s="38" t="n">
        <f aca="false">Sens!$O$529*(1+Sens!$F$530)</f>
        <v>3.36182431966931</v>
      </c>
      <c r="G529" s="38" t="n">
        <f aca="false">Sens!$E$529+Sens!$F$529</f>
        <v>6.83582431966931</v>
      </c>
      <c r="H529" s="38" t="n">
        <f aca="false">Sens!$G$529*(1+Sens!$H$530)</f>
        <v>7.31157108370141</v>
      </c>
      <c r="I529" s="38" t="n">
        <f aca="false">Sens!$H$529*(1+Sens!$I$530)</f>
        <v>7.77266852639815</v>
      </c>
      <c r="J529" s="38" t="n">
        <f aca="false">Sens!$I$529*(1+Sens!$J$530)</f>
        <v>8.2120733019884</v>
      </c>
      <c r="K529" s="38" t="n">
        <f aca="false">Sens!$J$529*(1+Sens!$K$530)</f>
        <v>8.62267696708783</v>
      </c>
      <c r="L529" s="38" t="n">
        <f aca="false">Sens!$K$529*(1+Sens!$L$530)</f>
        <v>9.05381081544222</v>
      </c>
      <c r="M529" s="38" t="n">
        <f aca="false">Sens!$L$529*(1+Sens!$M$530)</f>
        <v>9.50650135621433</v>
      </c>
      <c r="N529" s="38" t="n">
        <f aca="false">Q!$N$15</f>
        <v>2.811</v>
      </c>
      <c r="O529" s="38" t="n">
        <f aca="false">Q!$O$15</f>
        <v>3.124</v>
      </c>
      <c r="P529" s="8" t="s">
        <v>621</v>
      </c>
    </row>
    <row r="530" customFormat="false" ht="17.15" hidden="false" customHeight="false" outlineLevel="0" collapsed="false">
      <c r="A530" s="0" t="s">
        <v>632</v>
      </c>
      <c r="B530" s="0" t="s">
        <v>52</v>
      </c>
      <c r="E530" s="12" t="n">
        <f aca="false">Sens!$E$529/Sens!$N$529-1</f>
        <v>0.235859124866596</v>
      </c>
      <c r="F530" s="12" t="n">
        <f aca="false">Sens!$O$529/(Q!$F$15+Q!$G$15)-1</f>
        <v>0.0761281433000345</v>
      </c>
      <c r="G530" s="12" t="n">
        <f aca="false">Sens!$G$529/Sens!$D$529-1</f>
        <v>0.151781688234087</v>
      </c>
      <c r="H530" s="12" t="n">
        <f aca="false">Sens!$F$530+(g_ot-Sens!$F$530)*1/4</f>
        <v>0.0695961074750259</v>
      </c>
      <c r="I530" s="12" t="n">
        <f aca="false">Sens!$F$530+(g_ot-Sens!$F$530)*2/4</f>
        <v>0.0630640716500172</v>
      </c>
      <c r="J530" s="12" t="n">
        <f aca="false">Sens!$F$530+(g_ot-Sens!$F$530)*3/4</f>
        <v>0.0565320358250086</v>
      </c>
      <c r="K530" s="12" t="n">
        <f aca="false">Sens!$F$530+(g_ot-Sens!$F$530)*4/4</f>
        <v>0.05</v>
      </c>
      <c r="L530" s="12" t="n">
        <f aca="false">g_ot</f>
        <v>0.05</v>
      </c>
      <c r="M530" s="12" t="n">
        <f aca="false">g_ot</f>
        <v>0.05</v>
      </c>
      <c r="P530" s="8" t="s">
        <v>633</v>
      </c>
    </row>
    <row r="531" customFormat="false" ht="17.15" hidden="false" customHeight="false" outlineLevel="0" collapsed="false">
      <c r="A531" s="3" t="s">
        <v>634</v>
      </c>
      <c r="B531" s="8" t="s">
        <v>73</v>
      </c>
      <c r="C531" s="38" t="n">
        <f aca="false">Sens!$C$519+Sens!$C$521+Sens!$C$523+Sens!$C$525+Sens!$C$527+Sens!$C$529</f>
        <v>530.403</v>
      </c>
      <c r="D531" s="38" t="n">
        <f aca="false">Sens!$D$519+Sens!$D$521+Sens!$D$523+Sens!$D$525+Sens!$D$527+Sens!$D$529</f>
        <v>588.199</v>
      </c>
      <c r="E531" s="38" t="n">
        <f aca="false">Sens!$E$519+Sens!$E$521+Sens!$E$523+Sens!$E$525+Sens!$E$527+Sens!$E$529</f>
        <v>302.306</v>
      </c>
      <c r="F531" s="38" t="n">
        <f aca="false">Sens!$F$519+Sens!$F$521+Sens!$F$523+Sens!$F$525+Sens!$F$527+Sens!$F$529</f>
        <v>356.93642920843</v>
      </c>
      <c r="G531" s="38" t="n">
        <f aca="false">Sens!$G$519+Sens!$G$521+Sens!$G$523+Sens!$G$525+Sens!$G$527+Sens!$G$529</f>
        <v>659.24242920843</v>
      </c>
      <c r="H531" s="38" t="n">
        <f aca="false">Sens!$H$519+Sens!$H$521+Sens!$H$523+Sens!$H$525+Sens!$H$527+Sens!$H$529</f>
        <v>729.935737621701</v>
      </c>
      <c r="I531" s="38" t="n">
        <f aca="false">Sens!$I$519+Sens!$I$521+Sens!$I$523+Sens!$I$525+Sens!$I$527+Sens!$I$529</f>
        <v>798.295569697873</v>
      </c>
      <c r="J531" s="38" t="n">
        <f aca="false">Sens!$J$519+Sens!$J$521+Sens!$J$523+Sens!$J$525+Sens!$J$527+Sens!$J$529</f>
        <v>861.736822325785</v>
      </c>
      <c r="K531" s="38" t="n">
        <f aca="false">Sens!$K$519+Sens!$K$521+Sens!$K$523+Sens!$K$525+Sens!$K$527+Sens!$K$529</f>
        <v>917.557492101925</v>
      </c>
      <c r="L531" s="38" t="n">
        <f aca="false">Sens!$L$519+Sens!$L$521+Sens!$L$523+Sens!$L$525+Sens!$L$527+Sens!$L$529</f>
        <v>977.285089743165</v>
      </c>
      <c r="M531" s="38" t="n">
        <f aca="false">Sens!$M$519+Sens!$M$521+Sens!$M$523+Sens!$M$525+Sens!$M$527+Sens!$M$529</f>
        <v>1041.2140185435</v>
      </c>
      <c r="N531" s="38" t="n">
        <f aca="false">Sens!$N$519+Sens!$N$521+Sens!$N$523+Sens!$N$525+Sens!$N$527+Sens!$N$529</f>
        <v>263.229</v>
      </c>
      <c r="O531" s="38" t="n">
        <f aca="false">Sens!$O$519+Sens!$O$521+Sens!$O$523+Sens!$O$525+Sens!$O$527+Sens!$O$529</f>
        <v>324.97</v>
      </c>
    </row>
    <row r="532" customFormat="false" ht="17.15" hidden="false" customHeight="false" outlineLevel="0" collapsed="false">
      <c r="A532" s="5" t="s">
        <v>635</v>
      </c>
      <c r="B532" s="0" t="s">
        <v>52</v>
      </c>
      <c r="C532" s="12" t="n">
        <f aca="false">Q!$D$5/(Q!$D$5+Q!$D$6)</f>
        <v>0.730570905519011</v>
      </c>
      <c r="D532" s="12" t="n">
        <f aca="false">Q!$E$5/(Q!$E$5+Q!$E$6)</f>
        <v>0.724763217890544</v>
      </c>
      <c r="E532" s="12" t="n">
        <f aca="false">Q!$P$5/(Q!$P$5+Q!$P$6)</f>
        <v>0.728797972914861</v>
      </c>
      <c r="F532" s="12" t="n">
        <f aca="false">Sens!$O$532</f>
        <v>0.718066283041511</v>
      </c>
      <c r="G532" s="12" t="n">
        <f aca="false">Sens!$G$533/Sens!$G$531</f>
        <v>0.722987468473627</v>
      </c>
      <c r="H532" s="12" t="n">
        <f aca="false">Sens!$G$532</f>
        <v>0.722987468473627</v>
      </c>
      <c r="I532" s="12" t="n">
        <f aca="false">Sens!$G$532</f>
        <v>0.722987468473627</v>
      </c>
      <c r="J532" s="12" t="n">
        <f aca="false">Sens!$G$532</f>
        <v>0.722987468473627</v>
      </c>
      <c r="K532" s="12" t="n">
        <f aca="false">Sens!$G$532</f>
        <v>0.722987468473627</v>
      </c>
      <c r="L532" s="12" t="n">
        <f aca="false">Sens!$G$532</f>
        <v>0.722987468473627</v>
      </c>
      <c r="M532" s="12" t="n">
        <f aca="false">Sens!$G$532</f>
        <v>0.722987468473627</v>
      </c>
      <c r="N532" s="12" t="n">
        <f aca="false">Q!$N$5/(Q!$N$5+Q!$N$6)</f>
        <v>0.733030935041352</v>
      </c>
      <c r="O532" s="12" t="n">
        <f aca="false">Q!$O$5/(Q!$O$5+Q!$O$6)</f>
        <v>0.718066283041511</v>
      </c>
      <c r="P532" s="8" t="s">
        <v>636</v>
      </c>
    </row>
    <row r="533" customFormat="false" ht="17.15" hidden="false" customHeight="false" outlineLevel="0" collapsed="false">
      <c r="A533" s="1" t="s">
        <v>472</v>
      </c>
      <c r="B533" s="8" t="s">
        <v>73</v>
      </c>
      <c r="C533" s="38" t="n">
        <f aca="false">Q!$D$5</f>
        <v>387.497</v>
      </c>
      <c r="D533" s="38" t="n">
        <f aca="false">Q!$E$5</f>
        <v>426.305</v>
      </c>
      <c r="E533" s="38" t="n">
        <f aca="false">Q!$P$5</f>
        <v>220.32</v>
      </c>
      <c r="F533" s="38" t="n">
        <f aca="false">Sens!$F$531*Sens!$F$532</f>
        <v>256.304015003807</v>
      </c>
      <c r="G533" s="38" t="n">
        <f aca="false">Sens!$E$533+Sens!$F$533</f>
        <v>476.624015003807</v>
      </c>
      <c r="H533" s="38" t="n">
        <f aca="false">Sens!$H$531*Sens!$H$532</f>
        <v>527.734391091543</v>
      </c>
      <c r="I533" s="38" t="n">
        <f aca="false">Sens!$I$531*Sens!$I$532</f>
        <v>577.157693029577</v>
      </c>
      <c r="J533" s="38" t="n">
        <f aca="false">Sens!$J$531*Sens!$J$532</f>
        <v>623.024923663827</v>
      </c>
      <c r="K533" s="38" t="n">
        <f aca="false">Sens!$K$531*Sens!$K$532</f>
        <v>663.382568393781</v>
      </c>
      <c r="L533" s="38" t="n">
        <f aca="false">Sens!$L$531*Sens!$L$532</f>
        <v>706.564873010432</v>
      </c>
      <c r="M533" s="38" t="n">
        <f aca="false">Sens!$M$531*Sens!$M$532</f>
        <v>752.784687406019</v>
      </c>
      <c r="N533" s="38" t="n">
        <f aca="false">Q!$N$5</f>
        <v>192.955</v>
      </c>
      <c r="O533" s="38" t="n">
        <f aca="false">Q!$O$5</f>
        <v>233.35</v>
      </c>
      <c r="P533" s="5" t="s">
        <v>637</v>
      </c>
    </row>
    <row r="534" customFormat="false" ht="17.15" hidden="false" customHeight="false" outlineLevel="0" collapsed="false">
      <c r="A534" s="1" t="s">
        <v>475</v>
      </c>
      <c r="B534" s="8" t="s">
        <v>73</v>
      </c>
      <c r="C534" s="38" t="n">
        <f aca="false">Q!$D$6</f>
        <v>142.906</v>
      </c>
      <c r="D534" s="38" t="n">
        <f aca="false">Q!$E$6</f>
        <v>161.894</v>
      </c>
      <c r="E534" s="38" t="n">
        <f aca="false">Q!$P$6</f>
        <v>81.986</v>
      </c>
      <c r="F534" s="38" t="n">
        <f aca="false">Sens!$F$531*(1-Sens!$F$532)</f>
        <v>100.632414204623</v>
      </c>
      <c r="G534" s="38" t="n">
        <f aca="false">Sens!$E$534+Sens!$F$534</f>
        <v>182.618414204623</v>
      </c>
      <c r="H534" s="38" t="n">
        <f aca="false">Sens!$H$531*(1-Sens!$H$532)</f>
        <v>202.201346530158</v>
      </c>
      <c r="I534" s="38" t="n">
        <f aca="false">Sens!$I$531*(1-Sens!$I$532)</f>
        <v>221.137876668296</v>
      </c>
      <c r="J534" s="38" t="n">
        <f aca="false">Sens!$J$531*(1-Sens!$J$532)</f>
        <v>238.711898661958</v>
      </c>
      <c r="K534" s="38" t="n">
        <f aca="false">Sens!$K$531*(1-Sens!$K$532)</f>
        <v>254.174923708144</v>
      </c>
      <c r="L534" s="38" t="n">
        <f aca="false">Sens!$L$531*(1-Sens!$L$532)</f>
        <v>270.720216732733</v>
      </c>
      <c r="M534" s="38" t="n">
        <f aca="false">Sens!$M$531*(1-Sens!$M$532)</f>
        <v>288.429331137484</v>
      </c>
      <c r="N534" s="38" t="n">
        <f aca="false">Q!$N$6</f>
        <v>70.274</v>
      </c>
      <c r="O534" s="38" t="n">
        <f aca="false">Q!$O$6</f>
        <v>91.62</v>
      </c>
      <c r="P534" s="5" t="s">
        <v>638</v>
      </c>
    </row>
    <row r="535" customFormat="false" ht="17.15" hidden="false" customHeight="false" outlineLevel="0" collapsed="false">
      <c r="A535" s="5" t="s">
        <v>639</v>
      </c>
      <c r="B535" s="0" t="s">
        <v>73</v>
      </c>
      <c r="C535" s="38" t="n">
        <f aca="false">Sens!$C$525*Sens!$C$532</f>
        <v>41.0683128828457</v>
      </c>
      <c r="D535" s="38" t="n">
        <f aca="false">Sens!$D$525*Sens!$D$532</f>
        <v>49.7441234599175</v>
      </c>
      <c r="E535" s="38" t="n">
        <f aca="false">Sens!$E$525*Sens!$E$532</f>
        <v>27.0034224924414</v>
      </c>
      <c r="F535" s="38" t="n">
        <f aca="false">Sens!$F$525*Sens!$F$532</f>
        <v>34.5772885649197</v>
      </c>
      <c r="G535" s="38" t="n">
        <f aca="false">Sens!$G$525*Sens!$G$532</f>
        <v>61.6023917531772</v>
      </c>
      <c r="H535" s="38" t="n">
        <f aca="false">Sens!$H$525*Sens!$H$532</f>
        <v>73.9568187320519</v>
      </c>
      <c r="I535" s="38" t="n">
        <f aca="false">Sens!$I$525*Sens!$I$532</f>
        <v>86.3101265625461</v>
      </c>
      <c r="J535" s="38" t="n">
        <f aca="false">Sens!$J$525*Sens!$J$532</f>
        <v>97.8339983977065</v>
      </c>
      <c r="K535" s="38" t="n">
        <f aca="false">Sens!$K$525*Sens!$K$532</f>
        <v>107.617398237477</v>
      </c>
      <c r="L535" s="38" t="n">
        <f aca="false">Sens!$L$525*Sens!$L$532</f>
        <v>118.379138061225</v>
      </c>
      <c r="M535" s="38" t="n">
        <f aca="false">Sens!$M$525*Sens!$M$532</f>
        <v>130.217051867347</v>
      </c>
      <c r="N535" s="38" t="n">
        <f aca="false">Sens!$N$525*Sens!$N$532</f>
        <v>21.7087111412496</v>
      </c>
      <c r="O535" s="38" t="n">
        <f aca="false">Sens!$O$525*Sens!$O$532</f>
        <v>28.0189463642798</v>
      </c>
      <c r="P535" s="5" t="s">
        <v>640</v>
      </c>
    </row>
    <row r="536" customFormat="false" ht="15" hidden="false" customHeight="false" outlineLevel="0" collapsed="false">
      <c r="A536" s="5" t="s">
        <v>641</v>
      </c>
      <c r="B536" s="0" t="s">
        <v>73</v>
      </c>
      <c r="C536" s="38" t="n">
        <f aca="false">Sens!$C$525-Sens!$C$535</f>
        <v>15.1456871171543</v>
      </c>
      <c r="D536" s="38" t="n">
        <f aca="false">Sens!$D$525-Sens!$D$535</f>
        <v>18.8908765400825</v>
      </c>
      <c r="E536" s="38" t="n">
        <f aca="false">Sens!$E$525-Sens!$E$535</f>
        <v>10.0485775075586</v>
      </c>
      <c r="F536" s="38" t="n">
        <f aca="false">Sens!$F$525-Sens!$F$535</f>
        <v>13.5760496178185</v>
      </c>
      <c r="G536" s="38" t="n">
        <f aca="false">Sens!$G$525-Sens!$G$535</f>
        <v>23.6029464295611</v>
      </c>
      <c r="H536" s="38" t="n">
        <f aca="false">Sens!$H$525-Sens!$H$535</f>
        <v>28.3365431268884</v>
      </c>
      <c r="I536" s="38" t="n">
        <f aca="false">Sens!$I$525-Sens!$I$535</f>
        <v>33.0697110226949</v>
      </c>
      <c r="J536" s="38" t="n">
        <f aca="false">Sens!$J$525-Sens!$J$535</f>
        <v>37.4850806511378</v>
      </c>
      <c r="K536" s="38" t="n">
        <f aca="false">Sens!$K$525-Sens!$K$535</f>
        <v>41.2335887162515</v>
      </c>
      <c r="L536" s="38" t="n">
        <f aca="false">Sens!$L$525-Sens!$L$535</f>
        <v>45.3569475878767</v>
      </c>
      <c r="M536" s="38" t="n">
        <f aca="false">Sens!$M$525-Sens!$M$535</f>
        <v>49.8926423466644</v>
      </c>
      <c r="N536" s="38" t="n">
        <f aca="false">Sens!$N$525-Sens!$N$535</f>
        <v>7.90628885875037</v>
      </c>
      <c r="O536" s="38" t="n">
        <f aca="false">Sens!$O$525-Sens!$O$535</f>
        <v>11.0010536357202</v>
      </c>
    </row>
    <row r="537" customFormat="false" ht="19.4" hidden="false" customHeight="false" outlineLevel="0" collapsed="false">
      <c r="A537" s="31" t="s">
        <v>1054</v>
      </c>
    </row>
    <row r="538" customFormat="false" ht="17.15" hidden="false" customHeight="false" outlineLevel="0" collapsed="false">
      <c r="A538" s="6" t="s">
        <v>16</v>
      </c>
      <c r="B538" s="6" t="s">
        <v>17</v>
      </c>
      <c r="C538" s="20" t="s">
        <v>457</v>
      </c>
      <c r="D538" s="20" t="s">
        <v>458</v>
      </c>
      <c r="E538" s="20" t="s">
        <v>540</v>
      </c>
      <c r="F538" s="20" t="s">
        <v>541</v>
      </c>
      <c r="G538" s="20" t="s">
        <v>542</v>
      </c>
      <c r="H538" s="20" t="s">
        <v>543</v>
      </c>
      <c r="I538" s="20" t="s">
        <v>544</v>
      </c>
      <c r="J538" s="20" t="s">
        <v>545</v>
      </c>
      <c r="K538" s="20" t="s">
        <v>546</v>
      </c>
      <c r="L538" s="20" t="s">
        <v>547</v>
      </c>
      <c r="M538" s="20" t="s">
        <v>548</v>
      </c>
      <c r="N538" s="20" t="s">
        <v>549</v>
      </c>
      <c r="O538" s="20" t="s">
        <v>550</v>
      </c>
      <c r="P538" s="6" t="s">
        <v>23</v>
      </c>
      <c r="R538" s="20" t="n">
        <v>2023</v>
      </c>
      <c r="S538" s="20" t="n">
        <v>2024</v>
      </c>
      <c r="T538" s="20" t="n">
        <v>2025</v>
      </c>
      <c r="U538" s="20" t="n">
        <v>2026</v>
      </c>
      <c r="V538" s="20" t="n">
        <v>2027</v>
      </c>
      <c r="W538" s="20" t="n">
        <v>2028</v>
      </c>
      <c r="X538" s="20" t="n">
        <v>2029</v>
      </c>
      <c r="Y538" s="20" t="n">
        <v>2030</v>
      </c>
      <c r="Z538" s="20" t="n">
        <v>2031</v>
      </c>
      <c r="AA538" s="20" t="n">
        <v>2032</v>
      </c>
    </row>
    <row r="539" customFormat="false" ht="17.15" hidden="false" customHeight="false" outlineLevel="0" collapsed="false">
      <c r="A539" s="1" t="s">
        <v>551</v>
      </c>
    </row>
    <row r="540" customFormat="false" ht="17.15" hidden="false" customHeight="false" outlineLevel="0" collapsed="false">
      <c r="A540" s="14" t="s">
        <v>552</v>
      </c>
      <c r="B540" s="13" t="s">
        <v>108</v>
      </c>
      <c r="C540" s="32" t="n">
        <f aca="false">mw_ye24</f>
        <v>360</v>
      </c>
      <c r="D540" s="32" t="n">
        <f aca="false">mw_ye25</f>
        <v>1440</v>
      </c>
      <c r="E540" s="32" t="n">
        <f aca="false">mw_open</f>
        <v>2080</v>
      </c>
      <c r="F540" s="32" t="n">
        <f aca="false">Sens!$E$540+pace_B*0.5</f>
        <v>3897.15</v>
      </c>
      <c r="G540" s="32" t="n">
        <f aca="false">Sens!$F$540</f>
        <v>3897.15</v>
      </c>
      <c r="H540" s="32" t="n">
        <f aca="false">Sens!$G$540+pace_B</f>
        <v>7531.45</v>
      </c>
      <c r="I540" s="32" t="n">
        <f aca="false">Sens!$H$540+pace_B</f>
        <v>11165.75</v>
      </c>
      <c r="J540" s="32" t="n">
        <f aca="false">Sens!$I$540+pace_B</f>
        <v>14800.05</v>
      </c>
      <c r="K540" s="32" t="n">
        <f aca="false">Sens!$J$540+pace_B</f>
        <v>18434.35</v>
      </c>
      <c r="L540" s="32" t="n">
        <f aca="false">Sens!$K$540+pace_B</f>
        <v>22068.65</v>
      </c>
      <c r="M540" s="32" t="n">
        <f aca="false">Sens!$L$540+pace_B</f>
        <v>25702.95</v>
      </c>
      <c r="N540" s="32" t="n">
        <f aca="false">(mw_ye24+mw_ye25)/2</f>
        <v>900</v>
      </c>
      <c r="O540" s="32" t="n">
        <f aca="false">mw_ye25</f>
        <v>1440</v>
      </c>
      <c r="P540" s="5" t="s">
        <v>553</v>
      </c>
    </row>
    <row r="541" customFormat="false" ht="17.15" hidden="false" customHeight="false" outlineLevel="0" collapsed="false">
      <c r="A541" s="5" t="s">
        <v>554</v>
      </c>
      <c r="B541" s="0" t="s">
        <v>108</v>
      </c>
      <c r="C541" s="33" t="n">
        <f aca="false">(mw_ye23+mw_ye24)/2</f>
        <v>240</v>
      </c>
      <c r="D541" s="33" t="n">
        <f aca="false">(Sens!$C$540+Sens!$D$540)/2</f>
        <v>900</v>
      </c>
      <c r="E541" s="33" t="n">
        <f aca="false">(Sens!$D$540+Sens!$E$540)/2</f>
        <v>1760</v>
      </c>
      <c r="F541" s="33" t="n">
        <f aca="false">(Sens!$E$540+Sens!$F$540)/2</f>
        <v>2988.575</v>
      </c>
      <c r="G541" s="33" t="n">
        <f aca="false">(Sens!$E$541+Sens!$F$541)/2</f>
        <v>2374.2875</v>
      </c>
      <c r="H541" s="33" t="n">
        <f aca="false">(Sens!$G$540+Sens!$H$540)/2</f>
        <v>5714.3</v>
      </c>
      <c r="I541" s="33" t="n">
        <f aca="false">(Sens!$H$540+Sens!$I$540)/2</f>
        <v>9348.6</v>
      </c>
      <c r="J541" s="33" t="n">
        <f aca="false">(Sens!$I$540+Sens!$J$540)/2</f>
        <v>12982.9</v>
      </c>
      <c r="K541" s="33" t="n">
        <f aca="false">(Sens!$J$540+Sens!$K$540)/2</f>
        <v>16617.2</v>
      </c>
      <c r="L541" s="33" t="n">
        <f aca="false">(Sens!$K$540+Sens!$L$540)/2</f>
        <v>20251.5</v>
      </c>
      <c r="M541" s="33" t="n">
        <f aca="false">(Sens!$L$540+Sens!$M$540)/2</f>
        <v>23885.8</v>
      </c>
      <c r="N541" s="33" t="n">
        <f aca="false">(Sens!$C$540+Sens!$N$540)/2</f>
        <v>630</v>
      </c>
      <c r="O541" s="33" t="n">
        <f aca="false">(Sens!$N$540+Sens!$O$540)/2</f>
        <v>1170</v>
      </c>
    </row>
    <row r="542" customFormat="false" ht="15" hidden="false" customHeight="false" outlineLevel="0" collapsed="false">
      <c r="A542" s="5" t="s">
        <v>555</v>
      </c>
      <c r="B542" s="5" t="s">
        <v>102</v>
      </c>
      <c r="C542" s="34" t="n">
        <v>1</v>
      </c>
      <c r="D542" s="34" t="n">
        <v>1</v>
      </c>
      <c r="E542" s="34" t="n">
        <v>0.5</v>
      </c>
      <c r="F542" s="34" t="n">
        <v>0.5</v>
      </c>
      <c r="G542" s="34" t="n">
        <v>1</v>
      </c>
      <c r="H542" s="34" t="n">
        <v>1</v>
      </c>
      <c r="I542" s="34" t="n">
        <v>1</v>
      </c>
      <c r="J542" s="34" t="n">
        <v>1</v>
      </c>
      <c r="K542" s="34" t="n">
        <v>1</v>
      </c>
      <c r="L542" s="34" t="n">
        <v>1</v>
      </c>
      <c r="M542" s="34" t="n">
        <v>1</v>
      </c>
      <c r="N542" s="34" t="n">
        <v>0.5</v>
      </c>
      <c r="O542" s="34" t="n">
        <v>0.5</v>
      </c>
    </row>
    <row r="543" customFormat="false" ht="17.15" hidden="false" customHeight="false" outlineLevel="0" collapsed="false">
      <c r="A543" s="5" t="s">
        <v>556</v>
      </c>
      <c r="B543" s="0" t="s">
        <v>108</v>
      </c>
      <c r="C543" s="33" t="n">
        <f aca="false">Sens!$C$540-mw_ye23</f>
        <v>240</v>
      </c>
      <c r="D543" s="33" t="n">
        <f aca="false">Sens!$D$540-Sens!$C$540</f>
        <v>1080</v>
      </c>
      <c r="E543" s="33" t="n">
        <f aca="false">Sens!$E$540-Sens!$D$540</f>
        <v>640</v>
      </c>
      <c r="F543" s="33" t="n">
        <f aca="false">Sens!$F$540-Sens!$E$540</f>
        <v>1817.15</v>
      </c>
      <c r="G543" s="33" t="n">
        <f aca="false">Sens!$E$543+Sens!$F$543</f>
        <v>2457.15</v>
      </c>
      <c r="H543" s="33" t="n">
        <f aca="false">Sens!$H$540-Sens!$G$540</f>
        <v>3634.3</v>
      </c>
      <c r="I543" s="33" t="n">
        <f aca="false">Sens!$I$540-Sens!$H$540</f>
        <v>3634.3</v>
      </c>
      <c r="J543" s="33" t="n">
        <f aca="false">Sens!$J$540-Sens!$I$540</f>
        <v>3634.3</v>
      </c>
      <c r="K543" s="33" t="n">
        <f aca="false">Sens!$K$540-Sens!$J$540</f>
        <v>3634.3</v>
      </c>
      <c r="L543" s="33" t="n">
        <f aca="false">Sens!$L$540-Sens!$K$540</f>
        <v>3634.3</v>
      </c>
      <c r="M543" s="33" t="n">
        <f aca="false">Sens!$M$540-Sens!$L$540</f>
        <v>3634.3</v>
      </c>
      <c r="N543" s="33" t="n">
        <f aca="false">Sens!$N$540-Sens!$C$540</f>
        <v>540</v>
      </c>
      <c r="O543" s="33" t="n">
        <f aca="false">Sens!$O$540-Sens!$N$540</f>
        <v>540</v>
      </c>
    </row>
    <row r="544" customFormat="false" ht="17.15" hidden="false" customHeight="false" outlineLevel="0" collapsed="false">
      <c r="A544" s="5" t="s">
        <v>557</v>
      </c>
      <c r="B544" s="0" t="s">
        <v>108</v>
      </c>
      <c r="C544" s="33" t="n">
        <f aca="false">Sens!$C$543/ext_sh</f>
        <v>300</v>
      </c>
      <c r="D544" s="33" t="n">
        <f aca="false">Sens!$D$543/ext_sh</f>
        <v>1350</v>
      </c>
      <c r="E544" s="33" t="n">
        <f aca="false">Sens!$E$543/ext_sh</f>
        <v>800</v>
      </c>
      <c r="F544" s="33" t="n">
        <f aca="false">Sens!$F$543/ext_sh</f>
        <v>2271.4375</v>
      </c>
      <c r="G544" s="33" t="n">
        <f aca="false">Sens!$G$543/ext_sh</f>
        <v>3071.4375</v>
      </c>
      <c r="H544" s="33" t="n">
        <f aca="false">Sens!$H$543/ext_sh</f>
        <v>4542.875</v>
      </c>
      <c r="I544" s="33" t="n">
        <f aca="false">Sens!$I$543/ext_sh</f>
        <v>4542.875</v>
      </c>
      <c r="J544" s="33" t="n">
        <f aca="false">Sens!$J$543/ext_sh</f>
        <v>4542.875</v>
      </c>
      <c r="K544" s="33" t="n">
        <f aca="false">Sens!$K$543/ext_sh</f>
        <v>4542.875</v>
      </c>
      <c r="L544" s="33" t="n">
        <f aca="false">Sens!$L$543/ext_sh</f>
        <v>4542.875</v>
      </c>
      <c r="M544" s="33" t="n">
        <f aca="false">Sens!$M$543/ext_sh</f>
        <v>4542.875</v>
      </c>
      <c r="N544" s="33" t="n">
        <f aca="false">Sens!$N$543/ext_sh</f>
        <v>675</v>
      </c>
      <c r="O544" s="33" t="n">
        <f aca="false">Sens!$O$543/ext_sh</f>
        <v>675</v>
      </c>
      <c r="P544" s="8" t="s">
        <v>558</v>
      </c>
      <c r="R544" s="33" t="n">
        <f aca="false">mw_ye23/ext_sh</f>
        <v>150</v>
      </c>
      <c r="S544" s="33" t="n">
        <f aca="false">Sens!$C$544</f>
        <v>300</v>
      </c>
      <c r="T544" s="33" t="n">
        <f aca="false">Sens!$D$544</f>
        <v>1350</v>
      </c>
      <c r="U544" s="33" t="n">
        <f aca="false">Sens!$G$544</f>
        <v>3071.4375</v>
      </c>
      <c r="V544" s="33" t="n">
        <f aca="false">Sens!$H$544</f>
        <v>4542.875</v>
      </c>
      <c r="W544" s="33" t="n">
        <f aca="false">Sens!$I$544</f>
        <v>4542.875</v>
      </c>
      <c r="X544" s="33" t="n">
        <f aca="false">Sens!$J$544</f>
        <v>4542.875</v>
      </c>
      <c r="Y544" s="33" t="n">
        <f aca="false">Sens!$K$544</f>
        <v>4542.875</v>
      </c>
      <c r="Z544" s="33" t="n">
        <f aca="false">Sens!$L$544</f>
        <v>4542.875</v>
      </c>
      <c r="AA544" s="33" t="n">
        <f aca="false">Sens!$M$544</f>
        <v>4542.875</v>
      </c>
    </row>
    <row r="545" customFormat="false" ht="17.15" hidden="false" customHeight="false" outlineLevel="0" collapsed="false">
      <c r="A545" s="1" t="s">
        <v>559</v>
      </c>
    </row>
    <row r="546" customFormat="false" ht="17.15" hidden="false" customHeight="false" outlineLevel="0" collapsed="false">
      <c r="A546" s="0" t="s">
        <v>560</v>
      </c>
      <c r="B546" s="0" t="s">
        <v>52</v>
      </c>
      <c r="F546" s="35" t="n">
        <f aca="false">na_vr26</f>
        <v>0</v>
      </c>
      <c r="G546" s="35" t="n">
        <f aca="false">na_vr26</f>
        <v>0</v>
      </c>
      <c r="H546" s="35" t="n">
        <f aca="false">na_vr27</f>
        <v>0.5</v>
      </c>
      <c r="I546" s="35" t="n">
        <f aca="false">na_vr28</f>
        <v>1</v>
      </c>
      <c r="J546" s="35" t="n">
        <f aca="false">na_vr28</f>
        <v>1</v>
      </c>
      <c r="K546" s="35" t="n">
        <f aca="false">na_vr28</f>
        <v>1</v>
      </c>
      <c r="L546" s="35" t="n">
        <f aca="false">na_vr28</f>
        <v>1</v>
      </c>
      <c r="M546" s="35" t="n">
        <f aca="false">na_vr28</f>
        <v>1</v>
      </c>
    </row>
    <row r="547" customFormat="false" ht="17.15" hidden="false" customHeight="false" outlineLevel="0" collapsed="false">
      <c r="A547" s="5" t="s">
        <v>561</v>
      </c>
      <c r="B547" s="0" t="s">
        <v>151</v>
      </c>
      <c r="F547" s="36" t="n">
        <f aca="false">cust_sh*tk_he_gb300*cf_chip+(1-cust_sh)*((1-Sens!$F$546)*tk_he_gb300+Sens!$F$546*tk_he_vr200)</f>
        <v>10.8864110021101</v>
      </c>
      <c r="G547" s="36" t="n">
        <f aca="false">cust_sh*tk_he_gb300*cf_chip+(1-cust_sh)*((1-Sens!$G$546)*tk_he_gb300+Sens!$G$546*tk_he_vr200)</f>
        <v>10.8864110021101</v>
      </c>
      <c r="H547" s="36" t="n">
        <f aca="false">cust_sh*tk_he_gb300*cf_chip+(1-cust_sh)*((1-Sens!$H$546)*tk_he_gb300+Sens!$H$546*tk_he_vr200)</f>
        <v>11.2211760027286</v>
      </c>
      <c r="I547" s="36" t="n">
        <f aca="false">cust_sh*tk_he_gb300*cf_chip+(1-cust_sh)*((1-Sens!$I$546)*tk_he_gb300+Sens!$I$546*tk_he_vr200)</f>
        <v>11.5559410033471</v>
      </c>
      <c r="J547" s="36" t="n">
        <f aca="false">cust_sh*tk_he_gb300*cf_chip+(1-cust_sh)*((1-Sens!$J$546)*tk_he_gb300+Sens!$J$546*tk_he_vr200)</f>
        <v>11.5559410033471</v>
      </c>
      <c r="K547" s="36" t="n">
        <f aca="false">cust_sh*tk_he_gb300*cf_chip+(1-cust_sh)*((1-Sens!$K$546)*tk_he_gb300+Sens!$K$546*tk_he_vr200)</f>
        <v>11.5559410033471</v>
      </c>
      <c r="L547" s="36" t="n">
        <f aca="false">cust_sh*tk_he_gb300*cf_chip+(1-cust_sh)*((1-Sens!$L$546)*tk_he_gb300+Sens!$L$546*tk_he_vr200)</f>
        <v>11.5559410033471</v>
      </c>
      <c r="M547" s="36" t="n">
        <f aca="false">cust_sh*tk_he_gb300*cf_chip+(1-cust_sh)*((1-Sens!$M$546)*tk_he_gb300+Sens!$M$546*tk_he_vr200)</f>
        <v>11.5559410033471</v>
      </c>
    </row>
    <row r="548" customFormat="false" ht="17.15" hidden="false" customHeight="false" outlineLevel="0" collapsed="false">
      <c r="A548" s="5" t="s">
        <v>562</v>
      </c>
      <c r="B548" s="0" t="s">
        <v>151</v>
      </c>
      <c r="F548" s="36" t="n">
        <f aca="false">cust_sh*tk_ox_gb300+(1-cust_sh)*((1-Sens!$F$546)*tk_ox_gb300+Sens!$F$546*tk_ox_vr200)</f>
        <v>1.98263481314457</v>
      </c>
      <c r="G548" s="36" t="n">
        <f aca="false">cust_sh*tk_ox_gb300+(1-cust_sh)*((1-Sens!$G$546)*tk_ox_gb300+Sens!$G$546*tk_ox_vr200)</f>
        <v>1.98263481314457</v>
      </c>
      <c r="H548" s="36" t="n">
        <f aca="false">cust_sh*tk_ox_gb300+(1-cust_sh)*((1-Sens!$H$546)*tk_ox_gb300+Sens!$H$546*tk_ox_vr200)</f>
        <v>2.01034999693694</v>
      </c>
      <c r="I548" s="36" t="n">
        <f aca="false">cust_sh*tk_ox_gb300+(1-cust_sh)*((1-Sens!$I$546)*tk_ox_gb300+Sens!$I$546*tk_ox_vr200)</f>
        <v>2.0380651807293</v>
      </c>
      <c r="J548" s="36" t="n">
        <f aca="false">cust_sh*tk_ox_gb300+(1-cust_sh)*((1-Sens!$J$546)*tk_ox_gb300+Sens!$J$546*tk_ox_vr200)</f>
        <v>2.0380651807293</v>
      </c>
      <c r="K548" s="36" t="n">
        <f aca="false">cust_sh*tk_ox_gb300+(1-cust_sh)*((1-Sens!$K$546)*tk_ox_gb300+Sens!$K$546*tk_ox_vr200)</f>
        <v>2.0380651807293</v>
      </c>
      <c r="L548" s="36" t="n">
        <f aca="false">cust_sh*tk_ox_gb300+(1-cust_sh)*((1-Sens!$L$546)*tk_ox_gb300+Sens!$L$546*tk_ox_vr200)</f>
        <v>2.0380651807293</v>
      </c>
      <c r="M548" s="36" t="n">
        <f aca="false">cust_sh*tk_ox_gb300+(1-cust_sh)*((1-Sens!$M$546)*tk_ox_gb300+Sens!$M$546*tk_ox_vr200)</f>
        <v>2.0380651807293</v>
      </c>
    </row>
    <row r="549" customFormat="false" ht="17.15" hidden="false" customHeight="false" outlineLevel="0" collapsed="false">
      <c r="A549" s="5" t="s">
        <v>563</v>
      </c>
      <c r="B549" s="0" t="s">
        <v>170</v>
      </c>
      <c r="F549" s="36" t="n">
        <f aca="false">cust_sh*tk_cx_gb300*cf_cx+(1-cust_sh)*((1-Sens!$F$546)*tk_cx_gb300+Sens!$F$546*tk_cx_vr200)</f>
        <v>32.237224</v>
      </c>
      <c r="G549" s="36" t="n">
        <f aca="false">cust_sh*tk_cx_gb300*cf_cx+(1-cust_sh)*((1-Sens!$G$546)*tk_cx_gb300+Sens!$G$546*tk_cx_vr200)</f>
        <v>32.237224</v>
      </c>
      <c r="H549" s="36" t="n">
        <f aca="false">cust_sh*tk_cx_gb300*cf_cx+(1-cust_sh)*((1-Sens!$H$546)*tk_cx_gb300+Sens!$H$546*tk_cx_vr200)</f>
        <v>33.574506</v>
      </c>
      <c r="I549" s="36" t="n">
        <f aca="false">cust_sh*tk_cx_gb300*cf_cx+(1-cust_sh)*((1-Sens!$I$546)*tk_cx_gb300+Sens!$I$546*tk_cx_vr200)</f>
        <v>34.911788</v>
      </c>
      <c r="J549" s="36" t="n">
        <f aca="false">cust_sh*tk_cx_gb300*cf_cx+(1-cust_sh)*((1-Sens!$J$546)*tk_cx_gb300+Sens!$J$546*tk_cx_vr200)</f>
        <v>34.911788</v>
      </c>
      <c r="K549" s="36" t="n">
        <f aca="false">cust_sh*tk_cx_gb300*cf_cx+(1-cust_sh)*((1-Sens!$K$546)*tk_cx_gb300+Sens!$K$546*tk_cx_vr200)</f>
        <v>34.911788</v>
      </c>
      <c r="L549" s="36" t="n">
        <f aca="false">cust_sh*tk_cx_gb300*cf_cx+(1-cust_sh)*((1-Sens!$L$546)*tk_cx_gb300+Sens!$L$546*tk_cx_vr200)</f>
        <v>34.911788</v>
      </c>
      <c r="M549" s="36" t="n">
        <f aca="false">cust_sh*tk_cx_gb300*cf_cx+(1-cust_sh)*((1-Sens!$M$546)*tk_cx_gb300+Sens!$M$546*tk_cx_vr200)</f>
        <v>34.911788</v>
      </c>
    </row>
    <row r="550" customFormat="false" ht="17.15" hidden="false" customHeight="false" outlineLevel="0" collapsed="false">
      <c r="A550" s="5" t="s">
        <v>564</v>
      </c>
      <c r="B550" s="0" t="s">
        <v>108</v>
      </c>
      <c r="F550" s="33" t="n">
        <f aca="false">Sens!$F$540-mw_open</f>
        <v>1817.15</v>
      </c>
      <c r="G550" s="33" t="n">
        <f aca="false">Sens!$F$550</f>
        <v>1817.15</v>
      </c>
      <c r="H550" s="33" t="n">
        <f aca="false">Sens!$H$540-mw_open</f>
        <v>5451.45</v>
      </c>
      <c r="I550" s="33" t="n">
        <f aca="false">Sens!$I$540-mw_open</f>
        <v>9085.75</v>
      </c>
      <c r="J550" s="33" t="n">
        <f aca="false">Sens!$J$540-mw_open</f>
        <v>12720.05</v>
      </c>
      <c r="K550" s="33" t="n">
        <f aca="false">Sens!$K$540-mw_open</f>
        <v>16354.35</v>
      </c>
      <c r="L550" s="33" t="n">
        <f aca="false">Sens!$L$540-mw_open</f>
        <v>19988.65</v>
      </c>
      <c r="M550" s="33" t="n">
        <f aca="false">Sens!$M$540-mw_open</f>
        <v>23622.95</v>
      </c>
    </row>
    <row r="551" customFormat="false" ht="17.15" hidden="false" customHeight="false" outlineLevel="0" collapsed="false">
      <c r="A551" s="0" t="s">
        <v>565</v>
      </c>
      <c r="B551" s="0" t="s">
        <v>566</v>
      </c>
      <c r="F551" s="33" t="n">
        <f aca="false">Sens!$F$543*Sens!$F$547</f>
        <v>19782.2417524844</v>
      </c>
      <c r="G551" s="33" t="n">
        <f aca="false">Sens!$F$551</f>
        <v>19782.2417524844</v>
      </c>
      <c r="H551" s="33" t="n">
        <f aca="false">Sens!$G$551+Sens!$H$543*Sens!$H$547</f>
        <v>60563.3616992009</v>
      </c>
      <c r="I551" s="33" t="n">
        <f aca="false">Sens!$H$551+Sens!$I$543*Sens!$I$547</f>
        <v>102561.118087665</v>
      </c>
      <c r="J551" s="33" t="n">
        <f aca="false">Sens!$I$551+Sens!$J$543*Sens!$J$547</f>
        <v>144558.87447613</v>
      </c>
      <c r="K551" s="33" t="n">
        <f aca="false">Sens!$J$551+Sens!$K$543*Sens!$K$547</f>
        <v>186556.630864594</v>
      </c>
      <c r="L551" s="33" t="n">
        <f aca="false">Sens!$K$551+Sens!$L$543*Sens!$L$547</f>
        <v>228554.387253058</v>
      </c>
      <c r="M551" s="33" t="n">
        <f aca="false">Sens!$L$551+Sens!$M$543*Sens!$M$547</f>
        <v>270552.143641523</v>
      </c>
    </row>
    <row r="552" customFormat="false" ht="17.15" hidden="false" customHeight="false" outlineLevel="0" collapsed="false">
      <c r="A552" s="0" t="s">
        <v>567</v>
      </c>
      <c r="B552" s="0" t="s">
        <v>566</v>
      </c>
      <c r="F552" s="33" t="n">
        <f aca="false">Sens!$F$543*Sens!$F$548</f>
        <v>3602.74485070566</v>
      </c>
      <c r="G552" s="33" t="n">
        <f aca="false">Sens!$F$552</f>
        <v>3602.74485070566</v>
      </c>
      <c r="H552" s="33" t="n">
        <f aca="false">Sens!$G$552+Sens!$H$543*Sens!$H$548</f>
        <v>10908.9598445736</v>
      </c>
      <c r="I552" s="33" t="n">
        <f aca="false">Sens!$H$552+Sens!$I$543*Sens!$I$548</f>
        <v>18315.9001308981</v>
      </c>
      <c r="J552" s="33" t="n">
        <f aca="false">Sens!$I$552+Sens!$J$543*Sens!$J$548</f>
        <v>25722.8404172225</v>
      </c>
      <c r="K552" s="33" t="n">
        <f aca="false">Sens!$J$552+Sens!$K$543*Sens!$K$548</f>
        <v>33129.780703547</v>
      </c>
      <c r="L552" s="33" t="n">
        <f aca="false">Sens!$K$552+Sens!$L$543*Sens!$L$548</f>
        <v>40536.7209898715</v>
      </c>
      <c r="M552" s="33" t="n">
        <f aca="false">Sens!$L$552+Sens!$M$543*Sens!$M$548</f>
        <v>47943.661276196</v>
      </c>
    </row>
    <row r="553" customFormat="false" ht="17.15" hidden="false" customHeight="false" outlineLevel="0" collapsed="false">
      <c r="A553" s="5" t="s">
        <v>568</v>
      </c>
      <c r="B553" s="0" t="s">
        <v>151</v>
      </c>
      <c r="F553" s="36" t="n">
        <f aca="false">IF(Sens!$F$550&gt;0,Sens!$F$551/Sens!$F$550,Sens!$F$547)</f>
        <v>10.8864110021101</v>
      </c>
      <c r="G553" s="36" t="n">
        <f aca="false">IF(Sens!$G$550&gt;0,Sens!$G$551/Sens!$G$550,Sens!$G$547)</f>
        <v>10.8864110021101</v>
      </c>
      <c r="H553" s="36" t="n">
        <f aca="false">IF(Sens!$H$550&gt;0,Sens!$H$551/Sens!$H$550,Sens!$H$547)</f>
        <v>11.1095876691891</v>
      </c>
      <c r="I553" s="36" t="n">
        <f aca="false">IF(Sens!$I$550&gt;0,Sens!$I$551/Sens!$I$550,Sens!$I$547)</f>
        <v>11.2881290028523</v>
      </c>
      <c r="J553" s="36" t="n">
        <f aca="false">IF(Sens!$J$550&gt;0,Sens!$J$551/Sens!$J$550,Sens!$J$547)</f>
        <v>11.3646467172794</v>
      </c>
      <c r="K553" s="36" t="n">
        <f aca="false">IF(Sens!$K$550&gt;0,Sens!$K$551/Sens!$K$550,Sens!$K$547)</f>
        <v>11.4071565586278</v>
      </c>
      <c r="L553" s="36" t="n">
        <f aca="false">IF(Sens!$L$550&gt;0,Sens!$L$551/Sens!$L$550,Sens!$L$547)</f>
        <v>11.4342082758495</v>
      </c>
      <c r="M553" s="36" t="n">
        <f aca="false">IF(Sens!$M$550&gt;0,Sens!$M$551/Sens!$M$550,Sens!$M$547)</f>
        <v>11.4529363877722</v>
      </c>
    </row>
    <row r="554" customFormat="false" ht="17.15" hidden="false" customHeight="false" outlineLevel="0" collapsed="false">
      <c r="A554" s="5" t="s">
        <v>569</v>
      </c>
      <c r="B554" s="0" t="s">
        <v>151</v>
      </c>
      <c r="F554" s="36" t="n">
        <f aca="false">IF(Sens!$F$550&gt;0,Sens!$F$552/Sens!$F$550,Sens!$F$548)</f>
        <v>1.98263481314457</v>
      </c>
      <c r="G554" s="36" t="n">
        <f aca="false">IF(Sens!$G$550&gt;0,Sens!$G$552/Sens!$G$550,Sens!$G$548)</f>
        <v>1.98263481314457</v>
      </c>
      <c r="H554" s="36" t="n">
        <f aca="false">IF(Sens!$H$550&gt;0,Sens!$H$552/Sens!$H$550,Sens!$H$548)</f>
        <v>2.00111160233948</v>
      </c>
      <c r="I554" s="36" t="n">
        <f aca="false">IF(Sens!$I$550&gt;0,Sens!$I$552/Sens!$I$550,Sens!$I$548)</f>
        <v>2.01589303369541</v>
      </c>
      <c r="J554" s="36" t="n">
        <f aca="false">IF(Sens!$J$550&gt;0,Sens!$J$552/Sens!$J$550,Sens!$J$548)</f>
        <v>2.02222793284795</v>
      </c>
      <c r="K554" s="36" t="n">
        <f aca="false">IF(Sens!$K$550&gt;0,Sens!$K$552/Sens!$K$550,Sens!$K$548)</f>
        <v>2.02574732126603</v>
      </c>
      <c r="L554" s="36" t="n">
        <f aca="false">IF(Sens!$L$550&gt;0,Sens!$L$552/Sens!$L$550,Sens!$L$548)</f>
        <v>2.02798693207753</v>
      </c>
      <c r="M554" s="36" t="n">
        <f aca="false">IF(Sens!$M$550&gt;0,Sens!$M$552/Sens!$M$550,Sens!$M$548)</f>
        <v>2.02953743187011</v>
      </c>
    </row>
    <row r="555" customFormat="false" ht="17.15" hidden="false" customHeight="false" outlineLevel="0" collapsed="false">
      <c r="A555" s="14" t="s">
        <v>570</v>
      </c>
      <c r="B555" s="13" t="s">
        <v>151</v>
      </c>
      <c r="C555" s="13"/>
      <c r="D555" s="13"/>
      <c r="E555" s="13"/>
      <c r="F555" s="37" t="n">
        <f aca="false">Sens!$F$553*k_A</f>
        <v>16.5292102673303</v>
      </c>
      <c r="G555" s="37" t="n">
        <f aca="false">Sens!$G$553*k_A</f>
        <v>16.5292102673303</v>
      </c>
      <c r="H555" s="37" t="n">
        <f aca="false">Sens!$H$553*k_A</f>
        <v>16.8680670362136</v>
      </c>
      <c r="I555" s="37" t="n">
        <f aca="false">Sens!$I$553*k_A</f>
        <v>17.1391524513203</v>
      </c>
      <c r="J555" s="37" t="n">
        <f aca="false">Sens!$J$553*k_A</f>
        <v>17.2553319149374</v>
      </c>
      <c r="K555" s="37" t="n">
        <f aca="false">Sens!$K$553*k_A</f>
        <v>17.3198760613914</v>
      </c>
      <c r="L555" s="37" t="n">
        <f aca="false">Sens!$L$553*k_A</f>
        <v>17.3609496091348</v>
      </c>
      <c r="M555" s="37" t="n">
        <f aca="false">Sens!$M$553*k_A</f>
        <v>17.3893851421879</v>
      </c>
      <c r="N555" s="13"/>
      <c r="O555" s="13"/>
      <c r="P555" s="5" t="s">
        <v>571</v>
      </c>
    </row>
    <row r="556" customFormat="false" ht="17.15" hidden="false" customHeight="false" outlineLevel="0" collapsed="false">
      <c r="A556" s="5" t="s">
        <v>572</v>
      </c>
      <c r="B556" s="0" t="s">
        <v>108</v>
      </c>
      <c r="F556" s="33" t="n">
        <f aca="false">Sens!$F$550/2</f>
        <v>908.575</v>
      </c>
      <c r="H556" s="33" t="n">
        <f aca="false">(Sens!$G$550+Sens!$H$550)/2</f>
        <v>3634.3</v>
      </c>
      <c r="I556" s="33" t="n">
        <f aca="false">(Sens!$H$550+Sens!$I$550)/2</f>
        <v>7268.6</v>
      </c>
      <c r="J556" s="33" t="n">
        <f aca="false">(Sens!$I$550+Sens!$J$550)/2</f>
        <v>10902.9</v>
      </c>
      <c r="K556" s="33" t="n">
        <f aca="false">(Sens!$J$550+Sens!$K$550)/2</f>
        <v>14537.2</v>
      </c>
      <c r="L556" s="33" t="n">
        <f aca="false">(Sens!$K$550+Sens!$L$550)/2</f>
        <v>18171.5</v>
      </c>
      <c r="M556" s="33" t="n">
        <f aca="false">(Sens!$L$550+Sens!$M$550)/2</f>
        <v>21805.8</v>
      </c>
    </row>
    <row r="557" customFormat="false" ht="17.15" hidden="false" customHeight="false" outlineLevel="0" collapsed="false">
      <c r="A557" s="1" t="s">
        <v>573</v>
      </c>
    </row>
    <row r="558" customFormat="false" ht="17.15" hidden="false" customHeight="false" outlineLevel="0" collapsed="false">
      <c r="A558" s="1" t="s">
        <v>574</v>
      </c>
      <c r="B558" s="8" t="s">
        <v>73</v>
      </c>
      <c r="C558" s="38" t="n">
        <f aca="false">Sens!$C$541*rpm_open*Sens!$C$542/1000</f>
        <v>2.32100535697364</v>
      </c>
      <c r="D558" s="38" t="n">
        <f aca="false">Sens!$D$541*rpm_open*Sens!$D$542/1000</f>
        <v>8.70377008865116</v>
      </c>
      <c r="E558" s="38" t="n">
        <f aca="false">Sens!$E$541*rpm_open*Sens!$E$542/1000</f>
        <v>8.51035297557002</v>
      </c>
      <c r="F558" s="38" t="n">
        <f aca="false">(mw_open*rpm_open+Sens!$F$556*Sens!$F$555)*Sens!$F$542/1000</f>
        <v>17.5667034895389</v>
      </c>
      <c r="G558" s="38" t="n">
        <f aca="false">Sens!$E$558+Sens!$F$558</f>
        <v>26.077056465109</v>
      </c>
      <c r="H558" s="38" t="n">
        <f aca="false">(mw_open*rpm_open+Sens!$H$556*Sens!$H$555)/1000</f>
        <v>81.4189957901494</v>
      </c>
      <c r="I558" s="38" t="n">
        <f aca="false">(mw_open*rpm_open+Sens!$I$556*Sens!$I$555)/1000</f>
        <v>144.693023268105</v>
      </c>
      <c r="J558" s="38" t="n">
        <f aca="false">(mw_open*rpm_open+Sens!$J$556*Sens!$J$555)/1000</f>
        <v>208.248538095809</v>
      </c>
      <c r="K558" s="38" t="n">
        <f aca="false">(mw_open*rpm_open+Sens!$K$556*Sens!$K$555)/1000</f>
        <v>271.897882040097</v>
      </c>
      <c r="L558" s="38" t="n">
        <f aca="false">(mw_open*rpm_open+Sens!$L$556*Sens!$L$555)/1000</f>
        <v>335.589875582831</v>
      </c>
      <c r="M558" s="38" t="n">
        <f aca="false">(mw_open*rpm_open+Sens!$M$556*Sens!$M$555)/1000</f>
        <v>399.30483429396</v>
      </c>
      <c r="N558" s="38" t="n">
        <f aca="false">Sens!$N$541*rpm_open*Sens!$N$542/1000</f>
        <v>3.04631953102791</v>
      </c>
      <c r="O558" s="38" t="n">
        <f aca="false">Sens!$O$541*rpm_open*Sens!$O$542/1000</f>
        <v>5.65745055762326</v>
      </c>
      <c r="P558" s="5" t="s">
        <v>575</v>
      </c>
    </row>
    <row r="559" customFormat="false" ht="17.15" hidden="false" customHeight="false" outlineLevel="0" collapsed="false">
      <c r="A559" s="5" t="s">
        <v>576</v>
      </c>
      <c r="B559" s="0" t="s">
        <v>151</v>
      </c>
      <c r="C559" s="36" t="n">
        <f aca="false">Sens!$C$558*1000/(Sens!$C$541*Sens!$C$542)</f>
        <v>9.67085565405685</v>
      </c>
      <c r="D559" s="36" t="n">
        <f aca="false">Sens!$D$558*1000/(Sens!$D$541*Sens!$D$542)</f>
        <v>9.67085565405685</v>
      </c>
      <c r="E559" s="36" t="n">
        <f aca="false">Sens!$E$558*1000/(Sens!$E$541*Sens!$E$542)</f>
        <v>9.67085565405685</v>
      </c>
      <c r="F559" s="36" t="n">
        <f aca="false">Sens!$F$558*1000/(Sens!$F$541*Sens!$F$542)</f>
        <v>11.7559060686374</v>
      </c>
      <c r="G559" s="36" t="n">
        <f aca="false">Sens!$G$558*1000/(Sens!$G$541*Sens!$G$542)</f>
        <v>10.9831081809212</v>
      </c>
      <c r="H559" s="36" t="n">
        <f aca="false">Sens!$H$558*1000/(Sens!$H$541*Sens!$H$542)</f>
        <v>14.2482886425545</v>
      </c>
      <c r="I559" s="36" t="n">
        <f aca="false">Sens!$I$558*1000/(Sens!$I$541*Sens!$I$542)</f>
        <v>15.4775071420432</v>
      </c>
      <c r="J559" s="36" t="n">
        <f aca="false">Sens!$J$558*1000/(Sens!$J$541*Sens!$J$542)</f>
        <v>16.0402173702185</v>
      </c>
      <c r="K559" s="36" t="n">
        <f aca="false">Sens!$K$558*1000/(Sens!$K$541*Sens!$K$542)</f>
        <v>16.3624366343365</v>
      </c>
      <c r="L559" s="36" t="n">
        <f aca="false">Sens!$L$558*1000/(Sens!$L$541*Sens!$L$542)</f>
        <v>16.5711120451735</v>
      </c>
      <c r="M559" s="36" t="n">
        <f aca="false">Sens!$M$558*1000/(Sens!$M$541*Sens!$M$542)</f>
        <v>16.7172476657244</v>
      </c>
      <c r="N559" s="36" t="n">
        <f aca="false">Sens!$N$558*1000/(Sens!$N$541*Sens!$N$542)</f>
        <v>9.67085565405685</v>
      </c>
      <c r="O559" s="36" t="n">
        <f aca="false">Sens!$O$558*1000/(Sens!$O$541*Sens!$O$542)</f>
        <v>9.67085565405685</v>
      </c>
    </row>
    <row r="560" customFormat="false" ht="17.15" hidden="false" customHeight="false" outlineLevel="0" collapsed="false">
      <c r="A560" s="0" t="s">
        <v>577</v>
      </c>
      <c r="B560" s="0" t="s">
        <v>73</v>
      </c>
      <c r="C560" s="38" t="n">
        <f aca="false">Sens!$C$541/ext_sh*(ox_open+rent_mw)*Sens!$C$542/1000</f>
        <v>0.642569210675032</v>
      </c>
      <c r="D560" s="38" t="n">
        <f aca="false">Sens!$D$541/ext_sh*(ox_open+rent_mw)*Sens!$D$542/1000</f>
        <v>2.40963454003137</v>
      </c>
      <c r="E560" s="38" t="n">
        <f aca="false">Sens!$E$541/ext_sh*(ox_open+rent_mw)*Sens!$E$542/1000</f>
        <v>2.35608710580845</v>
      </c>
      <c r="F560" s="38" t="n">
        <f aca="false">((mw_open*ox_open+Sens!$F$556*Sens!$F$554)/ext_sh+Sens!$F$541/ext_sh*rent_mw)*Sens!$F$542/1000</f>
        <v>4.05421991106232</v>
      </c>
      <c r="G560" s="38" t="n">
        <f aca="false">Sens!$E$560+Sens!$F$560</f>
        <v>6.41030701687077</v>
      </c>
      <c r="H560" s="38" t="n">
        <f aca="false">((mw_open*ox_open+Sens!$H$556*Sens!$H$554)/ext_sh+Sens!$H$541/ext_sh*rent_mw)*Sens!$H$542/1000</f>
        <v>15.8108975546616</v>
      </c>
      <c r="I560" s="38" t="n">
        <f aca="false">((mw_open*ox_open+Sens!$I$556*Sens!$I$554)/ext_sh+Sens!$I$541/ext_sh*rent_mw)*Sens!$I$542/1000</f>
        <v>26.1871623400817</v>
      </c>
      <c r="J560" s="38" t="n">
        <f aca="false">((mw_open*ox_open+Sens!$J$556*Sens!$J$554)/ext_sh+Sens!$J$541/ext_sh*rent_mw)*Sens!$J$542/1000</f>
        <v>36.5826128954935</v>
      </c>
      <c r="K560" s="38" t="n">
        <f aca="false">((mw_open*ox_open+Sens!$K$556*Sens!$K$554)/ext_sh+Sens!$K$541/ext_sh*rent_mw)*Sens!$K$542/1000</f>
        <v>46.9844587075692</v>
      </c>
      <c r="L560" s="38" t="n">
        <f aca="false">((mw_open*ox_open+Sens!$L$556*Sens!$L$554)/ext_sh+Sens!$L$541/ext_sh*rent_mw)*Sens!$L$542/1000</f>
        <v>57.3892114544922</v>
      </c>
      <c r="M560" s="38" t="n">
        <f aca="false">((mw_open*ox_open+Sens!$M$556*Sens!$M$554)/ext_sh+Sens!$M$541/ext_sh*rent_mw)*Sens!$M$542/1000</f>
        <v>67.7955294740252</v>
      </c>
      <c r="N560" s="38" t="n">
        <f aca="false">Sens!$N$541/ext_sh*(ox_open+rent_mw)*Sens!$N$542/1000</f>
        <v>0.84337208901098</v>
      </c>
      <c r="O560" s="38" t="n">
        <f aca="false">Sens!$O$541/ext_sh*(ox_open+rent_mw)*Sens!$O$542/1000</f>
        <v>1.56626245102039</v>
      </c>
    </row>
    <row r="561" customFormat="false" ht="17.15" hidden="false" customHeight="false" outlineLevel="0" collapsed="false">
      <c r="A561" s="0" t="s">
        <v>578</v>
      </c>
      <c r="B561" s="0" t="s">
        <v>73</v>
      </c>
      <c r="C561" s="38" t="n">
        <f aca="false">Q!$D$7</f>
        <v>107.556</v>
      </c>
      <c r="D561" s="38" t="n">
        <f aca="false">Q!$E$7</f>
        <v>128.725</v>
      </c>
      <c r="E561" s="38" t="n">
        <f aca="false">Q!$P$7</f>
        <v>79.819</v>
      </c>
      <c r="N561" s="38" t="n">
        <f aca="false">Q!$N$7</f>
        <v>60.14</v>
      </c>
      <c r="O561" s="38" t="n">
        <f aca="false">Q!$O$7</f>
        <v>68.585</v>
      </c>
    </row>
    <row r="562" customFormat="false" ht="17.15" hidden="false" customHeight="false" outlineLevel="0" collapsed="false">
      <c r="A562" s="1" t="s">
        <v>579</v>
      </c>
      <c r="B562" s="8" t="s">
        <v>73</v>
      </c>
      <c r="C562" s="38" t="n">
        <f aca="false">Sens!$C$561-Sens!$C$558</f>
        <v>105.234994643026</v>
      </c>
      <c r="D562" s="38" t="n">
        <f aca="false">Sens!$D$561-Sens!$D$558</f>
        <v>120.021229911349</v>
      </c>
      <c r="E562" s="38" t="n">
        <f aca="false">Sens!$E$561-Sens!$E$558</f>
        <v>71.30864702443</v>
      </c>
      <c r="F562" s="38" t="n">
        <f aca="false">Sens!$O$562*(1+Sens!$F$563)</f>
        <v>78.5950104186653</v>
      </c>
      <c r="G562" s="38" t="n">
        <f aca="false">Sens!$E$562+Sens!$F$562</f>
        <v>149.903657443095</v>
      </c>
      <c r="H562" s="38" t="n">
        <f aca="false">Sens!$G$562*(1+Sens!$H$563)</f>
        <v>180.893560768142</v>
      </c>
      <c r="I562" s="38" t="n">
        <f aca="false">Sens!$H$562*(1+Sens!$I$563)</f>
        <v>210.64839721501</v>
      </c>
      <c r="J562" s="38" t="n">
        <f aca="false">Sens!$I$562*(1+Sens!$J$563)</f>
        <v>236.398909446495</v>
      </c>
      <c r="K562" s="38" t="n">
        <f aca="false">Sens!$J$562*(1+Sens!$K$563)</f>
        <v>255.310822202215</v>
      </c>
      <c r="L562" s="38" t="n">
        <f aca="false">Sens!$K$562*(1+Sens!$L$563)</f>
        <v>275.735687978392</v>
      </c>
      <c r="M562" s="38" t="n">
        <f aca="false">Sens!$L$562*(1+Sens!$M$563)</f>
        <v>297.794543016663</v>
      </c>
      <c r="N562" s="38" t="n">
        <f aca="false">Sens!$N$561-Sens!$N$558</f>
        <v>57.0936804689721</v>
      </c>
      <c r="O562" s="38" t="n">
        <f aca="false">Sens!$O$561-Sens!$O$558</f>
        <v>62.9275494423768</v>
      </c>
      <c r="P562" s="5" t="s">
        <v>580</v>
      </c>
    </row>
    <row r="563" customFormat="false" ht="17.15" hidden="false" customHeight="false" outlineLevel="0" collapsed="false">
      <c r="A563" s="0" t="s">
        <v>581</v>
      </c>
      <c r="B563" s="0" t="s">
        <v>52</v>
      </c>
      <c r="E563" s="12" t="n">
        <f aca="false">Sens!$E$562/Sens!$N$562-1</f>
        <v>0.248976181579029</v>
      </c>
      <c r="F563" s="12" t="n">
        <f aca="false">Sens!$E$563</f>
        <v>0.248976181579029</v>
      </c>
      <c r="G563" s="12" t="n">
        <f aca="false">Sens!$G$562/Sens!$D$562-1</f>
        <v>0.248976181579029</v>
      </c>
      <c r="H563" s="12" t="n">
        <f aca="false">Sens!$E$563+(g_awso_lt-Sens!$E$563)*1/4</f>
        <v>0.206732136184272</v>
      </c>
      <c r="I563" s="12" t="n">
        <f aca="false">Sens!$E$563+(g_awso_lt-Sens!$E$563)*2/4</f>
        <v>0.164488090789515</v>
      </c>
      <c r="J563" s="12" t="n">
        <f aca="false">Sens!$E$563+(g_awso_lt-Sens!$E$563)*3/4</f>
        <v>0.122244045394757</v>
      </c>
      <c r="K563" s="12" t="n">
        <f aca="false">Sens!$E$563+(g_awso_lt-Sens!$E$563)*4/4</f>
        <v>0.08</v>
      </c>
      <c r="L563" s="12" t="n">
        <f aca="false">g_awso_lt</f>
        <v>0.08</v>
      </c>
      <c r="M563" s="12" t="n">
        <f aca="false">g_awso_lt</f>
        <v>0.08</v>
      </c>
      <c r="P563" s="8" t="s">
        <v>582</v>
      </c>
    </row>
    <row r="564" customFormat="false" ht="17.15" hidden="false" customHeight="false" outlineLevel="0" collapsed="false">
      <c r="A564" s="1" t="s">
        <v>583</v>
      </c>
    </row>
    <row r="565" customFormat="false" ht="17.15" hidden="false" customHeight="false" outlineLevel="0" collapsed="false">
      <c r="A565" s="0" t="s">
        <v>584</v>
      </c>
      <c r="B565" s="0" t="s">
        <v>73</v>
      </c>
      <c r="F565" s="38" t="n">
        <f aca="false">cx_rt*Sens!$F$531+cx_awso*Sens!$F$562</f>
        <v>36.8045765066526</v>
      </c>
    </row>
    <row r="566" customFormat="false" ht="17.15" hidden="false" customHeight="false" outlineLevel="0" collapsed="false">
      <c r="A566" s="0" t="s">
        <v>585</v>
      </c>
      <c r="B566" s="0" t="s">
        <v>52</v>
      </c>
      <c r="C566" s="12" t="n">
        <f aca="false">tk_cx_h100/(tk_cx_h100+tk_fac*(1-colo_sh))</f>
        <v>0.730756458006641</v>
      </c>
      <c r="D566" s="12" t="n">
        <f aca="false">tk_cx_h100/(tk_cx_h100+tk_fac*(1-colo_sh))</f>
        <v>0.730756458006641</v>
      </c>
      <c r="E566" s="12" t="n">
        <f aca="false">Sens!$F$566</f>
        <v>0.760792334328868</v>
      </c>
      <c r="F566" s="12" t="n">
        <f aca="false">Sens!$F$549/(Sens!$F$549+tk_fac*(1-colo_sh))</f>
        <v>0.760792334328868</v>
      </c>
      <c r="G566" s="12" t="n">
        <f aca="false">Sens!$G$549/(Sens!$G$549+tk_fac*(1-colo_sh))</f>
        <v>0.760792334328868</v>
      </c>
      <c r="H566" s="12" t="n">
        <f aca="false">Sens!$H$549/(Sens!$H$549+tk_fac*(1-colo_sh))</f>
        <v>0.768110668862996</v>
      </c>
      <c r="I566" s="12" t="n">
        <f aca="false">Sens!$I$549/(Sens!$I$549+tk_fac*(1-colo_sh))</f>
        <v>0.77499450139483</v>
      </c>
      <c r="J566" s="12" t="n">
        <f aca="false">Sens!$J$549/(Sens!$J$549+tk_fac*(1-colo_sh))</f>
        <v>0.77499450139483</v>
      </c>
      <c r="K566" s="12" t="n">
        <f aca="false">Sens!$K$549/(Sens!$K$549+tk_fac*(1-colo_sh))</f>
        <v>0.77499450139483</v>
      </c>
      <c r="L566" s="12" t="n">
        <f aca="false">Sens!$L$549/(Sens!$L$549+tk_fac*(1-colo_sh))</f>
        <v>0.77499450139483</v>
      </c>
      <c r="M566" s="12" t="n">
        <f aca="false">Sens!$M$549/(Sens!$M$549+tk_fac*(1-colo_sh))</f>
        <v>0.77499450139483</v>
      </c>
    </row>
    <row r="567" customFormat="false" ht="17.15" hidden="false" customHeight="false" outlineLevel="0" collapsed="false">
      <c r="A567" s="1" t="s">
        <v>586</v>
      </c>
      <c r="B567" s="8" t="s">
        <v>73</v>
      </c>
      <c r="C567" s="38" t="n">
        <f aca="false">Q!$D$46-cx_rt*Q!$D$16-cx_awso*Sens!$C$562</f>
        <v>25.2781053077374</v>
      </c>
      <c r="D567" s="38" t="n">
        <f aca="false">Q!$E$46-cx_rt*Q!$E$16-cx_awso*Sens!$D$562</f>
        <v>69.5686316310026</v>
      </c>
      <c r="E567" s="38" t="n">
        <f aca="false">Q!$P$46-cx_rt*Q!$P$16-cx_awso*Sens!$E$562</f>
        <v>64.1899206485108</v>
      </c>
      <c r="F567" s="38" t="n">
        <f aca="false">MAX(Sens!$F$544*(Sens!$F$549+tk_fac*(1-colo_sh))/1000,capex_g26-Q!$P$46-Sens!$F$565)</f>
        <v>96.2481299895</v>
      </c>
      <c r="G567" s="38" t="n">
        <f aca="false">Sens!$E$567+Sens!$F$567</f>
        <v>160.438050638011</v>
      </c>
      <c r="H567" s="38" t="n">
        <f aca="false">Sens!$H$544*(Sens!$H$549+tk_fac*(1-colo_sh))/1000+Sens!$H$568</f>
        <v>198.57136494475</v>
      </c>
      <c r="I567" s="38" t="n">
        <f aca="false">Sens!$I$544*(Sens!$I$549+tk_fac*(1-colo_sh))/1000+Sens!$I$568</f>
        <v>204.6464699105</v>
      </c>
      <c r="J567" s="38" t="n">
        <f aca="false">Sens!$J$544*(Sens!$J$549+tk_fac*(1-colo_sh))/1000+Sens!$J$568</f>
        <v>209.8832381105</v>
      </c>
      <c r="K567" s="38" t="n">
        <f aca="false">Sens!$K$544*(Sens!$K$549+tk_fac*(1-colo_sh))/1000+Sens!$K$568</f>
        <v>215.1200063105</v>
      </c>
      <c r="L567" s="38" t="n">
        <f aca="false">Sens!$L$544*(Sens!$L$549+tk_fac*(1-colo_sh))/1000+Sens!$L$568</f>
        <v>251.7773837105</v>
      </c>
      <c r="M567" s="38" t="n">
        <f aca="false">Sens!$M$544*(Sens!$M$549+tk_fac*(1-colo_sh))/1000+Sens!$M$568</f>
        <v>311.87584476575</v>
      </c>
      <c r="P567" s="5" t="s">
        <v>587</v>
      </c>
      <c r="R567" s="38" t="n">
        <f aca="false">Q!$C$46-cx_rt*Q!$C$16-cx_awso*(Q!$C$7-mw_ye23/2*rpm_open/1000)</f>
        <v>1.50429979529945</v>
      </c>
      <c r="S567" s="38" t="n">
        <f aca="false">Sens!$C$567</f>
        <v>25.2781053077374</v>
      </c>
      <c r="T567" s="38" t="n">
        <f aca="false">Sens!$D$567</f>
        <v>69.5686316310026</v>
      </c>
      <c r="U567" s="38" t="n">
        <f aca="false">Sens!$G$567</f>
        <v>160.438050638011</v>
      </c>
      <c r="V567" s="38" t="n">
        <f aca="false">Sens!$H$567</f>
        <v>198.57136494475</v>
      </c>
      <c r="W567" s="38" t="n">
        <f aca="false">Sens!$I$567</f>
        <v>204.6464699105</v>
      </c>
      <c r="X567" s="38" t="n">
        <f aca="false">Sens!$J$567</f>
        <v>209.8832381105</v>
      </c>
      <c r="Y567" s="38" t="n">
        <f aca="false">Sens!$K$567</f>
        <v>215.1200063105</v>
      </c>
      <c r="Z567" s="38" t="n">
        <f aca="false">Sens!$L$567</f>
        <v>251.7773837105</v>
      </c>
      <c r="AA567" s="38" t="n">
        <f aca="false">Sens!$M$567</f>
        <v>311.87584476575</v>
      </c>
    </row>
    <row r="568" customFormat="false" ht="17.15" hidden="false" customHeight="false" outlineLevel="0" collapsed="false">
      <c r="A568" s="0" t="s">
        <v>588</v>
      </c>
      <c r="B568" s="0" t="s">
        <v>73</v>
      </c>
      <c r="H568" s="38" t="n">
        <f aca="false">SUMPRODUCT(--(Sens!$R$538:$AA$538=2027-tk_life),Sens!$R$544:$AA$544)*Sens!$H$549/1000</f>
        <v>0</v>
      </c>
      <c r="I568" s="38" t="n">
        <f aca="false">SUMPRODUCT(--(Sens!$R$538:$AA$538=2028-tk_life),Sens!$R$544:$AA$544)*Sens!$I$549/1000</f>
        <v>0</v>
      </c>
      <c r="J568" s="38" t="n">
        <f aca="false">SUMPRODUCT(--(Sens!$R$538:$AA$538=2029-tk_life),Sens!$R$544:$AA$544)*Sens!$J$549/1000</f>
        <v>5.2367682</v>
      </c>
      <c r="K568" s="38" t="n">
        <f aca="false">SUMPRODUCT(--(Sens!$R$538:$AA$538=2030-tk_life),Sens!$R$544:$AA$544)*Sens!$K$549/1000</f>
        <v>10.4735364</v>
      </c>
      <c r="L568" s="38" t="n">
        <f aca="false">SUMPRODUCT(--(Sens!$R$538:$AA$538=2031-tk_life),Sens!$R$544:$AA$544)*Sens!$L$549/1000</f>
        <v>47.1309138</v>
      </c>
      <c r="M568" s="38" t="n">
        <f aca="false">SUMPRODUCT(--(Sens!$R$538:$AA$538=2032-tk_life),Sens!$R$544:$AA$544)*Sens!$M$549/1000</f>
        <v>107.22937485525</v>
      </c>
    </row>
    <row r="569" customFormat="false" ht="17.15" hidden="false" customHeight="false" outlineLevel="0" collapsed="false">
      <c r="A569" s="5" t="s">
        <v>589</v>
      </c>
      <c r="B569" s="0" t="s">
        <v>73</v>
      </c>
      <c r="C569" s="38" t="n">
        <f aca="false">Sens!$C$567*Sens!$C$566</f>
        <v>18.472138699801</v>
      </c>
      <c r="D569" s="38" t="n">
        <f aca="false">Sens!$D$567*Sens!$D$566</f>
        <v>50.8377268390402</v>
      </c>
      <c r="E569" s="38" t="n">
        <f aca="false">Sens!$E$567*Sens!$E$566</f>
        <v>48.8351995705653</v>
      </c>
      <c r="F569" s="38" t="n">
        <f aca="false">Sens!$F$567*Sens!$F$566</f>
        <v>73.2248394895</v>
      </c>
      <c r="G569" s="38" t="n">
        <f aca="false">Sens!$E$569+Sens!$F$569</f>
        <v>122.060039060065</v>
      </c>
      <c r="H569" s="38" t="n">
        <f aca="false">(Sens!$H$567-Sens!$H$568)*Sens!$H$566+Sens!$H$568</f>
        <v>152.52478394475</v>
      </c>
      <c r="I569" s="38" t="n">
        <f aca="false">(Sens!$I$567-Sens!$I$568)*Sens!$I$566+Sens!$I$568</f>
        <v>158.5998889105</v>
      </c>
      <c r="J569" s="38" t="n">
        <f aca="false">(Sens!$J$567-Sens!$J$568)*Sens!$J$566+Sens!$J$568</f>
        <v>163.8366571105</v>
      </c>
      <c r="K569" s="38" t="n">
        <f aca="false">(Sens!$K$567-Sens!$K$568)*Sens!$K$566+Sens!$K$568</f>
        <v>169.0734253105</v>
      </c>
      <c r="L569" s="38" t="n">
        <f aca="false">(Sens!$L$567-Sens!$L$568)*Sens!$L$566+Sens!$L$568</f>
        <v>205.7308027105</v>
      </c>
      <c r="M569" s="38" t="n">
        <f aca="false">(Sens!$M$567-Sens!$M$568)*Sens!$M$566+Sens!$M$568</f>
        <v>265.82926376575</v>
      </c>
      <c r="R569" s="38" t="n">
        <f aca="false">Sens!$R$567*Sens!$C$566</f>
        <v>1.09927679019314</v>
      </c>
      <c r="S569" s="38" t="n">
        <f aca="false">Sens!$C$569</f>
        <v>18.472138699801</v>
      </c>
      <c r="T569" s="38" t="n">
        <f aca="false">Sens!$D$569</f>
        <v>50.8377268390402</v>
      </c>
      <c r="U569" s="38" t="n">
        <f aca="false">Sens!$G$569</f>
        <v>122.060039060065</v>
      </c>
      <c r="V569" s="38" t="n">
        <f aca="false">Sens!$H$569</f>
        <v>152.52478394475</v>
      </c>
      <c r="W569" s="38" t="n">
        <f aca="false">Sens!$I$569</f>
        <v>158.5998889105</v>
      </c>
      <c r="X569" s="38" t="n">
        <f aca="false">Sens!$J$569</f>
        <v>163.8366571105</v>
      </c>
      <c r="Y569" s="38" t="n">
        <f aca="false">Sens!$K$569</f>
        <v>169.0734253105</v>
      </c>
      <c r="Z569" s="38" t="n">
        <f aca="false">Sens!$L$569</f>
        <v>205.7308027105</v>
      </c>
      <c r="AA569" s="38" t="n">
        <f aca="false">Sens!$M$569</f>
        <v>265.82926376575</v>
      </c>
    </row>
    <row r="570" customFormat="false" ht="15" hidden="false" customHeight="false" outlineLevel="0" collapsed="false">
      <c r="A570" s="5" t="s">
        <v>590</v>
      </c>
      <c r="B570" s="0" t="s">
        <v>73</v>
      </c>
      <c r="R570" s="38" t="n">
        <f aca="false">Sens!$R$567-Sens!$R$569</f>
        <v>0.405023005106309</v>
      </c>
      <c r="S570" s="38" t="n">
        <f aca="false">Sens!$S$567-Sens!$S$569</f>
        <v>6.80596660793636</v>
      </c>
      <c r="T570" s="38" t="n">
        <f aca="false">Sens!$T$567-Sens!$T$569</f>
        <v>18.7309047919624</v>
      </c>
      <c r="U570" s="38" t="n">
        <f aca="false">Sens!$U$567-Sens!$U$569</f>
        <v>38.3780115779455</v>
      </c>
      <c r="V570" s="38" t="n">
        <f aca="false">Sens!$V$567-Sens!$V$569</f>
        <v>46.046581</v>
      </c>
      <c r="W570" s="38" t="n">
        <f aca="false">Sens!$W$567-Sens!$W$569</f>
        <v>46.046581</v>
      </c>
      <c r="X570" s="38" t="n">
        <f aca="false">Sens!$X$567-Sens!$X$569</f>
        <v>46.046581</v>
      </c>
      <c r="Y570" s="38" t="n">
        <f aca="false">Sens!$Y$567-Sens!$Y$569</f>
        <v>46.046581</v>
      </c>
      <c r="Z570" s="38" t="n">
        <f aca="false">Sens!$Z$567-Sens!$Z$569</f>
        <v>46.046581</v>
      </c>
      <c r="AA570" s="38" t="n">
        <f aca="false">Sens!$AA$567-Sens!$AA$569</f>
        <v>46.046581</v>
      </c>
    </row>
    <row r="571" customFormat="false" ht="17.15" hidden="false" customHeight="false" outlineLevel="0" collapsed="false">
      <c r="A571" s="0" t="s">
        <v>591</v>
      </c>
      <c r="B571" s="0" t="s">
        <v>73</v>
      </c>
      <c r="C571" s="38" t="n">
        <f aca="false">Sens!$S$571</f>
        <v>0.183212798365523</v>
      </c>
      <c r="D571" s="38" t="n">
        <f aca="false">Sens!$T$571</f>
        <v>3.2619025816657</v>
      </c>
      <c r="E571" s="38" t="n">
        <f aca="false">Sens!$G$571/2</f>
        <v>5.86742852741953</v>
      </c>
      <c r="F571" s="38" t="n">
        <f aca="false">Sens!$G$571/2</f>
        <v>5.86742852741953</v>
      </c>
      <c r="G571" s="38" t="n">
        <f aca="false">Sens!$U$571</f>
        <v>11.7348570548391</v>
      </c>
      <c r="H571" s="38" t="n">
        <f aca="false">Sens!$V$571</f>
        <v>32.0781968981833</v>
      </c>
      <c r="I571" s="38" t="n">
        <f aca="false">Sens!$W$571</f>
        <v>57.4989942223083</v>
      </c>
      <c r="J571" s="38" t="n">
        <f aca="false">Sens!$X$571</f>
        <v>83.932309040725</v>
      </c>
      <c r="K571" s="38" t="n">
        <f aca="false">Sens!$Y$571</f>
        <v>111.055205760776</v>
      </c>
      <c r="L571" s="38" t="n">
        <f aca="false">Sens!$Z$571</f>
        <v>136.155420195893</v>
      </c>
      <c r="M571" s="38" t="n">
        <f aca="false">Sens!$AA$571</f>
        <v>161.970932841136</v>
      </c>
      <c r="N571" s="38" t="n">
        <f aca="false">Sens!$D$571/2</f>
        <v>1.63095129083285</v>
      </c>
      <c r="O571" s="38" t="n">
        <f aca="false">Sens!$D$571/2</f>
        <v>1.63095129083285</v>
      </c>
      <c r="R571" s="38" t="n">
        <f aca="false">SUMPRODUCT(--(Sens!$R$538:$AA$538&lt;Sens!R$538),--(Sens!$R$538:$AA$538&gt;=Sens!R$538-tk_life),Sens!$R$569:$AA$569)/tk_life</f>
        <v>0</v>
      </c>
      <c r="S571" s="38" t="n">
        <f aca="false">SUMPRODUCT(--(Sens!$R$538:$AA$538&lt;Sens!S$538),--(Sens!$R$538:$AA$538&gt;=Sens!S$538-tk_life),Sens!$R$569:$AA$569)/tk_life</f>
        <v>0.183212798365523</v>
      </c>
      <c r="T571" s="38" t="n">
        <f aca="false">SUMPRODUCT(--(Sens!$R$538:$AA$538&lt;Sens!T$538),--(Sens!$R$538:$AA$538&gt;=Sens!T$538-tk_life),Sens!$R$569:$AA$569)/tk_life</f>
        <v>3.2619025816657</v>
      </c>
      <c r="U571" s="38" t="n">
        <f aca="false">SUMPRODUCT(--(Sens!$R$538:$AA$538&lt;Sens!U$538),--(Sens!$R$538:$AA$538&gt;=Sens!U$538-tk_life),Sens!$R$569:$AA$569)/tk_life</f>
        <v>11.7348570548391</v>
      </c>
      <c r="V571" s="38" t="n">
        <f aca="false">SUMPRODUCT(--(Sens!$R$538:$AA$538&lt;Sens!V$538),--(Sens!$R$538:$AA$538&gt;=Sens!V$538-tk_life),Sens!$R$569:$AA$569)/tk_life</f>
        <v>32.0781968981833</v>
      </c>
      <c r="W571" s="38" t="n">
        <f aca="false">SUMPRODUCT(--(Sens!$R$538:$AA$538&lt;Sens!W$538),--(Sens!$R$538:$AA$538&gt;=Sens!W$538-tk_life),Sens!$R$569:$AA$569)/tk_life</f>
        <v>57.4989942223083</v>
      </c>
      <c r="X571" s="38" t="n">
        <f aca="false">SUMPRODUCT(--(Sens!$R$538:$AA$538&lt;Sens!X$538),--(Sens!$R$538:$AA$538&gt;=Sens!X$538-tk_life),Sens!$R$569:$AA$569)/tk_life</f>
        <v>83.932309040725</v>
      </c>
      <c r="Y571" s="38" t="n">
        <f aca="false">SUMPRODUCT(--(Sens!$R$538:$AA$538&lt;Sens!Y$538),--(Sens!$R$538:$AA$538&gt;=Sens!Y$538-tk_life),Sens!$R$569:$AA$569)/tk_life</f>
        <v>111.055205760776</v>
      </c>
      <c r="Z571" s="38" t="n">
        <f aca="false">SUMPRODUCT(--(Sens!$R$538:$AA$538&lt;Sens!Z$538),--(Sens!$R$538:$AA$538&gt;=Sens!Z$538-tk_life),Sens!$R$569:$AA$569)/tk_life</f>
        <v>136.155420195893</v>
      </c>
      <c r="AA571" s="38" t="n">
        <f aca="false">SUMPRODUCT(--(Sens!$R$538:$AA$538&lt;Sens!AA$538),--(Sens!$R$538:$AA$538&gt;=Sens!AA$538-tk_life),Sens!$R$569:$AA$569)/tk_life</f>
        <v>161.970932841136</v>
      </c>
    </row>
    <row r="572" customFormat="false" ht="17.15" hidden="false" customHeight="false" outlineLevel="0" collapsed="false">
      <c r="A572" s="0" t="s">
        <v>592</v>
      </c>
      <c r="B572" s="0" t="s">
        <v>73</v>
      </c>
      <c r="C572" s="38" t="n">
        <f aca="false">Sens!$S$572</f>
        <v>0.0202511502553155</v>
      </c>
      <c r="D572" s="38" t="n">
        <f aca="false">Sens!$T$572</f>
        <v>0.360549480652134</v>
      </c>
      <c r="E572" s="38" t="n">
        <f aca="false">Sens!$G$572/2</f>
        <v>0.648547360125127</v>
      </c>
      <c r="F572" s="38" t="n">
        <f aca="false">Sens!$G$572/2</f>
        <v>0.648547360125127</v>
      </c>
      <c r="G572" s="38" t="n">
        <f aca="false">Sens!$U$572</f>
        <v>1.29709472025025</v>
      </c>
      <c r="H572" s="38" t="n">
        <f aca="false">Sens!$V$572</f>
        <v>3.21599529914753</v>
      </c>
      <c r="I572" s="38" t="n">
        <f aca="false">Sens!$W$572</f>
        <v>5.51832434914753</v>
      </c>
      <c r="J572" s="38" t="n">
        <f aca="false">Sens!$X$572</f>
        <v>7.82065339914753</v>
      </c>
      <c r="K572" s="38" t="n">
        <f aca="false">Sens!$Y$572</f>
        <v>10.1229824491475</v>
      </c>
      <c r="L572" s="38" t="n">
        <f aca="false">Sens!$Z$572</f>
        <v>12.4253114991475</v>
      </c>
      <c r="M572" s="38" t="n">
        <f aca="false">Sens!$AA$572</f>
        <v>14.7276405491475</v>
      </c>
      <c r="N572" s="38" t="n">
        <f aca="false">Sens!$D$572/2</f>
        <v>0.180274740326067</v>
      </c>
      <c r="O572" s="38" t="n">
        <f aca="false">Sens!$D$572/2</f>
        <v>0.180274740326067</v>
      </c>
      <c r="R572" s="38" t="n">
        <f aca="false">SUMPRODUCT(--(Sens!$R$538:$AA$538&lt;Sens!R$538),Sens!$R$570:$AA$570)/fac_life</f>
        <v>0</v>
      </c>
      <c r="S572" s="38" t="n">
        <f aca="false">SUMPRODUCT(--(Sens!$R$538:$AA$538&lt;Sens!S$538),Sens!$R$570:$AA$570)/fac_life</f>
        <v>0.0202511502553155</v>
      </c>
      <c r="T572" s="38" t="n">
        <f aca="false">SUMPRODUCT(--(Sens!$R$538:$AA$538&lt;Sens!T$538),Sens!$R$570:$AA$570)/fac_life</f>
        <v>0.360549480652134</v>
      </c>
      <c r="U572" s="38" t="n">
        <f aca="false">SUMPRODUCT(--(Sens!$R$538:$AA$538&lt;Sens!U$538),Sens!$R$570:$AA$570)/fac_life</f>
        <v>1.29709472025025</v>
      </c>
      <c r="V572" s="38" t="n">
        <f aca="false">SUMPRODUCT(--(Sens!$R$538:$AA$538&lt;Sens!V$538),Sens!$R$570:$AA$570)/fac_life</f>
        <v>3.21599529914753</v>
      </c>
      <c r="W572" s="38" t="n">
        <f aca="false">SUMPRODUCT(--(Sens!$R$538:$AA$538&lt;Sens!W$538),Sens!$R$570:$AA$570)/fac_life</f>
        <v>5.51832434914753</v>
      </c>
      <c r="X572" s="38" t="n">
        <f aca="false">SUMPRODUCT(--(Sens!$R$538:$AA$538&lt;Sens!X$538),Sens!$R$570:$AA$570)/fac_life</f>
        <v>7.82065339914753</v>
      </c>
      <c r="Y572" s="38" t="n">
        <f aca="false">SUMPRODUCT(--(Sens!$R$538:$AA$538&lt;Sens!Y$538),Sens!$R$570:$AA$570)/fac_life</f>
        <v>10.1229824491475</v>
      </c>
      <c r="Z572" s="38" t="n">
        <f aca="false">SUMPRODUCT(--(Sens!$R$538:$AA$538&lt;Sens!Z$538),Sens!$R$570:$AA$570)/fac_life</f>
        <v>12.4253114991475</v>
      </c>
      <c r="AA572" s="38" t="n">
        <f aca="false">SUMPRODUCT(--(Sens!$R$538:$AA$538&lt;Sens!AA$538),Sens!$R$570:$AA$570)/fac_life</f>
        <v>14.7276405491475</v>
      </c>
    </row>
    <row r="573" customFormat="false" ht="17.15" hidden="false" customHeight="false" outlineLevel="0" collapsed="false">
      <c r="A573" s="1" t="s">
        <v>593</v>
      </c>
      <c r="B573" s="8" t="s">
        <v>73</v>
      </c>
      <c r="C573" s="38" t="n">
        <f aca="false">Sens!$C$571+Sens!$C$572</f>
        <v>0.203463948620839</v>
      </c>
      <c r="D573" s="38" t="n">
        <f aca="false">Sens!$D$571+Sens!$D$572</f>
        <v>3.62245206231783</v>
      </c>
      <c r="E573" s="38" t="n">
        <f aca="false">Sens!$E$571+Sens!$E$572</f>
        <v>6.51597588754466</v>
      </c>
      <c r="F573" s="38" t="n">
        <f aca="false">Sens!$F$571+Sens!$F$572</f>
        <v>6.51597588754466</v>
      </c>
      <c r="G573" s="38" t="n">
        <f aca="false">Sens!$G$571+Sens!$G$572</f>
        <v>13.0319517750893</v>
      </c>
      <c r="H573" s="38" t="n">
        <f aca="false">Sens!$H$571+Sens!$H$572</f>
        <v>35.2941921973308</v>
      </c>
      <c r="I573" s="38" t="n">
        <f aca="false">Sens!$I$571+Sens!$I$572</f>
        <v>63.0173185714558</v>
      </c>
      <c r="J573" s="38" t="n">
        <f aca="false">Sens!$J$571+Sens!$J$572</f>
        <v>91.7529624398725</v>
      </c>
      <c r="K573" s="38" t="n">
        <f aca="false">Sens!$K$571+Sens!$K$572</f>
        <v>121.178188209924</v>
      </c>
      <c r="L573" s="38" t="n">
        <f aca="false">Sens!$L$571+Sens!$L$572</f>
        <v>148.58073169504</v>
      </c>
      <c r="M573" s="38" t="n">
        <f aca="false">Sens!$M$571+Sens!$M$572</f>
        <v>176.698573390283</v>
      </c>
      <c r="N573" s="38" t="n">
        <f aca="false">Sens!$N$571+Sens!$N$572</f>
        <v>1.81122603115892</v>
      </c>
      <c r="O573" s="38" t="n">
        <f aca="false">Sens!$O$571+Sens!$O$572</f>
        <v>1.81122603115892</v>
      </c>
      <c r="R573" s="38" t="n">
        <f aca="false">Sens!$R$571+Sens!$R$572</f>
        <v>0</v>
      </c>
      <c r="S573" s="38" t="n">
        <f aca="false">Sens!$S$571+Sens!$S$572</f>
        <v>0.203463948620839</v>
      </c>
      <c r="T573" s="38" t="n">
        <f aca="false">Sens!$T$571+Sens!$T$572</f>
        <v>3.62245206231783</v>
      </c>
      <c r="U573" s="38" t="n">
        <f aca="false">Sens!$U$571+Sens!$U$572</f>
        <v>13.0319517750893</v>
      </c>
      <c r="V573" s="38" t="n">
        <f aca="false">Sens!$V$571+Sens!$V$572</f>
        <v>35.2941921973308</v>
      </c>
      <c r="W573" s="38" t="n">
        <f aca="false">Sens!$W$571+Sens!$W$572</f>
        <v>63.0173185714558</v>
      </c>
      <c r="X573" s="38" t="n">
        <f aca="false">Sens!$X$571+Sens!$X$572</f>
        <v>91.7529624398725</v>
      </c>
      <c r="Y573" s="38" t="n">
        <f aca="false">Sens!$Y$571+Sens!$Y$572</f>
        <v>121.178188209924</v>
      </c>
      <c r="Z573" s="38" t="n">
        <f aca="false">Sens!$Z$571+Sens!$Z$572</f>
        <v>148.58073169504</v>
      </c>
      <c r="AA573" s="38" t="n">
        <f aca="false">Sens!$AA$571+Sens!$AA$572</f>
        <v>176.698573390283</v>
      </c>
    </row>
    <row r="574" customFormat="false" ht="17.15" hidden="false" customHeight="false" outlineLevel="0" collapsed="false">
      <c r="A574" s="0" t="s">
        <v>594</v>
      </c>
      <c r="B574" s="0" t="s">
        <v>73</v>
      </c>
      <c r="C574" s="38" t="n">
        <f aca="false">Sens!$S$574</f>
        <v>26.578941154416</v>
      </c>
      <c r="D574" s="38" t="n">
        <f aca="false">Sens!$T$574</f>
        <v>92.5251207231008</v>
      </c>
      <c r="G574" s="38" t="n">
        <f aca="false">Sens!$U$574</f>
        <v>239.931219586022</v>
      </c>
      <c r="H574" s="38" t="n">
        <f aca="false">Sens!$V$574</f>
        <v>403.208392333442</v>
      </c>
      <c r="I574" s="38" t="n">
        <f aca="false">Sens!$W$574</f>
        <v>544.837543672486</v>
      </c>
      <c r="J574" s="38" t="n">
        <f aca="false">Sens!$X$574</f>
        <v>662.967819343113</v>
      </c>
      <c r="K574" s="38" t="n">
        <f aca="false">Sens!$Y$574</f>
        <v>756.90963744369</v>
      </c>
      <c r="L574" s="38" t="n">
        <f aca="false">Sens!$Z$574</f>
        <v>860.10628945915</v>
      </c>
      <c r="M574" s="38" t="n">
        <f aca="false">Sens!$AA$574</f>
        <v>995.283560834616</v>
      </c>
      <c r="R574" s="38" t="n">
        <f aca="false">SUM(Sens!$R$567:$R$567)-SUM(Sens!$R$573:$R$573)</f>
        <v>1.50429979529945</v>
      </c>
      <c r="S574" s="38" t="n">
        <f aca="false">SUM(Sens!$R$567:$S$567)-SUM(Sens!$R$573:$S$573)</f>
        <v>26.578941154416</v>
      </c>
      <c r="T574" s="38" t="n">
        <f aca="false">SUM(Sens!$R$567:$T$567)-SUM(Sens!$R$573:$T$573)</f>
        <v>92.5251207231008</v>
      </c>
      <c r="U574" s="38" t="n">
        <f aca="false">SUM(Sens!$R$567:$U$567)-SUM(Sens!$R$573:$U$573)</f>
        <v>239.931219586022</v>
      </c>
      <c r="V574" s="38" t="n">
        <f aca="false">SUM(Sens!$R$567:$V$567)-SUM(Sens!$R$573:$V$573)</f>
        <v>403.208392333442</v>
      </c>
      <c r="W574" s="38" t="n">
        <f aca="false">SUM(Sens!$R$567:$W$567)-SUM(Sens!$R$573:$W$573)</f>
        <v>544.837543672486</v>
      </c>
      <c r="X574" s="38" t="n">
        <f aca="false">SUM(Sens!$R$567:$X$567)-SUM(Sens!$R$573:$X$573)</f>
        <v>662.967819343113</v>
      </c>
      <c r="Y574" s="38" t="n">
        <f aca="false">SUM(Sens!$R$567:$Y$567)-SUM(Sens!$R$573:$Y$573)</f>
        <v>756.90963744369</v>
      </c>
      <c r="Z574" s="38" t="n">
        <f aca="false">SUM(Sens!$R$567:$Z$567)-SUM(Sens!$R$573:$Z$573)</f>
        <v>860.10628945915</v>
      </c>
      <c r="AA574" s="38" t="n">
        <f aca="false">SUM(Sens!$R$567:$AA$567)-SUM(Sens!$R$573:$AA$573)</f>
        <v>995.283560834616</v>
      </c>
    </row>
    <row r="575" customFormat="false" ht="17.15" hidden="false" customHeight="false" outlineLevel="0" collapsed="false">
      <c r="A575" s="1" t="s">
        <v>595</v>
      </c>
    </row>
    <row r="576" customFormat="false" ht="17.15" hidden="false" customHeight="false" outlineLevel="0" collapsed="false">
      <c r="A576" s="0" t="s">
        <v>596</v>
      </c>
      <c r="B576" s="0" t="s">
        <v>73</v>
      </c>
      <c r="C576" s="38" t="n">
        <f aca="false">Sens!$C$558-ext_sh*Sens!$C$560</f>
        <v>1.80694998843362</v>
      </c>
      <c r="D576" s="38" t="n">
        <f aca="false">Sens!$D$558-ext_sh*Sens!$D$560</f>
        <v>6.77606245662607</v>
      </c>
      <c r="E576" s="38" t="n">
        <f aca="false">Sens!$E$558-ext_sh*Sens!$E$560</f>
        <v>6.62548329092326</v>
      </c>
      <c r="F576" s="38" t="n">
        <f aca="false">Sens!$F$558-ext_sh*Sens!$F$560</f>
        <v>14.3233275606891</v>
      </c>
      <c r="G576" s="38" t="n">
        <f aca="false">Sens!$G$558-ext_sh*Sens!$G$560</f>
        <v>20.9488108516123</v>
      </c>
      <c r="H576" s="38" t="n">
        <f aca="false">Sens!$H$558-ext_sh*Sens!$H$560</f>
        <v>68.7702777464201</v>
      </c>
      <c r="I576" s="38" t="n">
        <f aca="false">Sens!$I$558-ext_sh*Sens!$I$560</f>
        <v>123.743293396039</v>
      </c>
      <c r="J576" s="38" t="n">
        <f aca="false">Sens!$J$558-ext_sh*Sens!$J$560</f>
        <v>178.982447779414</v>
      </c>
      <c r="K576" s="38" t="n">
        <f aca="false">Sens!$K$558-ext_sh*Sens!$K$560</f>
        <v>234.310315074041</v>
      </c>
      <c r="L576" s="38" t="n">
        <f aca="false">Sens!$L$558-ext_sh*Sens!$L$560</f>
        <v>289.678506419237</v>
      </c>
      <c r="M576" s="38" t="n">
        <f aca="false">Sens!$M$558-ext_sh*Sens!$M$560</f>
        <v>345.06841071474</v>
      </c>
      <c r="N576" s="38" t="n">
        <f aca="false">Sens!$N$558-ext_sh*Sens!$N$560</f>
        <v>2.37162185981912</v>
      </c>
      <c r="O576" s="38" t="n">
        <f aca="false">Sens!$O$558-ext_sh*Sens!$O$560</f>
        <v>4.40444059680694</v>
      </c>
    </row>
    <row r="577" customFormat="false" ht="17.15" hidden="false" customHeight="false" outlineLevel="0" collapsed="false">
      <c r="A577" s="1" t="s">
        <v>597</v>
      </c>
      <c r="B577" s="8" t="s">
        <v>73</v>
      </c>
      <c r="C577" s="38" t="n">
        <f aca="false">Sens!$C$576-ext_sh*Sens!$C$573</f>
        <v>1.64417882953695</v>
      </c>
      <c r="D577" s="38" t="n">
        <f aca="false">Sens!$D$576-ext_sh*Sens!$D$573</f>
        <v>3.8781008067718</v>
      </c>
      <c r="E577" s="38" t="n">
        <f aca="false">Sens!$E$576-ext_sh*Sens!$E$573</f>
        <v>1.41270258088753</v>
      </c>
      <c r="F577" s="38" t="n">
        <f aca="false">Sens!$F$576-ext_sh*Sens!$F$573</f>
        <v>9.11054685065335</v>
      </c>
      <c r="G577" s="38" t="n">
        <f aca="false">Sens!$G$576-ext_sh*Sens!$G$573</f>
        <v>10.5232494315409</v>
      </c>
      <c r="H577" s="38" t="n">
        <f aca="false">Sens!$H$576-ext_sh*Sens!$H$573</f>
        <v>40.5349239885555</v>
      </c>
      <c r="I577" s="38" t="n">
        <f aca="false">Sens!$I$576-ext_sh*Sens!$I$573</f>
        <v>73.3294385388747</v>
      </c>
      <c r="J577" s="38" t="n">
        <f aca="false">Sens!$J$576-ext_sh*Sens!$J$573</f>
        <v>105.580077827516</v>
      </c>
      <c r="K577" s="38" t="n">
        <f aca="false">Sens!$K$576-ext_sh*Sens!$K$573</f>
        <v>137.367764506102</v>
      </c>
      <c r="L577" s="38" t="n">
        <f aca="false">Sens!$L$576-ext_sh*Sens!$L$573</f>
        <v>170.813921063205</v>
      </c>
      <c r="M577" s="38" t="n">
        <f aca="false">Sens!$M$576-ext_sh*Sens!$M$573</f>
        <v>203.709552002513</v>
      </c>
      <c r="N577" s="38" t="n">
        <f aca="false">Sens!$N$576-ext_sh*Sens!$N$573</f>
        <v>0.92264103489199</v>
      </c>
      <c r="O577" s="38" t="n">
        <f aca="false">Sens!$O$576-ext_sh*Sens!$O$573</f>
        <v>2.95545977187981</v>
      </c>
    </row>
    <row r="578" customFormat="false" ht="17.15" hidden="false" customHeight="false" outlineLevel="0" collapsed="false">
      <c r="A578" s="0" t="s">
        <v>598</v>
      </c>
      <c r="B578" s="0" t="s">
        <v>52</v>
      </c>
      <c r="C578" s="12" t="n">
        <f aca="false">Sens!$C$577/Sens!$C$558</f>
        <v>0.708390794789371</v>
      </c>
      <c r="D578" s="12" t="n">
        <f aca="false">Sens!$D$577/Sens!$D$558</f>
        <v>0.445565630441968</v>
      </c>
      <c r="E578" s="12" t="n">
        <f aca="false">Sens!$E$577/Sens!$E$558</f>
        <v>0.165998118402711</v>
      </c>
      <c r="F578" s="12" t="n">
        <f aca="false">Sens!$F$577/Sens!$F$558</f>
        <v>0.51862586831267</v>
      </c>
      <c r="G578" s="12" t="n">
        <f aca="false">Sens!$G$577/Sens!$G$558</f>
        <v>0.40354437417509</v>
      </c>
      <c r="H578" s="12" t="n">
        <f aca="false">Sens!$H$577/Sens!$H$558</f>
        <v>0.497855857778335</v>
      </c>
      <c r="I578" s="12" t="n">
        <f aca="false">Sens!$I$577/Sens!$I$558</f>
        <v>0.506793187968718</v>
      </c>
      <c r="J578" s="12" t="n">
        <f aca="false">Sens!$J$577/Sens!$J$558</f>
        <v>0.506990727488046</v>
      </c>
      <c r="K578" s="12" t="n">
        <f aca="false">Sens!$K$577/Sens!$K$558</f>
        <v>0.505218221912611</v>
      </c>
      <c r="L578" s="12" t="n">
        <f aca="false">Sens!$L$577/Sens!$L$558</f>
        <v>0.508996049915232</v>
      </c>
      <c r="M578" s="12" t="n">
        <f aca="false">Sens!$M$577/Sens!$M$558</f>
        <v>0.510160495208396</v>
      </c>
      <c r="N578" s="12" t="n">
        <f aca="false">Sens!$N$577/Sens!$N$558</f>
        <v>0.302870734830849</v>
      </c>
      <c r="O578" s="12" t="n">
        <f aca="false">Sens!$O$577/Sens!$O$558</f>
        <v>0.52240134346334</v>
      </c>
    </row>
    <row r="579" customFormat="false" ht="17.15" hidden="false" customHeight="false" outlineLevel="0" collapsed="false">
      <c r="A579" s="5" t="s">
        <v>599</v>
      </c>
      <c r="B579" s="0" t="s">
        <v>73</v>
      </c>
      <c r="C579" s="38" t="n">
        <f aca="false">rd2*(1-ext_sh)/ext_sh*Sens!$C$541*he_open*Sens!$C$542/1000</f>
        <v>0</v>
      </c>
      <c r="D579" s="38" t="n">
        <f aca="false">rd2*(1-ext_sh)/ext_sh*Sens!$D$541*he_open*Sens!$D$542/1000</f>
        <v>0</v>
      </c>
      <c r="E579" s="38" t="n">
        <f aca="false">rd2*(1-ext_sh)/ext_sh*Sens!$E$541*he_open*Sens!$E$542/1000</f>
        <v>0</v>
      </c>
      <c r="F579" s="38" t="n">
        <f aca="false">rd2*(1-ext_sh)/ext_sh*(mw_open*he_open+Sens!$F$556*Sens!$F$553)*Sens!$F$542/1000</f>
        <v>0</v>
      </c>
      <c r="G579" s="38" t="n">
        <f aca="false">Sens!$E$579+Sens!$F$579</f>
        <v>0</v>
      </c>
      <c r="H579" s="38" t="n">
        <f aca="false">rd2*(1-ext_sh)/ext_sh*(mw_open*he_open+Sens!$H$556*Sens!$H$553)*Sens!$H$542/1000</f>
        <v>0</v>
      </c>
      <c r="I579" s="38" t="n">
        <f aca="false">rd2*(1-ext_sh)/ext_sh*(mw_open*he_open+Sens!$I$556*Sens!$I$553)*Sens!$I$542/1000</f>
        <v>0</v>
      </c>
      <c r="J579" s="38" t="n">
        <f aca="false">rd2*(1-ext_sh)/ext_sh*(mw_open*he_open+Sens!$J$556*Sens!$J$553)*Sens!$J$542/1000</f>
        <v>0</v>
      </c>
      <c r="K579" s="38" t="n">
        <f aca="false">rd2*(1-ext_sh)/ext_sh*(mw_open*he_open+Sens!$K$556*Sens!$K$553)*Sens!$K$542/1000</f>
        <v>0</v>
      </c>
      <c r="L579" s="38" t="n">
        <f aca="false">rd2*(1-ext_sh)/ext_sh*(mw_open*he_open+Sens!$L$556*Sens!$L$553)*Sens!$L$542/1000</f>
        <v>0</v>
      </c>
      <c r="M579" s="38" t="n">
        <f aca="false">rd2*(1-ext_sh)/ext_sh*(mw_open*he_open+Sens!$M$556*Sens!$M$553)*Sens!$M$542/1000</f>
        <v>0</v>
      </c>
      <c r="N579" s="38" t="n">
        <f aca="false">rd2*(1-ext_sh)/ext_sh*Sens!$N$541*he_open*Sens!$N$542/1000</f>
        <v>0</v>
      </c>
      <c r="O579" s="38" t="n">
        <f aca="false">rd2*(1-ext_sh)/ext_sh*Sens!$O$541*he_open*Sens!$O$542/1000</f>
        <v>0</v>
      </c>
      <c r="P579" s="8" t="s">
        <v>600</v>
      </c>
    </row>
    <row r="580" customFormat="false" ht="17.15" hidden="false" customHeight="false" outlineLevel="0" collapsed="false">
      <c r="A580" s="5" t="s">
        <v>601</v>
      </c>
      <c r="B580" s="0" t="s">
        <v>73</v>
      </c>
      <c r="C580" s="38" t="n">
        <f aca="false">(1-ext_sh)*(Sens!$C$560+Sens!$C$573)-Sens!$C$579</f>
        <v>0.169206631859174</v>
      </c>
      <c r="D580" s="38" t="n">
        <f aca="false">(1-ext_sh)*(Sens!$D$560+Sens!$D$573)-Sens!$D$579</f>
        <v>1.20641732046984</v>
      </c>
      <c r="E580" s="38" t="n">
        <f aca="false">(1-ext_sh)*(Sens!$E$560+Sens!$E$573)-Sens!$E$579</f>
        <v>1.77441259867062</v>
      </c>
      <c r="F580" s="38" t="n">
        <f aca="false">(1-ext_sh)*(Sens!$F$560+Sens!$F$573)-Sens!$F$579</f>
        <v>2.1140391597214</v>
      </c>
      <c r="G580" s="38" t="n">
        <f aca="false">(1-ext_sh)*(Sens!$G$560+Sens!$G$573)-Sens!$G$579</f>
        <v>3.88845175839202</v>
      </c>
      <c r="H580" s="38" t="n">
        <f aca="false">(1-ext_sh)*(Sens!$H$560+Sens!$H$573)-Sens!$H$579</f>
        <v>10.2210179503985</v>
      </c>
      <c r="I580" s="38" t="n">
        <f aca="false">(1-ext_sh)*(Sens!$I$560+Sens!$I$573)-Sens!$I$579</f>
        <v>17.8408961823075</v>
      </c>
      <c r="J580" s="38" t="n">
        <f aca="false">(1-ext_sh)*(Sens!$J$560+Sens!$J$573)-Sens!$J$579</f>
        <v>25.6671150670732</v>
      </c>
      <c r="K580" s="38" t="n">
        <f aca="false">(1-ext_sh)*(Sens!$K$560+Sens!$K$573)-Sens!$K$579</f>
        <v>33.6325293834986</v>
      </c>
      <c r="L580" s="38" t="n">
        <f aca="false">(1-ext_sh)*(Sens!$L$560+Sens!$L$573)-Sens!$L$579</f>
        <v>41.1939886299065</v>
      </c>
      <c r="M580" s="38" t="n">
        <f aca="false">(1-ext_sh)*(Sens!$M$560+Sens!$M$573)-Sens!$M$579</f>
        <v>48.8988205728617</v>
      </c>
      <c r="N580" s="38" t="n">
        <f aca="false">(1-ext_sh)*(Sens!$N$560+Sens!$N$573)-Sens!$N$579</f>
        <v>0.530919624033979</v>
      </c>
      <c r="O580" s="38" t="n">
        <f aca="false">(1-ext_sh)*(Sens!$O$560+Sens!$O$573)-Sens!$O$579</f>
        <v>0.675497696435861</v>
      </c>
    </row>
    <row r="581" customFormat="false" ht="17.15" hidden="false" customHeight="false" outlineLevel="0" collapsed="false">
      <c r="A581" s="0" t="s">
        <v>602</v>
      </c>
      <c r="B581" s="0" t="s">
        <v>73</v>
      </c>
      <c r="C581" s="38" t="n">
        <f aca="false">Q!$D$24</f>
        <v>39.834</v>
      </c>
      <c r="D581" s="38" t="n">
        <f aca="false">Q!$E$24</f>
        <v>45.606</v>
      </c>
      <c r="E581" s="38" t="n">
        <f aca="false">Q!$P$24</f>
        <v>30.782</v>
      </c>
      <c r="N581" s="38" t="n">
        <f aca="false">Q!$N$24</f>
        <v>21.707</v>
      </c>
      <c r="O581" s="38" t="n">
        <f aca="false">Q!$O$24</f>
        <v>23.899</v>
      </c>
    </row>
    <row r="582" customFormat="false" ht="17.15" hidden="false" customHeight="false" outlineLevel="0" collapsed="false">
      <c r="A582" s="0" t="s">
        <v>603</v>
      </c>
      <c r="B582" s="0" t="s">
        <v>73</v>
      </c>
      <c r="C582" s="38" t="n">
        <f aca="false">Sens!$C$581-Sens!$C$577</f>
        <v>38.1898211704631</v>
      </c>
      <c r="D582" s="38" t="n">
        <f aca="false">Sens!$D$581-Sens!$D$577</f>
        <v>41.7278991932282</v>
      </c>
      <c r="E582" s="38" t="n">
        <f aca="false">Sens!$E$581-Sens!$E$577</f>
        <v>29.3692974191125</v>
      </c>
      <c r="F582" s="38" t="n">
        <f aca="false">Sens!$F$562*Sens!$F$583</f>
        <v>29.458060516894</v>
      </c>
      <c r="G582" s="38" t="n">
        <f aca="false">Sens!$E$582+Sens!$F$582</f>
        <v>58.8273579360065</v>
      </c>
      <c r="H582" s="38" t="n">
        <f aca="false">Sens!$H$562*Sens!$H$583</f>
        <v>67.8004040185081</v>
      </c>
      <c r="I582" s="38" t="n">
        <f aca="false">Sens!$I$562*Sens!$I$583</f>
        <v>78.9527630302702</v>
      </c>
      <c r="J582" s="38" t="n">
        <f aca="false">Sens!$J$562*Sens!$J$583</f>
        <v>88.6042681781841</v>
      </c>
      <c r="K582" s="38" t="n">
        <f aca="false">Sens!$K$562*Sens!$K$583</f>
        <v>95.6926096324389</v>
      </c>
      <c r="L582" s="38" t="n">
        <f aca="false">Sens!$L$562*Sens!$L$583</f>
        <v>103.348018403034</v>
      </c>
      <c r="M582" s="38" t="n">
        <f aca="false">Sens!$M$562*Sens!$M$583</f>
        <v>111.615859875277</v>
      </c>
      <c r="N582" s="38" t="n">
        <f aca="false">Sens!$N$581-Sens!$N$577</f>
        <v>20.784358965108</v>
      </c>
      <c r="O582" s="38" t="n">
        <f aca="false">Sens!$O$581-Sens!$O$577</f>
        <v>20.9435402281202</v>
      </c>
      <c r="P582" s="5" t="s">
        <v>604</v>
      </c>
    </row>
    <row r="583" customFormat="false" ht="17.15" hidden="false" customHeight="false" outlineLevel="0" collapsed="false">
      <c r="A583" s="0" t="s">
        <v>605</v>
      </c>
      <c r="B583" s="0" t="s">
        <v>52</v>
      </c>
      <c r="C583" s="12" t="n">
        <f aca="false">Sens!$C$582/Sens!$C$562</f>
        <v>0.362900395443635</v>
      </c>
      <c r="D583" s="12" t="n">
        <f aca="false">Sens!$D$582/Sens!$D$562</f>
        <v>0.34767098474203</v>
      </c>
      <c r="E583" s="12" t="n">
        <f aca="false">Sens!$E$582/Sens!$E$562</f>
        <v>0.411861655558416</v>
      </c>
      <c r="F583" s="12" t="n">
        <f aca="false">(Sens!$O$582+Sens!$E$582)/(Sens!$O$562+Sens!$E$562)</f>
        <v>0.37480827803158</v>
      </c>
      <c r="G583" s="12" t="n">
        <f aca="false">Sens!$G$582/Sens!$G$562</f>
        <v>0.392434440489471</v>
      </c>
      <c r="H583" s="12" t="n">
        <f aca="false">Sens!$F$583</f>
        <v>0.37480827803158</v>
      </c>
      <c r="I583" s="12" t="n">
        <f aca="false">Sens!$F$583</f>
        <v>0.37480827803158</v>
      </c>
      <c r="J583" s="12" t="n">
        <f aca="false">Sens!$F$583</f>
        <v>0.37480827803158</v>
      </c>
      <c r="K583" s="12" t="n">
        <f aca="false">Sens!$F$583</f>
        <v>0.37480827803158</v>
      </c>
      <c r="L583" s="12" t="n">
        <f aca="false">Sens!$F$583</f>
        <v>0.37480827803158</v>
      </c>
      <c r="M583" s="12" t="n">
        <f aca="false">Sens!$F$583</f>
        <v>0.37480827803158</v>
      </c>
      <c r="N583" s="12" t="n">
        <f aca="false">Sens!$N$582/Sens!$N$562</f>
        <v>0.364039571356823</v>
      </c>
      <c r="O583" s="12" t="n">
        <f aca="false">Sens!$O$582/Sens!$O$562</f>
        <v>0.332819892300086</v>
      </c>
      <c r="P583" s="8" t="s">
        <v>606</v>
      </c>
    </row>
    <row r="584" customFormat="false" ht="17.15" hidden="false" customHeight="false" outlineLevel="0" collapsed="false">
      <c r="A584" s="0" t="s">
        <v>607</v>
      </c>
      <c r="B584" s="0" t="s">
        <v>52</v>
      </c>
      <c r="D584" s="12" t="n">
        <f aca="false">(Q!$E$31-ext_sh*Sens!$D$573)/Sens!$D$562</f>
        <v>0.154572973163571</v>
      </c>
    </row>
    <row r="585" customFormat="false" ht="17.15" hidden="false" customHeight="false" outlineLevel="0" collapsed="false">
      <c r="A585" s="0" t="s">
        <v>608</v>
      </c>
      <c r="B585" s="0" t="s">
        <v>73</v>
      </c>
      <c r="C585" s="38" t="n">
        <f aca="false">Q!$D$31</f>
        <v>13.32</v>
      </c>
      <c r="D585" s="38" t="n">
        <f aca="false">Q!$E$31</f>
        <v>21.45</v>
      </c>
      <c r="E585" s="38" t="n">
        <f aca="false">Q!$P$31</f>
        <v>15.353</v>
      </c>
      <c r="F585" s="38" t="n">
        <f aca="false">ext_sh*Sens!$F$573+Sens!$D$584*Sens!$F$562</f>
        <v>17.3614451462707</v>
      </c>
      <c r="G585" s="38" t="n">
        <f aca="false">Sens!$E$585+Sens!$F$585</f>
        <v>32.7144451462707</v>
      </c>
      <c r="H585" s="38" t="n">
        <f aca="false">ext_sh*Sens!$H$573+Sens!$D$584*Sens!$H$562</f>
        <v>56.1966092719415</v>
      </c>
      <c r="I585" s="38" t="n">
        <f aca="false">ext_sh*Sens!$I$573+Sens!$D$584*Sens!$I$562</f>
        <v>82.9744039068297</v>
      </c>
      <c r="J585" s="38" t="n">
        <f aca="false">ext_sh*Sens!$J$573+Sens!$D$584*Sens!$J$562</f>
        <v>109.943252237669</v>
      </c>
      <c r="K585" s="38" t="n">
        <f aca="false">ext_sh*Sens!$K$573+Sens!$D$584*Sens!$K$562</f>
        <v>136.406703436571</v>
      </c>
      <c r="L585" s="38" t="n">
        <f aca="false">ext_sh*Sens!$L$573+Sens!$D$584*Sens!$L$562</f>
        <v>161.485870454155</v>
      </c>
      <c r="M585" s="38" t="n">
        <f aca="false">ext_sh*Sens!$M$573+Sens!$D$584*Sens!$M$562</f>
        <v>187.389846618199</v>
      </c>
      <c r="N585" s="38" t="n">
        <f aca="false">Q!$N$31</f>
        <v>9.234</v>
      </c>
      <c r="O585" s="38" t="n">
        <f aca="false">Q!$O$31</f>
        <v>12.216</v>
      </c>
    </row>
    <row r="586" customFormat="false" ht="17.15" hidden="false" customHeight="false" outlineLevel="0" collapsed="false">
      <c r="A586" s="1" t="s">
        <v>609</v>
      </c>
    </row>
    <row r="587" customFormat="false" ht="17.15" hidden="false" customHeight="false" outlineLevel="0" collapsed="false">
      <c r="A587" s="14" t="s">
        <v>610</v>
      </c>
      <c r="B587" s="13" t="s">
        <v>52</v>
      </c>
      <c r="C587" s="13"/>
      <c r="D587" s="13"/>
      <c r="E587" s="13"/>
      <c r="F587" s="13"/>
      <c r="G587" s="16" t="n">
        <f aca="false">Sens!$G$577*(1-tax)/(ext_sh*(Sens!$D$574+Sens!$G$574)/2)</f>
        <v>0.0653963777045556</v>
      </c>
      <c r="H587" s="16" t="n">
        <f aca="false">Sens!$H$577*(1-tax)/(ext_sh*(Sens!$G$574+Sens!$H$574)/2)</f>
        <v>0.130215460902825</v>
      </c>
      <c r="I587" s="16" t="n">
        <f aca="false">Sens!$I$577*(1-tax)/(ext_sh*(Sens!$H$574+Sens!$I$574)/2)</f>
        <v>0.159803919728895</v>
      </c>
      <c r="J587" s="16" t="n">
        <f aca="false">Sens!$J$577*(1-tax)/(ext_sh*(Sens!$I$574+Sens!$J$574)/2)</f>
        <v>0.180602381536389</v>
      </c>
      <c r="K587" s="16" t="n">
        <f aca="false">Sens!$K$577*(1-tax)/(ext_sh*(Sens!$J$574+Sens!$K$574)/2)</f>
        <v>0.199881415098007</v>
      </c>
      <c r="L587" s="16" t="n">
        <f aca="false">Sens!$L$577*(1-tax)/(ext_sh*(Sens!$K$574+Sens!$L$574)/2)</f>
        <v>0.218246563139216</v>
      </c>
      <c r="M587" s="16" t="n">
        <f aca="false">Sens!$M$577*(1-tax)/(ext_sh*(Sens!$L$574+Sens!$M$574)/2)</f>
        <v>0.226837402693726</v>
      </c>
      <c r="N587" s="13"/>
      <c r="O587" s="13"/>
      <c r="P587" s="8" t="s">
        <v>611</v>
      </c>
    </row>
    <row r="588" customFormat="false" ht="17.15" hidden="false" customHeight="false" outlineLevel="0" collapsed="false">
      <c r="A588" s="5" t="s">
        <v>612</v>
      </c>
      <c r="B588" s="0" t="s">
        <v>57</v>
      </c>
      <c r="H588" s="36" t="n">
        <f aca="false">Sens!$H$558*1000/(mw_open*he_open+Sens!$H$556*Sens!$H$553)</f>
        <v>1.34234681809848</v>
      </c>
      <c r="I588" s="36" t="n">
        <f aca="false">Sens!$I$558*1000/(mw_open*he_open+Sens!$I$556*Sens!$I$553)</f>
        <v>1.41401842433369</v>
      </c>
      <c r="J588" s="36" t="n">
        <f aca="false">Sens!$J$558*1000/(mw_open*he_open+Sens!$J$556*Sens!$J$553)</f>
        <v>1.44430234207525</v>
      </c>
      <c r="K588" s="36" t="n">
        <f aca="false">Sens!$K$558*1000/(mw_open*he_open+Sens!$K$556*Sens!$K$553)</f>
        <v>1.46097800563502</v>
      </c>
      <c r="L588" s="36" t="n">
        <f aca="false">Sens!$L$558*1000/(mw_open*he_open+Sens!$L$556*Sens!$L$553)</f>
        <v>1.47152813049917</v>
      </c>
      <c r="M588" s="36" t="n">
        <f aca="false">Sens!$M$558*1000/(mw_open*he_open+Sens!$M$556*Sens!$M$553)</f>
        <v>1.47880227378619</v>
      </c>
    </row>
    <row r="589" customFormat="false" ht="17.15" hidden="false" customHeight="false" outlineLevel="0" collapsed="false">
      <c r="A589" s="5" t="s">
        <v>613</v>
      </c>
      <c r="B589" s="0" t="s">
        <v>57</v>
      </c>
      <c r="H589" s="36" t="n">
        <f aca="false">Sens!$H$588*(Sens!$H$558+wacc*ext_sh*(Sens!$G$574+Sens!$H$574)/2/(1-tax)-Sens!$H$577)/Sens!$H$558</f>
        <v>1.3149781212103</v>
      </c>
      <c r="I589" s="36" t="n">
        <f aca="false">Sens!$I$588*(Sens!$I$558+wacc*ext_sh*(Sens!$H$574+Sens!$I$574)/2/(1-tax)-Sens!$I$577)/Sens!$I$558</f>
        <v>1.25742005569107</v>
      </c>
      <c r="J589" s="36" t="n">
        <f aca="false">Sens!$J$588*(Sens!$J$558+wacc*ext_sh*(Sens!$I$574+Sens!$J$574)/2/(1-tax)-Sens!$J$577)/Sens!$J$558</f>
        <v>1.21838845868559</v>
      </c>
      <c r="K589" s="36" t="n">
        <f aca="false">Sens!$K$588*(Sens!$K$558+wacc*ext_sh*(Sens!$J$574+Sens!$K$574)/2/(1-tax)-Sens!$K$577)/Sens!$K$558</f>
        <v>1.18402644209548</v>
      </c>
      <c r="L589" s="36" t="n">
        <f aca="false">Sens!$L$588*(Sens!$L$558+wacc*ext_sh*(Sens!$K$574+Sens!$L$574)/2/(1-tax)-Sens!$L$577)/Sens!$L$558</f>
        <v>1.15111215322059</v>
      </c>
      <c r="M589" s="36" t="n">
        <f aca="false">Sens!$M$588*(Sens!$M$558+wacc*ext_sh*(Sens!$L$574+Sens!$M$574)/2/(1-tax)-Sens!$M$577)/Sens!$M$558</f>
        <v>1.1397166845677</v>
      </c>
    </row>
    <row r="590" customFormat="false" ht="17.15" hidden="false" customHeight="false" outlineLevel="0" collapsed="false">
      <c r="A590" s="5" t="s">
        <v>614</v>
      </c>
      <c r="B590" s="0" t="s">
        <v>52</v>
      </c>
      <c r="C590" s="12" t="n">
        <f aca="false">Sens!$C$559/tk_pq</f>
        <v>0.195316432429398</v>
      </c>
      <c r="D590" s="12" t="n">
        <f aca="false">Sens!$D$559/tk_pq</f>
        <v>0.195316432429398</v>
      </c>
      <c r="E590" s="12" t="n">
        <f aca="false">Sens!$E$559/tk_pq</f>
        <v>0.195316432429398</v>
      </c>
      <c r="F590" s="12" t="n">
        <f aca="false">Sens!$F$559/tk_pq</f>
        <v>0.237426936709385</v>
      </c>
      <c r="G590" s="12" t="n">
        <f aca="false">Sens!$G$559/tk_pq</f>
        <v>0.221819204382786</v>
      </c>
      <c r="H590" s="12" t="n">
        <f aca="false">Sens!$H$559/tk_pq</f>
        <v>0.287764082666319</v>
      </c>
      <c r="I590" s="12" t="n">
        <f aca="false">Sens!$I$559/tk_pq</f>
        <v>0.312589866504342</v>
      </c>
      <c r="J590" s="12" t="n">
        <f aca="false">Sens!$J$559/tk_pq</f>
        <v>0.323954585221101</v>
      </c>
      <c r="K590" s="12" t="n">
        <f aca="false">Sens!$K$559/tk_pq</f>
        <v>0.330462253144069</v>
      </c>
      <c r="L590" s="12" t="n">
        <f aca="false">Sens!$L$559/tk_pq</f>
        <v>0.334676744419546</v>
      </c>
      <c r="M590" s="12" t="n">
        <f aca="false">Sens!$M$559/tk_pq</f>
        <v>0.337628157311836</v>
      </c>
      <c r="N590" s="12" t="n">
        <f aca="false">Sens!$N$559/tk_pq</f>
        <v>0.195316432429398</v>
      </c>
      <c r="O590" s="12" t="n">
        <f aca="false">Sens!$O$559/tk_pq</f>
        <v>0.195316432429398</v>
      </c>
      <c r="P590" s="5" t="s">
        <v>615</v>
      </c>
    </row>
    <row r="593" customFormat="false" ht="17.15" hidden="false" customHeight="false" outlineLevel="0" collapsed="false">
      <c r="A593" s="1" t="s">
        <v>642</v>
      </c>
    </row>
    <row r="594" customFormat="false" ht="17.15" hidden="false" customHeight="false" outlineLevel="0" collapsed="false">
      <c r="A594" s="0" t="s">
        <v>643</v>
      </c>
      <c r="B594" s="0" t="s">
        <v>73</v>
      </c>
      <c r="C594" s="38" t="n">
        <f aca="false">Sens!$C$558</f>
        <v>2.32100535697364</v>
      </c>
      <c r="D594" s="38" t="n">
        <f aca="false">Sens!$D$558</f>
        <v>8.70377008865116</v>
      </c>
      <c r="E594" s="38" t="n">
        <f aca="false">Sens!$E$558</f>
        <v>8.51035297557002</v>
      </c>
      <c r="F594" s="38" t="n">
        <f aca="false">Sens!$F$558</f>
        <v>17.5667034895389</v>
      </c>
      <c r="G594" s="38" t="n">
        <f aca="false">Sens!$G$558</f>
        <v>26.077056465109</v>
      </c>
      <c r="H594" s="38" t="n">
        <f aca="false">Sens!$H$558</f>
        <v>81.4189957901494</v>
      </c>
      <c r="I594" s="38" t="n">
        <f aca="false">Sens!$I$558</f>
        <v>144.693023268105</v>
      </c>
      <c r="J594" s="38" t="n">
        <f aca="false">Sens!$J$558</f>
        <v>208.248538095809</v>
      </c>
      <c r="K594" s="38" t="n">
        <f aca="false">Sens!$K$558</f>
        <v>271.897882040097</v>
      </c>
      <c r="L594" s="38" t="n">
        <f aca="false">Sens!$L$558</f>
        <v>335.589875582831</v>
      </c>
      <c r="M594" s="38" t="n">
        <f aca="false">Sens!$M$558</f>
        <v>399.30483429396</v>
      </c>
      <c r="N594" s="38" t="n">
        <f aca="false">Sens!$N$558</f>
        <v>3.04631953102791</v>
      </c>
      <c r="O594" s="38" t="n">
        <f aca="false">Sens!$O$558</f>
        <v>5.65745055762326</v>
      </c>
      <c r="P594" s="8" t="s">
        <v>644</v>
      </c>
    </row>
    <row r="595" customFormat="false" ht="17.15" hidden="false" customHeight="false" outlineLevel="0" collapsed="false">
      <c r="A595" s="0" t="s">
        <v>645</v>
      </c>
      <c r="B595" s="0" t="s">
        <v>73</v>
      </c>
      <c r="C595" s="38" t="n">
        <f aca="false">Sens!$C$562</f>
        <v>105.234994643026</v>
      </c>
      <c r="D595" s="38" t="n">
        <f aca="false">Sens!$D$562</f>
        <v>120.021229911349</v>
      </c>
      <c r="E595" s="38" t="n">
        <f aca="false">Sens!$E$562</f>
        <v>71.30864702443</v>
      </c>
      <c r="F595" s="38" t="n">
        <f aca="false">Sens!$F$562</f>
        <v>78.5950104186653</v>
      </c>
      <c r="G595" s="38" t="n">
        <f aca="false">Sens!$G$562</f>
        <v>149.903657443095</v>
      </c>
      <c r="H595" s="38" t="n">
        <f aca="false">Sens!$H$562</f>
        <v>180.893560768142</v>
      </c>
      <c r="I595" s="38" t="n">
        <f aca="false">Sens!$I$562</f>
        <v>210.64839721501</v>
      </c>
      <c r="J595" s="38" t="n">
        <f aca="false">Sens!$J$562</f>
        <v>236.398909446495</v>
      </c>
      <c r="K595" s="38" t="n">
        <f aca="false">Sens!$K$562</f>
        <v>255.310822202215</v>
      </c>
      <c r="L595" s="38" t="n">
        <f aca="false">Sens!$L$562</f>
        <v>275.735687978392</v>
      </c>
      <c r="M595" s="38" t="n">
        <f aca="false">Sens!$M$562</f>
        <v>297.794543016663</v>
      </c>
      <c r="N595" s="38" t="n">
        <f aca="false">Sens!$N$562</f>
        <v>57.0936804689721</v>
      </c>
      <c r="O595" s="38" t="n">
        <f aca="false">Sens!$O$562</f>
        <v>62.9275494423768</v>
      </c>
      <c r="P595" s="8" t="s">
        <v>644</v>
      </c>
    </row>
    <row r="596" customFormat="false" ht="17.15" hidden="false" customHeight="false" outlineLevel="0" collapsed="false">
      <c r="A596" s="1" t="s">
        <v>476</v>
      </c>
      <c r="B596" s="8" t="s">
        <v>73</v>
      </c>
      <c r="C596" s="38" t="n">
        <f aca="false">Q!$D$7</f>
        <v>107.556</v>
      </c>
      <c r="D596" s="38" t="n">
        <f aca="false">Q!$E$7</f>
        <v>128.725</v>
      </c>
      <c r="E596" s="38" t="n">
        <f aca="false">Q!$P$7</f>
        <v>79.819</v>
      </c>
      <c r="F596" s="38" t="n">
        <f aca="false">Sens!$F$594+Sens!$F$595</f>
        <v>96.1617139082042</v>
      </c>
      <c r="G596" s="38" t="n">
        <f aca="false">Sens!$G$594+Sens!$G$595</f>
        <v>175.980713908204</v>
      </c>
      <c r="H596" s="38" t="n">
        <f aca="false">Sens!$H$594+Sens!$H$595</f>
        <v>262.312556558291</v>
      </c>
      <c r="I596" s="38" t="n">
        <f aca="false">Sens!$I$594+Sens!$I$595</f>
        <v>355.341420483115</v>
      </c>
      <c r="J596" s="38" t="n">
        <f aca="false">Sens!$J$594+Sens!$J$595</f>
        <v>444.647447542304</v>
      </c>
      <c r="K596" s="38" t="n">
        <f aca="false">Sens!$K$594+Sens!$K$595</f>
        <v>527.208704242311</v>
      </c>
      <c r="L596" s="38" t="n">
        <f aca="false">Sens!$L$594+Sens!$L$595</f>
        <v>611.325563561223</v>
      </c>
      <c r="M596" s="38" t="n">
        <f aca="false">Sens!$M$594+Sens!$M$595</f>
        <v>697.099377310623</v>
      </c>
      <c r="N596" s="38" t="n">
        <f aca="false">Q!$N$7</f>
        <v>60.14</v>
      </c>
      <c r="O596" s="38" t="n">
        <f aca="false">Q!$O$7</f>
        <v>68.585</v>
      </c>
      <c r="P596" s="5" t="s">
        <v>646</v>
      </c>
    </row>
    <row r="597" customFormat="false" ht="15" hidden="false" customHeight="false" outlineLevel="0" collapsed="false">
      <c r="A597" s="3" t="s">
        <v>647</v>
      </c>
      <c r="B597" s="8" t="s">
        <v>73</v>
      </c>
      <c r="C597" s="38" t="n">
        <f aca="false">Q!$D$8</f>
        <v>637.959</v>
      </c>
      <c r="D597" s="38" t="n">
        <f aca="false">Q!$E$8</f>
        <v>716.924</v>
      </c>
      <c r="E597" s="38" t="n">
        <f aca="false">Q!$P$8</f>
        <v>382.125</v>
      </c>
      <c r="F597" s="38" t="n">
        <f aca="false">Sens!$F$531+Sens!$F$596</f>
        <v>453.098143116634</v>
      </c>
      <c r="G597" s="38" t="n">
        <f aca="false">Sens!$G$531+Sens!$G$596</f>
        <v>835.223143116634</v>
      </c>
      <c r="H597" s="38" t="n">
        <f aca="false">Sens!$H$531+Sens!$H$596</f>
        <v>992.248294179992</v>
      </c>
      <c r="I597" s="38" t="n">
        <f aca="false">Sens!$I$531+Sens!$I$596</f>
        <v>1153.63699018099</v>
      </c>
      <c r="J597" s="38" t="n">
        <f aca="false">Sens!$J$531+Sens!$J$596</f>
        <v>1306.38426986809</v>
      </c>
      <c r="K597" s="38" t="n">
        <f aca="false">Sens!$K$531+Sens!$K$596</f>
        <v>1444.76619634424</v>
      </c>
      <c r="L597" s="38" t="n">
        <f aca="false">Sens!$L$531+Sens!$L$596</f>
        <v>1588.61065330439</v>
      </c>
      <c r="M597" s="38" t="n">
        <f aca="false">Sens!$M$531+Sens!$M$596</f>
        <v>1738.31339585413</v>
      </c>
      <c r="N597" s="38" t="n">
        <f aca="false">Q!$N$8</f>
        <v>323.369</v>
      </c>
      <c r="O597" s="38" t="n">
        <f aca="false">Q!$O$8</f>
        <v>393.555</v>
      </c>
    </row>
    <row r="598" customFormat="false" ht="17.15" hidden="false" customHeight="false" outlineLevel="0" collapsed="false">
      <c r="A598" s="24" t="s">
        <v>655</v>
      </c>
      <c r="B598" s="25" t="s">
        <v>73</v>
      </c>
      <c r="C598" s="39" t="n">
        <f aca="false">Sens!$C$531-(Sens!$C$533+Sens!$C$534)</f>
        <v>0</v>
      </c>
      <c r="D598" s="39" t="n">
        <f aca="false">Sens!$D$531-(Sens!$D$533+Sens!$D$534)</f>
        <v>0</v>
      </c>
      <c r="E598" s="39" t="n">
        <f aca="false">Sens!$E$531-(Sens!$E$533+Sens!$E$534)</f>
        <v>0</v>
      </c>
      <c r="F598" s="39" t="n">
        <f aca="false">Sens!$F$531-(Sens!$F$533+Sens!$F$534)</f>
        <v>0</v>
      </c>
      <c r="G598" s="39" t="n">
        <f aca="false">Sens!$G$531-(Sens!$G$533+Sens!$G$534)</f>
        <v>0</v>
      </c>
      <c r="H598" s="39" t="n">
        <f aca="false">Sens!$H$531-(Sens!$H$533+Sens!$H$534)</f>
        <v>0</v>
      </c>
      <c r="I598" s="39" t="n">
        <f aca="false">Sens!$I$531-(Sens!$I$533+Sens!$I$534)</f>
        <v>0</v>
      </c>
      <c r="J598" s="39" t="n">
        <f aca="false">Sens!$J$531-(Sens!$J$533+Sens!$J$534)</f>
        <v>0</v>
      </c>
      <c r="K598" s="39" t="n">
        <f aca="false">Sens!$K$531-(Sens!$K$533+Sens!$K$534)</f>
        <v>0</v>
      </c>
      <c r="L598" s="39" t="n">
        <f aca="false">Sens!$L$531-(Sens!$L$533+Sens!$L$534)</f>
        <v>0</v>
      </c>
      <c r="M598" s="39" t="n">
        <f aca="false">Sens!$M$531-(Sens!$M$533+Sens!$M$534)</f>
        <v>0</v>
      </c>
      <c r="N598" s="39" t="n">
        <f aca="false">Sens!$N$531-(Sens!$N$533+Sens!$N$534)</f>
        <v>0</v>
      </c>
      <c r="O598" s="39" t="n">
        <f aca="false">Sens!$O$531-(Sens!$O$533+Sens!$O$534)</f>
        <v>0</v>
      </c>
    </row>
    <row r="599" customFormat="false" ht="17.15" hidden="false" customHeight="false" outlineLevel="0" collapsed="false">
      <c r="A599" s="24" t="s">
        <v>656</v>
      </c>
      <c r="B599" s="25" t="s">
        <v>73</v>
      </c>
      <c r="C599" s="39" t="n">
        <f aca="false">Sens!$C$594+Sens!$C$595-Sens!$C$596</f>
        <v>0</v>
      </c>
      <c r="D599" s="39" t="n">
        <f aca="false">Sens!$D$594+Sens!$D$595-Sens!$D$596</f>
        <v>0</v>
      </c>
      <c r="E599" s="39" t="n">
        <f aca="false">Sens!$E$594+Sens!$E$595-Sens!$E$596</f>
        <v>0</v>
      </c>
      <c r="F599" s="39" t="n">
        <f aca="false">Sens!$F$594+Sens!$F$595-Sens!$F$596</f>
        <v>0</v>
      </c>
      <c r="G599" s="39" t="n">
        <f aca="false">Sens!$G$594+Sens!$G$595-Sens!$G$596</f>
        <v>0</v>
      </c>
      <c r="H599" s="39" t="n">
        <f aca="false">Sens!$H$594+Sens!$H$595-Sens!$H$596</f>
        <v>0</v>
      </c>
      <c r="I599" s="39" t="n">
        <f aca="false">Sens!$I$594+Sens!$I$595-Sens!$I$596</f>
        <v>0</v>
      </c>
      <c r="J599" s="39" t="n">
        <f aca="false">Sens!$J$594+Sens!$J$595-Sens!$J$596</f>
        <v>0</v>
      </c>
      <c r="K599" s="39" t="n">
        <f aca="false">Sens!$K$594+Sens!$K$595-Sens!$K$596</f>
        <v>0</v>
      </c>
      <c r="L599" s="39" t="n">
        <f aca="false">Sens!$L$594+Sens!$L$595-Sens!$L$596</f>
        <v>0</v>
      </c>
      <c r="M599" s="39" t="n">
        <f aca="false">Sens!$M$594+Sens!$M$595-Sens!$M$596</f>
        <v>0</v>
      </c>
      <c r="N599" s="39" t="n">
        <f aca="false">Sens!$N$594+Sens!$N$595-Sens!$N$596</f>
        <v>0</v>
      </c>
      <c r="O599" s="39" t="n">
        <f aca="false">Sens!$O$594+Sens!$O$595-Sens!$O$596</f>
        <v>0</v>
      </c>
    </row>
    <row r="600" customFormat="false" ht="17.15" hidden="false" customHeight="false" outlineLevel="0" collapsed="false">
      <c r="A600" s="24" t="s">
        <v>657</v>
      </c>
      <c r="B600" s="25" t="s">
        <v>73</v>
      </c>
      <c r="C600" s="39" t="n">
        <f aca="false">Sens!$C$533+Sens!$C$534+Sens!$C$596-Sens!$C$597</f>
        <v>0</v>
      </c>
      <c r="D600" s="39" t="n">
        <f aca="false">Sens!$D$533+Sens!$D$534+Sens!$D$596-Sens!$D$597</f>
        <v>0</v>
      </c>
      <c r="E600" s="39" t="n">
        <f aca="false">Sens!$E$533+Sens!$E$534+Sens!$E$596-Sens!$E$597</f>
        <v>0</v>
      </c>
      <c r="F600" s="39" t="n">
        <f aca="false">Sens!$F$533+Sens!$F$534+Sens!$F$596-Sens!$F$597</f>
        <v>0</v>
      </c>
      <c r="G600" s="39" t="n">
        <f aca="false">Sens!$G$533+Sens!$G$534+Sens!$G$596-Sens!$G$597</f>
        <v>0</v>
      </c>
      <c r="H600" s="39" t="n">
        <f aca="false">Sens!$H$533+Sens!$H$534+Sens!$H$596-Sens!$H$597</f>
        <v>0</v>
      </c>
      <c r="I600" s="39" t="n">
        <f aca="false">Sens!$I$533+Sens!$I$534+Sens!$I$596-Sens!$I$597</f>
        <v>0</v>
      </c>
      <c r="J600" s="39" t="n">
        <f aca="false">Sens!$J$533+Sens!$J$534+Sens!$J$596-Sens!$J$597</f>
        <v>0</v>
      </c>
      <c r="K600" s="39" t="n">
        <f aca="false">Sens!$K$533+Sens!$K$534+Sens!$K$596-Sens!$K$597</f>
        <v>0</v>
      </c>
      <c r="L600" s="39" t="n">
        <f aca="false">Sens!$L$533+Sens!$L$534+Sens!$L$596-Sens!$L$597</f>
        <v>0</v>
      </c>
      <c r="M600" s="39" t="n">
        <f aca="false">Sens!$M$533+Sens!$M$534+Sens!$M$596-Sens!$M$597</f>
        <v>0</v>
      </c>
      <c r="N600" s="39" t="n">
        <f aca="false">Sens!$N$533+Sens!$N$534+Sens!$N$596-Sens!$N$597</f>
        <v>0</v>
      </c>
      <c r="O600" s="39" t="n">
        <f aca="false">Sens!$O$533+Sens!$O$534+Sens!$O$596-Sens!$O$597</f>
        <v>0</v>
      </c>
    </row>
    <row r="601" customFormat="false" ht="15" hidden="false" customHeight="false" outlineLevel="0" collapsed="false">
      <c r="A601" s="5" t="s">
        <v>651</v>
      </c>
      <c r="B601" s="0" t="s">
        <v>52</v>
      </c>
      <c r="G601" s="12" t="n">
        <f aca="false">Sens!$G$597/Sens!$D$597-1</f>
        <v>0.1650093219318</v>
      </c>
      <c r="H601" s="12" t="n">
        <f aca="false">Sens!$H$597/Sens!$G$597-1</f>
        <v>0.188003831499949</v>
      </c>
      <c r="I601" s="12" t="n">
        <f aca="false">Sens!$I$597/Sens!$H$597-1</f>
        <v>0.162649507132053</v>
      </c>
      <c r="J601" s="12" t="n">
        <f aca="false">Sens!$J$597/Sens!$I$597-1</f>
        <v>0.132404977464478</v>
      </c>
      <c r="K601" s="12" t="n">
        <f aca="false">Sens!$K$597/Sens!$J$597-1</f>
        <v>0.105927428604234</v>
      </c>
      <c r="L601" s="12" t="n">
        <f aca="false">Sens!$L$597/Sens!$K$597-1</f>
        <v>0.099562446383455</v>
      </c>
      <c r="M601" s="12" t="n">
        <f aca="false">Sens!$M$597/Sens!$L$597-1</f>
        <v>0.0942350111012722</v>
      </c>
    </row>
    <row r="602" customFormat="false" ht="17.15" hidden="false" customHeight="false" outlineLevel="0" collapsed="false">
      <c r="A602" s="0" t="s">
        <v>652</v>
      </c>
      <c r="B602" s="0" t="s">
        <v>52</v>
      </c>
      <c r="C602" s="12" t="n">
        <f aca="false">Sens!$C$596/Sens!$C$597</f>
        <v>0.168593906504964</v>
      </c>
      <c r="D602" s="12" t="n">
        <f aca="false">Sens!$D$596/Sens!$D$597</f>
        <v>0.179551807444025</v>
      </c>
      <c r="E602" s="12" t="n">
        <f aca="false">Sens!$E$596/Sens!$E$597</f>
        <v>0.208881910369643</v>
      </c>
      <c r="F602" s="12" t="n">
        <f aca="false">Sens!$F$596/Sens!$F$597</f>
        <v>0.212231533872013</v>
      </c>
      <c r="G602" s="12" t="n">
        <f aca="false">Sens!$G$596/Sens!$G$597</f>
        <v>0.210699039362741</v>
      </c>
      <c r="H602" s="12" t="n">
        <f aca="false">Sens!$H$596/Sens!$H$597</f>
        <v>0.264361811551483</v>
      </c>
      <c r="I602" s="12" t="n">
        <f aca="false">Sens!$I$596/Sens!$I$597</f>
        <v>0.30801840050861</v>
      </c>
      <c r="J602" s="12" t="n">
        <f aca="false">Sens!$J$596/Sens!$J$597</f>
        <v>0.340364973613164</v>
      </c>
      <c r="K602" s="12" t="n">
        <f aca="false">Sens!$K$596/Sens!$K$597</f>
        <v>0.364909357359228</v>
      </c>
      <c r="L602" s="12" t="n">
        <f aca="false">Sens!$L$596/Sens!$L$597</f>
        <v>0.384817741395373</v>
      </c>
      <c r="M602" s="12" t="n">
        <f aca="false">Sens!$M$596/Sens!$M$597</f>
        <v>0.401020540354348</v>
      </c>
      <c r="N602" s="12" t="n">
        <f aca="false">Sens!$N$596/Sens!$N$597</f>
        <v>0.185979484737251</v>
      </c>
      <c r="O602" s="12" t="n">
        <f aca="false">Sens!$O$596/Sens!$O$597</f>
        <v>0.174270432341096</v>
      </c>
    </row>
    <row r="603" customFormat="false" ht="17.15" hidden="false" customHeight="false" outlineLevel="0" collapsed="false">
      <c r="A603" s="0" t="s">
        <v>653</v>
      </c>
      <c r="B603" s="0" t="s">
        <v>52</v>
      </c>
      <c r="C603" s="12" t="n">
        <f aca="false">Sens!$C$594/Sens!$C$596</f>
        <v>0.0215795060896058</v>
      </c>
      <c r="D603" s="12" t="n">
        <f aca="false">Sens!$D$594/Sens!$D$596</f>
        <v>0.0676152269462122</v>
      </c>
      <c r="E603" s="12" t="n">
        <f aca="false">Sens!$E$594/Sens!$E$596</f>
        <v>0.106620641395783</v>
      </c>
      <c r="F603" s="12" t="n">
        <f aca="false">Sens!$F$594/Sens!$F$596</f>
        <v>0.182678768665751</v>
      </c>
      <c r="G603" s="12" t="n">
        <f aca="false">Sens!$G$594/Sens!$G$596</f>
        <v>0.148181331271968</v>
      </c>
      <c r="H603" s="12" t="n">
        <f aca="false">Sens!$H$594/Sens!$H$596</f>
        <v>0.310389242735532</v>
      </c>
      <c r="I603" s="12" t="n">
        <f aca="false">Sens!$I$594/Sens!$I$596</f>
        <v>0.407194362738188</v>
      </c>
      <c r="J603" s="12" t="n">
        <f aca="false">Sens!$J$594/Sens!$J$596</f>
        <v>0.468345290739572</v>
      </c>
      <c r="K603" s="12" t="n">
        <f aca="false">Sens!$K$594/Sens!$K$596</f>
        <v>0.515731018574248</v>
      </c>
      <c r="L603" s="12" t="n">
        <f aca="false">Sens!$L$594/Sens!$L$596</f>
        <v>0.548954428844562</v>
      </c>
      <c r="M603" s="12" t="n">
        <f aca="false">Sens!$M$594/Sens!$M$596</f>
        <v>0.57280905318616</v>
      </c>
      <c r="N603" s="12" t="n">
        <f aca="false">Sens!$N$594/Sens!$N$596</f>
        <v>0.0506537999838362</v>
      </c>
      <c r="O603" s="12" t="n">
        <f aca="false">Sens!$O$594/Sens!$O$596</f>
        <v>0.0824881615167056</v>
      </c>
    </row>
    <row r="606" customFormat="false" ht="19.4" hidden="false" customHeight="false" outlineLevel="0" collapsed="false">
      <c r="A606" s="31" t="s">
        <v>1055</v>
      </c>
    </row>
    <row r="607" customFormat="false" ht="17.15" hidden="false" customHeight="false" outlineLevel="0" collapsed="false">
      <c r="A607" s="6" t="s">
        <v>16</v>
      </c>
      <c r="B607" s="6" t="s">
        <v>17</v>
      </c>
      <c r="C607" s="20" t="s">
        <v>457</v>
      </c>
      <c r="D607" s="20" t="s">
        <v>458</v>
      </c>
      <c r="E607" s="20" t="s">
        <v>540</v>
      </c>
      <c r="F607" s="20" t="s">
        <v>541</v>
      </c>
      <c r="G607" s="20" t="s">
        <v>542</v>
      </c>
      <c r="H607" s="20" t="s">
        <v>543</v>
      </c>
      <c r="I607" s="20" t="s">
        <v>544</v>
      </c>
      <c r="J607" s="20" t="s">
        <v>545</v>
      </c>
      <c r="K607" s="20" t="s">
        <v>546</v>
      </c>
      <c r="L607" s="20" t="s">
        <v>547</v>
      </c>
      <c r="M607" s="20" t="s">
        <v>548</v>
      </c>
      <c r="N607" s="20" t="s">
        <v>549</v>
      </c>
      <c r="O607" s="20" t="s">
        <v>550</v>
      </c>
      <c r="P607" s="6" t="s">
        <v>23</v>
      </c>
      <c r="R607" s="20" t="n">
        <v>2023</v>
      </c>
      <c r="S607" s="20" t="n">
        <v>2024</v>
      </c>
      <c r="T607" s="20" t="n">
        <v>2025</v>
      </c>
      <c r="U607" s="20" t="n">
        <v>2026</v>
      </c>
      <c r="V607" s="20" t="n">
        <v>2027</v>
      </c>
      <c r="W607" s="20" t="n">
        <v>2028</v>
      </c>
      <c r="X607" s="20" t="n">
        <v>2029</v>
      </c>
      <c r="Y607" s="20" t="n">
        <v>2030</v>
      </c>
      <c r="Z607" s="20" t="n">
        <v>2031</v>
      </c>
      <c r="AA607" s="20" t="n">
        <v>2032</v>
      </c>
    </row>
    <row r="608" customFormat="false" ht="17.15" hidden="false" customHeight="false" outlineLevel="0" collapsed="false">
      <c r="A608" s="1" t="s">
        <v>668</v>
      </c>
    </row>
    <row r="609" customFormat="false" ht="15" hidden="false" customHeight="false" outlineLevel="0" collapsed="false">
      <c r="A609" s="0" t="s">
        <v>479</v>
      </c>
      <c r="B609" s="0" t="s">
        <v>73</v>
      </c>
      <c r="C609" s="38" t="n">
        <f aca="false">Sens!$C$519</f>
        <v>247.029</v>
      </c>
      <c r="D609" s="38" t="n">
        <f aca="false">Sens!$D$519</f>
        <v>269.287</v>
      </c>
      <c r="E609" s="38" t="n">
        <f aca="false">Sens!$E$519</f>
        <v>134.686</v>
      </c>
      <c r="F609" s="38" t="n">
        <f aca="false">Sens!$F$519</f>
        <v>160.728085930082</v>
      </c>
      <c r="G609" s="38" t="n">
        <f aca="false">Sens!$G$519</f>
        <v>295.414085930082</v>
      </c>
      <c r="H609" s="38" t="n">
        <f aca="false">Sens!$H$519</f>
        <v>320.828163943375</v>
      </c>
      <c r="I609" s="38" t="n">
        <f aca="false">Sens!$I$519</f>
        <v>344.575578072228</v>
      </c>
      <c r="J609" s="38" t="n">
        <f aca="false">Sens!$J$519</f>
        <v>365.942555779681</v>
      </c>
      <c r="K609" s="38" t="n">
        <f aca="false">Sens!$K$519</f>
        <v>384.239683568665</v>
      </c>
      <c r="L609" s="38" t="n">
        <f aca="false">Sens!$L$519</f>
        <v>403.451667747098</v>
      </c>
      <c r="M609" s="38" t="n">
        <f aca="false">Sens!$M$519</f>
        <v>423.624251134453</v>
      </c>
      <c r="N609" s="38" t="n">
        <f aca="false">Sens!$N$519</f>
        <v>118.892</v>
      </c>
      <c r="O609" s="38" t="n">
        <f aca="false">Sens!$O$519</f>
        <v>150.395</v>
      </c>
    </row>
    <row r="610" customFormat="false" ht="15" hidden="false" customHeight="false" outlineLevel="0" collapsed="false">
      <c r="A610" s="0" t="s">
        <v>480</v>
      </c>
      <c r="B610" s="0" t="s">
        <v>73</v>
      </c>
      <c r="C610" s="38" t="n">
        <f aca="false">Sens!$C$521</f>
        <v>21.215</v>
      </c>
      <c r="D610" s="38" t="n">
        <f aca="false">Sens!$D$521</f>
        <v>22.561</v>
      </c>
      <c r="E610" s="38" t="n">
        <f aca="false">Sens!$E$521</f>
        <v>11.579</v>
      </c>
      <c r="F610" s="38" t="n">
        <f aca="false">Sens!$F$521</f>
        <v>12.0952613121125</v>
      </c>
      <c r="G610" s="38" t="n">
        <f aca="false">Sens!$G$521</f>
        <v>23.6742613121125</v>
      </c>
      <c r="H610" s="38" t="n">
        <f aca="false">Sens!$H$521</f>
        <v>24.8803243963206</v>
      </c>
      <c r="I610" s="38" t="n">
        <f aca="false">Sens!$I$521</f>
        <v>25.9741308664154</v>
      </c>
      <c r="J610" s="38" t="n">
        <f aca="false">Sens!$J$521</f>
        <v>26.9346894124267</v>
      </c>
      <c r="K610" s="38" t="n">
        <f aca="false">Sens!$K$521</f>
        <v>27.7427300947995</v>
      </c>
      <c r="L610" s="38" t="n">
        <f aca="false">Sens!$L$521</f>
        <v>28.5750119976435</v>
      </c>
      <c r="M610" s="38" t="n">
        <f aca="false">Sens!$M$521</f>
        <v>29.4322623575728</v>
      </c>
      <c r="N610" s="38" t="n">
        <f aca="false">Sens!$N$521</f>
        <v>11.128</v>
      </c>
      <c r="O610" s="38" t="n">
        <f aca="false">Sens!$O$521</f>
        <v>11.433</v>
      </c>
    </row>
    <row r="611" customFormat="false" ht="15" hidden="false" customHeight="false" outlineLevel="0" collapsed="false">
      <c r="A611" s="0" t="s">
        <v>481</v>
      </c>
      <c r="B611" s="0" t="s">
        <v>73</v>
      </c>
      <c r="C611" s="38" t="n">
        <f aca="false">Sens!$C$523</f>
        <v>156.146</v>
      </c>
      <c r="D611" s="38" t="n">
        <f aca="false">Sens!$D$523</f>
        <v>172.162</v>
      </c>
      <c r="E611" s="38" t="n">
        <f aca="false">Sens!$E$523</f>
        <v>88.358</v>
      </c>
      <c r="F611" s="38" t="n">
        <f aca="false">Sens!$F$523</f>
        <v>103.62028337149</v>
      </c>
      <c r="G611" s="38" t="n">
        <f aca="false">Sens!$G$523</f>
        <v>191.97828337149</v>
      </c>
      <c r="H611" s="38" t="n">
        <f aca="false">Sens!$H$523</f>
        <v>212.128608444755</v>
      </c>
      <c r="I611" s="38" t="n">
        <f aca="false">Sens!$I$523</f>
        <v>231.92183134134</v>
      </c>
      <c r="J611" s="38" t="n">
        <f aca="false">Sens!$J$523</f>
        <v>250.859136487863</v>
      </c>
      <c r="K611" s="38" t="n">
        <f aca="false">Sens!$K$523</f>
        <v>268.419276042014</v>
      </c>
      <c r="L611" s="38" t="n">
        <f aca="false">Sens!$L$523</f>
        <v>287.208625364954</v>
      </c>
      <c r="M611" s="38" t="n">
        <f aca="false">Sens!$M$523</f>
        <v>307.313229140501</v>
      </c>
      <c r="N611" s="38" t="n">
        <f aca="false">Sens!$N$523</f>
        <v>76.86</v>
      </c>
      <c r="O611" s="38" t="n">
        <f aca="false">Sens!$O$523</f>
        <v>95.302</v>
      </c>
    </row>
    <row r="612" customFormat="false" ht="15" hidden="false" customHeight="false" outlineLevel="0" collapsed="false">
      <c r="A612" s="0" t="s">
        <v>482</v>
      </c>
      <c r="B612" s="0" t="s">
        <v>73</v>
      </c>
      <c r="C612" s="38" t="n">
        <f aca="false">Sens!$C$525</f>
        <v>56.214</v>
      </c>
      <c r="D612" s="38" t="n">
        <f aca="false">Sens!$D$525</f>
        <v>68.635</v>
      </c>
      <c r="E612" s="38" t="n">
        <f aca="false">Sens!$E$525</f>
        <v>37.052</v>
      </c>
      <c r="F612" s="38" t="n">
        <f aca="false">Sens!$F$525</f>
        <v>48.1533381827382</v>
      </c>
      <c r="G612" s="38" t="n">
        <f aca="false">Sens!$G$525</f>
        <v>85.2053381827382</v>
      </c>
      <c r="H612" s="38" t="n">
        <f aca="false">Sens!$H$525</f>
        <v>102.29336185894</v>
      </c>
      <c r="I612" s="38" t="n">
        <f aca="false">Sens!$I$525</f>
        <v>119.379837585241</v>
      </c>
      <c r="J612" s="38" t="n">
        <f aca="false">Sens!$J$525</f>
        <v>135.319079048844</v>
      </c>
      <c r="K612" s="38" t="n">
        <f aca="false">Sens!$K$525</f>
        <v>148.850986953729</v>
      </c>
      <c r="L612" s="38" t="n">
        <f aca="false">Sens!$L$525</f>
        <v>163.736085649102</v>
      </c>
      <c r="M612" s="38" t="n">
        <f aca="false">Sens!$M$525</f>
        <v>180.109694214012</v>
      </c>
      <c r="N612" s="38" t="n">
        <f aca="false">Sens!$N$525</f>
        <v>29.615</v>
      </c>
      <c r="O612" s="38" t="n">
        <f aca="false">Sens!$O$525</f>
        <v>39.02</v>
      </c>
    </row>
    <row r="613" customFormat="false" ht="15" hidden="false" customHeight="false" outlineLevel="0" collapsed="false">
      <c r="A613" s="0" t="s">
        <v>483</v>
      </c>
      <c r="B613" s="0" t="s">
        <v>73</v>
      </c>
      <c r="C613" s="38" t="n">
        <f aca="false">Sens!$C$527</f>
        <v>44.374</v>
      </c>
      <c r="D613" s="38" t="n">
        <f aca="false">Sens!$D$527</f>
        <v>49.619</v>
      </c>
      <c r="E613" s="38" t="n">
        <f aca="false">Sens!$E$527</f>
        <v>27.157</v>
      </c>
      <c r="F613" s="38" t="n">
        <f aca="false">Sens!$F$527</f>
        <v>28.9776360923374</v>
      </c>
      <c r="G613" s="38" t="n">
        <f aca="false">Sens!$G$527</f>
        <v>56.1346360923374</v>
      </c>
      <c r="H613" s="38" t="n">
        <f aca="false">Sens!$H$527</f>
        <v>62.4937078946075</v>
      </c>
      <c r="I613" s="38" t="n">
        <f aca="false">Sens!$I$527</f>
        <v>68.6715233062498</v>
      </c>
      <c r="J613" s="38" t="n">
        <f aca="false">Sens!$J$527</f>
        <v>74.4692882949818</v>
      </c>
      <c r="K613" s="38" t="n">
        <f aca="false">Sens!$K$527</f>
        <v>79.6821384756306</v>
      </c>
      <c r="L613" s="38" t="n">
        <f aca="false">Sens!$L$527</f>
        <v>85.2598881689247</v>
      </c>
      <c r="M613" s="38" t="n">
        <f aca="false">Sens!$M$527</f>
        <v>91.2280803407494</v>
      </c>
      <c r="N613" s="38" t="n">
        <f aca="false">Sens!$N$527</f>
        <v>23.923</v>
      </c>
      <c r="O613" s="38" t="n">
        <f aca="false">Sens!$O$527</f>
        <v>25.696</v>
      </c>
    </row>
    <row r="614" customFormat="false" ht="15" hidden="false" customHeight="false" outlineLevel="0" collapsed="false">
      <c r="A614" s="0" t="s">
        <v>484</v>
      </c>
      <c r="B614" s="0" t="s">
        <v>73</v>
      </c>
      <c r="C614" s="38" t="n">
        <f aca="false">Sens!$C$529</f>
        <v>5.425</v>
      </c>
      <c r="D614" s="38" t="n">
        <f aca="false">Sens!$D$529</f>
        <v>5.935</v>
      </c>
      <c r="E614" s="38" t="n">
        <f aca="false">Sens!$E$529</f>
        <v>3.474</v>
      </c>
      <c r="F614" s="38" t="n">
        <f aca="false">Sens!$F$529</f>
        <v>3.36182431966931</v>
      </c>
      <c r="G614" s="38" t="n">
        <f aca="false">Sens!$G$529</f>
        <v>6.83582431966931</v>
      </c>
      <c r="H614" s="38" t="n">
        <f aca="false">Sens!$H$529</f>
        <v>7.31157108370141</v>
      </c>
      <c r="I614" s="38" t="n">
        <f aca="false">Sens!$I$529</f>
        <v>7.77266852639815</v>
      </c>
      <c r="J614" s="38" t="n">
        <f aca="false">Sens!$J$529</f>
        <v>8.2120733019884</v>
      </c>
      <c r="K614" s="38" t="n">
        <f aca="false">Sens!$K$529</f>
        <v>8.62267696708783</v>
      </c>
      <c r="L614" s="38" t="n">
        <f aca="false">Sens!$L$529</f>
        <v>9.05381081544222</v>
      </c>
      <c r="M614" s="38" t="n">
        <f aca="false">Sens!$M$529</f>
        <v>9.50650135621433</v>
      </c>
      <c r="N614" s="38" t="n">
        <f aca="false">Sens!$N$529</f>
        <v>2.811</v>
      </c>
      <c r="O614" s="38" t="n">
        <f aca="false">Sens!$O$529</f>
        <v>3.124</v>
      </c>
    </row>
    <row r="615" customFormat="false" ht="17.15" hidden="false" customHeight="false" outlineLevel="0" collapsed="false">
      <c r="A615" s="0" t="s">
        <v>669</v>
      </c>
      <c r="B615" s="0" t="s">
        <v>73</v>
      </c>
      <c r="C615" s="38" t="n">
        <f aca="false">Sens!$C$596</f>
        <v>107.556</v>
      </c>
      <c r="D615" s="38" t="n">
        <f aca="false">Sens!$D$596</f>
        <v>128.725</v>
      </c>
      <c r="E615" s="38" t="n">
        <f aca="false">Sens!$E$596</f>
        <v>79.819</v>
      </c>
      <c r="F615" s="38" t="n">
        <f aca="false">Sens!$F$596</f>
        <v>96.1617139082042</v>
      </c>
      <c r="G615" s="38" t="n">
        <f aca="false">Sens!$G$596</f>
        <v>175.980713908204</v>
      </c>
      <c r="H615" s="38" t="n">
        <f aca="false">Sens!$H$596</f>
        <v>262.312556558291</v>
      </c>
      <c r="I615" s="38" t="n">
        <f aca="false">Sens!$I$596</f>
        <v>355.341420483115</v>
      </c>
      <c r="J615" s="38" t="n">
        <f aca="false">Sens!$J$596</f>
        <v>444.647447542304</v>
      </c>
      <c r="K615" s="38" t="n">
        <f aca="false">Sens!$K$596</f>
        <v>527.208704242311</v>
      </c>
      <c r="L615" s="38" t="n">
        <f aca="false">Sens!$L$596</f>
        <v>611.325563561223</v>
      </c>
      <c r="M615" s="38" t="n">
        <f aca="false">Sens!$M$596</f>
        <v>697.099377310623</v>
      </c>
      <c r="N615" s="38" t="n">
        <f aca="false">Sens!$N$596</f>
        <v>60.14</v>
      </c>
      <c r="O615" s="38" t="n">
        <f aca="false">Sens!$O$596</f>
        <v>68.585</v>
      </c>
    </row>
    <row r="616" customFormat="false" ht="15" hidden="false" customHeight="false" outlineLevel="0" collapsed="false">
      <c r="A616" s="1" t="s">
        <v>472</v>
      </c>
      <c r="B616" s="8" t="s">
        <v>73</v>
      </c>
      <c r="C616" s="38" t="n">
        <f aca="false">Sens!$C$533</f>
        <v>387.497</v>
      </c>
      <c r="D616" s="38" t="n">
        <f aca="false">Sens!$D$533</f>
        <v>426.305</v>
      </c>
      <c r="E616" s="38" t="n">
        <f aca="false">Sens!$E$533</f>
        <v>220.32</v>
      </c>
      <c r="F616" s="38" t="n">
        <f aca="false">Sens!$F$533</f>
        <v>256.304015003807</v>
      </c>
      <c r="G616" s="38" t="n">
        <f aca="false">Sens!$G$533</f>
        <v>476.624015003807</v>
      </c>
      <c r="H616" s="38" t="n">
        <f aca="false">Sens!$H$533</f>
        <v>527.734391091543</v>
      </c>
      <c r="I616" s="38" t="n">
        <f aca="false">Sens!$I$533</f>
        <v>577.157693029577</v>
      </c>
      <c r="J616" s="38" t="n">
        <f aca="false">Sens!$J$533</f>
        <v>623.024923663827</v>
      </c>
      <c r="K616" s="38" t="n">
        <f aca="false">Sens!$K$533</f>
        <v>663.382568393781</v>
      </c>
      <c r="L616" s="38" t="n">
        <f aca="false">Sens!$L$533</f>
        <v>706.564873010432</v>
      </c>
      <c r="M616" s="38" t="n">
        <f aca="false">Sens!$M$533</f>
        <v>752.784687406019</v>
      </c>
      <c r="N616" s="38" t="n">
        <f aca="false">Sens!$N$533</f>
        <v>192.955</v>
      </c>
      <c r="O616" s="38" t="n">
        <f aca="false">Sens!$O$533</f>
        <v>233.35</v>
      </c>
    </row>
    <row r="617" customFormat="false" ht="15" hidden="false" customHeight="false" outlineLevel="0" collapsed="false">
      <c r="A617" s="1" t="s">
        <v>475</v>
      </c>
      <c r="B617" s="8" t="s">
        <v>73</v>
      </c>
      <c r="C617" s="38" t="n">
        <f aca="false">Sens!$C$534</f>
        <v>142.906</v>
      </c>
      <c r="D617" s="38" t="n">
        <f aca="false">Sens!$D$534</f>
        <v>161.894</v>
      </c>
      <c r="E617" s="38" t="n">
        <f aca="false">Sens!$E$534</f>
        <v>81.986</v>
      </c>
      <c r="F617" s="38" t="n">
        <f aca="false">Sens!$F$534</f>
        <v>100.632414204623</v>
      </c>
      <c r="G617" s="38" t="n">
        <f aca="false">Sens!$G$534</f>
        <v>182.618414204623</v>
      </c>
      <c r="H617" s="38" t="n">
        <f aca="false">Sens!$H$534</f>
        <v>202.201346530158</v>
      </c>
      <c r="I617" s="38" t="n">
        <f aca="false">Sens!$I$534</f>
        <v>221.137876668296</v>
      </c>
      <c r="J617" s="38" t="n">
        <f aca="false">Sens!$J$534</f>
        <v>238.711898661958</v>
      </c>
      <c r="K617" s="38" t="n">
        <f aca="false">Sens!$K$534</f>
        <v>254.174923708144</v>
      </c>
      <c r="L617" s="38" t="n">
        <f aca="false">Sens!$L$534</f>
        <v>270.720216732733</v>
      </c>
      <c r="M617" s="38" t="n">
        <f aca="false">Sens!$M$534</f>
        <v>288.429331137484</v>
      </c>
      <c r="N617" s="38" t="n">
        <f aca="false">Sens!$N$534</f>
        <v>70.274</v>
      </c>
      <c r="O617" s="38" t="n">
        <f aca="false">Sens!$O$534</f>
        <v>91.62</v>
      </c>
    </row>
    <row r="618" customFormat="false" ht="15" hidden="false" customHeight="false" outlineLevel="0" collapsed="false">
      <c r="A618" s="1" t="s">
        <v>476</v>
      </c>
      <c r="B618" s="8" t="s">
        <v>73</v>
      </c>
      <c r="C618" s="38" t="n">
        <f aca="false">Sens!$C$596</f>
        <v>107.556</v>
      </c>
      <c r="D618" s="38" t="n">
        <f aca="false">Sens!$D$596</f>
        <v>128.725</v>
      </c>
      <c r="E618" s="38" t="n">
        <f aca="false">Sens!$E$596</f>
        <v>79.819</v>
      </c>
      <c r="F618" s="38" t="n">
        <f aca="false">Sens!$F$596</f>
        <v>96.1617139082042</v>
      </c>
      <c r="G618" s="38" t="n">
        <f aca="false">Sens!$G$596</f>
        <v>175.980713908204</v>
      </c>
      <c r="H618" s="38" t="n">
        <f aca="false">Sens!$H$596</f>
        <v>262.312556558291</v>
      </c>
      <c r="I618" s="38" t="n">
        <f aca="false">Sens!$I$596</f>
        <v>355.341420483115</v>
      </c>
      <c r="J618" s="38" t="n">
        <f aca="false">Sens!$J$596</f>
        <v>444.647447542304</v>
      </c>
      <c r="K618" s="38" t="n">
        <f aca="false">Sens!$K$596</f>
        <v>527.208704242311</v>
      </c>
      <c r="L618" s="38" t="n">
        <f aca="false">Sens!$L$596</f>
        <v>611.325563561223</v>
      </c>
      <c r="M618" s="38" t="n">
        <f aca="false">Sens!$M$596</f>
        <v>697.099377310623</v>
      </c>
      <c r="N618" s="38" t="n">
        <f aca="false">Sens!$N$596</f>
        <v>60.14</v>
      </c>
      <c r="O618" s="38" t="n">
        <f aca="false">Sens!$O$596</f>
        <v>68.585</v>
      </c>
    </row>
    <row r="619" customFormat="false" ht="17.15" hidden="false" customHeight="false" outlineLevel="0" collapsed="false">
      <c r="A619" s="0" t="s">
        <v>643</v>
      </c>
      <c r="B619" s="0" t="s">
        <v>73</v>
      </c>
      <c r="C619" s="38" t="n">
        <f aca="false">Sens!$C$594</f>
        <v>2.32100535697364</v>
      </c>
      <c r="D619" s="38" t="n">
        <f aca="false">Sens!$D$594</f>
        <v>8.70377008865116</v>
      </c>
      <c r="E619" s="38" t="n">
        <f aca="false">Sens!$E$594</f>
        <v>8.51035297557002</v>
      </c>
      <c r="F619" s="38" t="n">
        <f aca="false">Sens!$F$594</f>
        <v>17.5667034895389</v>
      </c>
      <c r="G619" s="38" t="n">
        <f aca="false">Sens!$G$594</f>
        <v>26.077056465109</v>
      </c>
      <c r="H619" s="38" t="n">
        <f aca="false">Sens!$H$594</f>
        <v>81.4189957901494</v>
      </c>
      <c r="I619" s="38" t="n">
        <f aca="false">Sens!$I$594</f>
        <v>144.693023268105</v>
      </c>
      <c r="J619" s="38" t="n">
        <f aca="false">Sens!$J$594</f>
        <v>208.248538095809</v>
      </c>
      <c r="K619" s="38" t="n">
        <f aca="false">Sens!$K$594</f>
        <v>271.897882040097</v>
      </c>
      <c r="L619" s="38" t="n">
        <f aca="false">Sens!$L$594</f>
        <v>335.589875582831</v>
      </c>
      <c r="M619" s="38" t="n">
        <f aca="false">Sens!$M$594</f>
        <v>399.30483429396</v>
      </c>
      <c r="N619" s="38" t="n">
        <f aca="false">Sens!$N$594</f>
        <v>3.04631953102791</v>
      </c>
      <c r="O619" s="38" t="n">
        <f aca="false">Sens!$O$594</f>
        <v>5.65745055762326</v>
      </c>
    </row>
    <row r="620" customFormat="false" ht="17.15" hidden="false" customHeight="false" outlineLevel="0" collapsed="false">
      <c r="A620" s="0" t="s">
        <v>645</v>
      </c>
      <c r="B620" s="0" t="s">
        <v>73</v>
      </c>
      <c r="C620" s="38" t="n">
        <f aca="false">Sens!$C$595</f>
        <v>105.234994643026</v>
      </c>
      <c r="D620" s="38" t="n">
        <f aca="false">Sens!$D$595</f>
        <v>120.021229911349</v>
      </c>
      <c r="E620" s="38" t="n">
        <f aca="false">Sens!$E$595</f>
        <v>71.30864702443</v>
      </c>
      <c r="F620" s="38" t="n">
        <f aca="false">Sens!$F$595</f>
        <v>78.5950104186653</v>
      </c>
      <c r="G620" s="38" t="n">
        <f aca="false">Sens!$G$595</f>
        <v>149.903657443095</v>
      </c>
      <c r="H620" s="38" t="n">
        <f aca="false">Sens!$H$595</f>
        <v>180.893560768142</v>
      </c>
      <c r="I620" s="38" t="n">
        <f aca="false">Sens!$I$595</f>
        <v>210.64839721501</v>
      </c>
      <c r="J620" s="38" t="n">
        <f aca="false">Sens!$J$595</f>
        <v>236.398909446495</v>
      </c>
      <c r="K620" s="38" t="n">
        <f aca="false">Sens!$K$595</f>
        <v>255.310822202215</v>
      </c>
      <c r="L620" s="38" t="n">
        <f aca="false">Sens!$L$595</f>
        <v>275.735687978392</v>
      </c>
      <c r="M620" s="38" t="n">
        <f aca="false">Sens!$M$595</f>
        <v>297.794543016663</v>
      </c>
      <c r="N620" s="38" t="n">
        <f aca="false">Sens!$N$595</f>
        <v>57.0936804689721</v>
      </c>
      <c r="O620" s="38" t="n">
        <f aca="false">Sens!$O$595</f>
        <v>62.9275494423768</v>
      </c>
    </row>
    <row r="621" customFormat="false" ht="15" hidden="false" customHeight="false" outlineLevel="0" collapsed="false">
      <c r="A621" s="3" t="s">
        <v>477</v>
      </c>
      <c r="B621" s="8" t="s">
        <v>73</v>
      </c>
      <c r="C621" s="38" t="n">
        <f aca="false">Sens!$C$597</f>
        <v>637.959</v>
      </c>
      <c r="D621" s="38" t="n">
        <f aca="false">Sens!$D$597</f>
        <v>716.924</v>
      </c>
      <c r="E621" s="38" t="n">
        <f aca="false">Sens!$E$597</f>
        <v>382.125</v>
      </c>
      <c r="F621" s="38" t="n">
        <f aca="false">Sens!$F$597</f>
        <v>453.098143116634</v>
      </c>
      <c r="G621" s="38" t="n">
        <f aca="false">Sens!$G$597</f>
        <v>835.223143116634</v>
      </c>
      <c r="H621" s="38" t="n">
        <f aca="false">Sens!$H$597</f>
        <v>992.248294179992</v>
      </c>
      <c r="I621" s="38" t="n">
        <f aca="false">Sens!$I$597</f>
        <v>1153.63699018099</v>
      </c>
      <c r="J621" s="38" t="n">
        <f aca="false">Sens!$J$597</f>
        <v>1306.38426986809</v>
      </c>
      <c r="K621" s="38" t="n">
        <f aca="false">Sens!$K$597</f>
        <v>1444.76619634424</v>
      </c>
      <c r="L621" s="38" t="n">
        <f aca="false">Sens!$L$597</f>
        <v>1588.61065330439</v>
      </c>
      <c r="M621" s="38" t="n">
        <f aca="false">Sens!$M$597</f>
        <v>1738.31339585413</v>
      </c>
      <c r="N621" s="38" t="n">
        <f aca="false">Sens!$N$597</f>
        <v>323.369</v>
      </c>
      <c r="O621" s="38" t="n">
        <f aca="false">Sens!$O$597</f>
        <v>393.555</v>
      </c>
    </row>
    <row r="622" customFormat="false" ht="17.15" hidden="false" customHeight="false" outlineLevel="0" collapsed="false">
      <c r="A622" s="24" t="s">
        <v>655</v>
      </c>
      <c r="B622" s="25" t="s">
        <v>73</v>
      </c>
      <c r="C622" s="39" t="n">
        <f aca="false">Sens!$C$609+Sens!$C$610+Sens!$C$611+Sens!$C$612+Sens!$C$613+Sens!$C$614-(Sens!$C$616+Sens!$C$617)</f>
        <v>0</v>
      </c>
      <c r="D622" s="39" t="n">
        <f aca="false">Sens!$D$609+Sens!$D$610+Sens!$D$611+Sens!$D$612+Sens!$D$613+Sens!$D$614-(Sens!$D$616+Sens!$D$617)</f>
        <v>0</v>
      </c>
      <c r="E622" s="39" t="n">
        <f aca="false">Sens!$E$609+Sens!$E$610+Sens!$E$611+Sens!$E$612+Sens!$E$613+Sens!$E$614-(Sens!$E$616+Sens!$E$617)</f>
        <v>0</v>
      </c>
      <c r="F622" s="39" t="n">
        <f aca="false">Sens!$F$609+Sens!$F$610+Sens!$F$611+Sens!$F$612+Sens!$F$613+Sens!$F$614-(Sens!$F$616+Sens!$F$617)</f>
        <v>0</v>
      </c>
      <c r="G622" s="39" t="n">
        <f aca="false">Sens!$G$609+Sens!$G$610+Sens!$G$611+Sens!$G$612+Sens!$G$613+Sens!$G$614-(Sens!$G$616+Sens!$G$617)</f>
        <v>0</v>
      </c>
      <c r="H622" s="39" t="n">
        <f aca="false">Sens!$H$609+Sens!$H$610+Sens!$H$611+Sens!$H$612+Sens!$H$613+Sens!$H$614-(Sens!$H$616+Sens!$H$617)</f>
        <v>0</v>
      </c>
      <c r="I622" s="39" t="n">
        <f aca="false">Sens!$I$609+Sens!$I$610+Sens!$I$611+Sens!$I$612+Sens!$I$613+Sens!$I$614-(Sens!$I$616+Sens!$I$617)</f>
        <v>0</v>
      </c>
      <c r="J622" s="39" t="n">
        <f aca="false">Sens!$J$609+Sens!$J$610+Sens!$J$611+Sens!$J$612+Sens!$J$613+Sens!$J$614-(Sens!$J$616+Sens!$J$617)</f>
        <v>0</v>
      </c>
      <c r="K622" s="39" t="n">
        <f aca="false">Sens!$K$609+Sens!$K$610+Sens!$K$611+Sens!$K$612+Sens!$K$613+Sens!$K$614-(Sens!$K$616+Sens!$K$617)</f>
        <v>0</v>
      </c>
      <c r="L622" s="39" t="n">
        <f aca="false">Sens!$L$609+Sens!$L$610+Sens!$L$611+Sens!$L$612+Sens!$L$613+Sens!$L$614-(Sens!$L$616+Sens!$L$617)</f>
        <v>0</v>
      </c>
      <c r="M622" s="39" t="n">
        <f aca="false">Sens!$M$609+Sens!$M$610+Sens!$M$611+Sens!$M$612+Sens!$M$613+Sens!$M$614-(Sens!$M$616+Sens!$M$617)</f>
        <v>0</v>
      </c>
      <c r="N622" s="39" t="n">
        <f aca="false">Sens!$N$609+Sens!$N$610+Sens!$N$611+Sens!$N$612+Sens!$N$613+Sens!$N$614-(Sens!$N$616+Sens!$N$617)</f>
        <v>0</v>
      </c>
      <c r="O622" s="39" t="n">
        <f aca="false">Sens!$O$609+Sens!$O$610+Sens!$O$611+Sens!$O$612+Sens!$O$613+Sens!$O$614-(Sens!$O$616+Sens!$O$617)</f>
        <v>0</v>
      </c>
    </row>
    <row r="623" customFormat="false" ht="17.15" hidden="false" customHeight="false" outlineLevel="0" collapsed="false">
      <c r="A623" s="24" t="s">
        <v>656</v>
      </c>
      <c r="B623" s="25" t="s">
        <v>73</v>
      </c>
      <c r="C623" s="39" t="n">
        <f aca="false">Sens!$C$619+Sens!$C$620-Sens!$C$618</f>
        <v>0</v>
      </c>
      <c r="D623" s="39" t="n">
        <f aca="false">Sens!$D$619+Sens!$D$620-Sens!$D$618</f>
        <v>0</v>
      </c>
      <c r="E623" s="39" t="n">
        <f aca="false">Sens!$E$619+Sens!$E$620-Sens!$E$618</f>
        <v>0</v>
      </c>
      <c r="F623" s="39" t="n">
        <f aca="false">Sens!$F$619+Sens!$F$620-Sens!$F$618</f>
        <v>0</v>
      </c>
      <c r="G623" s="39" t="n">
        <f aca="false">Sens!$G$619+Sens!$G$620-Sens!$G$618</f>
        <v>0</v>
      </c>
      <c r="H623" s="39" t="n">
        <f aca="false">Sens!$H$619+Sens!$H$620-Sens!$H$618</f>
        <v>0</v>
      </c>
      <c r="I623" s="39" t="n">
        <f aca="false">Sens!$I$619+Sens!$I$620-Sens!$I$618</f>
        <v>0</v>
      </c>
      <c r="J623" s="39" t="n">
        <f aca="false">Sens!$J$619+Sens!$J$620-Sens!$J$618</f>
        <v>0</v>
      </c>
      <c r="K623" s="39" t="n">
        <f aca="false">Sens!$K$619+Sens!$K$620-Sens!$K$618</f>
        <v>0</v>
      </c>
      <c r="L623" s="39" t="n">
        <f aca="false">Sens!$L$619+Sens!$L$620-Sens!$L$618</f>
        <v>0</v>
      </c>
      <c r="M623" s="39" t="n">
        <f aca="false">Sens!$M$619+Sens!$M$620-Sens!$M$618</f>
        <v>0</v>
      </c>
      <c r="N623" s="39" t="n">
        <f aca="false">Sens!$N$619+Sens!$N$620-Sens!$N$618</f>
        <v>0</v>
      </c>
      <c r="O623" s="39" t="n">
        <f aca="false">Sens!$O$619+Sens!$O$620-Sens!$O$618</f>
        <v>0</v>
      </c>
    </row>
    <row r="624" customFormat="false" ht="17.15" hidden="false" customHeight="false" outlineLevel="0" collapsed="false">
      <c r="A624" s="24" t="s">
        <v>710</v>
      </c>
      <c r="B624" s="25" t="s">
        <v>73</v>
      </c>
      <c r="C624" s="39" t="n">
        <f aca="false">Sens!$C$609+Sens!$C$610+Sens!$C$611+Sens!$C$612+Sens!$C$613+Sens!$C$614+Sens!$C$615-Sens!$C$621</f>
        <v>0</v>
      </c>
      <c r="D624" s="39" t="n">
        <f aca="false">Sens!$D$609+Sens!$D$610+Sens!$D$611+Sens!$D$612+Sens!$D$613+Sens!$D$614+Sens!$D$615-Sens!$D$621</f>
        <v>0</v>
      </c>
      <c r="E624" s="39" t="n">
        <f aca="false">Sens!$E$609+Sens!$E$610+Sens!$E$611+Sens!$E$612+Sens!$E$613+Sens!$E$614+Sens!$E$615-Sens!$E$621</f>
        <v>0</v>
      </c>
      <c r="F624" s="39" t="n">
        <f aca="false">Sens!$F$609+Sens!$F$610+Sens!$F$611+Sens!$F$612+Sens!$F$613+Sens!$F$614+Sens!$F$615-Sens!$F$621</f>
        <v>0</v>
      </c>
      <c r="G624" s="39" t="n">
        <f aca="false">Sens!$G$609+Sens!$G$610+Sens!$G$611+Sens!$G$612+Sens!$G$613+Sens!$G$614+Sens!$G$615-Sens!$G$621</f>
        <v>0</v>
      </c>
      <c r="H624" s="39" t="n">
        <f aca="false">Sens!$H$609+Sens!$H$610+Sens!$H$611+Sens!$H$612+Sens!$H$613+Sens!$H$614+Sens!$H$615-Sens!$H$621</f>
        <v>0</v>
      </c>
      <c r="I624" s="39" t="n">
        <f aca="false">Sens!$I$609+Sens!$I$610+Sens!$I$611+Sens!$I$612+Sens!$I$613+Sens!$I$614+Sens!$I$615-Sens!$I$621</f>
        <v>0</v>
      </c>
      <c r="J624" s="39" t="n">
        <f aca="false">Sens!$J$609+Sens!$J$610+Sens!$J$611+Sens!$J$612+Sens!$J$613+Sens!$J$614+Sens!$J$615-Sens!$J$621</f>
        <v>0</v>
      </c>
      <c r="K624" s="39" t="n">
        <f aca="false">Sens!$K$609+Sens!$K$610+Sens!$K$611+Sens!$K$612+Sens!$K$613+Sens!$K$614+Sens!$K$615-Sens!$K$621</f>
        <v>0</v>
      </c>
      <c r="L624" s="39" t="n">
        <f aca="false">Sens!$L$609+Sens!$L$610+Sens!$L$611+Sens!$L$612+Sens!$L$613+Sens!$L$614+Sens!$L$615-Sens!$L$621</f>
        <v>0</v>
      </c>
      <c r="M624" s="39" t="n">
        <f aca="false">Sens!$M$609+Sens!$M$610+Sens!$M$611+Sens!$M$612+Sens!$M$613+Sens!$M$614+Sens!$M$615-Sens!$M$621</f>
        <v>0</v>
      </c>
      <c r="N624" s="39" t="n">
        <f aca="false">Sens!$N$609+Sens!$N$610+Sens!$N$611+Sens!$N$612+Sens!$N$613+Sens!$N$614+Sens!$N$615-Sens!$N$621</f>
        <v>0</v>
      </c>
      <c r="O624" s="39" t="n">
        <f aca="false">Sens!$O$609+Sens!$O$610+Sens!$O$611+Sens!$O$612+Sens!$O$613+Sens!$O$614+Sens!$O$615-Sens!$O$621</f>
        <v>0</v>
      </c>
    </row>
    <row r="625" customFormat="false" ht="17.15" hidden="false" customHeight="false" outlineLevel="0" collapsed="false">
      <c r="A625" s="24" t="s">
        <v>657</v>
      </c>
      <c r="B625" s="25" t="s">
        <v>73</v>
      </c>
      <c r="C625" s="39" t="n">
        <f aca="false">Sens!$C$616+Sens!$C$617+Sens!$C$618-Sens!$C$621</f>
        <v>0</v>
      </c>
      <c r="D625" s="39" t="n">
        <f aca="false">Sens!$D$616+Sens!$D$617+Sens!$D$618-Sens!$D$621</f>
        <v>0</v>
      </c>
      <c r="E625" s="39" t="n">
        <f aca="false">Sens!$E$616+Sens!$E$617+Sens!$E$618-Sens!$E$621</f>
        <v>0</v>
      </c>
      <c r="F625" s="39" t="n">
        <f aca="false">Sens!$F$616+Sens!$F$617+Sens!$F$618-Sens!$F$621</f>
        <v>0</v>
      </c>
      <c r="G625" s="39" t="n">
        <f aca="false">Sens!$G$616+Sens!$G$617+Sens!$G$618-Sens!$G$621</f>
        <v>0</v>
      </c>
      <c r="H625" s="39" t="n">
        <f aca="false">Sens!$H$616+Sens!$H$617+Sens!$H$618-Sens!$H$621</f>
        <v>0</v>
      </c>
      <c r="I625" s="39" t="n">
        <f aca="false">Sens!$I$616+Sens!$I$617+Sens!$I$618-Sens!$I$621</f>
        <v>0</v>
      </c>
      <c r="J625" s="39" t="n">
        <f aca="false">Sens!$J$616+Sens!$J$617+Sens!$J$618-Sens!$J$621</f>
        <v>0</v>
      </c>
      <c r="K625" s="39" t="n">
        <f aca="false">Sens!$K$616+Sens!$K$617+Sens!$K$618-Sens!$K$621</f>
        <v>0</v>
      </c>
      <c r="L625" s="39" t="n">
        <f aca="false">Sens!$L$616+Sens!$L$617+Sens!$L$618-Sens!$L$621</f>
        <v>0</v>
      </c>
      <c r="M625" s="39" t="n">
        <f aca="false">Sens!$M$616+Sens!$M$617+Sens!$M$618-Sens!$M$621</f>
        <v>0</v>
      </c>
      <c r="N625" s="39" t="n">
        <f aca="false">Sens!$N$616+Sens!$N$617+Sens!$N$618-Sens!$N$621</f>
        <v>0</v>
      </c>
      <c r="O625" s="39" t="n">
        <f aca="false">Sens!$O$616+Sens!$O$617+Sens!$O$618-Sens!$O$621</f>
        <v>0</v>
      </c>
    </row>
    <row r="626" customFormat="false" ht="17.15" hidden="false" customHeight="false" outlineLevel="0" collapsed="false">
      <c r="A626" s="1" t="s">
        <v>671</v>
      </c>
    </row>
    <row r="627" customFormat="false" ht="17.15" hidden="false" customHeight="false" outlineLevel="0" collapsed="false">
      <c r="A627" s="0" t="s">
        <v>672</v>
      </c>
      <c r="B627" s="0" t="s">
        <v>73</v>
      </c>
      <c r="C627" s="38" t="n">
        <f aca="false">Sens!$C$535*m_ad</f>
        <v>20.5341564414228</v>
      </c>
      <c r="D627" s="38" t="n">
        <f aca="false">Sens!$D$535*m_ad</f>
        <v>24.8720617299587</v>
      </c>
      <c r="E627" s="38" t="n">
        <f aca="false">Sens!$E$535*m_ad</f>
        <v>13.5017112462207</v>
      </c>
      <c r="F627" s="38" t="n">
        <f aca="false">Sens!$F$535*m_ad</f>
        <v>17.2886442824599</v>
      </c>
      <c r="G627" s="38" t="n">
        <f aca="false">Sens!$G$535*m_ad</f>
        <v>30.8011958765886</v>
      </c>
      <c r="H627" s="38" t="n">
        <f aca="false">Sens!$H$535*m_ad</f>
        <v>36.978409366026</v>
      </c>
      <c r="I627" s="38" t="n">
        <f aca="false">Sens!$I$535*m_ad</f>
        <v>43.155063281273</v>
      </c>
      <c r="J627" s="38" t="n">
        <f aca="false">Sens!$J$535*m_ad</f>
        <v>48.9169991988532</v>
      </c>
      <c r="K627" s="38" t="n">
        <f aca="false">Sens!$K$535*m_ad</f>
        <v>53.8086991187386</v>
      </c>
      <c r="L627" s="38" t="n">
        <f aca="false">Sens!$L$535*m_ad</f>
        <v>59.1895690306124</v>
      </c>
      <c r="M627" s="38" t="n">
        <f aca="false">Sens!$M$535*m_ad</f>
        <v>65.1085259336737</v>
      </c>
      <c r="N627" s="38" t="n">
        <f aca="false">Sens!$N$535*m_ad</f>
        <v>10.8543555706248</v>
      </c>
      <c r="O627" s="38" t="n">
        <f aca="false">Sens!$O$535*m_ad</f>
        <v>14.0094731821399</v>
      </c>
    </row>
    <row r="628" customFormat="false" ht="17.15" hidden="false" customHeight="false" outlineLevel="0" collapsed="false">
      <c r="A628" s="0" t="s">
        <v>673</v>
      </c>
      <c r="B628" s="0" t="s">
        <v>73</v>
      </c>
      <c r="C628" s="38" t="n">
        <f aca="false">Sens!$C$533-Sens!$C$535</f>
        <v>346.428687117154</v>
      </c>
      <c r="D628" s="38" t="n">
        <f aca="false">Sens!$D$533-Sens!$D$535</f>
        <v>376.560876540083</v>
      </c>
      <c r="E628" s="38" t="n">
        <f aca="false">Sens!$E$533-Sens!$E$535</f>
        <v>193.316577507559</v>
      </c>
      <c r="F628" s="38" t="n">
        <f aca="false">Sens!$F$533-Sens!$F$535</f>
        <v>221.726726438887</v>
      </c>
      <c r="G628" s="38" t="n">
        <f aca="false">Sens!$G$533-Sens!$G$535</f>
        <v>415.02162325063</v>
      </c>
      <c r="H628" s="38" t="n">
        <f aca="false">Sens!$H$533-Sens!$H$535</f>
        <v>453.777572359491</v>
      </c>
      <c r="I628" s="38" t="n">
        <f aca="false">Sens!$I$533-Sens!$I$535</f>
        <v>490.847566467031</v>
      </c>
      <c r="J628" s="38" t="n">
        <f aca="false">Sens!$J$533-Sens!$J$535</f>
        <v>525.190925266121</v>
      </c>
      <c r="K628" s="38" t="n">
        <f aca="false">Sens!$K$533-Sens!$K$535</f>
        <v>555.765170156304</v>
      </c>
      <c r="L628" s="38" t="n">
        <f aca="false">Sens!$L$533-Sens!$L$535</f>
        <v>588.185734949207</v>
      </c>
      <c r="M628" s="38" t="n">
        <f aca="false">Sens!$M$533-Sens!$M$535</f>
        <v>622.567635538672</v>
      </c>
      <c r="N628" s="38" t="n">
        <f aca="false">Sens!$N$533-Sens!$N$535</f>
        <v>171.24628885875</v>
      </c>
      <c r="O628" s="38" t="n">
        <f aca="false">Sens!$O$533-Sens!$O$535</f>
        <v>205.33105363572</v>
      </c>
    </row>
    <row r="629" customFormat="false" ht="17.15" hidden="false" customHeight="false" outlineLevel="0" collapsed="false">
      <c r="A629" s="0" t="s">
        <v>674</v>
      </c>
      <c r="B629" s="0" t="s">
        <v>73</v>
      </c>
      <c r="C629" s="38" t="n">
        <f aca="false">Sens!$C$580*Sens!$C$532</f>
        <v>0.123617442257179</v>
      </c>
      <c r="D629" s="38" t="n">
        <f aca="false">Sens!$D$580*Sens!$D$532</f>
        <v>0.874366899302609</v>
      </c>
      <c r="E629" s="38" t="n">
        <f aca="false">Sens!$E$580*Sens!$E$532</f>
        <v>1.29318830502574</v>
      </c>
      <c r="F629" s="38" t="n">
        <f aca="false">Sens!$F$580*Sens!$F$532</f>
        <v>1.51802024162534</v>
      </c>
      <c r="G629" s="38" t="n">
        <f aca="false">Sens!$G$580*Sens!$G$532</f>
        <v>2.81130189308167</v>
      </c>
      <c r="H629" s="38" t="n">
        <f aca="false">Sens!$H$580*Sens!$H$532</f>
        <v>7.38966789318209</v>
      </c>
      <c r="I629" s="38" t="n">
        <f aca="false">Sens!$I$580*Sens!$I$532</f>
        <v>12.8987443661473</v>
      </c>
      <c r="J629" s="38" t="n">
        <f aca="false">Sens!$J$580*Sens!$J$532</f>
        <v>18.5570025453645</v>
      </c>
      <c r="K629" s="38" t="n">
        <f aca="false">Sens!$K$580*Sens!$K$532</f>
        <v>24.3158972773405</v>
      </c>
      <c r="L629" s="38" t="n">
        <f aca="false">Sens!$L$580*Sens!$L$532</f>
        <v>29.7827375558674</v>
      </c>
      <c r="M629" s="38" t="n">
        <f aca="false">Sens!$M$580*Sens!$M$532</f>
        <v>35.3532344973194</v>
      </c>
      <c r="N629" s="38" t="n">
        <f aca="false">Sens!$N$580*Sens!$N$532</f>
        <v>0.389180508437431</v>
      </c>
      <c r="O629" s="38" t="n">
        <f aca="false">Sens!$O$580*Sens!$O$532</f>
        <v>0.485052120082802</v>
      </c>
    </row>
    <row r="630" customFormat="false" ht="17.15" hidden="false" customHeight="false" outlineLevel="0" collapsed="false">
      <c r="A630" s="0" t="s">
        <v>675</v>
      </c>
      <c r="B630" s="0" t="s">
        <v>52</v>
      </c>
      <c r="C630" s="28" t="n">
        <f aca="false">(Sens!$C$631-Sens!$C$627+Sens!$C$629)/Sens!$C$628</f>
        <v>0.0131526665379575</v>
      </c>
      <c r="D630" s="28" t="n">
        <f aca="false">(Sens!$D$631-Sens!$D$627+Sens!$D$629)/Sens!$D$628</f>
        <v>0.0149280116962589</v>
      </c>
      <c r="E630" s="28" t="n">
        <f aca="false">(Sens!$E$631-Sens!$E$627+Sens!$E$629)/Sens!$E$628</f>
        <v>0.0268030663774938</v>
      </c>
      <c r="F630" s="28" t="n">
        <f aca="false">Sens!$O$630+(Sens!$E$630-Sens!$N$630)</f>
        <v>0.0232379346966962</v>
      </c>
      <c r="G630" s="28" t="n">
        <f aca="false">(Sens!$G$631-Sens!$G$627+Sens!$G$629)/Sens!$G$628</f>
        <v>0.0248738876928168</v>
      </c>
      <c r="H630" s="28" t="n">
        <f aca="false">Sens!$G$630+step_na</f>
        <v>0.0278738876928168</v>
      </c>
      <c r="I630" s="28" t="n">
        <f aca="false">Sens!$H$630+step_na</f>
        <v>0.0308738876928168</v>
      </c>
      <c r="J630" s="28" t="n">
        <f aca="false">Sens!$I$630+step_na</f>
        <v>0.0338738876928168</v>
      </c>
      <c r="K630" s="28" t="n">
        <f aca="false">Sens!$J$630+step_na</f>
        <v>0.0368738876928168</v>
      </c>
      <c r="L630" s="28" t="n">
        <f aca="false">Sens!$K$630</f>
        <v>0.0368738876928168</v>
      </c>
      <c r="M630" s="28" t="n">
        <f aca="false">Sens!$L$630</f>
        <v>0.0368738876928168</v>
      </c>
      <c r="N630" s="28" t="n">
        <f aca="false">(Sens!$N$631-Sens!$N$627+Sens!$N$629)/Sens!$N$628</f>
        <v>0.0168927744775755</v>
      </c>
      <c r="O630" s="28" t="n">
        <f aca="false">(Sens!$O$631-Sens!$O$627+Sens!$O$629)/Sens!$O$628</f>
        <v>0.0133276427967779</v>
      </c>
      <c r="P630" s="8" t="s">
        <v>676</v>
      </c>
    </row>
    <row r="631" customFormat="false" ht="17.15" hidden="false" customHeight="false" outlineLevel="0" collapsed="false">
      <c r="A631" s="1" t="s">
        <v>677</v>
      </c>
      <c r="B631" s="8" t="s">
        <v>73</v>
      </c>
      <c r="C631" s="38" t="n">
        <f aca="false">Q!$D$22</f>
        <v>24.967</v>
      </c>
      <c r="D631" s="38" t="n">
        <f aca="false">Q!$E$22</f>
        <v>29.619</v>
      </c>
      <c r="E631" s="38" t="n">
        <f aca="false">Q!$P$22</f>
        <v>17.39</v>
      </c>
      <c r="F631" s="38" t="n">
        <f aca="false">Sens!$F$627+Sens!$F$628*Sens!$F$630-Sens!$F$629</f>
        <v>20.9230952303336</v>
      </c>
      <c r="G631" s="38" t="n">
        <f aca="false">Sens!$E$631+Sens!$F$631</f>
        <v>38.3130952303336</v>
      </c>
      <c r="H631" s="38" t="n">
        <f aca="false">Sens!$H$627+Sens!$H$628*Sens!$H$630-Sens!$H$629</f>
        <v>42.2372865623114</v>
      </c>
      <c r="I631" s="38" t="n">
        <f aca="false">Sens!$I$627+Sens!$I$628*Sens!$I$630-Sens!$I$629</f>
        <v>45.4106915565213</v>
      </c>
      <c r="J631" s="38" t="n">
        <f aca="false">Sens!$J$627+Sens!$J$628*Sens!$J$630-Sens!$J$629</f>
        <v>48.1502550732398</v>
      </c>
      <c r="K631" s="38" t="n">
        <f aca="false">Sens!$K$627+Sens!$K$628*Sens!$K$630-Sens!$K$629</f>
        <v>49.9860243093208</v>
      </c>
      <c r="L631" s="38" t="n">
        <f aca="false">Sens!$L$627+Sens!$L$628*Sens!$L$630-Sens!$L$629</f>
        <v>51.095526207779</v>
      </c>
      <c r="M631" s="38" t="n">
        <f aca="false">Sens!$M$627+Sens!$M$628*Sens!$M$630-Sens!$M$629</f>
        <v>52.7117805103898</v>
      </c>
      <c r="N631" s="38" t="n">
        <f aca="false">Q!$N$22</f>
        <v>13.358</v>
      </c>
      <c r="O631" s="38" t="n">
        <f aca="false">Q!$O$22</f>
        <v>16.261</v>
      </c>
    </row>
    <row r="632" customFormat="false" ht="17.15" hidden="false" customHeight="false" outlineLevel="0" collapsed="false">
      <c r="A632" s="0" t="s">
        <v>678</v>
      </c>
      <c r="B632" s="0" t="s">
        <v>73</v>
      </c>
      <c r="C632" s="38" t="n">
        <f aca="false">Sens!$C$536*m_ad</f>
        <v>7.57284355857716</v>
      </c>
      <c r="D632" s="38" t="n">
        <f aca="false">Sens!$D$536*m_ad</f>
        <v>9.44543827004127</v>
      </c>
      <c r="E632" s="38" t="n">
        <f aca="false">Sens!$E$536*m_ad</f>
        <v>5.02428875377928</v>
      </c>
      <c r="F632" s="38" t="n">
        <f aca="false">Sens!$F$536*m_ad</f>
        <v>6.78802480890925</v>
      </c>
      <c r="G632" s="38" t="n">
        <f aca="false">Sens!$G$536*m_ad</f>
        <v>11.8014732147805</v>
      </c>
      <c r="H632" s="38" t="n">
        <f aca="false">Sens!$H$536*m_ad</f>
        <v>14.1682715634442</v>
      </c>
      <c r="I632" s="38" t="n">
        <f aca="false">Sens!$I$536*m_ad</f>
        <v>16.5348555113474</v>
      </c>
      <c r="J632" s="38" t="n">
        <f aca="false">Sens!$J$536*m_ad</f>
        <v>18.7425403255689</v>
      </c>
      <c r="K632" s="38" t="n">
        <f aca="false">Sens!$K$536*m_ad</f>
        <v>20.6167943581258</v>
      </c>
      <c r="L632" s="38" t="n">
        <f aca="false">Sens!$L$536*m_ad</f>
        <v>22.6784737939383</v>
      </c>
      <c r="M632" s="38" t="n">
        <f aca="false">Sens!$M$536*m_ad</f>
        <v>24.9463211733322</v>
      </c>
      <c r="N632" s="38" t="n">
        <f aca="false">Sens!$N$536*m_ad</f>
        <v>3.95314442937518</v>
      </c>
      <c r="O632" s="38" t="n">
        <f aca="false">Sens!$O$536*m_ad</f>
        <v>5.50052681786011</v>
      </c>
    </row>
    <row r="633" customFormat="false" ht="17.15" hidden="false" customHeight="false" outlineLevel="0" collapsed="false">
      <c r="A633" s="0" t="s">
        <v>679</v>
      </c>
      <c r="B633" s="0" t="s">
        <v>73</v>
      </c>
      <c r="C633" s="38" t="n">
        <f aca="false">Sens!$C$534-Sens!$C$536</f>
        <v>127.760312882846</v>
      </c>
      <c r="D633" s="38" t="n">
        <f aca="false">Sens!$D$534-Sens!$D$536</f>
        <v>143.003123459917</v>
      </c>
      <c r="E633" s="38" t="n">
        <f aca="false">Sens!$E$534-Sens!$E$536</f>
        <v>71.9374224924414</v>
      </c>
      <c r="F633" s="38" t="n">
        <f aca="false">Sens!$F$534-Sens!$F$536</f>
        <v>87.0563645868046</v>
      </c>
      <c r="G633" s="38" t="n">
        <f aca="false">Sens!$G$534-Sens!$G$536</f>
        <v>159.015467775062</v>
      </c>
      <c r="H633" s="38" t="n">
        <f aca="false">Sens!$H$534-Sens!$H$536</f>
        <v>173.864803403269</v>
      </c>
      <c r="I633" s="38" t="n">
        <f aca="false">Sens!$I$534-Sens!$I$536</f>
        <v>188.068165645601</v>
      </c>
      <c r="J633" s="38" t="n">
        <f aca="false">Sens!$J$534-Sens!$J$536</f>
        <v>201.22681801082</v>
      </c>
      <c r="K633" s="38" t="n">
        <f aca="false">Sens!$K$534-Sens!$K$536</f>
        <v>212.941334991893</v>
      </c>
      <c r="L633" s="38" t="n">
        <f aca="false">Sens!$L$534-Sens!$L$536</f>
        <v>225.363269144856</v>
      </c>
      <c r="M633" s="38" t="n">
        <f aca="false">Sens!$M$534-Sens!$M$536</f>
        <v>238.536688790819</v>
      </c>
      <c r="N633" s="38" t="n">
        <f aca="false">Sens!$N$534-Sens!$N$536</f>
        <v>62.3677111412496</v>
      </c>
      <c r="O633" s="38" t="n">
        <f aca="false">Sens!$O$534-Sens!$O$536</f>
        <v>80.6189463642798</v>
      </c>
    </row>
    <row r="634" customFormat="false" ht="17.15" hidden="false" customHeight="false" outlineLevel="0" collapsed="false">
      <c r="A634" s="0" t="s">
        <v>680</v>
      </c>
      <c r="B634" s="0" t="s">
        <v>73</v>
      </c>
      <c r="C634" s="38" t="n">
        <f aca="false">Sens!$C$580*(1-Sens!$C$532)</f>
        <v>0.0455891896019953</v>
      </c>
      <c r="D634" s="38" t="n">
        <f aca="false">Sens!$D$580*(1-Sens!$D$532)</f>
        <v>0.332050421167231</v>
      </c>
      <c r="E634" s="38" t="n">
        <f aca="false">Sens!$E$580*(1-Sens!$E$532)</f>
        <v>0.481224293644882</v>
      </c>
      <c r="F634" s="38" t="n">
        <f aca="false">Sens!$F$580*(1-Sens!$F$532)</f>
        <v>0.596018918096053</v>
      </c>
      <c r="G634" s="38" t="n">
        <f aca="false">Sens!$G$580*(1-Sens!$G$532)</f>
        <v>1.07714986531035</v>
      </c>
      <c r="H634" s="38" t="n">
        <f aca="false">Sens!$H$580*(1-Sens!$H$532)</f>
        <v>2.83135005721638</v>
      </c>
      <c r="I634" s="38" t="n">
        <f aca="false">Sens!$I$580*(1-Sens!$I$532)</f>
        <v>4.9421518161602</v>
      </c>
      <c r="J634" s="38" t="n">
        <f aca="false">Sens!$J$580*(1-Sens!$J$532)</f>
        <v>7.11011252170866</v>
      </c>
      <c r="K634" s="38" t="n">
        <f aca="false">Sens!$K$580*(1-Sens!$K$532)</f>
        <v>9.31663210615807</v>
      </c>
      <c r="L634" s="38" t="n">
        <f aca="false">Sens!$L$580*(1-Sens!$L$532)</f>
        <v>11.411251074039</v>
      </c>
      <c r="M634" s="38" t="n">
        <f aca="false">Sens!$M$580*(1-Sens!$M$532)</f>
        <v>13.5455860755423</v>
      </c>
      <c r="N634" s="38" t="n">
        <f aca="false">Sens!$N$580*(1-Sens!$N$532)</f>
        <v>0.141739115596548</v>
      </c>
      <c r="O634" s="38" t="n">
        <f aca="false">Sens!$O$580*(1-Sens!$O$532)</f>
        <v>0.190445576353059</v>
      </c>
    </row>
    <row r="635" customFormat="false" ht="17.15" hidden="false" customHeight="false" outlineLevel="0" collapsed="false">
      <c r="A635" s="0" t="s">
        <v>681</v>
      </c>
      <c r="B635" s="0" t="s">
        <v>52</v>
      </c>
      <c r="C635" s="28" t="n">
        <f aca="false">(Sens!$C$636-Sens!$C$632+Sens!$C$634)/Sens!$C$633</f>
        <v>-0.0292364215826579</v>
      </c>
      <c r="D635" s="28" t="n">
        <f aca="false">(Sens!$D$636-Sens!$D$632+Sens!$D$634)/Sens!$D$633</f>
        <v>-0.0305125352740778</v>
      </c>
      <c r="E635" s="28" t="n">
        <f aca="false">(Sens!$E$636-Sens!$E$632+Sens!$E$634)/Sens!$E$633</f>
        <v>-0.019490056934994</v>
      </c>
      <c r="F635" s="28" t="n">
        <f aca="false">Sens!$O$635+(Sens!$E$635-Sens!$N$635)</f>
        <v>-0.0367332293992226</v>
      </c>
      <c r="G635" s="28" t="n">
        <f aca="false">(Sens!$G$636-Sens!$G$632+Sens!$G$634)/Sens!$G$633</f>
        <v>-0.0288599526442178</v>
      </c>
      <c r="H635" s="28" t="n">
        <f aca="false">Sens!$G$635+step_in</f>
        <v>-0.0288599526442178</v>
      </c>
      <c r="I635" s="28" t="n">
        <f aca="false">Sens!$H$635+step_in</f>
        <v>-0.0288599526442178</v>
      </c>
      <c r="J635" s="28" t="n">
        <f aca="false">Sens!$I$635+step_in</f>
        <v>-0.0288599526442178</v>
      </c>
      <c r="K635" s="28" t="n">
        <f aca="false">Sens!$J$635+step_in</f>
        <v>-0.0288599526442178</v>
      </c>
      <c r="L635" s="28" t="n">
        <f aca="false">Sens!$K$635</f>
        <v>-0.0288599526442178</v>
      </c>
      <c r="M635" s="28" t="n">
        <f aca="false">Sens!$L$635</f>
        <v>-0.0288599526442178</v>
      </c>
      <c r="N635" s="28" t="n">
        <f aca="false">(Sens!$N$636-Sens!$N$632+Sens!$N$634)/Sens!$N$633</f>
        <v>-0.02085061789158</v>
      </c>
      <c r="O635" s="28" t="n">
        <f aca="false">(Sens!$O$636-Sens!$O$632+Sens!$O$634)/Sens!$O$633</f>
        <v>-0.0380937903558086</v>
      </c>
      <c r="P635" s="8" t="s">
        <v>676</v>
      </c>
    </row>
    <row r="636" customFormat="false" ht="17.15" hidden="false" customHeight="false" outlineLevel="0" collapsed="false">
      <c r="A636" s="1" t="s">
        <v>682</v>
      </c>
      <c r="B636" s="8" t="s">
        <v>73</v>
      </c>
      <c r="C636" s="38" t="n">
        <f aca="false">Q!$D$23</f>
        <v>3.792</v>
      </c>
      <c r="D636" s="38" t="n">
        <f aca="false">Q!$E$23</f>
        <v>4.75</v>
      </c>
      <c r="E636" s="38" t="n">
        <f aca="false">Q!$P$23</f>
        <v>3.141</v>
      </c>
      <c r="F636" s="38" t="n">
        <f aca="false">Sens!$F$632+Sens!$F$633*Sens!$F$635-Sens!$F$634</f>
        <v>2.99414447978375</v>
      </c>
      <c r="G636" s="38" t="n">
        <f aca="false">Sens!$E$636+Sens!$F$636</f>
        <v>6.13514447978375</v>
      </c>
      <c r="H636" s="38" t="n">
        <f aca="false">Sens!$H$632+Sens!$H$633*Sens!$H$635-Sens!$H$634</f>
        <v>6.31919151351322</v>
      </c>
      <c r="I636" s="38" t="n">
        <f aca="false">Sens!$I$632+Sens!$I$633*Sens!$I$635-Sens!$I$634</f>
        <v>6.16506534077027</v>
      </c>
      <c r="J636" s="38" t="n">
        <f aca="false">Sens!$J$632+Sens!$J$633*Sens!$J$635-Sens!$J$634</f>
        <v>5.8250313653213</v>
      </c>
      <c r="K636" s="38" t="n">
        <f aca="false">Sens!$K$632+Sens!$K$633*Sens!$K$635-Sens!$K$634</f>
        <v>5.15468540810514</v>
      </c>
      <c r="L636" s="38" t="n">
        <f aca="false">Sens!$L$632+Sens!$L$633*Sens!$L$635-Sens!$L$634</f>
        <v>4.76324944463266</v>
      </c>
      <c r="M636" s="38" t="n">
        <f aca="false">Sens!$M$632+Sens!$M$633*Sens!$M$635-Sens!$M$634</f>
        <v>4.51657755537829</v>
      </c>
      <c r="N636" s="38" t="n">
        <f aca="false">Q!$N$23</f>
        <v>2.511</v>
      </c>
      <c r="O636" s="38" t="n">
        <f aca="false">Q!$O$23</f>
        <v>2.239</v>
      </c>
    </row>
    <row r="637" customFormat="false" ht="17.15" hidden="false" customHeight="false" outlineLevel="0" collapsed="false">
      <c r="A637" s="0" t="s">
        <v>683</v>
      </c>
      <c r="B637" s="0" t="s">
        <v>73</v>
      </c>
      <c r="C637" s="38" t="n">
        <f aca="false">Sens!$C$577</f>
        <v>1.64417882953695</v>
      </c>
      <c r="D637" s="38" t="n">
        <f aca="false">Sens!$D$577</f>
        <v>3.8781008067718</v>
      </c>
      <c r="E637" s="38" t="n">
        <f aca="false">Sens!$E$577</f>
        <v>1.41270258088753</v>
      </c>
      <c r="F637" s="38" t="n">
        <f aca="false">Sens!$F$577</f>
        <v>9.11054685065335</v>
      </c>
      <c r="G637" s="38" t="n">
        <f aca="false">Sens!$G$577</f>
        <v>10.5232494315409</v>
      </c>
      <c r="H637" s="38" t="n">
        <f aca="false">Sens!$H$577</f>
        <v>40.5349239885555</v>
      </c>
      <c r="I637" s="38" t="n">
        <f aca="false">Sens!$I$577</f>
        <v>73.3294385388747</v>
      </c>
      <c r="J637" s="38" t="n">
        <f aca="false">Sens!$J$577</f>
        <v>105.580077827516</v>
      </c>
      <c r="K637" s="38" t="n">
        <f aca="false">Sens!$K$577</f>
        <v>137.367764506102</v>
      </c>
      <c r="L637" s="38" t="n">
        <f aca="false">Sens!$L$577</f>
        <v>170.813921063205</v>
      </c>
      <c r="M637" s="38" t="n">
        <f aca="false">Sens!$M$577</f>
        <v>203.709552002513</v>
      </c>
      <c r="N637" s="38" t="n">
        <f aca="false">Sens!$N$577</f>
        <v>0.92264103489199</v>
      </c>
      <c r="O637" s="38" t="n">
        <f aca="false">Sens!$O$577</f>
        <v>2.95545977187981</v>
      </c>
    </row>
    <row r="638" customFormat="false" ht="17.15" hidden="false" customHeight="false" outlineLevel="0" collapsed="false">
      <c r="A638" s="0" t="s">
        <v>603</v>
      </c>
      <c r="B638" s="0" t="s">
        <v>73</v>
      </c>
      <c r="C638" s="38" t="n">
        <f aca="false">Sens!$C$582</f>
        <v>38.1898211704631</v>
      </c>
      <c r="D638" s="38" t="n">
        <f aca="false">Sens!$D$582</f>
        <v>41.7278991932282</v>
      </c>
      <c r="E638" s="38" t="n">
        <f aca="false">Sens!$E$582</f>
        <v>29.3692974191125</v>
      </c>
      <c r="F638" s="38" t="n">
        <f aca="false">Sens!$F$582</f>
        <v>29.458060516894</v>
      </c>
      <c r="G638" s="38" t="n">
        <f aca="false">Sens!$G$582</f>
        <v>58.8273579360065</v>
      </c>
      <c r="H638" s="38" t="n">
        <f aca="false">Sens!$H$582</f>
        <v>67.8004040185081</v>
      </c>
      <c r="I638" s="38" t="n">
        <f aca="false">Sens!$I$582</f>
        <v>78.9527630302702</v>
      </c>
      <c r="J638" s="38" t="n">
        <f aca="false">Sens!$J$582</f>
        <v>88.6042681781841</v>
      </c>
      <c r="K638" s="38" t="n">
        <f aca="false">Sens!$K$582</f>
        <v>95.6926096324389</v>
      </c>
      <c r="L638" s="38" t="n">
        <f aca="false">Sens!$L$582</f>
        <v>103.348018403034</v>
      </c>
      <c r="M638" s="38" t="n">
        <f aca="false">Sens!$M$582</f>
        <v>111.615859875277</v>
      </c>
      <c r="N638" s="38" t="n">
        <f aca="false">Sens!$N$582</f>
        <v>20.784358965108</v>
      </c>
      <c r="O638" s="38" t="n">
        <f aca="false">Sens!$O$582</f>
        <v>20.9435402281202</v>
      </c>
    </row>
    <row r="639" customFormat="false" ht="17.15" hidden="false" customHeight="false" outlineLevel="0" collapsed="false">
      <c r="A639" s="1" t="s">
        <v>684</v>
      </c>
      <c r="B639" s="8" t="s">
        <v>73</v>
      </c>
      <c r="C639" s="38" t="n">
        <f aca="false">Q!$D$24</f>
        <v>39.834</v>
      </c>
      <c r="D639" s="38" t="n">
        <f aca="false">Q!$E$24</f>
        <v>45.606</v>
      </c>
      <c r="E639" s="38" t="n">
        <f aca="false">Q!$P$24</f>
        <v>30.782</v>
      </c>
      <c r="F639" s="38" t="n">
        <f aca="false">Sens!$F$637+Sens!$F$638</f>
        <v>38.5686073675474</v>
      </c>
      <c r="G639" s="38" t="n">
        <f aca="false">Sens!$G$637+Sens!$G$638</f>
        <v>69.3506073675474</v>
      </c>
      <c r="H639" s="38" t="n">
        <f aca="false">Sens!$H$637+Sens!$H$638</f>
        <v>108.335328007064</v>
      </c>
      <c r="I639" s="38" t="n">
        <f aca="false">Sens!$I$637+Sens!$I$638</f>
        <v>152.282201569145</v>
      </c>
      <c r="J639" s="38" t="n">
        <f aca="false">Sens!$J$637+Sens!$J$638</f>
        <v>194.184346005701</v>
      </c>
      <c r="K639" s="38" t="n">
        <f aca="false">Sens!$K$637+Sens!$K$638</f>
        <v>233.060374138541</v>
      </c>
      <c r="L639" s="38" t="n">
        <f aca="false">Sens!$L$637+Sens!$L$638</f>
        <v>274.161939466239</v>
      </c>
      <c r="M639" s="38" t="n">
        <f aca="false">Sens!$M$637+Sens!$M$638</f>
        <v>315.32541187779</v>
      </c>
      <c r="N639" s="38" t="n">
        <f aca="false">Q!$N$24</f>
        <v>21.707</v>
      </c>
      <c r="O639" s="38" t="n">
        <f aca="false">Q!$O$24</f>
        <v>23.899</v>
      </c>
    </row>
    <row r="640" customFormat="false" ht="17.15" hidden="false" customHeight="false" outlineLevel="0" collapsed="false">
      <c r="A640" s="5" t="s">
        <v>685</v>
      </c>
      <c r="B640" s="0" t="s">
        <v>73</v>
      </c>
      <c r="C640" s="38" t="n">
        <f aca="false">Q!$D$26</f>
        <v>0</v>
      </c>
      <c r="D640" s="38" t="n">
        <f aca="false">Q!$E$26</f>
        <v>0</v>
      </c>
      <c r="E640" s="38" t="n">
        <f aca="false">Q!$P$26</f>
        <v>0</v>
      </c>
      <c r="F640" s="41" t="n">
        <v>0</v>
      </c>
      <c r="G640" s="38" t="n">
        <f aca="false">Sens!$E$640+Sens!$F$640</f>
        <v>0</v>
      </c>
      <c r="H640" s="41" t="n">
        <v>0</v>
      </c>
      <c r="I640" s="41" t="n">
        <v>0</v>
      </c>
      <c r="J640" s="41" t="n">
        <v>0</v>
      </c>
      <c r="K640" s="41" t="n">
        <v>0</v>
      </c>
      <c r="L640" s="41" t="n">
        <v>0</v>
      </c>
      <c r="M640" s="41" t="n">
        <v>0</v>
      </c>
      <c r="N640" s="38" t="n">
        <f aca="false">Q!$N$26</f>
        <v>0</v>
      </c>
      <c r="O640" s="38" t="n">
        <f aca="false">Q!$O$26</f>
        <v>0</v>
      </c>
    </row>
    <row r="641" customFormat="false" ht="15" hidden="false" customHeight="false" outlineLevel="0" collapsed="false">
      <c r="A641" s="3" t="s">
        <v>494</v>
      </c>
      <c r="B641" s="8" t="s">
        <v>73</v>
      </c>
      <c r="C641" s="38" t="n">
        <f aca="false">Q!$D$25</f>
        <v>68.593</v>
      </c>
      <c r="D641" s="38" t="n">
        <f aca="false">Q!$E$25</f>
        <v>79.975</v>
      </c>
      <c r="E641" s="38" t="n">
        <f aca="false">Q!$P$25</f>
        <v>51.313</v>
      </c>
      <c r="F641" s="38" t="n">
        <f aca="false">Sens!$F$631+Sens!$F$636+Sens!$F$639+Sens!$F$640</f>
        <v>62.4858470776647</v>
      </c>
      <c r="G641" s="38" t="n">
        <f aca="false">Sens!$G$631+Sens!$G$636+Sens!$G$639+Sens!$G$640</f>
        <v>113.798847077665</v>
      </c>
      <c r="H641" s="38" t="n">
        <f aca="false">Sens!$H$631+Sens!$H$636+Sens!$H$639+Sens!$H$640</f>
        <v>156.891806082888</v>
      </c>
      <c r="I641" s="38" t="n">
        <f aca="false">Sens!$I$631+Sens!$I$636+Sens!$I$639+Sens!$I$640</f>
        <v>203.857958466437</v>
      </c>
      <c r="J641" s="38" t="n">
        <f aca="false">Sens!$J$631+Sens!$J$636+Sens!$J$639+Sens!$J$640</f>
        <v>248.159632444262</v>
      </c>
      <c r="K641" s="38" t="n">
        <f aca="false">Sens!$K$631+Sens!$K$636+Sens!$K$639+Sens!$K$640</f>
        <v>288.201083855967</v>
      </c>
      <c r="L641" s="38" t="n">
        <f aca="false">Sens!$L$631+Sens!$L$636+Sens!$L$639+Sens!$L$640</f>
        <v>330.020715118651</v>
      </c>
      <c r="M641" s="38" t="n">
        <f aca="false">Sens!$M$631+Sens!$M$636+Sens!$M$639+Sens!$M$640</f>
        <v>372.553769943558</v>
      </c>
      <c r="N641" s="38" t="n">
        <f aca="false">Q!$N$25</f>
        <v>37.576</v>
      </c>
      <c r="O641" s="38" t="n">
        <f aca="false">Q!$O$25</f>
        <v>42.399</v>
      </c>
    </row>
    <row r="642" customFormat="false" ht="17.15" hidden="false" customHeight="false" outlineLevel="0" collapsed="false">
      <c r="A642" s="24" t="s">
        <v>711</v>
      </c>
      <c r="B642" s="25" t="s">
        <v>73</v>
      </c>
      <c r="C642" s="39" t="n">
        <f aca="false">Sens!$C$631+Sens!$C$636+Sens!$C$639+Sens!$C$640-Sens!$C$641</f>
        <v>0</v>
      </c>
      <c r="D642" s="39" t="n">
        <f aca="false">Sens!$D$631+Sens!$D$636+Sens!$D$639+Sens!$D$640-Sens!$D$641</f>
        <v>0</v>
      </c>
      <c r="E642" s="39" t="n">
        <f aca="false">Sens!$E$631+Sens!$E$636+Sens!$E$639+Sens!$E$640-Sens!$E$641</f>
        <v>0</v>
      </c>
      <c r="F642" s="39" t="n">
        <f aca="false">Sens!$F$631+Sens!$F$636+Sens!$F$639+Sens!$F$640-Sens!$F$641</f>
        <v>0</v>
      </c>
      <c r="G642" s="39" t="n">
        <f aca="false">Sens!$G$631+Sens!$G$636+Sens!$G$639+Sens!$G$640-Sens!$G$641</f>
        <v>0</v>
      </c>
      <c r="H642" s="39" t="n">
        <f aca="false">Sens!$H$631+Sens!$H$636+Sens!$H$639+Sens!$H$640-Sens!$H$641</f>
        <v>0</v>
      </c>
      <c r="I642" s="39" t="n">
        <f aca="false">Sens!$I$631+Sens!$I$636+Sens!$I$639+Sens!$I$640-Sens!$I$641</f>
        <v>0</v>
      </c>
      <c r="J642" s="39" t="n">
        <f aca="false">Sens!$J$631+Sens!$J$636+Sens!$J$639+Sens!$J$640-Sens!$J$641</f>
        <v>0</v>
      </c>
      <c r="K642" s="39" t="n">
        <f aca="false">Sens!$K$631+Sens!$K$636+Sens!$K$639+Sens!$K$640-Sens!$K$641</f>
        <v>0</v>
      </c>
      <c r="L642" s="39" t="n">
        <f aca="false">Sens!$L$631+Sens!$L$636+Sens!$L$639+Sens!$L$640-Sens!$L$641</f>
        <v>0</v>
      </c>
      <c r="M642" s="39" t="n">
        <f aca="false">Sens!$M$631+Sens!$M$636+Sens!$M$639+Sens!$M$640-Sens!$M$641</f>
        <v>0</v>
      </c>
      <c r="N642" s="39" t="n">
        <f aca="false">Sens!$N$631+Sens!$N$636+Sens!$N$639+Sens!$N$640-Sens!$N$641</f>
        <v>0</v>
      </c>
      <c r="O642" s="39" t="n">
        <f aca="false">Sens!$O$631+Sens!$O$636+Sens!$O$639+Sens!$O$640-Sens!$O$641</f>
        <v>0</v>
      </c>
    </row>
    <row r="643" customFormat="false" ht="17.15" hidden="false" customHeight="false" outlineLevel="0" collapsed="false">
      <c r="A643" s="0" t="s">
        <v>687</v>
      </c>
      <c r="B643" s="0" t="s">
        <v>52</v>
      </c>
      <c r="C643" s="12" t="n">
        <f aca="false">Sens!$C$631/Sens!$C$616</f>
        <v>0.0644314665661928</v>
      </c>
      <c r="D643" s="12" t="n">
        <f aca="false">Sens!$D$631/Sens!$D$616</f>
        <v>0.0694784250712518</v>
      </c>
      <c r="E643" s="12" t="n">
        <f aca="false">Sens!$E$631/Sens!$E$616</f>
        <v>0.0789306463326071</v>
      </c>
      <c r="F643" s="12" t="n">
        <f aca="false">Sens!$F$631/Sens!$F$616</f>
        <v>0.0816338957078875</v>
      </c>
      <c r="G643" s="12" t="n">
        <f aca="false">Sens!$G$631/Sens!$G$616</f>
        <v>0.080384315570057</v>
      </c>
      <c r="H643" s="12" t="n">
        <f aca="false">Sens!$H$631/Sens!$H$616</f>
        <v>0.080035122355679</v>
      </c>
      <c r="I643" s="12" t="n">
        <f aca="false">Sens!$I$631/Sens!$I$616</f>
        <v>0.0786798687862144</v>
      </c>
      <c r="J643" s="12" t="n">
        <f aca="false">Sens!$J$631/Sens!$J$616</f>
        <v>0.0772846370095153</v>
      </c>
      <c r="K643" s="12" t="n">
        <f aca="false">Sens!$K$631/Sens!$K$616</f>
        <v>0.0753502227686655</v>
      </c>
      <c r="L643" s="12" t="n">
        <f aca="false">Sens!$L$631/Sens!$L$616</f>
        <v>0.0723154067793922</v>
      </c>
      <c r="M643" s="12" t="n">
        <f aca="false">Sens!$M$631/Sens!$M$616</f>
        <v>0.070022386735876</v>
      </c>
      <c r="N643" s="12" t="n">
        <f aca="false">Sens!$N$631/Sens!$N$616</f>
        <v>0.069228576611127</v>
      </c>
      <c r="O643" s="12" t="n">
        <f aca="false">Sens!$O$631/Sens!$O$616</f>
        <v>0.069685022498393</v>
      </c>
    </row>
    <row r="644" customFormat="false" ht="17.15" hidden="false" customHeight="false" outlineLevel="0" collapsed="false">
      <c r="A644" s="0" t="s">
        <v>688</v>
      </c>
      <c r="B644" s="0" t="s">
        <v>52</v>
      </c>
      <c r="C644" s="12" t="n">
        <f aca="false">Sens!$C$636/Sens!$C$617</f>
        <v>0.026534925055631</v>
      </c>
      <c r="D644" s="12" t="n">
        <f aca="false">Sens!$D$636/Sens!$D$617</f>
        <v>0.0293401855535103</v>
      </c>
      <c r="E644" s="12" t="n">
        <f aca="false">Sens!$E$636/Sens!$E$617</f>
        <v>0.03831141902276</v>
      </c>
      <c r="F644" s="12" t="n">
        <f aca="false">Sens!$F$636/Sens!$F$617</f>
        <v>0.0297532808235678</v>
      </c>
      <c r="G644" s="12" t="n">
        <f aca="false">Sens!$G$636/Sens!$G$617</f>
        <v>0.0335954317997163</v>
      </c>
      <c r="H644" s="12" t="n">
        <f aca="false">Sens!$H$636/Sens!$H$617</f>
        <v>0.0312519754292078</v>
      </c>
      <c r="I644" s="12" t="n">
        <f aca="false">Sens!$I$636/Sens!$I$617</f>
        <v>0.0278788303191397</v>
      </c>
      <c r="J644" s="12" t="n">
        <f aca="false">Sens!$J$636/Sens!$J$617</f>
        <v>0.0244019313573061</v>
      </c>
      <c r="K644" s="12" t="n">
        <f aca="false">Sens!$K$636/Sens!$K$617</f>
        <v>0.020280070641524</v>
      </c>
      <c r="L644" s="12" t="n">
        <f aca="false">Sens!$L$636/Sens!$L$617</f>
        <v>0.0175947312030086</v>
      </c>
      <c r="M644" s="12" t="n">
        <f aca="false">Sens!$M$636/Sens!$M$617</f>
        <v>0.0156592172424565</v>
      </c>
      <c r="N644" s="12" t="n">
        <f aca="false">Sens!$N$636/Sens!$N$617</f>
        <v>0.0357315650169337</v>
      </c>
      <c r="O644" s="12" t="n">
        <f aca="false">Sens!$O$636/Sens!$O$617</f>
        <v>0.0244378956559703</v>
      </c>
    </row>
    <row r="645" customFormat="false" ht="17.15" hidden="false" customHeight="false" outlineLevel="0" collapsed="false">
      <c r="A645" s="13" t="s">
        <v>689</v>
      </c>
      <c r="B645" s="13" t="s">
        <v>52</v>
      </c>
      <c r="C645" s="16" t="n">
        <f aca="false">Sens!$C$639/Sens!$C$618</f>
        <v>0.370355907620217</v>
      </c>
      <c r="D645" s="16" t="n">
        <f aca="false">Sens!$D$639/Sens!$D$618</f>
        <v>0.35429015342785</v>
      </c>
      <c r="E645" s="16" t="n">
        <f aca="false">Sens!$E$639/Sens!$E$618</f>
        <v>0.385647527531039</v>
      </c>
      <c r="F645" s="16" t="n">
        <f aca="false">Sens!$F$639/Sens!$F$618</f>
        <v>0.401080698336605</v>
      </c>
      <c r="G645" s="16" t="n">
        <f aca="false">Sens!$G$639/Sens!$G$618</f>
        <v>0.39408072525335</v>
      </c>
      <c r="H645" s="16" t="n">
        <f aca="false">Sens!$H$639/Sens!$H$618</f>
        <v>0.413000923129615</v>
      </c>
      <c r="I645" s="16" t="n">
        <f aca="false">Sens!$I$639/Sens!$I$618</f>
        <v>0.42855178932449</v>
      </c>
      <c r="J645" s="16" t="n">
        <f aca="false">Sens!$J$639/Sens!$J$618</f>
        <v>0.436715305752937</v>
      </c>
      <c r="K645" s="16" t="n">
        <f aca="false">Sens!$K$639/Sens!$K$618</f>
        <v>0.442064731221554</v>
      </c>
      <c r="L645" s="16" t="n">
        <f aca="false">Sens!$L$639/Sens!$L$618</f>
        <v>0.448471249703895</v>
      </c>
      <c r="M645" s="16" t="n">
        <f aca="false">Sens!$M$639/Sens!$M$618</f>
        <v>0.452339253399279</v>
      </c>
      <c r="N645" s="16" t="n">
        <f aca="false">Sens!$N$639/Sens!$N$618</f>
        <v>0.360941137346192</v>
      </c>
      <c r="O645" s="16" t="n">
        <f aca="false">Sens!$O$639/Sens!$O$618</f>
        <v>0.348458117664212</v>
      </c>
    </row>
    <row r="646" customFormat="false" ht="17.15" hidden="false" customHeight="false" outlineLevel="0" collapsed="false">
      <c r="A646" s="0" t="s">
        <v>690</v>
      </c>
      <c r="B646" s="0" t="s">
        <v>52</v>
      </c>
      <c r="C646" s="12" t="n">
        <f aca="false">Sens!$C$637/Sens!$C$619</f>
        <v>0.708390794789371</v>
      </c>
      <c r="D646" s="12" t="n">
        <f aca="false">Sens!$D$637/Sens!$D$619</f>
        <v>0.445565630441968</v>
      </c>
      <c r="E646" s="12" t="n">
        <f aca="false">Sens!$E$637/Sens!$E$619</f>
        <v>0.165998118402711</v>
      </c>
      <c r="F646" s="12" t="n">
        <f aca="false">Sens!$F$637/Sens!$F$619</f>
        <v>0.51862586831267</v>
      </c>
      <c r="G646" s="12" t="n">
        <f aca="false">Sens!$G$637/Sens!$G$619</f>
        <v>0.40354437417509</v>
      </c>
      <c r="H646" s="12" t="n">
        <f aca="false">Sens!$H$637/Sens!$H$619</f>
        <v>0.497855857778335</v>
      </c>
      <c r="I646" s="12" t="n">
        <f aca="false">Sens!$I$637/Sens!$I$619</f>
        <v>0.506793187968718</v>
      </c>
      <c r="J646" s="12" t="n">
        <f aca="false">Sens!$J$637/Sens!$J$619</f>
        <v>0.506990727488046</v>
      </c>
      <c r="K646" s="12" t="n">
        <f aca="false">Sens!$K$637/Sens!$K$619</f>
        <v>0.505218221912611</v>
      </c>
      <c r="L646" s="12" t="n">
        <f aca="false">Sens!$L$637/Sens!$L$619</f>
        <v>0.508996049915232</v>
      </c>
      <c r="M646" s="12" t="n">
        <f aca="false">Sens!$M$637/Sens!$M$619</f>
        <v>0.510160495208396</v>
      </c>
      <c r="N646" s="12" t="n">
        <f aca="false">Sens!$N$637/Sens!$N$619</f>
        <v>0.302870734830849</v>
      </c>
      <c r="O646" s="12" t="n">
        <f aca="false">Sens!$O$637/Sens!$O$619</f>
        <v>0.52240134346334</v>
      </c>
    </row>
    <row r="647" customFormat="false" ht="15" hidden="false" customHeight="false" outlineLevel="0" collapsed="false">
      <c r="A647" s="5" t="s">
        <v>691</v>
      </c>
      <c r="B647" s="0" t="s">
        <v>52</v>
      </c>
      <c r="C647" s="12" t="n">
        <f aca="false">Sens!$C$641/Sens!$C$621</f>
        <v>0.107519448742004</v>
      </c>
      <c r="D647" s="12" t="n">
        <f aca="false">Sens!$D$641/Sens!$D$621</f>
        <v>0.111552967957552</v>
      </c>
      <c r="E647" s="12" t="n">
        <f aca="false">Sens!$E$641/Sens!$E$621</f>
        <v>0.13428328426562</v>
      </c>
      <c r="F647" s="12" t="n">
        <f aca="false">Sens!$F$641/Sens!$F$621</f>
        <v>0.137907974302998</v>
      </c>
      <c r="G647" s="12" t="n">
        <f aca="false">Sens!$G$641/Sens!$G$621</f>
        <v>0.136249633424937</v>
      </c>
      <c r="H647" s="12" t="n">
        <f aca="false">Sens!$H$641/Sens!$H$621</f>
        <v>0.158117486321854</v>
      </c>
      <c r="I647" s="12" t="n">
        <f aca="false">Sens!$I$641/Sens!$I$621</f>
        <v>0.1767089302801</v>
      </c>
      <c r="J647" s="12" t="n">
        <f aca="false">Sens!$J$641/Sens!$J$621</f>
        <v>0.189959140023417</v>
      </c>
      <c r="K647" s="12" t="n">
        <f aca="false">Sens!$K$641/Sens!$K$621</f>
        <v>0.199479392987749</v>
      </c>
      <c r="L647" s="12" t="n">
        <f aca="false">Sens!$L$641/Sens!$L$621</f>
        <v>0.207741723519348</v>
      </c>
      <c r="M647" s="12" t="n">
        <f aca="false">Sens!$M$641/Sens!$M$621</f>
        <v>0.214319104272048</v>
      </c>
      <c r="N647" s="12" t="n">
        <f aca="false">Sens!$N$641/Sens!$N$621</f>
        <v>0.116201614873411</v>
      </c>
      <c r="O647" s="12" t="n">
        <f aca="false">Sens!$O$641/Sens!$O$621</f>
        <v>0.107733353660861</v>
      </c>
    </row>
    <row r="648" customFormat="false" ht="17.15" hidden="false" customHeight="false" outlineLevel="0" collapsed="false">
      <c r="A648" s="1" t="s">
        <v>692</v>
      </c>
    </row>
    <row r="649" customFormat="false" ht="17.15" hidden="false" customHeight="false" outlineLevel="0" collapsed="false">
      <c r="A649" s="5" t="s">
        <v>693</v>
      </c>
      <c r="B649" s="0" t="s">
        <v>52</v>
      </c>
      <c r="D649" s="28" t="n">
        <f aca="false">(Q!$E$29+Q!$E$30-(1-ext_sh)*Sens!$D$573)/Sens!$D$531</f>
        <v>0.0334674312393194</v>
      </c>
    </row>
    <row r="650" customFormat="false" ht="17.15" hidden="false" customHeight="false" outlineLevel="0" collapsed="false">
      <c r="A650" s="0" t="s">
        <v>498</v>
      </c>
      <c r="B650" s="0" t="s">
        <v>73</v>
      </c>
      <c r="C650" s="38" t="n">
        <f aca="false">Q!$D$29</f>
        <v>14.285</v>
      </c>
      <c r="D650" s="38" t="n">
        <f aca="false">Q!$E$29</f>
        <v>15.503</v>
      </c>
      <c r="E650" s="38" t="n">
        <f aca="false">Q!$P$29</f>
        <v>8.78</v>
      </c>
      <c r="F650" s="38" t="n">
        <f aca="false">(Sens!$D$649*Sens!$F$531+(1-ext_sh)*Sens!$F$573)*Sens!$F$532</f>
        <v>9.51361751569285</v>
      </c>
      <c r="G650" s="38" t="n">
        <f aca="false">Sens!$E$650+Sens!$F$650</f>
        <v>18.2936175156929</v>
      </c>
      <c r="H650" s="38" t="n">
        <f aca="false">(Sens!$D$649*Sens!$H$531+(1-ext_sh)*Sens!$H$573)*Sens!$H$532</f>
        <v>22.7653661801943</v>
      </c>
      <c r="I650" s="38" t="n">
        <f aca="false">(Sens!$D$649*Sens!$I$531+(1-ext_sh)*Sens!$I$573)*Sens!$I$532</f>
        <v>28.4281317305062</v>
      </c>
      <c r="J650" s="38" t="n">
        <f aca="false">(Sens!$D$649*Sens!$J$531+(1-ext_sh)*Sens!$J$573)*Sens!$J$532</f>
        <v>34.1182922009732</v>
      </c>
      <c r="K650" s="38" t="n">
        <f aca="false">(Sens!$D$649*Sens!$K$531+(1-ext_sh)*Sens!$K$573)*Sens!$K$532</f>
        <v>39.7237727987046</v>
      </c>
      <c r="L650" s="38" t="n">
        <f aca="false">(Sens!$D$649*Sens!$L$531+(1-ext_sh)*Sens!$L$573)*Sens!$L$532</f>
        <v>45.1313127180263</v>
      </c>
      <c r="M650" s="38" t="n">
        <f aca="false">(Sens!$D$649*Sens!$M$531+(1-ext_sh)*Sens!$M$573)*Sens!$M$532</f>
        <v>50.743940615442</v>
      </c>
      <c r="N650" s="38" t="n">
        <f aca="false">Q!$N$29</f>
        <v>7.272</v>
      </c>
      <c r="O650" s="38" t="n">
        <f aca="false">Q!$O$29</f>
        <v>8.231</v>
      </c>
    </row>
    <row r="651" customFormat="false" ht="17.15" hidden="false" customHeight="false" outlineLevel="0" collapsed="false">
      <c r="A651" s="0" t="s">
        <v>500</v>
      </c>
      <c r="B651" s="0" t="s">
        <v>73</v>
      </c>
      <c r="C651" s="38" t="n">
        <f aca="false">Q!$D$30</f>
        <v>4.462</v>
      </c>
      <c r="D651" s="38" t="n">
        <f aca="false">Q!$E$30</f>
        <v>4.907</v>
      </c>
      <c r="E651" s="38" t="n">
        <f aca="false">Q!$P$30</f>
        <v>2.57</v>
      </c>
      <c r="F651" s="38" t="n">
        <f aca="false">(Sens!$D$649*Sens!$F$531+(1-ext_sh)*Sens!$F$573)*(1-Sens!$F$532)</f>
        <v>3.7353230631574</v>
      </c>
      <c r="G651" s="38" t="n">
        <f aca="false">Sens!$E$651+Sens!$F$651</f>
        <v>6.3053230631574</v>
      </c>
      <c r="H651" s="38" t="n">
        <f aca="false">(Sens!$D$649*Sens!$H$531+(1-ext_sh)*Sens!$H$573)*(1-Sens!$H$532)</f>
        <v>8.72254636724805</v>
      </c>
      <c r="I651" s="38" t="n">
        <f aca="false">(Sens!$D$649*Sens!$I$531+(1-ext_sh)*Sens!$I$573)*(1-Sens!$I$532)</f>
        <v>10.8922340713019</v>
      </c>
      <c r="J651" s="38" t="n">
        <f aca="false">(Sens!$D$649*Sens!$J$531+(1-ext_sh)*Sens!$J$573)*(1-Sens!$J$532)</f>
        <v>13.0724181345791</v>
      </c>
      <c r="K651" s="38" t="n">
        <f aca="false">(Sens!$D$649*Sens!$K$531+(1-ext_sh)*Sens!$K$573)*(1-Sens!$K$532)</f>
        <v>15.2201571183236</v>
      </c>
      <c r="L651" s="38" t="n">
        <f aca="false">(Sens!$D$649*Sens!$L$531+(1-ext_sh)*Sens!$L$573)*(1-Sens!$L$532)</f>
        <v>17.2920551631732</v>
      </c>
      <c r="M651" s="38" t="n">
        <f aca="false">(Sens!$D$649*Sens!$M$531+(1-ext_sh)*Sens!$M$573)*(1-Sens!$M$532)</f>
        <v>19.4425326336348</v>
      </c>
      <c r="N651" s="38" t="n">
        <f aca="false">Q!$N$30</f>
        <v>2.316</v>
      </c>
      <c r="O651" s="38" t="n">
        <f aca="false">Q!$O$30</f>
        <v>2.591</v>
      </c>
    </row>
    <row r="652" customFormat="false" ht="17.15" hidden="false" customHeight="false" outlineLevel="0" collapsed="false">
      <c r="A652" s="0" t="s">
        <v>501</v>
      </c>
      <c r="B652" s="0" t="s">
        <v>73</v>
      </c>
      <c r="C652" s="38" t="n">
        <f aca="false">Sens!$C$585</f>
        <v>13.32</v>
      </c>
      <c r="D652" s="38" t="n">
        <f aca="false">Sens!$D$585</f>
        <v>21.45</v>
      </c>
      <c r="E652" s="38" t="n">
        <f aca="false">Sens!$E$585</f>
        <v>15.353</v>
      </c>
      <c r="F652" s="38" t="n">
        <f aca="false">Sens!$F$585</f>
        <v>17.3614451462707</v>
      </c>
      <c r="G652" s="38" t="n">
        <f aca="false">Sens!$G$585</f>
        <v>32.7144451462707</v>
      </c>
      <c r="H652" s="38" t="n">
        <f aca="false">Sens!$H$585</f>
        <v>56.1966092719415</v>
      </c>
      <c r="I652" s="38" t="n">
        <f aca="false">Sens!$I$585</f>
        <v>82.9744039068297</v>
      </c>
      <c r="J652" s="38" t="n">
        <f aca="false">Sens!$J$585</f>
        <v>109.943252237669</v>
      </c>
      <c r="K652" s="38" t="n">
        <f aca="false">Sens!$K$585</f>
        <v>136.406703436571</v>
      </c>
      <c r="L652" s="38" t="n">
        <f aca="false">Sens!$L$585</f>
        <v>161.485870454155</v>
      </c>
      <c r="M652" s="38" t="n">
        <f aca="false">Sens!$M$585</f>
        <v>187.389846618199</v>
      </c>
      <c r="N652" s="38" t="n">
        <f aca="false">Sens!$N$585</f>
        <v>9.234</v>
      </c>
      <c r="O652" s="38" t="n">
        <f aca="false">Sens!$O$585</f>
        <v>12.216</v>
      </c>
    </row>
    <row r="653" customFormat="false" ht="17.15" hidden="false" customHeight="false" outlineLevel="0" collapsed="false">
      <c r="A653" s="5" t="s">
        <v>694</v>
      </c>
      <c r="B653" s="0" t="s">
        <v>73</v>
      </c>
      <c r="C653" s="38" t="n">
        <f aca="false">Sens!$C$650+Sens!$C$651+Sens!$C$652</f>
        <v>32.067</v>
      </c>
      <c r="D653" s="38" t="n">
        <f aca="false">Sens!$D$650+Sens!$D$651+Sens!$D$652</f>
        <v>41.86</v>
      </c>
      <c r="E653" s="38" t="n">
        <f aca="false">Sens!$E$650+Sens!$E$651+Sens!$E$652</f>
        <v>26.703</v>
      </c>
      <c r="F653" s="38" t="n">
        <f aca="false">Sens!$F$650+Sens!$F$651+Sens!$F$652</f>
        <v>30.6103857251209</v>
      </c>
      <c r="G653" s="38" t="n">
        <f aca="false">Sens!$G$650+Sens!$G$651+Sens!$G$652</f>
        <v>57.3133857251209</v>
      </c>
      <c r="H653" s="38" t="n">
        <f aca="false">Sens!$H$650+Sens!$H$651+Sens!$H$652</f>
        <v>87.6845218193838</v>
      </c>
      <c r="I653" s="38" t="n">
        <f aca="false">Sens!$I$650+Sens!$I$651+Sens!$I$652</f>
        <v>122.294769708638</v>
      </c>
      <c r="J653" s="38" t="n">
        <f aca="false">Sens!$J$650+Sens!$J$651+Sens!$J$652</f>
        <v>157.133962573221</v>
      </c>
      <c r="K653" s="38" t="n">
        <f aca="false">Sens!$K$650+Sens!$K$651+Sens!$K$652</f>
        <v>191.350633353599</v>
      </c>
      <c r="L653" s="38" t="n">
        <f aca="false">Sens!$L$650+Sens!$L$651+Sens!$L$652</f>
        <v>223.909238335354</v>
      </c>
      <c r="M653" s="38" t="n">
        <f aca="false">Sens!$M$650+Sens!$M$651+Sens!$M$652</f>
        <v>257.576319867276</v>
      </c>
      <c r="N653" s="38" t="n">
        <f aca="false">Sens!$N$650+Sens!$N$651+Sens!$N$652</f>
        <v>18.822</v>
      </c>
      <c r="O653" s="38" t="n">
        <f aca="false">Sens!$O$650+Sens!$O$651+Sens!$O$652</f>
        <v>23.038</v>
      </c>
    </row>
    <row r="654" customFormat="false" ht="17.15" hidden="false" customHeight="false" outlineLevel="0" collapsed="false">
      <c r="A654" s="0" t="s">
        <v>695</v>
      </c>
      <c r="B654" s="0" t="s">
        <v>73</v>
      </c>
      <c r="C654" s="38" t="n">
        <f aca="false">Sens!$C$627+Sens!$C$632</f>
        <v>28.107</v>
      </c>
      <c r="D654" s="38" t="n">
        <f aca="false">Sens!$D$627+Sens!$D$632</f>
        <v>34.3175</v>
      </c>
      <c r="E654" s="38" t="n">
        <f aca="false">Sens!$E$627+Sens!$E$632</f>
        <v>18.526</v>
      </c>
      <c r="F654" s="38" t="n">
        <f aca="false">Sens!$F$627+Sens!$F$632</f>
        <v>24.0766690913691</v>
      </c>
      <c r="G654" s="38" t="n">
        <f aca="false">Sens!$G$627+Sens!$G$632</f>
        <v>42.6026690913691</v>
      </c>
      <c r="H654" s="38" t="n">
        <f aca="false">Sens!$H$627+Sens!$H$632</f>
        <v>51.1466809294702</v>
      </c>
      <c r="I654" s="38" t="n">
        <f aca="false">Sens!$I$627+Sens!$I$632</f>
        <v>59.6899187926205</v>
      </c>
      <c r="J654" s="38" t="n">
        <f aca="false">Sens!$J$627+Sens!$J$632</f>
        <v>67.6595395244221</v>
      </c>
      <c r="K654" s="38" t="n">
        <f aca="false">Sens!$K$627+Sens!$K$632</f>
        <v>74.4254934768643</v>
      </c>
      <c r="L654" s="38" t="n">
        <f aca="false">Sens!$L$627+Sens!$L$632</f>
        <v>81.8680428245508</v>
      </c>
      <c r="M654" s="38" t="n">
        <f aca="false">Sens!$M$627+Sens!$M$632</f>
        <v>90.0548471070059</v>
      </c>
      <c r="N654" s="38" t="n">
        <f aca="false">Sens!$N$627+Sens!$N$632</f>
        <v>14.8075</v>
      </c>
      <c r="O654" s="38" t="n">
        <f aca="false">Sens!$O$627+Sens!$O$632</f>
        <v>19.51</v>
      </c>
    </row>
    <row r="655" customFormat="false" ht="17.15" hidden="false" customHeight="false" outlineLevel="0" collapsed="false">
      <c r="A655" s="0" t="s">
        <v>696</v>
      </c>
      <c r="B655" s="0" t="s">
        <v>73</v>
      </c>
      <c r="C655" s="38" t="n">
        <f aca="false">Sens!$C$631+Sens!$C$636+Sens!$C$650+Sens!$C$651-Sens!$C$654</f>
        <v>19.399</v>
      </c>
      <c r="D655" s="38" t="n">
        <f aca="false">Sens!$D$631+Sens!$D$636+Sens!$D$650+Sens!$D$651-Sens!$D$654</f>
        <v>20.4615</v>
      </c>
      <c r="E655" s="38" t="n">
        <f aca="false">Sens!$E$631+Sens!$E$636+Sens!$E$650+Sens!$E$651-Sens!$E$654</f>
        <v>13.355</v>
      </c>
      <c r="F655" s="38" t="n">
        <f aca="false">Sens!$F$631+Sens!$F$636+Sens!$F$650+Sens!$F$651-Sens!$F$654</f>
        <v>13.0895111975985</v>
      </c>
      <c r="G655" s="38" t="n">
        <f aca="false">Sens!$G$631+Sens!$G$636+Sens!$G$650+Sens!$G$651-Sens!$G$654</f>
        <v>26.4445111975985</v>
      </c>
      <c r="H655" s="38" t="n">
        <f aca="false">Sens!$H$631+Sens!$H$636+Sens!$H$650+Sens!$H$651-Sens!$H$654</f>
        <v>28.8977096937968</v>
      </c>
      <c r="I655" s="38" t="n">
        <f aca="false">Sens!$I$631+Sens!$I$636+Sens!$I$650+Sens!$I$651-Sens!$I$654</f>
        <v>31.2062039064791</v>
      </c>
      <c r="J655" s="38" t="n">
        <f aca="false">Sens!$J$631+Sens!$J$636+Sens!$J$650+Sens!$J$651-Sens!$J$654</f>
        <v>33.5064572496913</v>
      </c>
      <c r="K655" s="38" t="n">
        <f aca="false">Sens!$K$631+Sens!$K$636+Sens!$K$650+Sens!$K$651-Sens!$K$654</f>
        <v>35.6591461575899</v>
      </c>
      <c r="L655" s="38" t="n">
        <f aca="false">Sens!$L$631+Sens!$L$636+Sens!$L$650+Sens!$L$651-Sens!$L$654</f>
        <v>36.4141007090604</v>
      </c>
      <c r="M655" s="38" t="n">
        <f aca="false">Sens!$M$631+Sens!$M$636+Sens!$M$650+Sens!$M$651-Sens!$M$654</f>
        <v>37.359984207839</v>
      </c>
      <c r="N655" s="38" t="n">
        <f aca="false">Sens!$N$631+Sens!$N$636+Sens!$N$650+Sens!$N$651-Sens!$N$654</f>
        <v>10.6495</v>
      </c>
      <c r="O655" s="38" t="n">
        <f aca="false">Sens!$O$631+Sens!$O$636+Sens!$O$650+Sens!$O$651-Sens!$O$654</f>
        <v>9.81200000000001</v>
      </c>
    </row>
    <row r="656" customFormat="false" ht="17.15" hidden="false" customHeight="false" outlineLevel="0" collapsed="false">
      <c r="A656" s="0" t="s">
        <v>697</v>
      </c>
      <c r="B656" s="0" t="s">
        <v>73</v>
      </c>
      <c r="C656" s="38" t="n">
        <f aca="false">Sens!$C$638+Sens!$C$652-ext_sh*Sens!$C$573</f>
        <v>51.3470500115664</v>
      </c>
      <c r="D656" s="38" t="n">
        <f aca="false">Sens!$D$638+Sens!$D$652-ext_sh*Sens!$D$573</f>
        <v>60.2799375433739</v>
      </c>
      <c r="E656" s="38" t="n">
        <f aca="false">Sens!$E$638+Sens!$E$652-ext_sh*Sens!$E$573</f>
        <v>39.5095167090767</v>
      </c>
      <c r="F656" s="38" t="n">
        <f aca="false">Sens!$F$638+Sens!$F$652-ext_sh*Sens!$F$573</f>
        <v>41.606724953129</v>
      </c>
      <c r="G656" s="38" t="n">
        <f aca="false">Sens!$G$638+Sens!$G$652-ext_sh*Sens!$G$573</f>
        <v>81.1162416622057</v>
      </c>
      <c r="H656" s="38" t="n">
        <f aca="false">Sens!$H$638+Sens!$H$652-ext_sh*Sens!$H$573</f>
        <v>95.7616595325849</v>
      </c>
      <c r="I656" s="38" t="n">
        <f aca="false">Sens!$I$638+Sens!$I$652-ext_sh*Sens!$I$573</f>
        <v>111.513312079935</v>
      </c>
      <c r="J656" s="38" t="n">
        <f aca="false">Sens!$J$638+Sens!$J$652-ext_sh*Sens!$J$573</f>
        <v>125.145150463955</v>
      </c>
      <c r="K656" s="38" t="n">
        <f aca="false">Sens!$K$638+Sens!$K$652-ext_sh*Sens!$K$573</f>
        <v>135.156762501071</v>
      </c>
      <c r="L656" s="38" t="n">
        <f aca="false">Sens!$L$638+Sens!$L$652-ext_sh*Sens!$L$573</f>
        <v>145.969303501157</v>
      </c>
      <c r="M656" s="38" t="n">
        <f aca="false">Sens!$M$638+Sens!$M$652-ext_sh*Sens!$M$573</f>
        <v>157.646847781249</v>
      </c>
      <c r="N656" s="38" t="n">
        <f aca="false">Sens!$N$638+Sens!$N$652-ext_sh*Sens!$N$573</f>
        <v>28.5693781401809</v>
      </c>
      <c r="O656" s="38" t="n">
        <f aca="false">Sens!$O$638+Sens!$O$652-ext_sh*Sens!$O$573</f>
        <v>31.7105594031931</v>
      </c>
    </row>
    <row r="657" customFormat="false" ht="17.15" hidden="false" customHeight="false" outlineLevel="0" collapsed="false">
      <c r="A657" s="0" t="s">
        <v>698</v>
      </c>
      <c r="B657" s="0" t="s">
        <v>73</v>
      </c>
      <c r="C657" s="38" t="n">
        <f aca="false">Sens!$C$576</f>
        <v>1.80694998843362</v>
      </c>
      <c r="D657" s="38" t="n">
        <f aca="false">Sens!$D$576</f>
        <v>6.77606245662607</v>
      </c>
      <c r="E657" s="38" t="n">
        <f aca="false">Sens!$E$576</f>
        <v>6.62548329092326</v>
      </c>
      <c r="F657" s="38" t="n">
        <f aca="false">Sens!$F$576</f>
        <v>14.3233275606891</v>
      </c>
      <c r="G657" s="38" t="n">
        <f aca="false">Sens!$G$576</f>
        <v>20.9488108516123</v>
      </c>
      <c r="H657" s="38" t="n">
        <f aca="false">Sens!$H$576</f>
        <v>68.7702777464201</v>
      </c>
      <c r="I657" s="38" t="n">
        <f aca="false">Sens!$I$576</f>
        <v>123.743293396039</v>
      </c>
      <c r="J657" s="38" t="n">
        <f aca="false">Sens!$J$576</f>
        <v>178.982447779414</v>
      </c>
      <c r="K657" s="38" t="n">
        <f aca="false">Sens!$K$576</f>
        <v>234.310315074041</v>
      </c>
      <c r="L657" s="38" t="n">
        <f aca="false">Sens!$L$576</f>
        <v>289.678506419237</v>
      </c>
      <c r="M657" s="38" t="n">
        <f aca="false">Sens!$M$576</f>
        <v>345.06841071474</v>
      </c>
      <c r="N657" s="38" t="n">
        <f aca="false">Sens!$N$576</f>
        <v>2.37162185981912</v>
      </c>
      <c r="O657" s="38" t="n">
        <f aca="false">Sens!$O$576</f>
        <v>4.40444059680694</v>
      </c>
    </row>
    <row r="658" customFormat="false" ht="17.15" hidden="false" customHeight="false" outlineLevel="0" collapsed="false">
      <c r="A658" s="0" t="s">
        <v>699</v>
      </c>
      <c r="B658" s="0" t="s">
        <v>73</v>
      </c>
      <c r="C658" s="38" t="n">
        <f aca="false">Sens!$C$641+Sens!$C$653</f>
        <v>100.66</v>
      </c>
      <c r="D658" s="38" t="n">
        <f aca="false">Sens!$D$641+Sens!$D$653</f>
        <v>121.835</v>
      </c>
      <c r="E658" s="38" t="n">
        <f aca="false">Sens!$E$641+Sens!$E$653</f>
        <v>78.016</v>
      </c>
      <c r="F658" s="38" t="n">
        <f aca="false">Sens!$F$641+Sens!$F$653</f>
        <v>93.0962328027856</v>
      </c>
      <c r="G658" s="38" t="n">
        <f aca="false">Sens!$G$641+Sens!$G$653</f>
        <v>171.112232802786</v>
      </c>
      <c r="H658" s="38" t="n">
        <f aca="false">Sens!$H$641+Sens!$H$653</f>
        <v>244.576327902272</v>
      </c>
      <c r="I658" s="38" t="n">
        <f aca="false">Sens!$I$641+Sens!$I$653</f>
        <v>326.152728175074</v>
      </c>
      <c r="J658" s="38" t="n">
        <f aca="false">Sens!$J$641+Sens!$J$653</f>
        <v>405.293595017483</v>
      </c>
      <c r="K658" s="38" t="n">
        <f aca="false">Sens!$K$641+Sens!$K$653</f>
        <v>479.551717209567</v>
      </c>
      <c r="L658" s="38" t="n">
        <f aca="false">Sens!$L$641+Sens!$L$653</f>
        <v>553.929953454005</v>
      </c>
      <c r="M658" s="38" t="n">
        <f aca="false">Sens!$M$641+Sens!$M$653</f>
        <v>630.130089810834</v>
      </c>
      <c r="N658" s="38" t="n">
        <f aca="false">Sens!$N$641+Sens!$N$653</f>
        <v>56.398</v>
      </c>
      <c r="O658" s="38" t="n">
        <f aca="false">Sens!$O$641+Sens!$O$653</f>
        <v>65.437</v>
      </c>
    </row>
    <row r="659" customFormat="false" ht="17.15" hidden="false" customHeight="false" outlineLevel="0" collapsed="false">
      <c r="A659" s="1" t="s">
        <v>700</v>
      </c>
    </row>
    <row r="660" customFormat="false" ht="15" hidden="false" customHeight="false" outlineLevel="0" collapsed="false">
      <c r="A660" s="5" t="s">
        <v>504</v>
      </c>
      <c r="B660" s="0" t="s">
        <v>73</v>
      </c>
      <c r="C660" s="38" t="n">
        <f aca="false">Q!$D$34</f>
        <v>2.406</v>
      </c>
      <c r="D660" s="38" t="n">
        <f aca="false">Q!$E$34</f>
        <v>2.274</v>
      </c>
      <c r="E660" s="38" t="n">
        <f aca="false">Q!$P$34</f>
        <v>2.114</v>
      </c>
      <c r="F660" s="38" t="n">
        <f aca="false">Sens!$F$696</f>
        <v>3.24888964316061</v>
      </c>
      <c r="G660" s="38" t="n">
        <f aca="false">Sens!$E$660+Sens!$F$660</f>
        <v>5.36288964316061</v>
      </c>
      <c r="H660" s="38" t="n">
        <f aca="false">Sens!$H$696</f>
        <v>7.42354178632123</v>
      </c>
      <c r="I660" s="38" t="n">
        <f aca="false">Sens!$I$696</f>
        <v>7.42354178632123</v>
      </c>
      <c r="J660" s="38" t="n">
        <f aca="false">Sens!$J$696</f>
        <v>7.42354178632123</v>
      </c>
      <c r="K660" s="38" t="n">
        <f aca="false">Sens!$K$696</f>
        <v>7.42354178632123</v>
      </c>
      <c r="L660" s="38" t="n">
        <f aca="false">Sens!$L$696</f>
        <v>7.42354178632123</v>
      </c>
      <c r="M660" s="38" t="n">
        <f aca="false">Sens!$M$696</f>
        <v>7.42354178632123</v>
      </c>
      <c r="N660" s="38" t="n">
        <f aca="false">Q!$N$34</f>
        <v>1.057</v>
      </c>
      <c r="O660" s="38" t="n">
        <f aca="false">Q!$O$34</f>
        <v>1.217</v>
      </c>
    </row>
    <row r="661" customFormat="false" ht="15" hidden="false" customHeight="false" outlineLevel="0" collapsed="false">
      <c r="A661" s="5" t="s">
        <v>701</v>
      </c>
      <c r="B661" s="0" t="s">
        <v>73</v>
      </c>
      <c r="F661" s="38" t="n">
        <f aca="false">Sens!$F$697</f>
        <v>2.59</v>
      </c>
      <c r="H661" s="38" t="n">
        <f aca="false">Sens!$H$697</f>
        <v>4.10437193281905</v>
      </c>
      <c r="I661" s="38" t="n">
        <f aca="false">Sens!$I$697</f>
        <v>2.91358493467259</v>
      </c>
      <c r="J661" s="38" t="n">
        <f aca="false">Sens!$J$697</f>
        <v>4.34792591818114</v>
      </c>
      <c r="K661" s="38" t="n">
        <f aca="false">Sens!$K$697</f>
        <v>8.48352116887607</v>
      </c>
      <c r="L661" s="38" t="n">
        <f aca="false">Sens!$L$697</f>
        <v>15.2941382363376</v>
      </c>
      <c r="M661" s="38" t="n">
        <f aca="false">Sens!$M$697</f>
        <v>23.527594729729</v>
      </c>
    </row>
    <row r="662" customFormat="false" ht="17.15" hidden="false" customHeight="false" outlineLevel="0" collapsed="false">
      <c r="A662" s="5" t="s">
        <v>702</v>
      </c>
      <c r="B662" s="0" t="s">
        <v>73</v>
      </c>
      <c r="C662" s="38" t="n">
        <f aca="false">Q!$D$39</f>
        <v>2.427</v>
      </c>
      <c r="D662" s="38" t="n">
        <f aca="false">Q!$E$39</f>
        <v>19.61</v>
      </c>
      <c r="E662" s="38" t="n">
        <f aca="false">Q!$P$39</f>
        <v>71.492</v>
      </c>
      <c r="F662" s="41" t="n">
        <v>0</v>
      </c>
      <c r="G662" s="38" t="n">
        <f aca="false">Sens!$E$662+Sens!$F$662</f>
        <v>71.492</v>
      </c>
      <c r="H662" s="41" t="n">
        <v>0</v>
      </c>
      <c r="I662" s="41" t="n">
        <v>0</v>
      </c>
      <c r="J662" s="41" t="n">
        <v>0</v>
      </c>
      <c r="K662" s="41" t="n">
        <v>0</v>
      </c>
      <c r="L662" s="41" t="n">
        <v>0</v>
      </c>
      <c r="M662" s="41" t="n">
        <v>0</v>
      </c>
      <c r="N662" s="38" t="n">
        <f aca="false">Q!$N$39</f>
        <v>6.017</v>
      </c>
      <c r="O662" s="38" t="n">
        <f aca="false">Q!$O$39</f>
        <v>13.593</v>
      </c>
      <c r="P662" s="5" t="s">
        <v>703</v>
      </c>
    </row>
    <row r="663" customFormat="false" ht="15" hidden="false" customHeight="false" outlineLevel="0" collapsed="false">
      <c r="A663" s="5" t="s">
        <v>507</v>
      </c>
      <c r="B663" s="0" t="s">
        <v>73</v>
      </c>
      <c r="C663" s="38" t="n">
        <f aca="false">Q!$D$36</f>
        <v>68.614</v>
      </c>
      <c r="D663" s="38" t="n">
        <f aca="false">Q!$E$36</f>
        <v>97.311</v>
      </c>
      <c r="E663" s="38" t="n">
        <f aca="false">Q!$P$36</f>
        <v>120.691</v>
      </c>
      <c r="F663" s="38" t="n">
        <f aca="false">Sens!$F$641-Sens!$F$660+Sens!$F$661+Sens!$F$662</f>
        <v>61.8269574345041</v>
      </c>
      <c r="G663" s="38" t="n">
        <f aca="false">Sens!$E$663+Sens!$F$663</f>
        <v>182.517957434504</v>
      </c>
      <c r="H663" s="38" t="n">
        <f aca="false">Sens!$H$641-Sens!$H$660+Sens!$H$661+Sens!$H$662</f>
        <v>153.572636229386</v>
      </c>
      <c r="I663" s="38" t="n">
        <f aca="false">Sens!$I$641-Sens!$I$660+Sens!$I$661+Sens!$I$662</f>
        <v>199.348001614788</v>
      </c>
      <c r="J663" s="38" t="n">
        <f aca="false">Sens!$J$641-Sens!$J$660+Sens!$J$661+Sens!$J$662</f>
        <v>245.084016576122</v>
      </c>
      <c r="K663" s="38" t="n">
        <f aca="false">Sens!$K$641-Sens!$K$660+Sens!$K$661+Sens!$K$662</f>
        <v>289.261063238522</v>
      </c>
      <c r="L663" s="38" t="n">
        <f aca="false">Sens!$L$641-Sens!$L$660+Sens!$L$661+Sens!$L$662</f>
        <v>337.891311568667</v>
      </c>
      <c r="M663" s="38" t="n">
        <f aca="false">Sens!$M$641-Sens!$M$660+Sens!$M$661+Sens!$M$662</f>
        <v>388.657822886966</v>
      </c>
      <c r="N663" s="38" t="n">
        <f aca="false">Q!$N$36</f>
        <v>42.536</v>
      </c>
      <c r="O663" s="38" t="n">
        <f aca="false">Q!$O$36</f>
        <v>54.775</v>
      </c>
    </row>
    <row r="664" customFormat="false" ht="15" hidden="false" customHeight="false" outlineLevel="0" collapsed="false">
      <c r="A664" s="5" t="s">
        <v>508</v>
      </c>
      <c r="B664" s="0" t="s">
        <v>73</v>
      </c>
      <c r="C664" s="38" t="n">
        <f aca="false">Q!$D$37</f>
        <v>9.265</v>
      </c>
      <c r="D664" s="38" t="n">
        <f aca="false">Q!$E$37</f>
        <v>19.087</v>
      </c>
      <c r="E664" s="38" t="n">
        <f aca="false">Q!$P$37</f>
        <v>27.759</v>
      </c>
      <c r="F664" s="38" t="n">
        <f aca="false">Sens!$F$663*tax</f>
        <v>10.7322031386867</v>
      </c>
      <c r="G664" s="38" t="n">
        <f aca="false">Sens!$E$664+Sens!$F$664</f>
        <v>38.4912031386867</v>
      </c>
      <c r="H664" s="38" t="n">
        <f aca="false">Sens!$H$663*tax</f>
        <v>26.657833361821</v>
      </c>
      <c r="I664" s="38" t="n">
        <f aca="false">Sens!$I$663*tax</f>
        <v>34.6037284931504</v>
      </c>
      <c r="J664" s="38" t="n">
        <f aca="false">Sens!$J$663*tax</f>
        <v>42.5427929997457</v>
      </c>
      <c r="K664" s="38" t="n">
        <f aca="false">Sens!$K$663*tax</f>
        <v>50.2112447321535</v>
      </c>
      <c r="L664" s="38" t="n">
        <f aca="false">Sens!$L$663*tax</f>
        <v>58.6527033680047</v>
      </c>
      <c r="M664" s="38" t="n">
        <f aca="false">Sens!$M$663*tax</f>
        <v>67.4649842033924</v>
      </c>
      <c r="N664" s="38" t="n">
        <f aca="false">Q!$N$37</f>
        <v>7.231</v>
      </c>
      <c r="O664" s="38" t="n">
        <f aca="false">Q!$O$37</f>
        <v>11.856</v>
      </c>
    </row>
    <row r="665" customFormat="false" ht="15" hidden="false" customHeight="false" outlineLevel="0" collapsed="false">
      <c r="A665" s="3" t="s">
        <v>509</v>
      </c>
      <c r="B665" s="8" t="s">
        <v>73</v>
      </c>
      <c r="C665" s="38" t="n">
        <f aca="false">Q!$D$38</f>
        <v>59.248</v>
      </c>
      <c r="D665" s="38" t="n">
        <f aca="false">Q!$E$38</f>
        <v>77.67</v>
      </c>
      <c r="E665" s="38" t="n">
        <f aca="false">Q!$P$38</f>
        <v>92.902</v>
      </c>
      <c r="F665" s="38" t="n">
        <f aca="false">Sens!$F$663-Sens!$F$664</f>
        <v>51.0947542958174</v>
      </c>
      <c r="G665" s="38" t="n">
        <f aca="false">Sens!$E$665+Sens!$F$665</f>
        <v>143.996754295817</v>
      </c>
      <c r="H665" s="38" t="n">
        <f aca="false">Sens!$H$663-Sens!$H$664</f>
        <v>126.914802867565</v>
      </c>
      <c r="I665" s="38" t="n">
        <f aca="false">Sens!$I$663-Sens!$I$664</f>
        <v>164.744273121637</v>
      </c>
      <c r="J665" s="38" t="n">
        <f aca="false">Sens!$J$663-Sens!$J$664</f>
        <v>202.541223576376</v>
      </c>
      <c r="K665" s="38" t="n">
        <f aca="false">Sens!$K$663-Sens!$K$664</f>
        <v>239.049818506369</v>
      </c>
      <c r="L665" s="38" t="n">
        <f aca="false">Sens!$L$663-Sens!$L$664</f>
        <v>279.238608200663</v>
      </c>
      <c r="M665" s="38" t="n">
        <f aca="false">Sens!$M$663-Sens!$M$664</f>
        <v>321.192838683573</v>
      </c>
      <c r="N665" s="38" t="n">
        <f aca="false">Q!$N$38</f>
        <v>35.291</v>
      </c>
      <c r="O665" s="38" t="n">
        <f aca="false">Q!$O$38</f>
        <v>42.379</v>
      </c>
    </row>
    <row r="666" customFormat="false" ht="17.15" hidden="false" customHeight="false" outlineLevel="0" collapsed="false">
      <c r="A666" s="5" t="s">
        <v>512</v>
      </c>
      <c r="B666" s="5" t="s">
        <v>33</v>
      </c>
      <c r="C666" s="22" t="n">
        <f aca="false">Q!$D$41</f>
        <v>10.721</v>
      </c>
      <c r="D666" s="22" t="n">
        <f aca="false">Q!$E$41</f>
        <v>10.827</v>
      </c>
      <c r="E666" s="22" t="n">
        <f aca="false">(Q!$L$41+Q!$M$41)/2</f>
        <v>10.8885</v>
      </c>
      <c r="F666" s="22" t="n">
        <f aca="false">Sens!$G$666</f>
        <v>10.924806</v>
      </c>
      <c r="G666" s="22" t="n">
        <f aca="false">Q!$M$41*(1+sh_g*0.25)</f>
        <v>10.924806</v>
      </c>
      <c r="H666" s="22" t="n">
        <f aca="false">Sens!$G$666*(1+sh_g)</f>
        <v>11.012204448</v>
      </c>
      <c r="I666" s="22" t="n">
        <f aca="false">Sens!$H$666*(1+sh_g)</f>
        <v>11.100302083584</v>
      </c>
      <c r="J666" s="22" t="n">
        <f aca="false">Sens!$I$666*(1+sh_g)</f>
        <v>11.1891045002527</v>
      </c>
      <c r="K666" s="22" t="n">
        <f aca="false">Sens!$J$666*(1+sh_g)</f>
        <v>11.2786173362547</v>
      </c>
      <c r="L666" s="22" t="n">
        <f aca="false">Sens!$K$666*(1+sh_g)</f>
        <v>11.3688462749447</v>
      </c>
      <c r="M666" s="22" t="n">
        <f aca="false">Sens!$L$666*(1+sh_g)</f>
        <v>11.4597970451443</v>
      </c>
      <c r="P666" s="5" t="s">
        <v>704</v>
      </c>
    </row>
    <row r="667" customFormat="false" ht="17.15" hidden="false" customHeight="false" outlineLevel="0" collapsed="false">
      <c r="A667" s="42" t="s">
        <v>705</v>
      </c>
      <c r="B667" s="13" t="s">
        <v>27</v>
      </c>
      <c r="C667" s="43" t="n">
        <f aca="false">Sens!$C$665/Sens!$C$666</f>
        <v>5.52635015390355</v>
      </c>
      <c r="D667" s="43" t="n">
        <f aca="false">Sens!$D$665/Sens!$D$666</f>
        <v>7.1737323358271</v>
      </c>
      <c r="E667" s="43" t="n">
        <f aca="false">Sens!$E$665/Sens!$E$666</f>
        <v>8.53212104513937</v>
      </c>
      <c r="F667" s="13"/>
      <c r="G667" s="43" t="n">
        <f aca="false">Sens!$G$665/Sens!$G$666</f>
        <v>13.180714998126</v>
      </c>
      <c r="H667" s="43" t="n">
        <f aca="false">Sens!$H$665/Sens!$H$666</f>
        <v>11.5249225045595</v>
      </c>
      <c r="I667" s="43" t="n">
        <f aca="false">Sens!$I$665/Sens!$I$666</f>
        <v>14.8414225019402</v>
      </c>
      <c r="J667" s="43" t="n">
        <f aca="false">Sens!$J$665/Sens!$J$666</f>
        <v>18.1016473277019</v>
      </c>
      <c r="K667" s="43" t="n">
        <f aca="false">Sens!$K$665/Sens!$K$666</f>
        <v>21.1949578019596</v>
      </c>
      <c r="L667" s="43" t="n">
        <f aca="false">Sens!$L$665/Sens!$L$666</f>
        <v>24.5617366483408</v>
      </c>
      <c r="M667" s="43" t="n">
        <f aca="false">Sens!$M$665/Sens!$M$666</f>
        <v>28.0277946824257</v>
      </c>
      <c r="N667" s="13"/>
      <c r="O667" s="13"/>
    </row>
    <row r="668" customFormat="false" ht="17.15" hidden="false" customHeight="false" outlineLevel="0" collapsed="false">
      <c r="A668" s="0" t="s">
        <v>706</v>
      </c>
      <c r="B668" s="0" t="s">
        <v>27</v>
      </c>
      <c r="C668" s="30" t="n">
        <f aca="false">(Sens!$C$665-Sens!$C$662*(1-tax))/Sens!$C$666</f>
        <v>5.33926775917445</v>
      </c>
      <c r="D668" s="30" t="n">
        <f aca="false">(Sens!$D$665-Sens!$D$662*(1-tax))/Sens!$D$666</f>
        <v>5.67691812755503</v>
      </c>
      <c r="E668" s="30" t="n">
        <f aca="false">(Sens!$E$665-Sens!$E$662*(1-tax))/Sens!$E$666</f>
        <v>3.10602057006846</v>
      </c>
      <c r="G668" s="30" t="n">
        <f aca="false">(Sens!$G$665-Sens!$G$662*(1-tax))/Sens!$G$666</f>
        <v>7.77264688022907</v>
      </c>
      <c r="H668" s="30" t="n">
        <f aca="false">(Sens!$H$665-Sens!$H$662*(1-tax))/Sens!$H$666</f>
        <v>11.5249225045595</v>
      </c>
      <c r="I668" s="30" t="n">
        <f aca="false">(Sens!$I$665-Sens!$I$662*(1-tax))/Sens!$I$666</f>
        <v>14.8414225019402</v>
      </c>
      <c r="J668" s="30" t="n">
        <f aca="false">(Sens!$J$665-Sens!$J$662*(1-tax))/Sens!$J$666</f>
        <v>18.1016473277019</v>
      </c>
      <c r="K668" s="30" t="n">
        <f aca="false">(Sens!$K$665-Sens!$K$662*(1-tax))/Sens!$K$666</f>
        <v>21.1949578019596</v>
      </c>
      <c r="L668" s="30" t="n">
        <f aca="false">(Sens!$L$665-Sens!$L$662*(1-tax))/Sens!$L$666</f>
        <v>24.5617366483408</v>
      </c>
      <c r="M668" s="30" t="n">
        <f aca="false">(Sens!$M$665-Sens!$M$662*(1-tax))/Sens!$M$666</f>
        <v>28.0277946824257</v>
      </c>
      <c r="P668" s="5" t="s">
        <v>707</v>
      </c>
    </row>
    <row r="669" customFormat="false" ht="17.15" hidden="false" customHeight="false" outlineLevel="0" collapsed="false">
      <c r="A669" s="0" t="s">
        <v>708</v>
      </c>
      <c r="B669" s="0" t="s">
        <v>52</v>
      </c>
      <c r="H669" s="12" t="n">
        <f aca="false">Sens!$H$667/Sens!$G$667-1</f>
        <v>-0.125622357649186</v>
      </c>
      <c r="I669" s="12" t="n">
        <f aca="false">Sens!$I$667/Sens!$H$667-1</f>
        <v>0.287767661437089</v>
      </c>
      <c r="J669" s="12" t="n">
        <f aca="false">Sens!$J$667/Sens!$I$667-1</f>
        <v>0.219670643116282</v>
      </c>
      <c r="K669" s="12" t="n">
        <f aca="false">Sens!$K$667/Sens!$J$667-1</f>
        <v>0.170885578437047</v>
      </c>
      <c r="L669" s="12" t="n">
        <f aca="false">Sens!$L$667/Sens!$K$667-1</f>
        <v>0.15884810330077</v>
      </c>
      <c r="M669" s="12" t="n">
        <f aca="false">Sens!$M$667/Sens!$L$667-1</f>
        <v>0.141116163067365</v>
      </c>
    </row>
    <row r="672" customFormat="false" ht="19.4" hidden="false" customHeight="false" outlineLevel="0" collapsed="false">
      <c r="A672" s="31" t="s">
        <v>1056</v>
      </c>
    </row>
    <row r="673" customFormat="false" ht="17.15" hidden="false" customHeight="false" outlineLevel="0" collapsed="false">
      <c r="A673" s="6" t="s">
        <v>16</v>
      </c>
      <c r="B673" s="6" t="s">
        <v>17</v>
      </c>
      <c r="C673" s="20" t="s">
        <v>457</v>
      </c>
      <c r="D673" s="20" t="s">
        <v>458</v>
      </c>
      <c r="E673" s="20" t="s">
        <v>540</v>
      </c>
      <c r="F673" s="20" t="s">
        <v>541</v>
      </c>
      <c r="G673" s="20" t="s">
        <v>542</v>
      </c>
      <c r="H673" s="20" t="s">
        <v>543</v>
      </c>
      <c r="I673" s="20" t="s">
        <v>544</v>
      </c>
      <c r="J673" s="20" t="s">
        <v>545</v>
      </c>
      <c r="K673" s="20" t="s">
        <v>546</v>
      </c>
      <c r="L673" s="20" t="s">
        <v>547</v>
      </c>
      <c r="M673" s="20" t="s">
        <v>548</v>
      </c>
      <c r="N673" s="20" t="s">
        <v>549</v>
      </c>
      <c r="O673" s="20" t="s">
        <v>550</v>
      </c>
      <c r="P673" s="6" t="s">
        <v>23</v>
      </c>
      <c r="R673" s="20" t="n">
        <v>2023</v>
      </c>
      <c r="S673" s="20" t="n">
        <v>2024</v>
      </c>
      <c r="T673" s="20" t="n">
        <v>2025</v>
      </c>
      <c r="U673" s="20" t="n">
        <v>2026</v>
      </c>
      <c r="V673" s="20" t="n">
        <v>2027</v>
      </c>
      <c r="W673" s="20" t="n">
        <v>2028</v>
      </c>
      <c r="X673" s="20" t="n">
        <v>2029</v>
      </c>
      <c r="Y673" s="20" t="n">
        <v>2030</v>
      </c>
      <c r="Z673" s="20" t="n">
        <v>2031</v>
      </c>
      <c r="AA673" s="20" t="n">
        <v>2032</v>
      </c>
    </row>
    <row r="674" customFormat="false" ht="15" hidden="false" customHeight="false" outlineLevel="0" collapsed="false">
      <c r="A674" s="5" t="s">
        <v>509</v>
      </c>
      <c r="B674" s="0" t="s">
        <v>73</v>
      </c>
      <c r="C674" s="38" t="n">
        <f aca="false">Sens!$C$665</f>
        <v>59.248</v>
      </c>
      <c r="D674" s="38" t="n">
        <f aca="false">Sens!$D$665</f>
        <v>77.67</v>
      </c>
      <c r="E674" s="38" t="n">
        <f aca="false">Sens!$E$665</f>
        <v>92.902</v>
      </c>
      <c r="F674" s="38" t="n">
        <f aca="false">Sens!$F$665</f>
        <v>51.0947542958174</v>
      </c>
      <c r="G674" s="38" t="n">
        <f aca="false">Sens!$G$665</f>
        <v>143.996754295817</v>
      </c>
      <c r="H674" s="38" t="n">
        <f aca="false">Sens!$H$665</f>
        <v>126.914802867565</v>
      </c>
      <c r="I674" s="38" t="n">
        <f aca="false">Sens!$I$665</f>
        <v>164.744273121637</v>
      </c>
      <c r="J674" s="38" t="n">
        <f aca="false">Sens!$J$665</f>
        <v>202.541223576376</v>
      </c>
      <c r="K674" s="38" t="n">
        <f aca="false">Sens!$K$665</f>
        <v>239.049818506369</v>
      </c>
      <c r="L674" s="38" t="n">
        <f aca="false">Sens!$L$665</f>
        <v>279.238608200663</v>
      </c>
      <c r="M674" s="38" t="n">
        <f aca="false">Sens!$M$665</f>
        <v>321.192838683573</v>
      </c>
    </row>
    <row r="675" customFormat="false" ht="17.15" hidden="false" customHeight="false" outlineLevel="0" collapsed="false">
      <c r="A675" s="5" t="s">
        <v>730</v>
      </c>
      <c r="B675" s="0" t="s">
        <v>73</v>
      </c>
      <c r="C675" s="38" t="n">
        <f aca="false">Sens!$C$653</f>
        <v>32.067</v>
      </c>
      <c r="D675" s="38" t="n">
        <f aca="false">Sens!$D$653</f>
        <v>41.86</v>
      </c>
      <c r="E675" s="38" t="n">
        <f aca="false">Sens!$E$653</f>
        <v>26.703</v>
      </c>
      <c r="F675" s="38" t="n">
        <f aca="false">Sens!$F$653</f>
        <v>30.6103857251209</v>
      </c>
      <c r="G675" s="38" t="n">
        <f aca="false">Sens!$G$653</f>
        <v>57.3133857251209</v>
      </c>
      <c r="H675" s="38" t="n">
        <f aca="false">Sens!$H$653</f>
        <v>87.6845218193838</v>
      </c>
      <c r="I675" s="38" t="n">
        <f aca="false">Sens!$I$653</f>
        <v>122.294769708638</v>
      </c>
      <c r="J675" s="38" t="n">
        <f aca="false">Sens!$J$653</f>
        <v>157.133962573221</v>
      </c>
      <c r="K675" s="38" t="n">
        <f aca="false">Sens!$K$653</f>
        <v>191.350633353599</v>
      </c>
      <c r="L675" s="38" t="n">
        <f aca="false">Sens!$L$653</f>
        <v>223.909238335354</v>
      </c>
      <c r="M675" s="38" t="n">
        <f aca="false">Sens!$M$653</f>
        <v>257.576319867276</v>
      </c>
    </row>
    <row r="676" customFormat="false" ht="15" hidden="false" customHeight="false" outlineLevel="0" collapsed="false">
      <c r="A676" s="5" t="s">
        <v>731</v>
      </c>
      <c r="B676" s="0" t="s">
        <v>73</v>
      </c>
      <c r="C676" s="38" t="n">
        <f aca="false">Q!$D$48</f>
        <v>22.011</v>
      </c>
      <c r="D676" s="38" t="n">
        <f aca="false">Q!$E$48</f>
        <v>19.467</v>
      </c>
      <c r="E676" s="38" t="n">
        <f aca="false">Q!$P$48</f>
        <v>10.07</v>
      </c>
      <c r="F676" s="38" t="n">
        <f aca="false">sbc_r*Sens!$F$597</f>
        <v>11.2818914193413</v>
      </c>
      <c r="G676" s="38" t="n">
        <f aca="false">Sens!$E$676+Sens!$F$676</f>
        <v>21.3518914193413</v>
      </c>
      <c r="H676" s="38" t="n">
        <f aca="false">sbc_r*Sens!$H$597</f>
        <v>24.7064299115516</v>
      </c>
      <c r="I676" s="38" t="n">
        <f aca="false">sbc_r*Sens!$I$597</f>
        <v>28.7249185596581</v>
      </c>
      <c r="J676" s="38" t="n">
        <f aca="false">sbc_r*Sens!$J$597</f>
        <v>32.5282407542186</v>
      </c>
      <c r="K676" s="38" t="n">
        <f aca="false">sbc_r*Sens!$K$597</f>
        <v>35.9738736543324</v>
      </c>
      <c r="L676" s="38" t="n">
        <f aca="false">sbc_r*Sens!$L$597</f>
        <v>39.5555205212471</v>
      </c>
      <c r="M676" s="38" t="n">
        <f aca="false">sbc_r*Sens!$M$597</f>
        <v>43.2830354366834</v>
      </c>
    </row>
    <row r="677" customFormat="false" ht="17.15" hidden="false" customHeight="false" outlineLevel="0" collapsed="false">
      <c r="A677" s="5" t="s">
        <v>732</v>
      </c>
      <c r="B677" s="0" t="s">
        <v>73</v>
      </c>
      <c r="C677" s="38" t="n">
        <f aca="false">Q!$D$44-Sens!$C$674-Sens!$C$675-Sens!$C$676</f>
        <v>2.551</v>
      </c>
      <c r="D677" s="38" t="n">
        <f aca="false">Q!$E$44-Sens!$D$674-Sens!$D$675-Sens!$D$676</f>
        <v>0.51700000000001</v>
      </c>
      <c r="E677" s="38" t="n">
        <f aca="false">Q!$P$44-Sens!$E$674-Sens!$E$675-Sens!$E$676</f>
        <v>-58.256</v>
      </c>
      <c r="F677" s="38" t="n">
        <f aca="false">wc_2h26+oth_r*Sens!$F$597</f>
        <v>7.37719151794802</v>
      </c>
      <c r="G677" s="38" t="n">
        <f aca="false">Sens!$E$677+Sens!$F$677</f>
        <v>-50.878808482052</v>
      </c>
      <c r="H677" s="38" t="n">
        <f aca="false">oth_r*Sens!$H$597</f>
        <v>11.8916803182917</v>
      </c>
      <c r="I677" s="38" t="n">
        <f aca="false">oth_r*Sens!$I$597</f>
        <v>13.8258562610338</v>
      </c>
      <c r="J677" s="38" t="n">
        <f aca="false">oth_r*Sens!$J$597</f>
        <v>15.656468447703</v>
      </c>
      <c r="K677" s="38" t="n">
        <f aca="false">oth_r*Sens!$K$597</f>
        <v>17.3149178913916</v>
      </c>
      <c r="L677" s="38" t="n">
        <f aca="false">oth_r*Sens!$L$597</f>
        <v>19.0388334755872</v>
      </c>
      <c r="M677" s="38" t="n">
        <f aca="false">oth_r*Sens!$M$597</f>
        <v>20.8329581595144</v>
      </c>
      <c r="P677" s="8" t="s">
        <v>733</v>
      </c>
    </row>
    <row r="678" customFormat="false" ht="15" hidden="false" customHeight="false" outlineLevel="0" collapsed="false">
      <c r="A678" s="3" t="s">
        <v>515</v>
      </c>
      <c r="B678" s="8" t="s">
        <v>73</v>
      </c>
      <c r="C678" s="38" t="n">
        <f aca="false">Q!$D$44</f>
        <v>115.877</v>
      </c>
      <c r="D678" s="38" t="n">
        <f aca="false">Q!$E$44</f>
        <v>139.514</v>
      </c>
      <c r="E678" s="38" t="n">
        <f aca="false">Q!$P$44</f>
        <v>71.419</v>
      </c>
      <c r="F678" s="38" t="n">
        <f aca="false">Sens!$F$674+Sens!$F$675+Sens!$F$676+Sens!$F$677</f>
        <v>100.364222958228</v>
      </c>
      <c r="G678" s="38" t="n">
        <f aca="false">Sens!$E$678+Sens!$F$678</f>
        <v>171.783222958228</v>
      </c>
      <c r="H678" s="38" t="n">
        <f aca="false">Sens!$H$674+Sens!$H$675+Sens!$H$676+Sens!$H$677</f>
        <v>251.197434916792</v>
      </c>
      <c r="I678" s="38" t="n">
        <f aca="false">Sens!$I$674+Sens!$I$675+Sens!$I$676+Sens!$I$677</f>
        <v>329.589817650967</v>
      </c>
      <c r="J678" s="38" t="n">
        <f aca="false">Sens!$J$674+Sens!$J$675+Sens!$J$676+Sens!$J$677</f>
        <v>407.859895351518</v>
      </c>
      <c r="K678" s="38" t="n">
        <f aca="false">Sens!$K$674+Sens!$K$675+Sens!$K$676+Sens!$K$677</f>
        <v>483.689243405692</v>
      </c>
      <c r="L678" s="38" t="n">
        <f aca="false">Sens!$L$674+Sens!$L$675+Sens!$L$676+Sens!$L$677</f>
        <v>561.742200532851</v>
      </c>
      <c r="M678" s="38" t="n">
        <f aca="false">Sens!$M$674+Sens!$M$675+Sens!$M$676+Sens!$M$677</f>
        <v>642.885152147047</v>
      </c>
    </row>
    <row r="679" customFormat="false" ht="17.15" hidden="false" customHeight="false" outlineLevel="0" collapsed="false">
      <c r="A679" s="5" t="s">
        <v>734</v>
      </c>
      <c r="B679" s="0" t="s">
        <v>73</v>
      </c>
      <c r="C679" s="38" t="n">
        <f aca="false">Sens!$C$567</f>
        <v>25.2781053077374</v>
      </c>
      <c r="D679" s="38" t="n">
        <f aca="false">Sens!$D$567</f>
        <v>69.5686316310026</v>
      </c>
      <c r="E679" s="38" t="n">
        <f aca="false">Sens!$E$567</f>
        <v>64.1899206485108</v>
      </c>
      <c r="F679" s="38" t="n">
        <f aca="false">Sens!$F$567</f>
        <v>96.2481299895</v>
      </c>
      <c r="G679" s="38" t="n">
        <f aca="false">Sens!$G$567</f>
        <v>160.438050638011</v>
      </c>
      <c r="H679" s="38" t="n">
        <f aca="false">Sens!$H$567</f>
        <v>198.57136494475</v>
      </c>
      <c r="I679" s="38" t="n">
        <f aca="false">Sens!$I$567</f>
        <v>204.6464699105</v>
      </c>
      <c r="J679" s="38" t="n">
        <f aca="false">Sens!$J$567</f>
        <v>209.8832381105</v>
      </c>
      <c r="K679" s="38" t="n">
        <f aca="false">Sens!$K$567</f>
        <v>215.1200063105</v>
      </c>
      <c r="L679" s="38" t="n">
        <f aca="false">Sens!$L$567</f>
        <v>251.7773837105</v>
      </c>
      <c r="M679" s="38" t="n">
        <f aca="false">Sens!$M$567</f>
        <v>311.87584476575</v>
      </c>
    </row>
    <row r="680" customFormat="false" ht="17.15" hidden="false" customHeight="false" outlineLevel="0" collapsed="false">
      <c r="A680" s="5" t="s">
        <v>735</v>
      </c>
      <c r="B680" s="0" t="s">
        <v>73</v>
      </c>
      <c r="C680" s="38" t="n">
        <f aca="false">cx_awso*Sens!$C$595</f>
        <v>21.0469989286053</v>
      </c>
      <c r="D680" s="38" t="n">
        <f aca="false">cx_awso*Sens!$D$595</f>
        <v>24.0042459822698</v>
      </c>
      <c r="E680" s="38" t="n">
        <f aca="false">cx_awso*Sens!$E$595</f>
        <v>14.261729404886</v>
      </c>
      <c r="F680" s="38" t="n">
        <f aca="false">cx_awso*Sens!$F$595</f>
        <v>15.7190020837331</v>
      </c>
      <c r="G680" s="38" t="n">
        <f aca="false">Sens!$E$680+Sens!$F$680</f>
        <v>29.9807314886191</v>
      </c>
      <c r="H680" s="38" t="n">
        <f aca="false">cx_awso*Sens!$H$595</f>
        <v>36.1787121536283</v>
      </c>
      <c r="I680" s="38" t="n">
        <f aca="false">cx_awso*Sens!$I$595</f>
        <v>42.1296794430021</v>
      </c>
      <c r="J680" s="38" t="n">
        <f aca="false">cx_awso*Sens!$J$595</f>
        <v>47.279781889299</v>
      </c>
      <c r="K680" s="38" t="n">
        <f aca="false">cx_awso*Sens!$K$595</f>
        <v>51.0621644404429</v>
      </c>
      <c r="L680" s="38" t="n">
        <f aca="false">cx_awso*Sens!$L$595</f>
        <v>55.1471375956783</v>
      </c>
      <c r="M680" s="38" t="n">
        <f aca="false">cx_awso*Sens!$M$595</f>
        <v>59.5589086033326</v>
      </c>
    </row>
    <row r="681" customFormat="false" ht="17.15" hidden="false" customHeight="false" outlineLevel="0" collapsed="false">
      <c r="A681" s="5" t="s">
        <v>736</v>
      </c>
      <c r="B681" s="0" t="s">
        <v>73</v>
      </c>
      <c r="C681" s="38" t="n">
        <f aca="false">Q!$D$46-Sens!$C$679-Sens!$C$680</f>
        <v>31.3328957636573</v>
      </c>
      <c r="D681" s="38" t="n">
        <f aca="false">Q!$E$46-Sens!$D$679-Sens!$D$680</f>
        <v>34.7471223867276</v>
      </c>
      <c r="E681" s="38" t="n">
        <f aca="false">Q!$P$46-Sens!$E$679-Sens!$E$680</f>
        <v>17.8583499466032</v>
      </c>
      <c r="F681" s="38" t="n">
        <f aca="false">cx_rt*Sens!$F$531</f>
        <v>21.0855744229195</v>
      </c>
      <c r="G681" s="38" t="n">
        <f aca="false">Sens!$E$681+Sens!$F$681</f>
        <v>38.9439243695228</v>
      </c>
      <c r="H681" s="38" t="n">
        <f aca="false">cx_rt*Sens!$H$531</f>
        <v>43.1200434029767</v>
      </c>
      <c r="I681" s="38" t="n">
        <f aca="false">cx_rt*Sens!$I$531</f>
        <v>47.1583152318763</v>
      </c>
      <c r="J681" s="38" t="n">
        <f aca="false">cx_rt*Sens!$J$531</f>
        <v>50.9060281137911</v>
      </c>
      <c r="K681" s="38" t="n">
        <f aca="false">cx_rt*Sens!$K$531</f>
        <v>54.2035645673053</v>
      </c>
      <c r="L681" s="38" t="n">
        <f aca="false">cx_rt*Sens!$L$531</f>
        <v>57.7318979121519</v>
      </c>
      <c r="M681" s="38" t="n">
        <f aca="false">cx_rt*Sens!$M$531</f>
        <v>61.5084196557756</v>
      </c>
    </row>
    <row r="682" customFormat="false" ht="15" hidden="false" customHeight="false" outlineLevel="0" collapsed="false">
      <c r="A682" s="3" t="s">
        <v>737</v>
      </c>
      <c r="B682" s="8" t="s">
        <v>73</v>
      </c>
      <c r="C682" s="38" t="n">
        <f aca="false">Q!$D$46</f>
        <v>77.658</v>
      </c>
      <c r="D682" s="38" t="n">
        <f aca="false">Q!$E$46</f>
        <v>128.32</v>
      </c>
      <c r="E682" s="38" t="n">
        <f aca="false">Q!$P$46</f>
        <v>96.31</v>
      </c>
      <c r="F682" s="38" t="n">
        <f aca="false">Sens!$F$679+Sens!$F$680+Sens!$F$681</f>
        <v>133.052706496153</v>
      </c>
      <c r="G682" s="38" t="n">
        <f aca="false">Sens!$E$682+Sens!$F$682</f>
        <v>229.362706496153</v>
      </c>
      <c r="H682" s="38" t="n">
        <f aca="false">Sens!$H$679+Sens!$H$680+Sens!$H$681</f>
        <v>277.870120501355</v>
      </c>
      <c r="I682" s="38" t="n">
        <f aca="false">Sens!$I$679+Sens!$I$680+Sens!$I$681</f>
        <v>293.934464585378</v>
      </c>
      <c r="J682" s="38" t="n">
        <f aca="false">Sens!$J$679+Sens!$J$680+Sens!$J$681</f>
        <v>308.06904811359</v>
      </c>
      <c r="K682" s="38" t="n">
        <f aca="false">Sens!$K$679+Sens!$K$680+Sens!$K$681</f>
        <v>320.385735318248</v>
      </c>
      <c r="L682" s="38" t="n">
        <f aca="false">Sens!$L$679+Sens!$L$680+Sens!$L$681</f>
        <v>364.65641921833</v>
      </c>
      <c r="M682" s="38" t="n">
        <f aca="false">Sens!$M$679+Sens!$M$680+Sens!$M$681</f>
        <v>432.943173024858</v>
      </c>
    </row>
    <row r="683" customFormat="false" ht="17.15" hidden="false" customHeight="false" outlineLevel="0" collapsed="false">
      <c r="A683" s="5" t="s">
        <v>523</v>
      </c>
      <c r="B683" s="0" t="s">
        <v>73</v>
      </c>
      <c r="C683" s="38" t="n">
        <f aca="false">Q!$D$50</f>
        <v>2.043</v>
      </c>
      <c r="D683" s="38" t="n">
        <f aca="false">Q!$E$50</f>
        <v>1.557</v>
      </c>
      <c r="E683" s="38" t="n">
        <f aca="false">lease_pr/2</f>
        <v>0.8</v>
      </c>
      <c r="F683" s="38" t="n">
        <f aca="false">lease_pr/2</f>
        <v>0.8</v>
      </c>
      <c r="G683" s="38" t="n">
        <f aca="false">Sens!$E$683+Sens!$F$683</f>
        <v>1.6</v>
      </c>
      <c r="H683" s="38" t="n">
        <f aca="false">lease_pr</f>
        <v>1.6</v>
      </c>
      <c r="I683" s="38" t="n">
        <f aca="false">lease_pr</f>
        <v>1.6</v>
      </c>
      <c r="J683" s="38" t="n">
        <f aca="false">lease_pr</f>
        <v>1.6</v>
      </c>
      <c r="K683" s="38" t="n">
        <f aca="false">lease_pr</f>
        <v>1.6</v>
      </c>
      <c r="L683" s="38" t="n">
        <f aca="false">lease_pr</f>
        <v>1.6</v>
      </c>
      <c r="M683" s="38" t="n">
        <f aca="false">lease_pr</f>
        <v>1.6</v>
      </c>
      <c r="P683" s="8" t="s">
        <v>738</v>
      </c>
    </row>
    <row r="684" customFormat="false" ht="15" hidden="false" customHeight="false" outlineLevel="0" collapsed="false">
      <c r="A684" s="46" t="s">
        <v>739</v>
      </c>
      <c r="B684" s="13" t="s">
        <v>73</v>
      </c>
      <c r="C684" s="47" t="n">
        <f aca="false">Sens!$C$678-Sens!$C$682-Sens!$C$683</f>
        <v>36.176</v>
      </c>
      <c r="D684" s="47" t="n">
        <f aca="false">Sens!$D$678-Sens!$D$682-Sens!$D$683</f>
        <v>9.63700000000002</v>
      </c>
      <c r="E684" s="47" t="n">
        <f aca="false">Sens!$E$678-Sens!$E$682-Sens!$E$683</f>
        <v>-25.691</v>
      </c>
      <c r="F684" s="47" t="n">
        <f aca="false">Sens!$F$678-Sens!$F$682-Sens!$F$683</f>
        <v>-33.4884835379249</v>
      </c>
      <c r="G684" s="47" t="n">
        <f aca="false">Sens!$G$678-Sens!$G$682-Sens!$G$683</f>
        <v>-59.1794835379249</v>
      </c>
      <c r="H684" s="47" t="n">
        <f aca="false">Sens!$H$678-Sens!$H$682-Sens!$H$683</f>
        <v>-28.2726855845631</v>
      </c>
      <c r="I684" s="47" t="n">
        <f aca="false">Sens!$I$678-Sens!$I$682-Sens!$I$683</f>
        <v>34.0553530655887</v>
      </c>
      <c r="J684" s="47" t="n">
        <f aca="false">Sens!$J$678-Sens!$J$682-Sens!$J$683</f>
        <v>98.1908472379283</v>
      </c>
      <c r="K684" s="47" t="n">
        <f aca="false">Sens!$K$678-Sens!$K$682-Sens!$K$683</f>
        <v>161.703508087444</v>
      </c>
      <c r="L684" s="47" t="n">
        <f aca="false">Sens!$L$678-Sens!$L$682-Sens!$L$683</f>
        <v>195.485781314521</v>
      </c>
      <c r="M684" s="47" t="n">
        <f aca="false">Sens!$M$678-Sens!$M$682-Sens!$M$683</f>
        <v>208.341979122189</v>
      </c>
      <c r="N684" s="13"/>
      <c r="O684" s="13"/>
    </row>
    <row r="685" customFormat="false" ht="17.15" hidden="false" customHeight="false" outlineLevel="0" collapsed="false">
      <c r="A685" s="5" t="s">
        <v>740</v>
      </c>
      <c r="B685" s="0" t="s">
        <v>73</v>
      </c>
      <c r="C685" s="38" t="n">
        <f aca="false">dps*Sens!$C$666</f>
        <v>0</v>
      </c>
      <c r="D685" s="38" t="n">
        <f aca="false">dps*Sens!$D$666</f>
        <v>0</v>
      </c>
      <c r="E685" s="38" t="n">
        <f aca="false">dps*Sens!$E$666</f>
        <v>0</v>
      </c>
      <c r="F685" s="38" t="n">
        <f aca="false">0</f>
        <v>0</v>
      </c>
      <c r="G685" s="38" t="n">
        <f aca="false">dps*Sens!$G$666</f>
        <v>0</v>
      </c>
      <c r="H685" s="38" t="n">
        <f aca="false">dps*Sens!$H$666</f>
        <v>0</v>
      </c>
      <c r="I685" s="38" t="n">
        <f aca="false">dps*Sens!$I$666</f>
        <v>0</v>
      </c>
      <c r="J685" s="38" t="n">
        <f aca="false">dps*Sens!$J$666</f>
        <v>0</v>
      </c>
      <c r="K685" s="38" t="n">
        <f aca="false">dps*Sens!$K$666</f>
        <v>0</v>
      </c>
      <c r="L685" s="38" t="n">
        <f aca="false">dps*Sens!$L$666</f>
        <v>0</v>
      </c>
      <c r="M685" s="38" t="n">
        <f aca="false">dps*Sens!$M$666</f>
        <v>0</v>
      </c>
      <c r="P685" s="8" t="s">
        <v>741</v>
      </c>
    </row>
    <row r="686" customFormat="false" ht="17.15" hidden="false" customHeight="false" outlineLevel="0" collapsed="false">
      <c r="A686" s="5" t="s">
        <v>742</v>
      </c>
      <c r="B686" s="0" t="s">
        <v>73</v>
      </c>
      <c r="C686" s="38" t="n">
        <f aca="false">0</f>
        <v>0</v>
      </c>
      <c r="D686" s="38" t="n">
        <f aca="false">0</f>
        <v>0</v>
      </c>
      <c r="E686" s="38" t="n">
        <f aca="false">0</f>
        <v>0</v>
      </c>
      <c r="F686" s="38" t="n">
        <f aca="false">0</f>
        <v>0</v>
      </c>
      <c r="G686" s="38" t="n">
        <f aca="false">0</f>
        <v>0</v>
      </c>
      <c r="H686" s="38" t="n">
        <f aca="false">0</f>
        <v>0</v>
      </c>
      <c r="I686" s="38" t="n">
        <f aca="false">0</f>
        <v>0</v>
      </c>
      <c r="J686" s="38" t="n">
        <f aca="false">0</f>
        <v>0</v>
      </c>
      <c r="K686" s="38" t="n">
        <f aca="false">0</f>
        <v>0</v>
      </c>
      <c r="L686" s="38" t="n">
        <f aca="false">0</f>
        <v>0</v>
      </c>
      <c r="M686" s="38" t="n">
        <f aca="false">0</f>
        <v>0</v>
      </c>
      <c r="P686" s="8" t="s">
        <v>743</v>
      </c>
    </row>
    <row r="687" customFormat="false" ht="15" hidden="false" customHeight="false" outlineLevel="0" collapsed="false">
      <c r="A687" s="3" t="s">
        <v>744</v>
      </c>
      <c r="B687" s="8" t="s">
        <v>73</v>
      </c>
      <c r="C687" s="38" t="n">
        <f aca="false">Sens!$C$684-Sens!$C$685</f>
        <v>36.176</v>
      </c>
      <c r="D687" s="38" t="n">
        <f aca="false">Sens!$D$684-Sens!$D$685</f>
        <v>9.63700000000002</v>
      </c>
      <c r="E687" s="38" t="n">
        <f aca="false">Sens!$E$684-Sens!$E$685</f>
        <v>-25.691</v>
      </c>
      <c r="F687" s="38" t="n">
        <f aca="false">Sens!$F$684-Sens!$F$685</f>
        <v>-33.4884835379249</v>
      </c>
      <c r="G687" s="38" t="n">
        <f aca="false">Sens!$G$684-Sens!$G$685</f>
        <v>-59.1794835379249</v>
      </c>
      <c r="H687" s="38" t="n">
        <f aca="false">Sens!$H$684-Sens!$H$685</f>
        <v>-28.2726855845631</v>
      </c>
      <c r="I687" s="38" t="n">
        <f aca="false">Sens!$I$684-Sens!$I$685</f>
        <v>34.0553530655887</v>
      </c>
      <c r="J687" s="38" t="n">
        <f aca="false">Sens!$J$684-Sens!$J$685</f>
        <v>98.1908472379283</v>
      </c>
      <c r="K687" s="38" t="n">
        <f aca="false">Sens!$K$684-Sens!$K$685</f>
        <v>161.703508087444</v>
      </c>
      <c r="L687" s="38" t="n">
        <f aca="false">Sens!$L$684-Sens!$L$685</f>
        <v>195.485781314521</v>
      </c>
      <c r="M687" s="38" t="n">
        <f aca="false">Sens!$M$684-Sens!$M$685</f>
        <v>208.341979122189</v>
      </c>
    </row>
    <row r="688" customFormat="false" ht="17.15" hidden="false" customHeight="false" outlineLevel="0" collapsed="false">
      <c r="A688" s="5" t="s">
        <v>745</v>
      </c>
      <c r="B688" s="0" t="s">
        <v>73</v>
      </c>
      <c r="E688" s="38" t="n">
        <f aca="false">Q!$P$53</f>
        <v>39.767</v>
      </c>
      <c r="F688" s="38" t="n">
        <f aca="false">inv_2h26</f>
        <v>21.3</v>
      </c>
      <c r="G688" s="38" t="n">
        <f aca="false">Sens!$E$688+Sens!$F$688</f>
        <v>61.067</v>
      </c>
      <c r="H688" s="41" t="n">
        <v>0</v>
      </c>
      <c r="I688" s="41" t="n">
        <v>0</v>
      </c>
      <c r="J688" s="41" t="n">
        <v>0</v>
      </c>
      <c r="K688" s="41" t="n">
        <v>0</v>
      </c>
      <c r="L688" s="41" t="n">
        <v>0</v>
      </c>
      <c r="M688" s="41" t="n">
        <v>0</v>
      </c>
    </row>
    <row r="689" customFormat="false" ht="17.15" hidden="false" customHeight="false" outlineLevel="0" collapsed="false">
      <c r="A689" s="5" t="s">
        <v>746</v>
      </c>
      <c r="B689" s="0" t="s">
        <v>73</v>
      </c>
      <c r="F689" s="38" t="n">
        <f aca="false">iss_2h26</f>
        <v>29.25</v>
      </c>
      <c r="G689" s="38" t="n">
        <f aca="false">Sens!$F$689</f>
        <v>29.25</v>
      </c>
      <c r="H689" s="41" t="n">
        <v>0</v>
      </c>
      <c r="I689" s="41" t="n">
        <v>0</v>
      </c>
      <c r="J689" s="41" t="n">
        <v>0</v>
      </c>
      <c r="K689" s="41" t="n">
        <v>0</v>
      </c>
      <c r="L689" s="41" t="n">
        <v>0</v>
      </c>
      <c r="M689" s="41" t="n">
        <v>0</v>
      </c>
    </row>
    <row r="690" customFormat="false" ht="17.15" hidden="false" customHeight="false" outlineLevel="0" collapsed="false">
      <c r="A690" s="5" t="s">
        <v>747</v>
      </c>
      <c r="B690" s="0" t="s">
        <v>73</v>
      </c>
      <c r="F690" s="38" t="n">
        <f aca="false">cash_q2</f>
        <v>122.988</v>
      </c>
      <c r="G690" s="38" t="n">
        <f aca="false">cash_q2</f>
        <v>122.988</v>
      </c>
      <c r="H690" s="38" t="n">
        <f aca="false">Sens!$G$693</f>
        <v>97.4495164620751</v>
      </c>
      <c r="I690" s="38" t="n">
        <f aca="false">Sens!$H$693</f>
        <v>69.176830877512</v>
      </c>
      <c r="J690" s="38" t="n">
        <f aca="false">Sens!$I$693</f>
        <v>103.232183943101</v>
      </c>
      <c r="K690" s="38" t="n">
        <f aca="false">Sens!$J$693</f>
        <v>201.423031181029</v>
      </c>
      <c r="L690" s="38" t="n">
        <f aca="false">Sens!$K$693</f>
        <v>363.126539268473</v>
      </c>
      <c r="M690" s="38" t="n">
        <f aca="false">Sens!$L$693</f>
        <v>558.612320582994</v>
      </c>
    </row>
    <row r="691" customFormat="false" ht="15" hidden="false" customHeight="false" outlineLevel="0" collapsed="false">
      <c r="A691" s="5" t="s">
        <v>748</v>
      </c>
      <c r="B691" s="0" t="s">
        <v>73</v>
      </c>
      <c r="F691" s="38" t="n">
        <f aca="false">Sens!$F$690+Sens!$F$687-Sens!$F$686-Sens!$F$688+Sens!$F$689</f>
        <v>97.4495164620751</v>
      </c>
      <c r="H691" s="38" t="n">
        <f aca="false">Sens!$H$690+Sens!$H$687-Sens!$H$686-Sens!$H$688+Sens!$H$689</f>
        <v>69.176830877512</v>
      </c>
      <c r="I691" s="38" t="n">
        <f aca="false">Sens!$I$690+Sens!$I$687-Sens!$I$686-Sens!$I$688+Sens!$I$689</f>
        <v>103.232183943101</v>
      </c>
      <c r="J691" s="38" t="n">
        <f aca="false">Sens!$J$690+Sens!$J$687-Sens!$J$686-Sens!$J$688+Sens!$J$689</f>
        <v>201.423031181029</v>
      </c>
      <c r="K691" s="38" t="n">
        <f aca="false">Sens!$K$690+Sens!$K$687-Sens!$K$686-Sens!$K$688+Sens!$K$689</f>
        <v>363.126539268473</v>
      </c>
      <c r="L691" s="38" t="n">
        <f aca="false">Sens!$L$690+Sens!$L$687-Sens!$L$686-Sens!$L$688+Sens!$L$689</f>
        <v>558.612320582994</v>
      </c>
      <c r="M691" s="38" t="n">
        <f aca="false">Sens!$M$690+Sens!$M$687-Sens!$M$686-Sens!$M$688+Sens!$M$689</f>
        <v>766.954299705183</v>
      </c>
    </row>
    <row r="692" customFormat="false" ht="17.15" hidden="false" customHeight="false" outlineLevel="0" collapsed="false">
      <c r="A692" s="5" t="s">
        <v>749</v>
      </c>
      <c r="B692" s="0" t="s">
        <v>73</v>
      </c>
      <c r="F692" s="38" t="n">
        <f aca="false">MAX(0,min_cash-Sens!$F$691)</f>
        <v>0</v>
      </c>
      <c r="G692" s="38" t="n">
        <f aca="false">Sens!$F$692</f>
        <v>0</v>
      </c>
      <c r="H692" s="38" t="n">
        <f aca="false">MAX(0,min_cash-Sens!$H$691)</f>
        <v>0</v>
      </c>
      <c r="I692" s="38" t="n">
        <f aca="false">MAX(0,min_cash-Sens!$I$691)</f>
        <v>0</v>
      </c>
      <c r="J692" s="38" t="n">
        <f aca="false">MAX(0,min_cash-Sens!$J$691)</f>
        <v>0</v>
      </c>
      <c r="K692" s="38" t="n">
        <f aca="false">MAX(0,min_cash-Sens!$K$691)</f>
        <v>0</v>
      </c>
      <c r="L692" s="38" t="n">
        <f aca="false">MAX(0,min_cash-Sens!$L$691)</f>
        <v>0</v>
      </c>
      <c r="M692" s="38" t="n">
        <f aca="false">MAX(0,min_cash-Sens!$M$691)</f>
        <v>0</v>
      </c>
      <c r="P692" s="5" t="s">
        <v>750</v>
      </c>
    </row>
    <row r="693" customFormat="false" ht="15" hidden="false" customHeight="false" outlineLevel="0" collapsed="false">
      <c r="A693" s="5" t="s">
        <v>751</v>
      </c>
      <c r="B693" s="0" t="s">
        <v>73</v>
      </c>
      <c r="D693" s="38" t="n">
        <f aca="false">Q!$E$61</f>
        <v>123.029</v>
      </c>
      <c r="E693" s="38" t="n">
        <f aca="false">Q!$M$61</f>
        <v>122.988</v>
      </c>
      <c r="F693" s="38" t="n">
        <f aca="false">Sens!$F$691+Sens!$F$692</f>
        <v>97.4495164620751</v>
      </c>
      <c r="G693" s="38" t="n">
        <f aca="false">Sens!$F$693</f>
        <v>97.4495164620751</v>
      </c>
      <c r="H693" s="38" t="n">
        <f aca="false">Sens!$H$691+Sens!$H$692</f>
        <v>69.176830877512</v>
      </c>
      <c r="I693" s="38" t="n">
        <f aca="false">Sens!$I$691+Sens!$I$692</f>
        <v>103.232183943101</v>
      </c>
      <c r="J693" s="38" t="n">
        <f aca="false">Sens!$J$691+Sens!$J$692</f>
        <v>201.423031181029</v>
      </c>
      <c r="K693" s="38" t="n">
        <f aca="false">Sens!$K$691+Sens!$K$692</f>
        <v>363.126539268473</v>
      </c>
      <c r="L693" s="38" t="n">
        <f aca="false">Sens!$L$691+Sens!$L$692</f>
        <v>558.612320582994</v>
      </c>
      <c r="M693" s="38" t="n">
        <f aca="false">Sens!$M$691+Sens!$M$692</f>
        <v>766.954299705183</v>
      </c>
    </row>
    <row r="694" customFormat="false" ht="15" hidden="false" customHeight="false" outlineLevel="0" collapsed="false">
      <c r="A694" s="5" t="s">
        <v>752</v>
      </c>
      <c r="B694" s="0" t="s">
        <v>73</v>
      </c>
      <c r="D694" s="38" t="n">
        <f aca="false">Q!$E$62</f>
        <v>68.836</v>
      </c>
      <c r="E694" s="38" t="n">
        <f aca="false">Q!$M$62</f>
        <v>132.995</v>
      </c>
      <c r="F694" s="38" t="n">
        <f aca="false">debt_q2+Sens!$F$689+Sens!$F$692</f>
        <v>162.245</v>
      </c>
      <c r="G694" s="38" t="n">
        <f aca="false">Sens!$F$694</f>
        <v>162.245</v>
      </c>
      <c r="H694" s="38" t="n">
        <f aca="false">Sens!$G$694+Sens!$H$692</f>
        <v>162.245</v>
      </c>
      <c r="I694" s="38" t="n">
        <f aca="false">Sens!$H$694+Sens!$I$692</f>
        <v>162.245</v>
      </c>
      <c r="J694" s="38" t="n">
        <f aca="false">Sens!$I$694+Sens!$J$692</f>
        <v>162.245</v>
      </c>
      <c r="K694" s="38" t="n">
        <f aca="false">Sens!$J$694+Sens!$K$692</f>
        <v>162.245</v>
      </c>
      <c r="L694" s="38" t="n">
        <f aca="false">Sens!$K$694+Sens!$L$692</f>
        <v>162.245</v>
      </c>
      <c r="M694" s="38" t="n">
        <f aca="false">Sens!$L$694+Sens!$M$692</f>
        <v>162.245</v>
      </c>
    </row>
    <row r="695" customFormat="false" ht="15" hidden="false" customHeight="false" outlineLevel="0" collapsed="false">
      <c r="A695" s="5" t="s">
        <v>753</v>
      </c>
      <c r="B695" s="0" t="s">
        <v>73</v>
      </c>
      <c r="D695" s="38" t="n">
        <f aca="false">Sens!$D$694-Sens!$D$693</f>
        <v>-54.193</v>
      </c>
      <c r="E695" s="38" t="n">
        <f aca="false">Sens!$E$694-Sens!$E$693</f>
        <v>10.007</v>
      </c>
      <c r="F695" s="38" t="n">
        <f aca="false">Sens!$F$694-Sens!$F$693</f>
        <v>64.7954835379249</v>
      </c>
      <c r="G695" s="38" t="n">
        <f aca="false">Sens!$G$694-Sens!$G$693</f>
        <v>64.7954835379249</v>
      </c>
      <c r="H695" s="38" t="n">
        <f aca="false">Sens!$H$694-Sens!$H$693</f>
        <v>93.068169122488</v>
      </c>
      <c r="I695" s="38" t="n">
        <f aca="false">Sens!$I$694-Sens!$I$693</f>
        <v>59.0128160568993</v>
      </c>
      <c r="J695" s="38" t="n">
        <f aca="false">Sens!$J$694-Sens!$J$693</f>
        <v>-39.178031181029</v>
      </c>
      <c r="K695" s="38" t="n">
        <f aca="false">Sens!$K$694-Sens!$K$693</f>
        <v>-200.881539268473</v>
      </c>
      <c r="L695" s="38" t="n">
        <f aca="false">Sens!$L$694-Sens!$L$693</f>
        <v>-396.367320582994</v>
      </c>
      <c r="M695" s="38" t="n">
        <f aca="false">Sens!$M$694-Sens!$M$693</f>
        <v>-604.709299705183</v>
      </c>
    </row>
    <row r="696" customFormat="false" ht="17.15" hidden="false" customHeight="false" outlineLevel="0" collapsed="false">
      <c r="A696" s="5" t="s">
        <v>754</v>
      </c>
      <c r="B696" s="0" t="s">
        <v>73</v>
      </c>
      <c r="F696" s="38" t="n">
        <f aca="false">debt_q2*kd_book*0.5+iss_2h26*kd_new*0.25</f>
        <v>3.24888964316061</v>
      </c>
      <c r="H696" s="38" t="n">
        <f aca="false">debt_q2*kd_book+(Sens!$G$694-debt_q2)*kd_new</f>
        <v>7.42354178632123</v>
      </c>
      <c r="I696" s="38" t="n">
        <f aca="false">debt_q2*kd_book+(Sens!$H$694-debt_q2)*kd_new</f>
        <v>7.42354178632123</v>
      </c>
      <c r="J696" s="38" t="n">
        <f aca="false">debt_q2*kd_book+(Sens!$I$694-debt_q2)*kd_new</f>
        <v>7.42354178632123</v>
      </c>
      <c r="K696" s="38" t="n">
        <f aca="false">debt_q2*kd_book+(Sens!$J$694-debt_q2)*kd_new</f>
        <v>7.42354178632123</v>
      </c>
      <c r="L696" s="38" t="n">
        <f aca="false">debt_q2*kd_book+(Sens!$K$694-debt_q2)*kd_new</f>
        <v>7.42354178632123</v>
      </c>
      <c r="M696" s="38" t="n">
        <f aca="false">debt_q2*kd_book+(Sens!$L$694-debt_q2)*kd_new</f>
        <v>7.42354178632123</v>
      </c>
    </row>
    <row r="697" customFormat="false" ht="17.15" hidden="false" customHeight="false" outlineLevel="0" collapsed="false">
      <c r="A697" s="5" t="s">
        <v>755</v>
      </c>
      <c r="B697" s="0" t="s">
        <v>73</v>
      </c>
      <c r="F697" s="38" t="n">
        <f aca="false">cash_q2*y_cash*0.5</f>
        <v>2.59</v>
      </c>
      <c r="H697" s="38" t="n">
        <f aca="false">Sens!$G$693*y_cash</f>
        <v>4.10437193281905</v>
      </c>
      <c r="I697" s="38" t="n">
        <f aca="false">Sens!$H$693*y_cash</f>
        <v>2.91358493467259</v>
      </c>
      <c r="J697" s="38" t="n">
        <f aca="false">Sens!$I$693*y_cash</f>
        <v>4.34792591818114</v>
      </c>
      <c r="K697" s="38" t="n">
        <f aca="false">Sens!$J$693*y_cash</f>
        <v>8.48352116887607</v>
      </c>
      <c r="L697" s="38" t="n">
        <f aca="false">Sens!$K$693*y_cash</f>
        <v>15.2941382363376</v>
      </c>
      <c r="M697" s="38" t="n">
        <f aca="false">Sens!$L$693*y_cash</f>
        <v>23.527594729729</v>
      </c>
    </row>
    <row r="698" customFormat="false" ht="17.15" hidden="false" customHeight="false" outlineLevel="0" collapsed="false">
      <c r="A698" s="46" t="s">
        <v>756</v>
      </c>
      <c r="B698" s="13" t="s">
        <v>73</v>
      </c>
      <c r="C698" s="13"/>
      <c r="D698" s="13"/>
      <c r="E698" s="13"/>
      <c r="F698" s="13"/>
      <c r="G698" s="47" t="n">
        <f aca="false">SUM(Sens!$G$687:$K$687)</f>
        <v>206.497539268473</v>
      </c>
      <c r="H698" s="13"/>
      <c r="I698" s="13"/>
      <c r="J698" s="13"/>
      <c r="K698" s="13"/>
      <c r="L698" s="13"/>
      <c r="M698" s="13"/>
      <c r="N698" s="13"/>
      <c r="O698" s="13"/>
    </row>
    <row r="699" customFormat="false" ht="17.15" hidden="false" customHeight="false" outlineLevel="0" collapsed="false">
      <c r="A699" s="0" t="s">
        <v>723</v>
      </c>
      <c r="B699" s="0" t="s">
        <v>73</v>
      </c>
      <c r="G699" s="38" t="n">
        <f aca="false">SUM(Sens!$G$692:$K$692)</f>
        <v>0</v>
      </c>
    </row>
    <row r="702" customFormat="false" ht="19.4" hidden="false" customHeight="false" outlineLevel="0" collapsed="false">
      <c r="A702" s="31" t="s">
        <v>1057</v>
      </c>
    </row>
    <row r="703" customFormat="false" ht="17.15" hidden="false" customHeight="false" outlineLevel="0" collapsed="false">
      <c r="A703" s="6" t="s">
        <v>16</v>
      </c>
      <c r="B703" s="6" t="s">
        <v>17</v>
      </c>
      <c r="C703" s="20" t="s">
        <v>457</v>
      </c>
      <c r="D703" s="20" t="s">
        <v>458</v>
      </c>
      <c r="E703" s="20" t="s">
        <v>540</v>
      </c>
      <c r="F703" s="20" t="s">
        <v>541</v>
      </c>
      <c r="G703" s="20" t="s">
        <v>542</v>
      </c>
      <c r="H703" s="20" t="s">
        <v>543</v>
      </c>
      <c r="I703" s="20" t="s">
        <v>544</v>
      </c>
      <c r="J703" s="20" t="s">
        <v>545</v>
      </c>
      <c r="K703" s="20" t="s">
        <v>546</v>
      </c>
      <c r="L703" s="20" t="s">
        <v>547</v>
      </c>
      <c r="M703" s="20" t="s">
        <v>548</v>
      </c>
      <c r="N703" s="20" t="s">
        <v>549</v>
      </c>
      <c r="O703" s="20" t="s">
        <v>550</v>
      </c>
      <c r="P703" s="6" t="s">
        <v>23</v>
      </c>
      <c r="R703" s="20" t="n">
        <v>2023</v>
      </c>
      <c r="S703" s="20" t="n">
        <v>2024</v>
      </c>
      <c r="T703" s="20" t="n">
        <v>2025</v>
      </c>
      <c r="U703" s="20" t="n">
        <v>2026</v>
      </c>
      <c r="V703" s="20" t="n">
        <v>2027</v>
      </c>
      <c r="W703" s="20" t="n">
        <v>2028</v>
      </c>
      <c r="X703" s="20" t="n">
        <v>2029</v>
      </c>
      <c r="Y703" s="20" t="n">
        <v>2030</v>
      </c>
      <c r="Z703" s="20" t="n">
        <v>2031</v>
      </c>
      <c r="AA703" s="20" t="n">
        <v>2032</v>
      </c>
    </row>
    <row r="704" customFormat="false" ht="17.15" hidden="false" customHeight="false" outlineLevel="0" collapsed="false">
      <c r="A704" s="1" t="s">
        <v>851</v>
      </c>
    </row>
    <row r="705" customFormat="false" ht="17.15" hidden="false" customHeight="false" outlineLevel="0" collapsed="false">
      <c r="A705" s="0" t="s">
        <v>852</v>
      </c>
      <c r="B705" s="0" t="s">
        <v>73</v>
      </c>
      <c r="H705" s="38" t="n">
        <f aca="false">Sens!$H$641*(1-tax)</f>
        <v>129.657816193272</v>
      </c>
      <c r="I705" s="38" t="n">
        <f aca="false">Sens!$I$641*(1-tax)</f>
        <v>168.471371248111</v>
      </c>
      <c r="J705" s="38" t="n">
        <f aca="false">Sens!$J$641*(1-tax)</f>
        <v>205.082960119977</v>
      </c>
      <c r="K705" s="38" t="n">
        <f aca="false">Sens!$K$641*(1-tax)</f>
        <v>238.173835143163</v>
      </c>
      <c r="L705" s="38" t="n">
        <f aca="false">Sens!$L$641*(1-tax)</f>
        <v>272.734225509647</v>
      </c>
      <c r="M705" s="38" t="n">
        <f aca="false">Sens!$M$641*(1-tax)</f>
        <v>307.884200147027</v>
      </c>
    </row>
    <row r="706" customFormat="false" ht="15" hidden="false" customHeight="false" outlineLevel="0" collapsed="false">
      <c r="A706" s="5" t="s">
        <v>853</v>
      </c>
      <c r="B706" s="0" t="s">
        <v>73</v>
      </c>
      <c r="H706" s="38" t="n">
        <f aca="false">Sens!$H$653</f>
        <v>87.6845218193838</v>
      </c>
      <c r="I706" s="38" t="n">
        <f aca="false">Sens!$I$653</f>
        <v>122.294769708638</v>
      </c>
      <c r="J706" s="38" t="n">
        <f aca="false">Sens!$J$653</f>
        <v>157.133962573221</v>
      </c>
      <c r="K706" s="38" t="n">
        <f aca="false">Sens!$K$653</f>
        <v>191.350633353599</v>
      </c>
      <c r="L706" s="38" t="n">
        <f aca="false">Sens!$L$653</f>
        <v>223.909238335354</v>
      </c>
      <c r="M706" s="38" t="n">
        <f aca="false">Sens!$M$653</f>
        <v>257.576319867276</v>
      </c>
    </row>
    <row r="707" customFormat="false" ht="15" hidden="false" customHeight="false" outlineLevel="0" collapsed="false">
      <c r="A707" s="5" t="s">
        <v>854</v>
      </c>
      <c r="B707" s="0" t="s">
        <v>73</v>
      </c>
      <c r="H707" s="38" t="n">
        <f aca="false">Sens!$H$682</f>
        <v>277.870120501355</v>
      </c>
      <c r="I707" s="38" t="n">
        <f aca="false">Sens!$I$682</f>
        <v>293.934464585378</v>
      </c>
      <c r="J707" s="38" t="n">
        <f aca="false">Sens!$J$682</f>
        <v>308.06904811359</v>
      </c>
      <c r="K707" s="38" t="n">
        <f aca="false">Sens!$K$682</f>
        <v>320.385735318248</v>
      </c>
      <c r="L707" s="38" t="n">
        <f aca="false">Sens!$L$682</f>
        <v>364.65641921833</v>
      </c>
      <c r="M707" s="38" t="n">
        <f aca="false">Sens!$M$682</f>
        <v>432.943173024858</v>
      </c>
    </row>
    <row r="708" customFormat="false" ht="15" hidden="false" customHeight="false" outlineLevel="0" collapsed="false">
      <c r="A708" s="5" t="s">
        <v>855</v>
      </c>
      <c r="B708" s="0" t="s">
        <v>73</v>
      </c>
      <c r="H708" s="38" t="n">
        <f aca="false">Sens!$H$683</f>
        <v>1.6</v>
      </c>
      <c r="I708" s="38" t="n">
        <f aca="false">Sens!$I$683</f>
        <v>1.6</v>
      </c>
      <c r="J708" s="38" t="n">
        <f aca="false">Sens!$J$683</f>
        <v>1.6</v>
      </c>
      <c r="K708" s="38" t="n">
        <f aca="false">Sens!$K$683</f>
        <v>1.6</v>
      </c>
      <c r="L708" s="38" t="n">
        <f aca="false">Sens!$L$683</f>
        <v>1.6</v>
      </c>
      <c r="M708" s="38" t="n">
        <f aca="false">Sens!$M$683</f>
        <v>1.6</v>
      </c>
    </row>
    <row r="709" customFormat="false" ht="15" hidden="false" customHeight="false" outlineLevel="0" collapsed="false">
      <c r="A709" s="5" t="s">
        <v>856</v>
      </c>
      <c r="B709" s="0" t="s">
        <v>73</v>
      </c>
      <c r="H709" s="38" t="n">
        <f aca="false">Sens!$H$677</f>
        <v>11.8916803182917</v>
      </c>
      <c r="I709" s="38" t="n">
        <f aca="false">Sens!$I$677</f>
        <v>13.8258562610338</v>
      </c>
      <c r="J709" s="38" t="n">
        <f aca="false">Sens!$J$677</f>
        <v>15.656468447703</v>
      </c>
      <c r="K709" s="38" t="n">
        <f aca="false">Sens!$K$677</f>
        <v>17.3149178913916</v>
      </c>
      <c r="L709" s="38" t="n">
        <f aca="false">Sens!$L$677</f>
        <v>19.0388334755872</v>
      </c>
      <c r="M709" s="38" t="n">
        <f aca="false">Sens!$M$677</f>
        <v>20.8329581595144</v>
      </c>
    </row>
    <row r="710" customFormat="false" ht="17.15" hidden="false" customHeight="false" outlineLevel="0" collapsed="false">
      <c r="A710" s="1" t="s">
        <v>857</v>
      </c>
      <c r="B710" s="8" t="s">
        <v>73</v>
      </c>
      <c r="H710" s="38" t="n">
        <f aca="false">Sens!$H$705+Sens!$H$706-Sens!$H$707-Sens!$H$708+Sens!$H$709</f>
        <v>-50.2361021704075</v>
      </c>
      <c r="I710" s="38" t="n">
        <f aca="false">Sens!$I$705+Sens!$I$706-Sens!$I$707-Sens!$I$708+Sens!$I$709</f>
        <v>9.0575326324045</v>
      </c>
      <c r="J710" s="38" t="n">
        <f aca="false">Sens!$J$705+Sens!$J$706-Sens!$J$707-Sens!$J$708+Sens!$J$709</f>
        <v>68.2043430273106</v>
      </c>
      <c r="K710" s="38" t="n">
        <f aca="false">Sens!$K$705+Sens!$K$706-Sens!$K$707-Sens!$K$708+Sens!$K$709</f>
        <v>124.853651069905</v>
      </c>
      <c r="L710" s="38" t="n">
        <f aca="false">Sens!$L$705+Sens!$L$706-Sens!$L$707-Sens!$L$708+Sens!$L$709</f>
        <v>149.425878102259</v>
      </c>
      <c r="M710" s="38" t="n">
        <f aca="false">Sens!$M$705+Sens!$M$706-Sens!$M$707-Sens!$M$708+Sens!$M$709</f>
        <v>151.750305148959</v>
      </c>
    </row>
    <row r="711" customFormat="false" ht="15" hidden="false" customHeight="false" outlineLevel="0" collapsed="false">
      <c r="A711" s="5" t="s">
        <v>858</v>
      </c>
      <c r="B711" s="0" t="s">
        <v>57</v>
      </c>
      <c r="H711" s="51" t="n">
        <f aca="false">1/(1+wacc)^(2027-2026-0.5)</f>
        <v>0.942858177653364</v>
      </c>
      <c r="I711" s="51" t="n">
        <f aca="false">1/(1+wacc)^(2028-2026-0.5)</f>
        <v>0.838183517758688</v>
      </c>
      <c r="J711" s="51" t="n">
        <f aca="false">1/(1+wacc)^(2029-2026-0.5)</f>
        <v>0.745129677074952</v>
      </c>
      <c r="K711" s="51" t="n">
        <f aca="false">1/(1+wacc)^(2030-2026-0.5)</f>
        <v>0.662406530186232</v>
      </c>
      <c r="L711" s="51" t="n">
        <f aca="false">1/(1+wacc)^(2031-2026-0.5)</f>
        <v>0.588867179409399</v>
      </c>
      <c r="M711" s="51" t="n">
        <f aca="false">1/(1+wacc)^(2032-2026-0.5)</f>
        <v>0.52349205387225</v>
      </c>
    </row>
    <row r="712" customFormat="false" ht="15" hidden="false" customHeight="false" outlineLevel="0" collapsed="false">
      <c r="A712" s="5" t="s">
        <v>859</v>
      </c>
      <c r="B712" s="0" t="s">
        <v>73</v>
      </c>
      <c r="H712" s="38" t="n">
        <f aca="false">Sens!$H$710*Sens!$H$711</f>
        <v>-47.3655197447986</v>
      </c>
      <c r="I712" s="38" t="n">
        <f aca="false">Sens!$I$710*Sens!$I$711</f>
        <v>7.59187456404292</v>
      </c>
      <c r="J712" s="38" t="n">
        <f aca="false">Sens!$J$710*Sens!$J$711</f>
        <v>50.8210800950492</v>
      </c>
      <c r="K712" s="38" t="n">
        <f aca="false">Sens!$K$710*Sens!$K$711</f>
        <v>82.7038737862985</v>
      </c>
      <c r="L712" s="38" t="n">
        <f aca="false">Sens!$L$710*Sens!$L$711</f>
        <v>87.9919953688498</v>
      </c>
      <c r="M712" s="38" t="n">
        <f aca="false">Sens!$M$710*Sens!$M$711</f>
        <v>79.4400789181693</v>
      </c>
    </row>
    <row r="713" customFormat="false" ht="15" hidden="false" customHeight="false" outlineLevel="0" collapsed="false">
      <c r="A713" s="5" t="s">
        <v>860</v>
      </c>
      <c r="B713" s="0" t="s">
        <v>73</v>
      </c>
      <c r="C713" s="38" t="n">
        <f aca="false">SUM(Sens!$H$712:$M$712)</f>
        <v>261.183382987611</v>
      </c>
    </row>
    <row r="714" customFormat="false" ht="17.15" hidden="false" customHeight="false" outlineLevel="0" collapsed="false">
      <c r="A714" s="5" t="s">
        <v>861</v>
      </c>
      <c r="B714" s="0" t="s">
        <v>73</v>
      </c>
      <c r="C714" s="38" t="n">
        <f aca="false">Sens!$M$705*(1+tg)*(1-tg/ronic)/(wacc-tg)</f>
        <v>2539.34778548367</v>
      </c>
    </row>
    <row r="715" customFormat="false" ht="15" hidden="false" customHeight="false" outlineLevel="0" collapsed="false">
      <c r="A715" s="5" t="s">
        <v>862</v>
      </c>
      <c r="B715" s="0" t="s">
        <v>73</v>
      </c>
      <c r="C715" s="38" t="n">
        <f aca="false">Sens!$C$714/(1+wacc)^6</f>
        <v>1253.36814114743</v>
      </c>
    </row>
    <row r="716" customFormat="false" ht="17.15" hidden="false" customHeight="false" outlineLevel="0" collapsed="false">
      <c r="A716" s="5" t="s">
        <v>863</v>
      </c>
      <c r="B716" s="0" t="s">
        <v>73</v>
      </c>
      <c r="C716" s="38" t="n">
        <f aca="false">Sens!$C$713+Sens!$C$715</f>
        <v>1514.55152413504</v>
      </c>
    </row>
    <row r="717" customFormat="false" ht="17.15" hidden="false" customHeight="false" outlineLevel="0" collapsed="false">
      <c r="A717" s="5" t="s">
        <v>864</v>
      </c>
      <c r="B717" s="0" t="s">
        <v>52</v>
      </c>
      <c r="C717" s="12" t="n">
        <f aca="false">Sens!$C$715/Sens!$C$716</f>
        <v>0.827550678319265</v>
      </c>
    </row>
    <row r="718" customFormat="false" ht="17.15" hidden="false" customHeight="false" outlineLevel="0" collapsed="false">
      <c r="A718" s="5" t="s">
        <v>865</v>
      </c>
      <c r="B718" s="0" t="s">
        <v>73</v>
      </c>
      <c r="C718" s="38" t="n">
        <f aca="false">Sens!$G$695</f>
        <v>64.7954835379249</v>
      </c>
    </row>
    <row r="719" customFormat="false" ht="17.15" hidden="false" customHeight="false" outlineLevel="0" collapsed="false">
      <c r="A719" s="5" t="s">
        <v>866</v>
      </c>
      <c r="B719" s="0" t="s">
        <v>73</v>
      </c>
      <c r="C719" s="38" t="n">
        <f aca="false">(ant_val*ant_sh+oai_val*oai_sh)*(1-liq_disc)</f>
        <v>178.944</v>
      </c>
    </row>
    <row r="720" customFormat="false" ht="15" hidden="false" customHeight="false" outlineLevel="0" collapsed="false">
      <c r="A720" s="5" t="s">
        <v>867</v>
      </c>
      <c r="B720" s="0" t="s">
        <v>73</v>
      </c>
      <c r="C720" s="38" t="n">
        <f aca="false">Sens!$C$716-Sens!$C$718+Sens!$C$719</f>
        <v>1628.70004059712</v>
      </c>
    </row>
    <row r="721" customFormat="false" ht="17.15" hidden="false" customHeight="false" outlineLevel="0" collapsed="false">
      <c r="A721" s="5" t="s">
        <v>868</v>
      </c>
      <c r="B721" s="0" t="s">
        <v>27</v>
      </c>
      <c r="C721" s="30" t="n">
        <f aca="false">Sens!$C$720/sh_val</f>
        <v>147.656724966952</v>
      </c>
    </row>
    <row r="722" customFormat="false" ht="17.15" hidden="false" customHeight="false" outlineLevel="0" collapsed="false">
      <c r="A722" s="1" t="s">
        <v>869</v>
      </c>
      <c r="B722" s="8" t="s">
        <v>27</v>
      </c>
      <c r="C722" s="30" t="n">
        <f aca="false">Sens!$C$721*(1+ke)^tp_yf</f>
        <v>163.078719855935</v>
      </c>
    </row>
    <row r="723" customFormat="false" ht="17.15" hidden="false" customHeight="false" outlineLevel="0" collapsed="false">
      <c r="A723" s="3" t="s">
        <v>870</v>
      </c>
    </row>
    <row r="724" customFormat="false" ht="17.15" hidden="false" customHeight="false" outlineLevel="0" collapsed="false">
      <c r="A724" s="5" t="s">
        <v>871</v>
      </c>
      <c r="B724" s="0" t="s">
        <v>73</v>
      </c>
      <c r="C724" s="38" t="n">
        <f aca="false">0.25*Sens!$H$654+0.75*Sens!$I$654</f>
        <v>57.5541093268329</v>
      </c>
    </row>
    <row r="725" customFormat="false" ht="15" hidden="false" customHeight="false" outlineLevel="0" collapsed="false">
      <c r="A725" s="5" t="s">
        <v>872</v>
      </c>
      <c r="B725" s="0" t="s">
        <v>57</v>
      </c>
      <c r="C725" s="30" t="n">
        <f aca="false">m_ads*m_x</f>
        <v>9.11</v>
      </c>
    </row>
    <row r="726" customFormat="false" ht="17.15" hidden="false" customHeight="false" outlineLevel="0" collapsed="false">
      <c r="A726" s="5" t="s">
        <v>873</v>
      </c>
      <c r="B726" s="0" t="s">
        <v>73</v>
      </c>
      <c r="C726" s="38" t="n">
        <f aca="false">Sens!$C$724*Sens!$C$725</f>
        <v>524.317935967448</v>
      </c>
    </row>
    <row r="727" customFormat="false" ht="17.15" hidden="false" customHeight="false" outlineLevel="0" collapsed="false">
      <c r="A727" s="5" t="s">
        <v>874</v>
      </c>
      <c r="B727" s="0" t="s">
        <v>73</v>
      </c>
      <c r="C727" s="38" t="n">
        <f aca="false">0.25*Sens!$H$655+0.75*Sens!$I$655</f>
        <v>30.6290803533085</v>
      </c>
    </row>
    <row r="728" customFormat="false" ht="15" hidden="false" customHeight="false" outlineLevel="0" collapsed="false">
      <c r="A728" s="5" t="s">
        <v>875</v>
      </c>
      <c r="B728" s="0" t="s">
        <v>57</v>
      </c>
      <c r="C728" s="30" t="n">
        <f aca="false">m_retail*m_x</f>
        <v>17.72</v>
      </c>
    </row>
    <row r="729" customFormat="false" ht="17.15" hidden="false" customHeight="false" outlineLevel="0" collapsed="false">
      <c r="A729" s="5" t="s">
        <v>876</v>
      </c>
      <c r="B729" s="0" t="s">
        <v>73</v>
      </c>
      <c r="C729" s="38" t="n">
        <f aca="false">Sens!$C$727*Sens!$C$728</f>
        <v>542.747303860627</v>
      </c>
    </row>
    <row r="730" customFormat="false" ht="17.15" hidden="false" customHeight="false" outlineLevel="0" collapsed="false">
      <c r="A730" s="0" t="s">
        <v>877</v>
      </c>
      <c r="B730" s="0" t="s">
        <v>73</v>
      </c>
      <c r="C730" s="38" t="n">
        <f aca="false">0.25*Sens!$H$656+0.75*Sens!$I$656</f>
        <v>107.575398943098</v>
      </c>
    </row>
    <row r="731" customFormat="false" ht="17.15" hidden="false" customHeight="false" outlineLevel="0" collapsed="false">
      <c r="A731" s="0" t="s">
        <v>878</v>
      </c>
      <c r="B731" s="0" t="s">
        <v>57</v>
      </c>
      <c r="C731" s="30" t="n">
        <f aca="false">m_cloud*m_x</f>
        <v>13.82</v>
      </c>
    </row>
    <row r="732" customFormat="false" ht="17.15" hidden="false" customHeight="false" outlineLevel="0" collapsed="false">
      <c r="A732" s="0" t="s">
        <v>879</v>
      </c>
      <c r="B732" s="0" t="s">
        <v>73</v>
      </c>
      <c r="C732" s="38" t="n">
        <f aca="false">Sens!$C$730*Sens!$C$731</f>
        <v>1486.69201339361</v>
      </c>
    </row>
    <row r="733" customFormat="false" ht="17.15" hidden="false" customHeight="false" outlineLevel="0" collapsed="false">
      <c r="A733" s="0" t="s">
        <v>880</v>
      </c>
      <c r="B733" s="0" t="s">
        <v>73</v>
      </c>
      <c r="C733" s="38" t="n">
        <f aca="false">0.25*Sens!$H$657+0.75*Sens!$I$657</f>
        <v>110.000039483635</v>
      </c>
    </row>
    <row r="734" customFormat="false" ht="17.15" hidden="false" customHeight="false" outlineLevel="0" collapsed="false">
      <c r="A734" s="0" t="s">
        <v>881</v>
      </c>
      <c r="B734" s="0" t="s">
        <v>57</v>
      </c>
      <c r="C734" s="30" t="n">
        <f aca="false">m_ai</f>
        <v>6</v>
      </c>
    </row>
    <row r="735" customFormat="false" ht="17.15" hidden="false" customHeight="false" outlineLevel="0" collapsed="false">
      <c r="A735" s="0" t="s">
        <v>882</v>
      </c>
      <c r="B735" s="0" t="s">
        <v>73</v>
      </c>
      <c r="C735" s="38" t="n">
        <f aca="false">Sens!$C$733*Sens!$C$734</f>
        <v>660.000236901807</v>
      </c>
    </row>
    <row r="736" customFormat="false" ht="17.15" hidden="false" customHeight="false" outlineLevel="0" collapsed="false">
      <c r="A736" s="5" t="s">
        <v>883</v>
      </c>
      <c r="B736" s="0" t="s">
        <v>73</v>
      </c>
      <c r="C736" s="38" t="n">
        <f aca="false">Sens!$C$726+Sens!$C$729+Sens!$C$732+Sens!$C$735</f>
        <v>3213.75749012349</v>
      </c>
    </row>
    <row r="737" customFormat="false" ht="17.15" hidden="false" customHeight="false" outlineLevel="0" collapsed="false">
      <c r="A737" s="5" t="s">
        <v>884</v>
      </c>
      <c r="B737" s="0" t="s">
        <v>73</v>
      </c>
      <c r="C737" s="38" t="n">
        <f aca="false">Sens!$H$695</f>
        <v>93.068169122488</v>
      </c>
    </row>
    <row r="738" customFormat="false" ht="15" hidden="false" customHeight="false" outlineLevel="0" collapsed="false">
      <c r="A738" s="5" t="s">
        <v>885</v>
      </c>
      <c r="B738" s="0" t="s">
        <v>73</v>
      </c>
      <c r="C738" s="38" t="n">
        <f aca="false">Sens!$C$736-Sens!$C$737+Sens!$C$719</f>
        <v>3299.633321001</v>
      </c>
    </row>
    <row r="739" customFormat="false" ht="15" hidden="false" customHeight="false" outlineLevel="0" collapsed="false">
      <c r="A739" s="3" t="s">
        <v>886</v>
      </c>
      <c r="B739" s="8" t="s">
        <v>27</v>
      </c>
      <c r="C739" s="30" t="n">
        <f aca="false">Sens!$C$738/sh_val</f>
        <v>299.142283800897</v>
      </c>
    </row>
    <row r="740" customFormat="false" ht="17.15" hidden="false" customHeight="false" outlineLevel="0" collapsed="false">
      <c r="A740" s="46" t="s">
        <v>887</v>
      </c>
      <c r="B740" s="13" t="s">
        <v>27</v>
      </c>
      <c r="C740" s="43" t="n">
        <f aca="false">w_dcf*Sens!$C$722+(1-w_dcf)*Sens!$C$739</f>
        <v>231.110501828416</v>
      </c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</row>
    <row r="741" customFormat="false" ht="17.15" hidden="false" customHeight="false" outlineLevel="0" collapsed="false">
      <c r="A741" s="5" t="s">
        <v>888</v>
      </c>
      <c r="B741" s="0" t="s">
        <v>27</v>
      </c>
      <c r="C741" s="30" t="n">
        <f aca="false">0.45*Sens!$C$722+0.55*Sens!$C$739</f>
        <v>237.913680025664</v>
      </c>
    </row>
    <row r="744" customFormat="false" ht="19.4" hidden="false" customHeight="false" outlineLevel="0" collapsed="false">
      <c r="A744" s="31" t="s">
        <v>1058</v>
      </c>
    </row>
    <row r="745" customFormat="false" ht="17.15" hidden="false" customHeight="false" outlineLevel="0" collapsed="false">
      <c r="A745" s="6" t="s">
        <v>16</v>
      </c>
      <c r="B745" s="6" t="s">
        <v>17</v>
      </c>
      <c r="C745" s="20" t="s">
        <v>457</v>
      </c>
      <c r="D745" s="20" t="s">
        <v>458</v>
      </c>
      <c r="E745" s="20" t="s">
        <v>540</v>
      </c>
      <c r="F745" s="20" t="s">
        <v>541</v>
      </c>
      <c r="G745" s="20" t="s">
        <v>542</v>
      </c>
      <c r="H745" s="20" t="s">
        <v>543</v>
      </c>
      <c r="I745" s="20" t="s">
        <v>544</v>
      </c>
      <c r="J745" s="20" t="s">
        <v>545</v>
      </c>
      <c r="K745" s="20" t="s">
        <v>546</v>
      </c>
      <c r="L745" s="20" t="s">
        <v>547</v>
      </c>
      <c r="M745" s="20" t="s">
        <v>548</v>
      </c>
      <c r="N745" s="20" t="s">
        <v>549</v>
      </c>
      <c r="O745" s="20" t="s">
        <v>550</v>
      </c>
      <c r="P745" s="6" t="s">
        <v>23</v>
      </c>
      <c r="R745" s="20" t="n">
        <v>2023</v>
      </c>
      <c r="S745" s="20" t="n">
        <v>2024</v>
      </c>
      <c r="T745" s="20" t="n">
        <v>2025</v>
      </c>
      <c r="U745" s="20" t="n">
        <v>2026</v>
      </c>
      <c r="V745" s="20" t="n">
        <v>2027</v>
      </c>
      <c r="W745" s="20" t="n">
        <v>2028</v>
      </c>
      <c r="X745" s="20" t="n">
        <v>2029</v>
      </c>
      <c r="Y745" s="20" t="n">
        <v>2030</v>
      </c>
      <c r="Z745" s="20" t="n">
        <v>2031</v>
      </c>
      <c r="AA745" s="20" t="n">
        <v>2032</v>
      </c>
    </row>
    <row r="746" customFormat="false" ht="17.15" hidden="false" customHeight="false" outlineLevel="0" collapsed="false">
      <c r="A746" s="1" t="s">
        <v>620</v>
      </c>
    </row>
    <row r="747" customFormat="false" ht="17.15" hidden="false" customHeight="false" outlineLevel="0" collapsed="false">
      <c r="A747" s="0" t="s">
        <v>479</v>
      </c>
      <c r="B747" s="0" t="s">
        <v>73</v>
      </c>
      <c r="C747" s="38" t="n">
        <f aca="false">Q!$D$10</f>
        <v>247.029</v>
      </c>
      <c r="D747" s="38" t="n">
        <f aca="false">Q!$E$10</f>
        <v>269.287</v>
      </c>
      <c r="E747" s="38" t="n">
        <f aca="false">Q!$P$10</f>
        <v>134.686</v>
      </c>
      <c r="F747" s="38" t="n">
        <f aca="false">Sens!$O$747*(1+Sens!$F$748)-pd_amt*Q!$O$10/(Q!$O$10+Q!$O$12)</f>
        <v>160.728085930082</v>
      </c>
      <c r="G747" s="38" t="n">
        <f aca="false">Sens!$E$747+Sens!$F$747</f>
        <v>295.414085930082</v>
      </c>
      <c r="H747" s="38" t="n">
        <f aca="false">Sens!$G$747*(1+Sens!$H$748)</f>
        <v>320.828163943375</v>
      </c>
      <c r="I747" s="38" t="n">
        <f aca="false">Sens!$H$747*(1+Sens!$I$748)</f>
        <v>344.575578072228</v>
      </c>
      <c r="J747" s="38" t="n">
        <f aca="false">Sens!$I$747*(1+Sens!$J$748)</f>
        <v>365.942555779681</v>
      </c>
      <c r="K747" s="38" t="n">
        <f aca="false">Sens!$J$747*(1+Sens!$K$748)</f>
        <v>384.239683568665</v>
      </c>
      <c r="L747" s="38" t="n">
        <f aca="false">Sens!$K$747*(1+Sens!$L$748)</f>
        <v>403.451667747098</v>
      </c>
      <c r="M747" s="38" t="n">
        <f aca="false">Sens!$L$747*(1+Sens!$M$748)</f>
        <v>423.624251134453</v>
      </c>
      <c r="N747" s="38" t="n">
        <f aca="false">Q!$N$10</f>
        <v>118.892</v>
      </c>
      <c r="O747" s="38" t="n">
        <f aca="false">Q!$O$10</f>
        <v>150.395</v>
      </c>
      <c r="P747" s="8" t="s">
        <v>621</v>
      </c>
    </row>
    <row r="748" customFormat="false" ht="17.15" hidden="false" customHeight="false" outlineLevel="0" collapsed="false">
      <c r="A748" s="0" t="s">
        <v>622</v>
      </c>
      <c r="B748" s="0" t="s">
        <v>52</v>
      </c>
      <c r="E748" s="12" t="n">
        <f aca="false">Sens!$E$747/Sens!$N$747-1</f>
        <v>0.132843252699929</v>
      </c>
      <c r="F748" s="12" t="n">
        <f aca="false">Sens!$O$747/(Q!$F$10+Q!$G$10)-1</f>
        <v>0.0980382135842941</v>
      </c>
      <c r="G748" s="12" t="n">
        <f aca="false">Sens!$G$747/Sens!$D$747-1</f>
        <v>0.0970231980380869</v>
      </c>
      <c r="H748" s="12" t="n">
        <f aca="false">Sens!$F$748+(g_os-Sens!$F$748)*1/4</f>
        <v>0.0860286601882206</v>
      </c>
      <c r="I748" s="12" t="n">
        <f aca="false">Sens!$F$748+(g_os-Sens!$F$748)*2/4</f>
        <v>0.074019106792147</v>
      </c>
      <c r="J748" s="12" t="n">
        <f aca="false">Sens!$F$748+(g_os-Sens!$F$748)*3/4</f>
        <v>0.0620095533960735</v>
      </c>
      <c r="K748" s="12" t="n">
        <f aca="false">Sens!$F$748+(g_os-Sens!$F$748)*4/4</f>
        <v>0.05</v>
      </c>
      <c r="L748" s="12" t="n">
        <f aca="false">g_os</f>
        <v>0.05</v>
      </c>
      <c r="M748" s="12" t="n">
        <f aca="false">g_os</f>
        <v>0.05</v>
      </c>
      <c r="P748" s="8" t="s">
        <v>623</v>
      </c>
    </row>
    <row r="749" customFormat="false" ht="17.15" hidden="false" customHeight="false" outlineLevel="0" collapsed="false">
      <c r="A749" s="0" t="s">
        <v>480</v>
      </c>
      <c r="B749" s="0" t="s">
        <v>73</v>
      </c>
      <c r="C749" s="38" t="n">
        <f aca="false">Q!$D$11</f>
        <v>21.215</v>
      </c>
      <c r="D749" s="38" t="n">
        <f aca="false">Q!$E$11</f>
        <v>22.561</v>
      </c>
      <c r="E749" s="38" t="n">
        <f aca="false">Q!$P$11</f>
        <v>11.579</v>
      </c>
      <c r="F749" s="38" t="n">
        <f aca="false">Sens!$O$749*(1+Sens!$F$750)</f>
        <v>12.0952613121125</v>
      </c>
      <c r="G749" s="38" t="n">
        <f aca="false">Sens!$E$749+Sens!$F$749</f>
        <v>23.6742613121125</v>
      </c>
      <c r="H749" s="38" t="n">
        <f aca="false">Sens!$G$749*(1+Sens!$H$750)</f>
        <v>24.8803243963206</v>
      </c>
      <c r="I749" s="38" t="n">
        <f aca="false">Sens!$H$749*(1+Sens!$I$750)</f>
        <v>25.9741308664154</v>
      </c>
      <c r="J749" s="38" t="n">
        <f aca="false">Sens!$I$749*(1+Sens!$J$750)</f>
        <v>26.9346894124267</v>
      </c>
      <c r="K749" s="38" t="n">
        <f aca="false">Sens!$J$749*(1+Sens!$K$750)</f>
        <v>27.7427300947995</v>
      </c>
      <c r="L749" s="38" t="n">
        <f aca="false">Sens!$K$749*(1+Sens!$L$750)</f>
        <v>28.5750119976435</v>
      </c>
      <c r="M749" s="38" t="n">
        <f aca="false">Sens!$L$749*(1+Sens!$M$750)</f>
        <v>29.4322623575728</v>
      </c>
      <c r="N749" s="38" t="n">
        <f aca="false">Q!$N$11</f>
        <v>11.128</v>
      </c>
      <c r="O749" s="38" t="n">
        <f aca="false">Q!$O$11</f>
        <v>11.433</v>
      </c>
      <c r="P749" s="8" t="s">
        <v>621</v>
      </c>
    </row>
    <row r="750" customFormat="false" ht="17.15" hidden="false" customHeight="false" outlineLevel="0" collapsed="false">
      <c r="A750" s="0" t="s">
        <v>624</v>
      </c>
      <c r="B750" s="0" t="s">
        <v>52</v>
      </c>
      <c r="E750" s="12" t="n">
        <f aca="false">Sens!$E$749/Sens!$N$749-1</f>
        <v>0.0405283968368082</v>
      </c>
      <c r="F750" s="12" t="n">
        <f aca="false">Sens!$O$749/(Q!$F$11+Q!$G$11)-1</f>
        <v>0.0579254187100955</v>
      </c>
      <c r="G750" s="12" t="n">
        <f aca="false">Sens!$G$749/Sens!$D$749-1</f>
        <v>0.0493445021103904</v>
      </c>
      <c r="H750" s="12" t="n">
        <f aca="false">Sens!$F$750+(g_ps-Sens!$F$750)*1/4</f>
        <v>0.0509440640325716</v>
      </c>
      <c r="I750" s="12" t="n">
        <f aca="false">Sens!$F$750+(g_ps-Sens!$F$750)*2/4</f>
        <v>0.0439627093550477</v>
      </c>
      <c r="J750" s="12" t="n">
        <f aca="false">Sens!$F$750+(g_ps-Sens!$F$750)*3/4</f>
        <v>0.0369813546775239</v>
      </c>
      <c r="K750" s="12" t="n">
        <f aca="false">Sens!$F$750+(g_ps-Sens!$F$750)*4/4</f>
        <v>0.03</v>
      </c>
      <c r="L750" s="12" t="n">
        <f aca="false">g_ps</f>
        <v>0.03</v>
      </c>
      <c r="M750" s="12" t="n">
        <f aca="false">g_ps</f>
        <v>0.03</v>
      </c>
      <c r="P750" s="8" t="s">
        <v>625</v>
      </c>
    </row>
    <row r="751" customFormat="false" ht="17.15" hidden="false" customHeight="false" outlineLevel="0" collapsed="false">
      <c r="A751" s="0" t="s">
        <v>481</v>
      </c>
      <c r="B751" s="0" t="s">
        <v>73</v>
      </c>
      <c r="C751" s="38" t="n">
        <f aca="false">Q!$D$12</f>
        <v>156.146</v>
      </c>
      <c r="D751" s="38" t="n">
        <f aca="false">Q!$E$12</f>
        <v>172.162</v>
      </c>
      <c r="E751" s="38" t="n">
        <f aca="false">Q!$P$12</f>
        <v>88.358</v>
      </c>
      <c r="F751" s="38" t="n">
        <f aca="false">Sens!$O$751*(1+Sens!$F$752)-pd_amt*Q!$O$12/(Q!$O$10+Q!$O$12)</f>
        <v>103.62028337149</v>
      </c>
      <c r="G751" s="38" t="n">
        <f aca="false">Sens!$E$751+Sens!$F$751</f>
        <v>191.97828337149</v>
      </c>
      <c r="H751" s="38" t="n">
        <f aca="false">Sens!$G$751*(1+Sens!$H$752)</f>
        <v>212.128608444755</v>
      </c>
      <c r="I751" s="38" t="n">
        <f aca="false">Sens!$H$751*(1+Sens!$I$752)</f>
        <v>231.92183134134</v>
      </c>
      <c r="J751" s="38" t="n">
        <f aca="false">Sens!$I$751*(1+Sens!$J$752)</f>
        <v>250.859136487863</v>
      </c>
      <c r="K751" s="38" t="n">
        <f aca="false">Sens!$J$751*(1+Sens!$K$752)</f>
        <v>268.419276042014</v>
      </c>
      <c r="L751" s="38" t="n">
        <f aca="false">Sens!$K$751*(1+Sens!$L$752)</f>
        <v>287.208625364954</v>
      </c>
      <c r="M751" s="38" t="n">
        <f aca="false">Sens!$L$751*(1+Sens!$M$752)</f>
        <v>307.313229140501</v>
      </c>
      <c r="N751" s="38" t="n">
        <f aca="false">Q!$N$12</f>
        <v>76.86</v>
      </c>
      <c r="O751" s="38" t="n">
        <f aca="false">Q!$O$12</f>
        <v>95.302</v>
      </c>
      <c r="P751" s="8" t="s">
        <v>621</v>
      </c>
    </row>
    <row r="752" customFormat="false" ht="17.15" hidden="false" customHeight="false" outlineLevel="0" collapsed="false">
      <c r="A752" s="0" t="s">
        <v>626</v>
      </c>
      <c r="B752" s="0" t="s">
        <v>52</v>
      </c>
      <c r="E752" s="12" t="n">
        <f aca="false">Sens!$E$751/Sens!$N$751-1</f>
        <v>0.1495966692688</v>
      </c>
      <c r="F752" s="12" t="n">
        <f aca="false">Sens!$O$751/(Q!$F$12+Q!$G$12)-1</f>
        <v>0.11661530890813</v>
      </c>
      <c r="G752" s="12" t="n">
        <f aca="false">Sens!$G$751/Sens!$D$751-1</f>
        <v>0.115102539303041</v>
      </c>
      <c r="H752" s="12" t="n">
        <f aca="false">Sens!$F$752+(g_sp-Sens!$F$752)*1/4</f>
        <v>0.104961481681098</v>
      </c>
      <c r="I752" s="12" t="n">
        <f aca="false">Sens!$F$752+(g_sp-Sens!$F$752)*2/4</f>
        <v>0.0933076544540651</v>
      </c>
      <c r="J752" s="12" t="n">
        <f aca="false">Sens!$F$752+(g_sp-Sens!$F$752)*3/4</f>
        <v>0.0816538272270325</v>
      </c>
      <c r="K752" s="12" t="n">
        <f aca="false">Sens!$F$752+(g_sp-Sens!$F$752)*4/4</f>
        <v>0.07</v>
      </c>
      <c r="L752" s="12" t="n">
        <f aca="false">g_sp</f>
        <v>0.07</v>
      </c>
      <c r="M752" s="12" t="n">
        <f aca="false">g_sp</f>
        <v>0.07</v>
      </c>
      <c r="P752" s="8" t="s">
        <v>627</v>
      </c>
    </row>
    <row r="753" customFormat="false" ht="17.15" hidden="false" customHeight="false" outlineLevel="0" collapsed="false">
      <c r="A753" s="0" t="s">
        <v>482</v>
      </c>
      <c r="B753" s="0" t="s">
        <v>73</v>
      </c>
      <c r="C753" s="38" t="n">
        <f aca="false">Q!$D$13</f>
        <v>56.214</v>
      </c>
      <c r="D753" s="38" t="n">
        <f aca="false">Q!$E$13</f>
        <v>68.635</v>
      </c>
      <c r="E753" s="38" t="n">
        <f aca="false">Q!$P$13</f>
        <v>37.052</v>
      </c>
      <c r="F753" s="38" t="n">
        <f aca="false">Sens!$O$753*(1+Sens!$F$754)</f>
        <v>48.1533381827382</v>
      </c>
      <c r="G753" s="38" t="n">
        <f aca="false">Sens!$E$753+Sens!$F$753</f>
        <v>85.2053381827382</v>
      </c>
      <c r="H753" s="38" t="n">
        <f aca="false">Sens!$G$753*(1+Sens!$H$754)</f>
        <v>102.29336185894</v>
      </c>
      <c r="I753" s="38" t="n">
        <f aca="false">Sens!$H$753*(1+Sens!$I$754)</f>
        <v>119.379837585241</v>
      </c>
      <c r="J753" s="38" t="n">
        <f aca="false">Sens!$I$753*(1+Sens!$J$754)</f>
        <v>135.319079048844</v>
      </c>
      <c r="K753" s="38" t="n">
        <f aca="false">Sens!$J$753*(1+Sens!$K$754)</f>
        <v>148.850986953729</v>
      </c>
      <c r="L753" s="38" t="n">
        <f aca="false">Sens!$K$753*(1+Sens!$L$754)</f>
        <v>163.736085649102</v>
      </c>
      <c r="M753" s="38" t="n">
        <f aca="false">Sens!$L$753*(1+Sens!$M$754)</f>
        <v>180.109694214012</v>
      </c>
      <c r="N753" s="38" t="n">
        <f aca="false">Q!$N$13</f>
        <v>29.615</v>
      </c>
      <c r="O753" s="38" t="n">
        <f aca="false">Q!$O$13</f>
        <v>39.02</v>
      </c>
      <c r="P753" s="8" t="s">
        <v>621</v>
      </c>
    </row>
    <row r="754" customFormat="false" ht="17.15" hidden="false" customHeight="false" outlineLevel="0" collapsed="false">
      <c r="A754" s="0" t="s">
        <v>628</v>
      </c>
      <c r="B754" s="0" t="s">
        <v>52</v>
      </c>
      <c r="E754" s="12" t="n">
        <f aca="false">Sens!$E$753/Sens!$N$753-1</f>
        <v>0.25112274185379</v>
      </c>
      <c r="F754" s="12" t="n">
        <f aca="false">Sens!$O$753/(Q!$F$13+Q!$G$13)-1</f>
        <v>0.234068123596572</v>
      </c>
      <c r="G754" s="12" t="n">
        <f aca="false">Sens!$G$753/Sens!$D$753-1</f>
        <v>0.241426942270536</v>
      </c>
      <c r="H754" s="12" t="n">
        <f aca="false">Sens!$F$754+(g_ad-Sens!$F$754)*1/4</f>
        <v>0.200551092697429</v>
      </c>
      <c r="I754" s="12" t="n">
        <f aca="false">Sens!$F$754+(g_ad-Sens!$F$754)*2/4</f>
        <v>0.167034061798286</v>
      </c>
      <c r="J754" s="12" t="n">
        <f aca="false">Sens!$F$754+(g_ad-Sens!$F$754)*3/4</f>
        <v>0.133517030899143</v>
      </c>
      <c r="K754" s="12" t="n">
        <f aca="false">Sens!$F$754+(g_ad-Sens!$F$754)*4/4</f>
        <v>0.1</v>
      </c>
      <c r="L754" s="12" t="n">
        <f aca="false">g_ad</f>
        <v>0.1</v>
      </c>
      <c r="M754" s="12" t="n">
        <f aca="false">g_ad</f>
        <v>0.1</v>
      </c>
      <c r="P754" s="8" t="s">
        <v>629</v>
      </c>
    </row>
    <row r="755" customFormat="false" ht="17.15" hidden="false" customHeight="false" outlineLevel="0" collapsed="false">
      <c r="A755" s="0" t="s">
        <v>483</v>
      </c>
      <c r="B755" s="0" t="s">
        <v>73</v>
      </c>
      <c r="C755" s="38" t="n">
        <f aca="false">Q!$D$14</f>
        <v>44.374</v>
      </c>
      <c r="D755" s="38" t="n">
        <f aca="false">Q!$E$14</f>
        <v>49.619</v>
      </c>
      <c r="E755" s="38" t="n">
        <f aca="false">Q!$P$14</f>
        <v>27.157</v>
      </c>
      <c r="F755" s="38" t="n">
        <f aca="false">Sens!$O$755*(1+Sens!$F$756)</f>
        <v>28.9776360923374</v>
      </c>
      <c r="G755" s="38" t="n">
        <f aca="false">Sens!$E$755+Sens!$F$755</f>
        <v>56.1346360923374</v>
      </c>
      <c r="H755" s="38" t="n">
        <f aca="false">Sens!$G$755*(1+Sens!$H$756)</f>
        <v>62.4937078946075</v>
      </c>
      <c r="I755" s="38" t="n">
        <f aca="false">Sens!$H$755*(1+Sens!$I$756)</f>
        <v>68.6715233062498</v>
      </c>
      <c r="J755" s="38" t="n">
        <f aca="false">Sens!$I$755*(1+Sens!$J$756)</f>
        <v>74.4692882949818</v>
      </c>
      <c r="K755" s="38" t="n">
        <f aca="false">Sens!$J$755*(1+Sens!$K$756)</f>
        <v>79.6821384756306</v>
      </c>
      <c r="L755" s="38" t="n">
        <f aca="false">Sens!$K$755*(1+Sens!$L$756)</f>
        <v>85.2598881689247</v>
      </c>
      <c r="M755" s="38" t="n">
        <f aca="false">Sens!$L$755*(1+Sens!$M$756)</f>
        <v>91.2280803407494</v>
      </c>
      <c r="N755" s="38" t="n">
        <f aca="false">Q!$N$14</f>
        <v>23.923</v>
      </c>
      <c r="O755" s="38" t="n">
        <f aca="false">Q!$O$14</f>
        <v>25.696</v>
      </c>
      <c r="P755" s="8" t="s">
        <v>621</v>
      </c>
    </row>
    <row r="756" customFormat="false" ht="17.15" hidden="false" customHeight="false" outlineLevel="0" collapsed="false">
      <c r="A756" s="0" t="s">
        <v>630</v>
      </c>
      <c r="B756" s="0" t="s">
        <v>52</v>
      </c>
      <c r="E756" s="12" t="n">
        <f aca="false">Sens!$E$755/Sens!$N$755-1</f>
        <v>0.135183714417088</v>
      </c>
      <c r="F756" s="12" t="n">
        <f aca="false">Sens!$O$755/(Q!$F$14+Q!$G$14)-1</f>
        <v>0.127709997366804</v>
      </c>
      <c r="G756" s="12" t="n">
        <f aca="false">Sens!$G$755/Sens!$D$755-1</f>
        <v>0.131313329416905</v>
      </c>
      <c r="H756" s="12" t="n">
        <f aca="false">Sens!$F$756+(g_sub-Sens!$F$756)*1/4</f>
        <v>0.113282498025103</v>
      </c>
      <c r="I756" s="12" t="n">
        <f aca="false">Sens!$F$756+(g_sub-Sens!$F$756)*2/4</f>
        <v>0.0988549986834021</v>
      </c>
      <c r="J756" s="12" t="n">
        <f aca="false">Sens!$F$756+(g_sub-Sens!$F$756)*3/4</f>
        <v>0.084427499341701</v>
      </c>
      <c r="K756" s="12" t="n">
        <f aca="false">Sens!$F$756+(g_sub-Sens!$F$756)*4/4</f>
        <v>0.07</v>
      </c>
      <c r="L756" s="12" t="n">
        <f aca="false">g_sub</f>
        <v>0.07</v>
      </c>
      <c r="M756" s="12" t="n">
        <f aca="false">g_sub</f>
        <v>0.07</v>
      </c>
      <c r="P756" s="8" t="s">
        <v>631</v>
      </c>
    </row>
    <row r="757" customFormat="false" ht="17.15" hidden="false" customHeight="false" outlineLevel="0" collapsed="false">
      <c r="A757" s="0" t="s">
        <v>484</v>
      </c>
      <c r="B757" s="0" t="s">
        <v>73</v>
      </c>
      <c r="C757" s="38" t="n">
        <f aca="false">Q!$D$15</f>
        <v>5.425</v>
      </c>
      <c r="D757" s="38" t="n">
        <f aca="false">Q!$E$15</f>
        <v>5.935</v>
      </c>
      <c r="E757" s="38" t="n">
        <f aca="false">Q!$P$15</f>
        <v>3.474</v>
      </c>
      <c r="F757" s="38" t="n">
        <f aca="false">Sens!$O$757*(1+Sens!$F$758)</f>
        <v>3.36182431966931</v>
      </c>
      <c r="G757" s="38" t="n">
        <f aca="false">Sens!$E$757+Sens!$F$757</f>
        <v>6.83582431966931</v>
      </c>
      <c r="H757" s="38" t="n">
        <f aca="false">Sens!$G$757*(1+Sens!$H$758)</f>
        <v>7.31157108370141</v>
      </c>
      <c r="I757" s="38" t="n">
        <f aca="false">Sens!$H$757*(1+Sens!$I$758)</f>
        <v>7.77266852639815</v>
      </c>
      <c r="J757" s="38" t="n">
        <f aca="false">Sens!$I$757*(1+Sens!$J$758)</f>
        <v>8.2120733019884</v>
      </c>
      <c r="K757" s="38" t="n">
        <f aca="false">Sens!$J$757*(1+Sens!$K$758)</f>
        <v>8.62267696708783</v>
      </c>
      <c r="L757" s="38" t="n">
        <f aca="false">Sens!$K$757*(1+Sens!$L$758)</f>
        <v>9.05381081544222</v>
      </c>
      <c r="M757" s="38" t="n">
        <f aca="false">Sens!$L$757*(1+Sens!$M$758)</f>
        <v>9.50650135621433</v>
      </c>
      <c r="N757" s="38" t="n">
        <f aca="false">Q!$N$15</f>
        <v>2.811</v>
      </c>
      <c r="O757" s="38" t="n">
        <f aca="false">Q!$O$15</f>
        <v>3.124</v>
      </c>
      <c r="P757" s="8" t="s">
        <v>621</v>
      </c>
    </row>
    <row r="758" customFormat="false" ht="17.15" hidden="false" customHeight="false" outlineLevel="0" collapsed="false">
      <c r="A758" s="0" t="s">
        <v>632</v>
      </c>
      <c r="B758" s="0" t="s">
        <v>52</v>
      </c>
      <c r="E758" s="12" t="n">
        <f aca="false">Sens!$E$757/Sens!$N$757-1</f>
        <v>0.235859124866596</v>
      </c>
      <c r="F758" s="12" t="n">
        <f aca="false">Sens!$O$757/(Q!$F$15+Q!$G$15)-1</f>
        <v>0.0761281433000345</v>
      </c>
      <c r="G758" s="12" t="n">
        <f aca="false">Sens!$G$757/Sens!$D$757-1</f>
        <v>0.151781688234087</v>
      </c>
      <c r="H758" s="12" t="n">
        <f aca="false">Sens!$F$758+(g_ot-Sens!$F$758)*1/4</f>
        <v>0.0695961074750259</v>
      </c>
      <c r="I758" s="12" t="n">
        <f aca="false">Sens!$F$758+(g_ot-Sens!$F$758)*2/4</f>
        <v>0.0630640716500172</v>
      </c>
      <c r="J758" s="12" t="n">
        <f aca="false">Sens!$F$758+(g_ot-Sens!$F$758)*3/4</f>
        <v>0.0565320358250086</v>
      </c>
      <c r="K758" s="12" t="n">
        <f aca="false">Sens!$F$758+(g_ot-Sens!$F$758)*4/4</f>
        <v>0.05</v>
      </c>
      <c r="L758" s="12" t="n">
        <f aca="false">g_ot</f>
        <v>0.05</v>
      </c>
      <c r="M758" s="12" t="n">
        <f aca="false">g_ot</f>
        <v>0.05</v>
      </c>
      <c r="P758" s="8" t="s">
        <v>633</v>
      </c>
    </row>
    <row r="759" customFormat="false" ht="17.15" hidden="false" customHeight="false" outlineLevel="0" collapsed="false">
      <c r="A759" s="3" t="s">
        <v>634</v>
      </c>
      <c r="B759" s="8" t="s">
        <v>73</v>
      </c>
      <c r="C759" s="38" t="n">
        <f aca="false">Sens!$C$747+Sens!$C$749+Sens!$C$751+Sens!$C$753+Sens!$C$755+Sens!$C$757</f>
        <v>530.403</v>
      </c>
      <c r="D759" s="38" t="n">
        <f aca="false">Sens!$D$747+Sens!$D$749+Sens!$D$751+Sens!$D$753+Sens!$D$755+Sens!$D$757</f>
        <v>588.199</v>
      </c>
      <c r="E759" s="38" t="n">
        <f aca="false">Sens!$E$747+Sens!$E$749+Sens!$E$751+Sens!$E$753+Sens!$E$755+Sens!$E$757</f>
        <v>302.306</v>
      </c>
      <c r="F759" s="38" t="n">
        <f aca="false">Sens!$F$747+Sens!$F$749+Sens!$F$751+Sens!$F$753+Sens!$F$755+Sens!$F$757</f>
        <v>356.93642920843</v>
      </c>
      <c r="G759" s="38" t="n">
        <f aca="false">Sens!$G$747+Sens!$G$749+Sens!$G$751+Sens!$G$753+Sens!$G$755+Sens!$G$757</f>
        <v>659.24242920843</v>
      </c>
      <c r="H759" s="38" t="n">
        <f aca="false">Sens!$H$747+Sens!$H$749+Sens!$H$751+Sens!$H$753+Sens!$H$755+Sens!$H$757</f>
        <v>729.935737621701</v>
      </c>
      <c r="I759" s="38" t="n">
        <f aca="false">Sens!$I$747+Sens!$I$749+Sens!$I$751+Sens!$I$753+Sens!$I$755+Sens!$I$757</f>
        <v>798.295569697873</v>
      </c>
      <c r="J759" s="38" t="n">
        <f aca="false">Sens!$J$747+Sens!$J$749+Sens!$J$751+Sens!$J$753+Sens!$J$755+Sens!$J$757</f>
        <v>861.736822325785</v>
      </c>
      <c r="K759" s="38" t="n">
        <f aca="false">Sens!$K$747+Sens!$K$749+Sens!$K$751+Sens!$K$753+Sens!$K$755+Sens!$K$757</f>
        <v>917.557492101925</v>
      </c>
      <c r="L759" s="38" t="n">
        <f aca="false">Sens!$L$747+Sens!$L$749+Sens!$L$751+Sens!$L$753+Sens!$L$755+Sens!$L$757</f>
        <v>977.285089743165</v>
      </c>
      <c r="M759" s="38" t="n">
        <f aca="false">Sens!$M$747+Sens!$M$749+Sens!$M$751+Sens!$M$753+Sens!$M$755+Sens!$M$757</f>
        <v>1041.2140185435</v>
      </c>
      <c r="N759" s="38" t="n">
        <f aca="false">Sens!$N$747+Sens!$N$749+Sens!$N$751+Sens!$N$753+Sens!$N$755+Sens!$N$757</f>
        <v>263.229</v>
      </c>
      <c r="O759" s="38" t="n">
        <f aca="false">Sens!$O$747+Sens!$O$749+Sens!$O$751+Sens!$O$753+Sens!$O$755+Sens!$O$757</f>
        <v>324.97</v>
      </c>
    </row>
    <row r="760" customFormat="false" ht="17.15" hidden="false" customHeight="false" outlineLevel="0" collapsed="false">
      <c r="A760" s="5" t="s">
        <v>635</v>
      </c>
      <c r="B760" s="0" t="s">
        <v>52</v>
      </c>
      <c r="C760" s="12" t="n">
        <f aca="false">Q!$D$5/(Q!$D$5+Q!$D$6)</f>
        <v>0.730570905519011</v>
      </c>
      <c r="D760" s="12" t="n">
        <f aca="false">Q!$E$5/(Q!$E$5+Q!$E$6)</f>
        <v>0.724763217890544</v>
      </c>
      <c r="E760" s="12" t="n">
        <f aca="false">Q!$P$5/(Q!$P$5+Q!$P$6)</f>
        <v>0.728797972914861</v>
      </c>
      <c r="F760" s="12" t="n">
        <f aca="false">Sens!$O$760</f>
        <v>0.718066283041511</v>
      </c>
      <c r="G760" s="12" t="n">
        <f aca="false">Sens!$G$761/Sens!$G$759</f>
        <v>0.722987468473627</v>
      </c>
      <c r="H760" s="12" t="n">
        <f aca="false">Sens!$G$760</f>
        <v>0.722987468473627</v>
      </c>
      <c r="I760" s="12" t="n">
        <f aca="false">Sens!$G$760</f>
        <v>0.722987468473627</v>
      </c>
      <c r="J760" s="12" t="n">
        <f aca="false">Sens!$G$760</f>
        <v>0.722987468473627</v>
      </c>
      <c r="K760" s="12" t="n">
        <f aca="false">Sens!$G$760</f>
        <v>0.722987468473627</v>
      </c>
      <c r="L760" s="12" t="n">
        <f aca="false">Sens!$G$760</f>
        <v>0.722987468473627</v>
      </c>
      <c r="M760" s="12" t="n">
        <f aca="false">Sens!$G$760</f>
        <v>0.722987468473627</v>
      </c>
      <c r="N760" s="12" t="n">
        <f aca="false">Q!$N$5/(Q!$N$5+Q!$N$6)</f>
        <v>0.733030935041352</v>
      </c>
      <c r="O760" s="12" t="n">
        <f aca="false">Q!$O$5/(Q!$O$5+Q!$O$6)</f>
        <v>0.718066283041511</v>
      </c>
      <c r="P760" s="8" t="s">
        <v>636</v>
      </c>
    </row>
    <row r="761" customFormat="false" ht="17.15" hidden="false" customHeight="false" outlineLevel="0" collapsed="false">
      <c r="A761" s="1" t="s">
        <v>472</v>
      </c>
      <c r="B761" s="8" t="s">
        <v>73</v>
      </c>
      <c r="C761" s="38" t="n">
        <f aca="false">Q!$D$5</f>
        <v>387.497</v>
      </c>
      <c r="D761" s="38" t="n">
        <f aca="false">Q!$E$5</f>
        <v>426.305</v>
      </c>
      <c r="E761" s="38" t="n">
        <f aca="false">Q!$P$5</f>
        <v>220.32</v>
      </c>
      <c r="F761" s="38" t="n">
        <f aca="false">Sens!$F$759*Sens!$F$760</f>
        <v>256.304015003807</v>
      </c>
      <c r="G761" s="38" t="n">
        <f aca="false">Sens!$E$761+Sens!$F$761</f>
        <v>476.624015003807</v>
      </c>
      <c r="H761" s="38" t="n">
        <f aca="false">Sens!$H$759*Sens!$H$760</f>
        <v>527.734391091543</v>
      </c>
      <c r="I761" s="38" t="n">
        <f aca="false">Sens!$I$759*Sens!$I$760</f>
        <v>577.157693029577</v>
      </c>
      <c r="J761" s="38" t="n">
        <f aca="false">Sens!$J$759*Sens!$J$760</f>
        <v>623.024923663827</v>
      </c>
      <c r="K761" s="38" t="n">
        <f aca="false">Sens!$K$759*Sens!$K$760</f>
        <v>663.382568393781</v>
      </c>
      <c r="L761" s="38" t="n">
        <f aca="false">Sens!$L$759*Sens!$L$760</f>
        <v>706.564873010432</v>
      </c>
      <c r="M761" s="38" t="n">
        <f aca="false">Sens!$M$759*Sens!$M$760</f>
        <v>752.784687406019</v>
      </c>
      <c r="N761" s="38" t="n">
        <f aca="false">Q!$N$5</f>
        <v>192.955</v>
      </c>
      <c r="O761" s="38" t="n">
        <f aca="false">Q!$O$5</f>
        <v>233.35</v>
      </c>
      <c r="P761" s="5" t="s">
        <v>637</v>
      </c>
    </row>
    <row r="762" customFormat="false" ht="17.15" hidden="false" customHeight="false" outlineLevel="0" collapsed="false">
      <c r="A762" s="1" t="s">
        <v>475</v>
      </c>
      <c r="B762" s="8" t="s">
        <v>73</v>
      </c>
      <c r="C762" s="38" t="n">
        <f aca="false">Q!$D$6</f>
        <v>142.906</v>
      </c>
      <c r="D762" s="38" t="n">
        <f aca="false">Q!$E$6</f>
        <v>161.894</v>
      </c>
      <c r="E762" s="38" t="n">
        <f aca="false">Q!$P$6</f>
        <v>81.986</v>
      </c>
      <c r="F762" s="38" t="n">
        <f aca="false">Sens!$F$759*(1-Sens!$F$760)</f>
        <v>100.632414204623</v>
      </c>
      <c r="G762" s="38" t="n">
        <f aca="false">Sens!$E$762+Sens!$F$762</f>
        <v>182.618414204623</v>
      </c>
      <c r="H762" s="38" t="n">
        <f aca="false">Sens!$H$759*(1-Sens!$H$760)</f>
        <v>202.201346530158</v>
      </c>
      <c r="I762" s="38" t="n">
        <f aca="false">Sens!$I$759*(1-Sens!$I$760)</f>
        <v>221.137876668296</v>
      </c>
      <c r="J762" s="38" t="n">
        <f aca="false">Sens!$J$759*(1-Sens!$J$760)</f>
        <v>238.711898661958</v>
      </c>
      <c r="K762" s="38" t="n">
        <f aca="false">Sens!$K$759*(1-Sens!$K$760)</f>
        <v>254.174923708144</v>
      </c>
      <c r="L762" s="38" t="n">
        <f aca="false">Sens!$L$759*(1-Sens!$L$760)</f>
        <v>270.720216732733</v>
      </c>
      <c r="M762" s="38" t="n">
        <f aca="false">Sens!$M$759*(1-Sens!$M$760)</f>
        <v>288.429331137484</v>
      </c>
      <c r="N762" s="38" t="n">
        <f aca="false">Q!$N$6</f>
        <v>70.274</v>
      </c>
      <c r="O762" s="38" t="n">
        <f aca="false">Q!$O$6</f>
        <v>91.62</v>
      </c>
      <c r="P762" s="5" t="s">
        <v>638</v>
      </c>
    </row>
    <row r="763" customFormat="false" ht="17.15" hidden="false" customHeight="false" outlineLevel="0" collapsed="false">
      <c r="A763" s="5" t="s">
        <v>639</v>
      </c>
      <c r="B763" s="0" t="s">
        <v>73</v>
      </c>
      <c r="C763" s="38" t="n">
        <f aca="false">Sens!$C$753*Sens!$C$760</f>
        <v>41.0683128828457</v>
      </c>
      <c r="D763" s="38" t="n">
        <f aca="false">Sens!$D$753*Sens!$D$760</f>
        <v>49.7441234599175</v>
      </c>
      <c r="E763" s="38" t="n">
        <f aca="false">Sens!$E$753*Sens!$E$760</f>
        <v>27.0034224924414</v>
      </c>
      <c r="F763" s="38" t="n">
        <f aca="false">Sens!$F$753*Sens!$F$760</f>
        <v>34.5772885649197</v>
      </c>
      <c r="G763" s="38" t="n">
        <f aca="false">Sens!$G$753*Sens!$G$760</f>
        <v>61.6023917531772</v>
      </c>
      <c r="H763" s="38" t="n">
        <f aca="false">Sens!$H$753*Sens!$H$760</f>
        <v>73.9568187320519</v>
      </c>
      <c r="I763" s="38" t="n">
        <f aca="false">Sens!$I$753*Sens!$I$760</f>
        <v>86.3101265625461</v>
      </c>
      <c r="J763" s="38" t="n">
        <f aca="false">Sens!$J$753*Sens!$J$760</f>
        <v>97.8339983977065</v>
      </c>
      <c r="K763" s="38" t="n">
        <f aca="false">Sens!$K$753*Sens!$K$760</f>
        <v>107.617398237477</v>
      </c>
      <c r="L763" s="38" t="n">
        <f aca="false">Sens!$L$753*Sens!$L$760</f>
        <v>118.379138061225</v>
      </c>
      <c r="M763" s="38" t="n">
        <f aca="false">Sens!$M$753*Sens!$M$760</f>
        <v>130.217051867347</v>
      </c>
      <c r="N763" s="38" t="n">
        <f aca="false">Sens!$N$753*Sens!$N$760</f>
        <v>21.7087111412496</v>
      </c>
      <c r="O763" s="38" t="n">
        <f aca="false">Sens!$O$753*Sens!$O$760</f>
        <v>28.0189463642798</v>
      </c>
      <c r="P763" s="5" t="s">
        <v>640</v>
      </c>
    </row>
    <row r="764" customFormat="false" ht="15" hidden="false" customHeight="false" outlineLevel="0" collapsed="false">
      <c r="A764" s="5" t="s">
        <v>641</v>
      </c>
      <c r="B764" s="0" t="s">
        <v>73</v>
      </c>
      <c r="C764" s="38" t="n">
        <f aca="false">Sens!$C$753-Sens!$C$763</f>
        <v>15.1456871171543</v>
      </c>
      <c r="D764" s="38" t="n">
        <f aca="false">Sens!$D$753-Sens!$D$763</f>
        <v>18.8908765400825</v>
      </c>
      <c r="E764" s="38" t="n">
        <f aca="false">Sens!$E$753-Sens!$E$763</f>
        <v>10.0485775075586</v>
      </c>
      <c r="F764" s="38" t="n">
        <f aca="false">Sens!$F$753-Sens!$F$763</f>
        <v>13.5760496178185</v>
      </c>
      <c r="G764" s="38" t="n">
        <f aca="false">Sens!$G$753-Sens!$G$763</f>
        <v>23.6029464295611</v>
      </c>
      <c r="H764" s="38" t="n">
        <f aca="false">Sens!$H$753-Sens!$H$763</f>
        <v>28.3365431268884</v>
      </c>
      <c r="I764" s="38" t="n">
        <f aca="false">Sens!$I$753-Sens!$I$763</f>
        <v>33.0697110226949</v>
      </c>
      <c r="J764" s="38" t="n">
        <f aca="false">Sens!$J$753-Sens!$J$763</f>
        <v>37.4850806511378</v>
      </c>
      <c r="K764" s="38" t="n">
        <f aca="false">Sens!$K$753-Sens!$K$763</f>
        <v>41.2335887162515</v>
      </c>
      <c r="L764" s="38" t="n">
        <f aca="false">Sens!$L$753-Sens!$L$763</f>
        <v>45.3569475878767</v>
      </c>
      <c r="M764" s="38" t="n">
        <f aca="false">Sens!$M$753-Sens!$M$763</f>
        <v>49.8926423466644</v>
      </c>
      <c r="N764" s="38" t="n">
        <f aca="false">Sens!$N$753-Sens!$N$763</f>
        <v>7.90628885875037</v>
      </c>
      <c r="O764" s="38" t="n">
        <f aca="false">Sens!$O$753-Sens!$O$763</f>
        <v>11.0010536357202</v>
      </c>
    </row>
    <row r="765" customFormat="false" ht="19.4" hidden="false" customHeight="false" outlineLevel="0" collapsed="false">
      <c r="A765" s="31" t="s">
        <v>1059</v>
      </c>
    </row>
    <row r="766" customFormat="false" ht="17.15" hidden="false" customHeight="false" outlineLevel="0" collapsed="false">
      <c r="A766" s="6" t="s">
        <v>16</v>
      </c>
      <c r="B766" s="6" t="s">
        <v>17</v>
      </c>
      <c r="C766" s="20" t="s">
        <v>457</v>
      </c>
      <c r="D766" s="20" t="s">
        <v>458</v>
      </c>
      <c r="E766" s="20" t="s">
        <v>540</v>
      </c>
      <c r="F766" s="20" t="s">
        <v>541</v>
      </c>
      <c r="G766" s="20" t="s">
        <v>542</v>
      </c>
      <c r="H766" s="20" t="s">
        <v>543</v>
      </c>
      <c r="I766" s="20" t="s">
        <v>544</v>
      </c>
      <c r="J766" s="20" t="s">
        <v>545</v>
      </c>
      <c r="K766" s="20" t="s">
        <v>546</v>
      </c>
      <c r="L766" s="20" t="s">
        <v>547</v>
      </c>
      <c r="M766" s="20" t="s">
        <v>548</v>
      </c>
      <c r="N766" s="20" t="s">
        <v>549</v>
      </c>
      <c r="O766" s="20" t="s">
        <v>550</v>
      </c>
      <c r="P766" s="6" t="s">
        <v>23</v>
      </c>
      <c r="R766" s="20" t="n">
        <v>2023</v>
      </c>
      <c r="S766" s="20" t="n">
        <v>2024</v>
      </c>
      <c r="T766" s="20" t="n">
        <v>2025</v>
      </c>
      <c r="U766" s="20" t="n">
        <v>2026</v>
      </c>
      <c r="V766" s="20" t="n">
        <v>2027</v>
      </c>
      <c r="W766" s="20" t="n">
        <v>2028</v>
      </c>
      <c r="X766" s="20" t="n">
        <v>2029</v>
      </c>
      <c r="Y766" s="20" t="n">
        <v>2030</v>
      </c>
      <c r="Z766" s="20" t="n">
        <v>2031</v>
      </c>
      <c r="AA766" s="20" t="n">
        <v>2032</v>
      </c>
    </row>
    <row r="767" customFormat="false" ht="17.15" hidden="false" customHeight="false" outlineLevel="0" collapsed="false">
      <c r="A767" s="1" t="s">
        <v>551</v>
      </c>
    </row>
    <row r="768" customFormat="false" ht="17.15" hidden="false" customHeight="false" outlineLevel="0" collapsed="false">
      <c r="A768" s="14" t="s">
        <v>552</v>
      </c>
      <c r="B768" s="13" t="s">
        <v>108</v>
      </c>
      <c r="C768" s="32" t="n">
        <f aca="false">mw_ye24</f>
        <v>360</v>
      </c>
      <c r="D768" s="32" t="n">
        <f aca="false">mw_ye25</f>
        <v>1440</v>
      </c>
      <c r="E768" s="32" t="n">
        <f aca="false">mw_open</f>
        <v>2080</v>
      </c>
      <c r="F768" s="32" t="n">
        <f aca="false">Sens!$E$768+pace_B*0.5</f>
        <v>3897.15</v>
      </c>
      <c r="G768" s="32" t="n">
        <f aca="false">Sens!$F$768</f>
        <v>3897.15</v>
      </c>
      <c r="H768" s="32" t="n">
        <f aca="false">Sens!$G$768+pace_B</f>
        <v>7531.45</v>
      </c>
      <c r="I768" s="32" t="n">
        <f aca="false">Sens!$H$768+pace_B</f>
        <v>11165.75</v>
      </c>
      <c r="J768" s="32" t="n">
        <f aca="false">Sens!$I$768+pace_B</f>
        <v>14800.05</v>
      </c>
      <c r="K768" s="32" t="n">
        <f aca="false">Sens!$J$768+pace_B</f>
        <v>18434.35</v>
      </c>
      <c r="L768" s="32" t="n">
        <f aca="false">Sens!$K$768+pace_B</f>
        <v>22068.65</v>
      </c>
      <c r="M768" s="32" t="n">
        <f aca="false">Sens!$L$768+pace_B</f>
        <v>25702.95</v>
      </c>
      <c r="N768" s="32" t="n">
        <f aca="false">(mw_ye24+mw_ye25)/2</f>
        <v>900</v>
      </c>
      <c r="O768" s="32" t="n">
        <f aca="false">mw_ye25</f>
        <v>1440</v>
      </c>
      <c r="P768" s="5" t="s">
        <v>553</v>
      </c>
    </row>
    <row r="769" customFormat="false" ht="17.15" hidden="false" customHeight="false" outlineLevel="0" collapsed="false">
      <c r="A769" s="5" t="s">
        <v>554</v>
      </c>
      <c r="B769" s="0" t="s">
        <v>108</v>
      </c>
      <c r="C769" s="33" t="n">
        <f aca="false">(mw_ye23+mw_ye24)/2</f>
        <v>240</v>
      </c>
      <c r="D769" s="33" t="n">
        <f aca="false">(Sens!$C$768+Sens!$D$768)/2</f>
        <v>900</v>
      </c>
      <c r="E769" s="33" t="n">
        <f aca="false">(Sens!$D$768+Sens!$E$768)/2</f>
        <v>1760</v>
      </c>
      <c r="F769" s="33" t="n">
        <f aca="false">(Sens!$E$768+Sens!$F$768)/2</f>
        <v>2988.575</v>
      </c>
      <c r="G769" s="33" t="n">
        <f aca="false">(Sens!$E$769+Sens!$F$769)/2</f>
        <v>2374.2875</v>
      </c>
      <c r="H769" s="33" t="n">
        <f aca="false">(Sens!$G$768+Sens!$H$768)/2</f>
        <v>5714.3</v>
      </c>
      <c r="I769" s="33" t="n">
        <f aca="false">(Sens!$H$768+Sens!$I$768)/2</f>
        <v>9348.6</v>
      </c>
      <c r="J769" s="33" t="n">
        <f aca="false">(Sens!$I$768+Sens!$J$768)/2</f>
        <v>12982.9</v>
      </c>
      <c r="K769" s="33" t="n">
        <f aca="false">(Sens!$J$768+Sens!$K$768)/2</f>
        <v>16617.2</v>
      </c>
      <c r="L769" s="33" t="n">
        <f aca="false">(Sens!$K$768+Sens!$L$768)/2</f>
        <v>20251.5</v>
      </c>
      <c r="M769" s="33" t="n">
        <f aca="false">(Sens!$L$768+Sens!$M$768)/2</f>
        <v>23885.8</v>
      </c>
      <c r="N769" s="33" t="n">
        <f aca="false">(Sens!$C$768+Sens!$N$768)/2</f>
        <v>630</v>
      </c>
      <c r="O769" s="33" t="n">
        <f aca="false">(Sens!$N$768+Sens!$O$768)/2</f>
        <v>1170</v>
      </c>
    </row>
    <row r="770" customFormat="false" ht="15" hidden="false" customHeight="false" outlineLevel="0" collapsed="false">
      <c r="A770" s="5" t="s">
        <v>555</v>
      </c>
      <c r="B770" s="5" t="s">
        <v>102</v>
      </c>
      <c r="C770" s="34" t="n">
        <v>1</v>
      </c>
      <c r="D770" s="34" t="n">
        <v>1</v>
      </c>
      <c r="E770" s="34" t="n">
        <v>0.5</v>
      </c>
      <c r="F770" s="34" t="n">
        <v>0.5</v>
      </c>
      <c r="G770" s="34" t="n">
        <v>1</v>
      </c>
      <c r="H770" s="34" t="n">
        <v>1</v>
      </c>
      <c r="I770" s="34" t="n">
        <v>1</v>
      </c>
      <c r="J770" s="34" t="n">
        <v>1</v>
      </c>
      <c r="K770" s="34" t="n">
        <v>1</v>
      </c>
      <c r="L770" s="34" t="n">
        <v>1</v>
      </c>
      <c r="M770" s="34" t="n">
        <v>1</v>
      </c>
      <c r="N770" s="34" t="n">
        <v>0.5</v>
      </c>
      <c r="O770" s="34" t="n">
        <v>0.5</v>
      </c>
    </row>
    <row r="771" customFormat="false" ht="17.15" hidden="false" customHeight="false" outlineLevel="0" collapsed="false">
      <c r="A771" s="5" t="s">
        <v>556</v>
      </c>
      <c r="B771" s="0" t="s">
        <v>108</v>
      </c>
      <c r="C771" s="33" t="n">
        <f aca="false">Sens!$C$768-mw_ye23</f>
        <v>240</v>
      </c>
      <c r="D771" s="33" t="n">
        <f aca="false">Sens!$D$768-Sens!$C$768</f>
        <v>1080</v>
      </c>
      <c r="E771" s="33" t="n">
        <f aca="false">Sens!$E$768-Sens!$D$768</f>
        <v>640</v>
      </c>
      <c r="F771" s="33" t="n">
        <f aca="false">Sens!$F$768-Sens!$E$768</f>
        <v>1817.15</v>
      </c>
      <c r="G771" s="33" t="n">
        <f aca="false">Sens!$E$771+Sens!$F$771</f>
        <v>2457.15</v>
      </c>
      <c r="H771" s="33" t="n">
        <f aca="false">Sens!$H$768-Sens!$G$768</f>
        <v>3634.3</v>
      </c>
      <c r="I771" s="33" t="n">
        <f aca="false">Sens!$I$768-Sens!$H$768</f>
        <v>3634.3</v>
      </c>
      <c r="J771" s="33" t="n">
        <f aca="false">Sens!$J$768-Sens!$I$768</f>
        <v>3634.3</v>
      </c>
      <c r="K771" s="33" t="n">
        <f aca="false">Sens!$K$768-Sens!$J$768</f>
        <v>3634.3</v>
      </c>
      <c r="L771" s="33" t="n">
        <f aca="false">Sens!$L$768-Sens!$K$768</f>
        <v>3634.3</v>
      </c>
      <c r="M771" s="33" t="n">
        <f aca="false">Sens!$M$768-Sens!$L$768</f>
        <v>3634.3</v>
      </c>
      <c r="N771" s="33" t="n">
        <f aca="false">Sens!$N$768-Sens!$C$768</f>
        <v>540</v>
      </c>
      <c r="O771" s="33" t="n">
        <f aca="false">Sens!$O$768-Sens!$N$768</f>
        <v>540</v>
      </c>
    </row>
    <row r="772" customFormat="false" ht="17.15" hidden="false" customHeight="false" outlineLevel="0" collapsed="false">
      <c r="A772" s="5" t="s">
        <v>557</v>
      </c>
      <c r="B772" s="0" t="s">
        <v>108</v>
      </c>
      <c r="C772" s="33" t="n">
        <f aca="false">Sens!$C$771/ext_sh_lo</f>
        <v>400</v>
      </c>
      <c r="D772" s="33" t="n">
        <f aca="false">Sens!$D$771/ext_sh_lo</f>
        <v>1800</v>
      </c>
      <c r="E772" s="33" t="n">
        <f aca="false">Sens!$E$771/ext_sh_lo</f>
        <v>1066.66666666667</v>
      </c>
      <c r="F772" s="33" t="n">
        <f aca="false">Sens!$F$771/ext_sh_lo</f>
        <v>3028.58333333333</v>
      </c>
      <c r="G772" s="33" t="n">
        <f aca="false">Sens!$G$771/ext_sh_lo</f>
        <v>4095.25</v>
      </c>
      <c r="H772" s="33" t="n">
        <f aca="false">Sens!$H$771/ext_sh_lo</f>
        <v>6057.16666666667</v>
      </c>
      <c r="I772" s="33" t="n">
        <f aca="false">Sens!$I$771/ext_sh_lo</f>
        <v>6057.16666666667</v>
      </c>
      <c r="J772" s="33" t="n">
        <f aca="false">Sens!$J$771/ext_sh_lo</f>
        <v>6057.16666666667</v>
      </c>
      <c r="K772" s="33" t="n">
        <f aca="false">Sens!$K$771/ext_sh_lo</f>
        <v>6057.16666666667</v>
      </c>
      <c r="L772" s="33" t="n">
        <f aca="false">Sens!$L$771/ext_sh_lo</f>
        <v>6057.16666666667</v>
      </c>
      <c r="M772" s="33" t="n">
        <f aca="false">Sens!$M$771/ext_sh_lo</f>
        <v>6057.16666666667</v>
      </c>
      <c r="N772" s="33" t="n">
        <f aca="false">Sens!$N$771/ext_sh_lo</f>
        <v>900</v>
      </c>
      <c r="O772" s="33" t="n">
        <f aca="false">Sens!$O$771/ext_sh_lo</f>
        <v>900</v>
      </c>
      <c r="P772" s="8" t="s">
        <v>558</v>
      </c>
      <c r="R772" s="33" t="n">
        <f aca="false">mw_ye23/ext_sh_lo</f>
        <v>200</v>
      </c>
      <c r="S772" s="33" t="n">
        <f aca="false">Sens!$C$772</f>
        <v>400</v>
      </c>
      <c r="T772" s="33" t="n">
        <f aca="false">Sens!$D$772</f>
        <v>1800</v>
      </c>
      <c r="U772" s="33" t="n">
        <f aca="false">Sens!$G$772</f>
        <v>4095.25</v>
      </c>
      <c r="V772" s="33" t="n">
        <f aca="false">Sens!$H$772</f>
        <v>6057.16666666667</v>
      </c>
      <c r="W772" s="33" t="n">
        <f aca="false">Sens!$I$772</f>
        <v>6057.16666666667</v>
      </c>
      <c r="X772" s="33" t="n">
        <f aca="false">Sens!$J$772</f>
        <v>6057.16666666667</v>
      </c>
      <c r="Y772" s="33" t="n">
        <f aca="false">Sens!$K$772</f>
        <v>6057.16666666667</v>
      </c>
      <c r="Z772" s="33" t="n">
        <f aca="false">Sens!$L$772</f>
        <v>6057.16666666667</v>
      </c>
      <c r="AA772" s="33" t="n">
        <f aca="false">Sens!$M$772</f>
        <v>6057.16666666667</v>
      </c>
    </row>
    <row r="773" customFormat="false" ht="17.15" hidden="false" customHeight="false" outlineLevel="0" collapsed="false">
      <c r="A773" s="1" t="s">
        <v>559</v>
      </c>
    </row>
    <row r="774" customFormat="false" ht="17.15" hidden="false" customHeight="false" outlineLevel="0" collapsed="false">
      <c r="A774" s="0" t="s">
        <v>560</v>
      </c>
      <c r="B774" s="0" t="s">
        <v>52</v>
      </c>
      <c r="F774" s="35" t="n">
        <f aca="false">na_vr26</f>
        <v>0</v>
      </c>
      <c r="G774" s="35" t="n">
        <f aca="false">na_vr26</f>
        <v>0</v>
      </c>
      <c r="H774" s="35" t="n">
        <f aca="false">na_vr27</f>
        <v>0.5</v>
      </c>
      <c r="I774" s="35" t="n">
        <f aca="false">na_vr28</f>
        <v>1</v>
      </c>
      <c r="J774" s="35" t="n">
        <f aca="false">na_vr28</f>
        <v>1</v>
      </c>
      <c r="K774" s="35" t="n">
        <f aca="false">na_vr28</f>
        <v>1</v>
      </c>
      <c r="L774" s="35" t="n">
        <f aca="false">na_vr28</f>
        <v>1</v>
      </c>
      <c r="M774" s="35" t="n">
        <f aca="false">na_vr28</f>
        <v>1</v>
      </c>
    </row>
    <row r="775" customFormat="false" ht="17.15" hidden="false" customHeight="false" outlineLevel="0" collapsed="false">
      <c r="A775" s="5" t="s">
        <v>561</v>
      </c>
      <c r="B775" s="0" t="s">
        <v>151</v>
      </c>
      <c r="F775" s="36" t="n">
        <f aca="false">cust_sh*tk_he_gb300*cf_chip+(1-cust_sh)*((1-Sens!$F$774)*tk_he_gb300+Sens!$F$774*tk_he_vr200)</f>
        <v>10.8864110021101</v>
      </c>
      <c r="G775" s="36" t="n">
        <f aca="false">cust_sh*tk_he_gb300*cf_chip+(1-cust_sh)*((1-Sens!$G$774)*tk_he_gb300+Sens!$G$774*tk_he_vr200)</f>
        <v>10.8864110021101</v>
      </c>
      <c r="H775" s="36" t="n">
        <f aca="false">cust_sh*tk_he_gb300*cf_chip+(1-cust_sh)*((1-Sens!$H$774)*tk_he_gb300+Sens!$H$774*tk_he_vr200)</f>
        <v>11.2211760027286</v>
      </c>
      <c r="I775" s="36" t="n">
        <f aca="false">cust_sh*tk_he_gb300*cf_chip+(1-cust_sh)*((1-Sens!$I$774)*tk_he_gb300+Sens!$I$774*tk_he_vr200)</f>
        <v>11.5559410033471</v>
      </c>
      <c r="J775" s="36" t="n">
        <f aca="false">cust_sh*tk_he_gb300*cf_chip+(1-cust_sh)*((1-Sens!$J$774)*tk_he_gb300+Sens!$J$774*tk_he_vr200)</f>
        <v>11.5559410033471</v>
      </c>
      <c r="K775" s="36" t="n">
        <f aca="false">cust_sh*tk_he_gb300*cf_chip+(1-cust_sh)*((1-Sens!$K$774)*tk_he_gb300+Sens!$K$774*tk_he_vr200)</f>
        <v>11.5559410033471</v>
      </c>
      <c r="L775" s="36" t="n">
        <f aca="false">cust_sh*tk_he_gb300*cf_chip+(1-cust_sh)*((1-Sens!$L$774)*tk_he_gb300+Sens!$L$774*tk_he_vr200)</f>
        <v>11.5559410033471</v>
      </c>
      <c r="M775" s="36" t="n">
        <f aca="false">cust_sh*tk_he_gb300*cf_chip+(1-cust_sh)*((1-Sens!$M$774)*tk_he_gb300+Sens!$M$774*tk_he_vr200)</f>
        <v>11.5559410033471</v>
      </c>
    </row>
    <row r="776" customFormat="false" ht="17.15" hidden="false" customHeight="false" outlineLevel="0" collapsed="false">
      <c r="A776" s="5" t="s">
        <v>562</v>
      </c>
      <c r="B776" s="0" t="s">
        <v>151</v>
      </c>
      <c r="F776" s="36" t="n">
        <f aca="false">cust_sh*tk_ox_gb300+(1-cust_sh)*((1-Sens!$F$774)*tk_ox_gb300+Sens!$F$774*tk_ox_vr200)</f>
        <v>1.98263481314457</v>
      </c>
      <c r="G776" s="36" t="n">
        <f aca="false">cust_sh*tk_ox_gb300+(1-cust_sh)*((1-Sens!$G$774)*tk_ox_gb300+Sens!$G$774*tk_ox_vr200)</f>
        <v>1.98263481314457</v>
      </c>
      <c r="H776" s="36" t="n">
        <f aca="false">cust_sh*tk_ox_gb300+(1-cust_sh)*((1-Sens!$H$774)*tk_ox_gb300+Sens!$H$774*tk_ox_vr200)</f>
        <v>2.01034999693694</v>
      </c>
      <c r="I776" s="36" t="n">
        <f aca="false">cust_sh*tk_ox_gb300+(1-cust_sh)*((1-Sens!$I$774)*tk_ox_gb300+Sens!$I$774*tk_ox_vr200)</f>
        <v>2.0380651807293</v>
      </c>
      <c r="J776" s="36" t="n">
        <f aca="false">cust_sh*tk_ox_gb300+(1-cust_sh)*((1-Sens!$J$774)*tk_ox_gb300+Sens!$J$774*tk_ox_vr200)</f>
        <v>2.0380651807293</v>
      </c>
      <c r="K776" s="36" t="n">
        <f aca="false">cust_sh*tk_ox_gb300+(1-cust_sh)*((1-Sens!$K$774)*tk_ox_gb300+Sens!$K$774*tk_ox_vr200)</f>
        <v>2.0380651807293</v>
      </c>
      <c r="L776" s="36" t="n">
        <f aca="false">cust_sh*tk_ox_gb300+(1-cust_sh)*((1-Sens!$L$774)*tk_ox_gb300+Sens!$L$774*tk_ox_vr200)</f>
        <v>2.0380651807293</v>
      </c>
      <c r="M776" s="36" t="n">
        <f aca="false">cust_sh*tk_ox_gb300+(1-cust_sh)*((1-Sens!$M$774)*tk_ox_gb300+Sens!$M$774*tk_ox_vr200)</f>
        <v>2.0380651807293</v>
      </c>
    </row>
    <row r="777" customFormat="false" ht="17.15" hidden="false" customHeight="false" outlineLevel="0" collapsed="false">
      <c r="A777" s="5" t="s">
        <v>563</v>
      </c>
      <c r="B777" s="0" t="s">
        <v>170</v>
      </c>
      <c r="F777" s="36" t="n">
        <f aca="false">cust_sh*tk_cx_gb300*cf_cx+(1-cust_sh)*((1-Sens!$F$774)*tk_cx_gb300+Sens!$F$774*tk_cx_vr200)</f>
        <v>32.237224</v>
      </c>
      <c r="G777" s="36" t="n">
        <f aca="false">cust_sh*tk_cx_gb300*cf_cx+(1-cust_sh)*((1-Sens!$G$774)*tk_cx_gb300+Sens!$G$774*tk_cx_vr200)</f>
        <v>32.237224</v>
      </c>
      <c r="H777" s="36" t="n">
        <f aca="false">cust_sh*tk_cx_gb300*cf_cx+(1-cust_sh)*((1-Sens!$H$774)*tk_cx_gb300+Sens!$H$774*tk_cx_vr200)</f>
        <v>33.574506</v>
      </c>
      <c r="I777" s="36" t="n">
        <f aca="false">cust_sh*tk_cx_gb300*cf_cx+(1-cust_sh)*((1-Sens!$I$774)*tk_cx_gb300+Sens!$I$774*tk_cx_vr200)</f>
        <v>34.911788</v>
      </c>
      <c r="J777" s="36" t="n">
        <f aca="false">cust_sh*tk_cx_gb300*cf_cx+(1-cust_sh)*((1-Sens!$J$774)*tk_cx_gb300+Sens!$J$774*tk_cx_vr200)</f>
        <v>34.911788</v>
      </c>
      <c r="K777" s="36" t="n">
        <f aca="false">cust_sh*tk_cx_gb300*cf_cx+(1-cust_sh)*((1-Sens!$K$774)*tk_cx_gb300+Sens!$K$774*tk_cx_vr200)</f>
        <v>34.911788</v>
      </c>
      <c r="L777" s="36" t="n">
        <f aca="false">cust_sh*tk_cx_gb300*cf_cx+(1-cust_sh)*((1-Sens!$L$774)*tk_cx_gb300+Sens!$L$774*tk_cx_vr200)</f>
        <v>34.911788</v>
      </c>
      <c r="M777" s="36" t="n">
        <f aca="false">cust_sh*tk_cx_gb300*cf_cx+(1-cust_sh)*((1-Sens!$M$774)*tk_cx_gb300+Sens!$M$774*tk_cx_vr200)</f>
        <v>34.911788</v>
      </c>
    </row>
    <row r="778" customFormat="false" ht="17.15" hidden="false" customHeight="false" outlineLevel="0" collapsed="false">
      <c r="A778" s="5" t="s">
        <v>564</v>
      </c>
      <c r="B778" s="0" t="s">
        <v>108</v>
      </c>
      <c r="F778" s="33" t="n">
        <f aca="false">Sens!$F$768-mw_open</f>
        <v>1817.15</v>
      </c>
      <c r="G778" s="33" t="n">
        <f aca="false">Sens!$F$778</f>
        <v>1817.15</v>
      </c>
      <c r="H778" s="33" t="n">
        <f aca="false">Sens!$H$768-mw_open</f>
        <v>5451.45</v>
      </c>
      <c r="I778" s="33" t="n">
        <f aca="false">Sens!$I$768-mw_open</f>
        <v>9085.75</v>
      </c>
      <c r="J778" s="33" t="n">
        <f aca="false">Sens!$J$768-mw_open</f>
        <v>12720.05</v>
      </c>
      <c r="K778" s="33" t="n">
        <f aca="false">Sens!$K$768-mw_open</f>
        <v>16354.35</v>
      </c>
      <c r="L778" s="33" t="n">
        <f aca="false">Sens!$L$768-mw_open</f>
        <v>19988.65</v>
      </c>
      <c r="M778" s="33" t="n">
        <f aca="false">Sens!$M$768-mw_open</f>
        <v>23622.95</v>
      </c>
    </row>
    <row r="779" customFormat="false" ht="17.15" hidden="false" customHeight="false" outlineLevel="0" collapsed="false">
      <c r="A779" s="0" t="s">
        <v>565</v>
      </c>
      <c r="B779" s="0" t="s">
        <v>566</v>
      </c>
      <c r="F779" s="33" t="n">
        <f aca="false">Sens!$F$771*Sens!$F$775</f>
        <v>19782.2417524844</v>
      </c>
      <c r="G779" s="33" t="n">
        <f aca="false">Sens!$F$779</f>
        <v>19782.2417524844</v>
      </c>
      <c r="H779" s="33" t="n">
        <f aca="false">Sens!$G$779+Sens!$H$771*Sens!$H$775</f>
        <v>60563.3616992009</v>
      </c>
      <c r="I779" s="33" t="n">
        <f aca="false">Sens!$H$779+Sens!$I$771*Sens!$I$775</f>
        <v>102561.118087665</v>
      </c>
      <c r="J779" s="33" t="n">
        <f aca="false">Sens!$I$779+Sens!$J$771*Sens!$J$775</f>
        <v>144558.87447613</v>
      </c>
      <c r="K779" s="33" t="n">
        <f aca="false">Sens!$J$779+Sens!$K$771*Sens!$K$775</f>
        <v>186556.630864594</v>
      </c>
      <c r="L779" s="33" t="n">
        <f aca="false">Sens!$K$779+Sens!$L$771*Sens!$L$775</f>
        <v>228554.387253058</v>
      </c>
      <c r="M779" s="33" t="n">
        <f aca="false">Sens!$L$779+Sens!$M$771*Sens!$M$775</f>
        <v>270552.143641523</v>
      </c>
    </row>
    <row r="780" customFormat="false" ht="17.15" hidden="false" customHeight="false" outlineLevel="0" collapsed="false">
      <c r="A780" s="0" t="s">
        <v>567</v>
      </c>
      <c r="B780" s="0" t="s">
        <v>566</v>
      </c>
      <c r="F780" s="33" t="n">
        <f aca="false">Sens!$F$771*Sens!$F$776</f>
        <v>3602.74485070566</v>
      </c>
      <c r="G780" s="33" t="n">
        <f aca="false">Sens!$F$780</f>
        <v>3602.74485070566</v>
      </c>
      <c r="H780" s="33" t="n">
        <f aca="false">Sens!$G$780+Sens!$H$771*Sens!$H$776</f>
        <v>10908.9598445736</v>
      </c>
      <c r="I780" s="33" t="n">
        <f aca="false">Sens!$H$780+Sens!$I$771*Sens!$I$776</f>
        <v>18315.9001308981</v>
      </c>
      <c r="J780" s="33" t="n">
        <f aca="false">Sens!$I$780+Sens!$J$771*Sens!$J$776</f>
        <v>25722.8404172225</v>
      </c>
      <c r="K780" s="33" t="n">
        <f aca="false">Sens!$J$780+Sens!$K$771*Sens!$K$776</f>
        <v>33129.780703547</v>
      </c>
      <c r="L780" s="33" t="n">
        <f aca="false">Sens!$K$780+Sens!$L$771*Sens!$L$776</f>
        <v>40536.7209898715</v>
      </c>
      <c r="M780" s="33" t="n">
        <f aca="false">Sens!$L$780+Sens!$M$771*Sens!$M$776</f>
        <v>47943.661276196</v>
      </c>
    </row>
    <row r="781" customFormat="false" ht="17.15" hidden="false" customHeight="false" outlineLevel="0" collapsed="false">
      <c r="A781" s="5" t="s">
        <v>568</v>
      </c>
      <c r="B781" s="0" t="s">
        <v>151</v>
      </c>
      <c r="F781" s="36" t="n">
        <f aca="false">IF(Sens!$F$778&gt;0,Sens!$F$779/Sens!$F$778,Sens!$F$775)</f>
        <v>10.8864110021101</v>
      </c>
      <c r="G781" s="36" t="n">
        <f aca="false">IF(Sens!$G$778&gt;0,Sens!$G$779/Sens!$G$778,Sens!$G$775)</f>
        <v>10.8864110021101</v>
      </c>
      <c r="H781" s="36" t="n">
        <f aca="false">IF(Sens!$H$778&gt;0,Sens!$H$779/Sens!$H$778,Sens!$H$775)</f>
        <v>11.1095876691891</v>
      </c>
      <c r="I781" s="36" t="n">
        <f aca="false">IF(Sens!$I$778&gt;0,Sens!$I$779/Sens!$I$778,Sens!$I$775)</f>
        <v>11.2881290028523</v>
      </c>
      <c r="J781" s="36" t="n">
        <f aca="false">IF(Sens!$J$778&gt;0,Sens!$J$779/Sens!$J$778,Sens!$J$775)</f>
        <v>11.3646467172794</v>
      </c>
      <c r="K781" s="36" t="n">
        <f aca="false">IF(Sens!$K$778&gt;0,Sens!$K$779/Sens!$K$778,Sens!$K$775)</f>
        <v>11.4071565586278</v>
      </c>
      <c r="L781" s="36" t="n">
        <f aca="false">IF(Sens!$L$778&gt;0,Sens!$L$779/Sens!$L$778,Sens!$L$775)</f>
        <v>11.4342082758495</v>
      </c>
      <c r="M781" s="36" t="n">
        <f aca="false">IF(Sens!$M$778&gt;0,Sens!$M$779/Sens!$M$778,Sens!$M$775)</f>
        <v>11.4529363877722</v>
      </c>
    </row>
    <row r="782" customFormat="false" ht="17.15" hidden="false" customHeight="false" outlineLevel="0" collapsed="false">
      <c r="A782" s="5" t="s">
        <v>569</v>
      </c>
      <c r="B782" s="0" t="s">
        <v>151</v>
      </c>
      <c r="F782" s="36" t="n">
        <f aca="false">IF(Sens!$F$778&gt;0,Sens!$F$780/Sens!$F$778,Sens!$F$776)</f>
        <v>1.98263481314457</v>
      </c>
      <c r="G782" s="36" t="n">
        <f aca="false">IF(Sens!$G$778&gt;0,Sens!$G$780/Sens!$G$778,Sens!$G$776)</f>
        <v>1.98263481314457</v>
      </c>
      <c r="H782" s="36" t="n">
        <f aca="false">IF(Sens!$H$778&gt;0,Sens!$H$780/Sens!$H$778,Sens!$H$776)</f>
        <v>2.00111160233948</v>
      </c>
      <c r="I782" s="36" t="n">
        <f aca="false">IF(Sens!$I$778&gt;0,Sens!$I$780/Sens!$I$778,Sens!$I$776)</f>
        <v>2.01589303369541</v>
      </c>
      <c r="J782" s="36" t="n">
        <f aca="false">IF(Sens!$J$778&gt;0,Sens!$J$780/Sens!$J$778,Sens!$J$776)</f>
        <v>2.02222793284795</v>
      </c>
      <c r="K782" s="36" t="n">
        <f aca="false">IF(Sens!$K$778&gt;0,Sens!$K$780/Sens!$K$778,Sens!$K$776)</f>
        <v>2.02574732126603</v>
      </c>
      <c r="L782" s="36" t="n">
        <f aca="false">IF(Sens!$L$778&gt;0,Sens!$L$780/Sens!$L$778,Sens!$L$776)</f>
        <v>2.02798693207753</v>
      </c>
      <c r="M782" s="36" t="n">
        <f aca="false">IF(Sens!$M$778&gt;0,Sens!$M$780/Sens!$M$778,Sens!$M$776)</f>
        <v>2.02953743187011</v>
      </c>
    </row>
    <row r="783" customFormat="false" ht="17.15" hidden="false" customHeight="false" outlineLevel="0" collapsed="false">
      <c r="A783" s="14" t="s">
        <v>570</v>
      </c>
      <c r="B783" s="13" t="s">
        <v>151</v>
      </c>
      <c r="C783" s="13"/>
      <c r="D783" s="13"/>
      <c r="E783" s="13"/>
      <c r="F783" s="37" t="n">
        <f aca="false">Sens!$F$781*k_B</f>
        <v>10.7987645808025</v>
      </c>
      <c r="G783" s="37" t="n">
        <f aca="false">Sens!$G$781*k_B</f>
        <v>10.7987645808025</v>
      </c>
      <c r="H783" s="37" t="n">
        <f aca="false">Sens!$H$781*k_B</f>
        <v>11.0201444540452</v>
      </c>
      <c r="I783" s="37" t="n">
        <f aca="false">Sens!$I$781*k_B</f>
        <v>11.1972483526393</v>
      </c>
      <c r="J783" s="37" t="n">
        <f aca="false">Sens!$J$781*k_B</f>
        <v>11.2731500234653</v>
      </c>
      <c r="K783" s="37" t="n">
        <f aca="false">Sens!$K$781*k_B</f>
        <v>11.3153176183687</v>
      </c>
      <c r="L783" s="37" t="n">
        <f aca="false">Sens!$L$781*k_B</f>
        <v>11.3421515423981</v>
      </c>
      <c r="M783" s="37" t="n">
        <f aca="false">Sens!$M$781*k_B</f>
        <v>11.3607288744184</v>
      </c>
      <c r="N783" s="13"/>
      <c r="O783" s="13"/>
      <c r="P783" s="5" t="s">
        <v>571</v>
      </c>
    </row>
    <row r="784" customFormat="false" ht="17.15" hidden="false" customHeight="false" outlineLevel="0" collapsed="false">
      <c r="A784" s="5" t="s">
        <v>572</v>
      </c>
      <c r="B784" s="0" t="s">
        <v>108</v>
      </c>
      <c r="F784" s="33" t="n">
        <f aca="false">Sens!$F$778/2</f>
        <v>908.575</v>
      </c>
      <c r="H784" s="33" t="n">
        <f aca="false">(Sens!$G$778+Sens!$H$778)/2</f>
        <v>3634.3</v>
      </c>
      <c r="I784" s="33" t="n">
        <f aca="false">(Sens!$H$778+Sens!$I$778)/2</f>
        <v>7268.6</v>
      </c>
      <c r="J784" s="33" t="n">
        <f aca="false">(Sens!$I$778+Sens!$J$778)/2</f>
        <v>10902.9</v>
      </c>
      <c r="K784" s="33" t="n">
        <f aca="false">(Sens!$J$778+Sens!$K$778)/2</f>
        <v>14537.2</v>
      </c>
      <c r="L784" s="33" t="n">
        <f aca="false">(Sens!$K$778+Sens!$L$778)/2</f>
        <v>18171.5</v>
      </c>
      <c r="M784" s="33" t="n">
        <f aca="false">(Sens!$L$778+Sens!$M$778)/2</f>
        <v>21805.8</v>
      </c>
    </row>
    <row r="785" customFormat="false" ht="17.15" hidden="false" customHeight="false" outlineLevel="0" collapsed="false">
      <c r="A785" s="1" t="s">
        <v>573</v>
      </c>
    </row>
    <row r="786" customFormat="false" ht="17.15" hidden="false" customHeight="false" outlineLevel="0" collapsed="false">
      <c r="A786" s="1" t="s">
        <v>574</v>
      </c>
      <c r="B786" s="8" t="s">
        <v>73</v>
      </c>
      <c r="C786" s="38" t="n">
        <f aca="false">Sens!$C$769*rpm_open*Sens!$C$770/1000</f>
        <v>2.32100535697364</v>
      </c>
      <c r="D786" s="38" t="n">
        <f aca="false">Sens!$D$769*rpm_open*Sens!$D$770/1000</f>
        <v>8.70377008865116</v>
      </c>
      <c r="E786" s="38" t="n">
        <f aca="false">Sens!$E$769*rpm_open*Sens!$E$770/1000</f>
        <v>8.51035297557002</v>
      </c>
      <c r="F786" s="38" t="n">
        <f aca="false">(mw_open*rpm_open+Sens!$F$784*Sens!$F$783)*Sens!$F$770/1000</f>
        <v>14.9634336447205</v>
      </c>
      <c r="G786" s="38" t="n">
        <f aca="false">Sens!$E$786+Sens!$F$786</f>
        <v>23.4737866202905</v>
      </c>
      <c r="H786" s="38" t="n">
        <f aca="false">(mw_open*rpm_open+Sens!$H$784*Sens!$H$783)/1000</f>
        <v>60.1658907497746</v>
      </c>
      <c r="I786" s="38" t="n">
        <f aca="false">(mw_open*rpm_open+Sens!$I$784*Sens!$I$783)/1000</f>
        <v>101.503699136432</v>
      </c>
      <c r="J786" s="38" t="n">
        <f aca="false">(mw_open*rpm_open+Sens!$J$784*Sens!$J$783)/1000</f>
        <v>143.025407151278</v>
      </c>
      <c r="K786" s="38" t="n">
        <f aca="false">(mw_open*rpm_open+Sens!$K$784*Sens!$K$783)/1000</f>
        <v>184.608415042187</v>
      </c>
      <c r="L786" s="38" t="n">
        <f aca="false">(mw_open*rpm_open+Sens!$L$784*Sens!$L$783)/1000</f>
        <v>226.219286513125</v>
      </c>
      <c r="M786" s="38" t="n">
        <f aca="false">(mw_open*rpm_open+Sens!$M$784*Sens!$M$783)/1000</f>
        <v>267.845161450232</v>
      </c>
      <c r="N786" s="38" t="n">
        <f aca="false">Sens!$N$769*rpm_open*Sens!$N$770/1000</f>
        <v>3.04631953102791</v>
      </c>
      <c r="O786" s="38" t="n">
        <f aca="false">Sens!$O$769*rpm_open*Sens!$O$770/1000</f>
        <v>5.65745055762326</v>
      </c>
      <c r="P786" s="5" t="s">
        <v>575</v>
      </c>
    </row>
    <row r="787" customFormat="false" ht="17.15" hidden="false" customHeight="false" outlineLevel="0" collapsed="false">
      <c r="A787" s="5" t="s">
        <v>576</v>
      </c>
      <c r="B787" s="0" t="s">
        <v>151</v>
      </c>
      <c r="C787" s="36" t="n">
        <f aca="false">Sens!$C$786*1000/(Sens!$C$769*Sens!$C$770)</f>
        <v>9.67085565405685</v>
      </c>
      <c r="D787" s="36" t="n">
        <f aca="false">Sens!$D$786*1000/(Sens!$D$769*Sens!$D$770)</f>
        <v>9.67085565405685</v>
      </c>
      <c r="E787" s="36" t="n">
        <f aca="false">Sens!$E$786*1000/(Sens!$E$769*Sens!$E$770)</f>
        <v>9.67085565405685</v>
      </c>
      <c r="F787" s="36" t="n">
        <f aca="false">Sens!$F$786*1000/(Sens!$F$769*Sens!$F$770)</f>
        <v>10.0137581588017</v>
      </c>
      <c r="G787" s="36" t="n">
        <f aca="false">Sens!$G$786*1000/(Sens!$G$769*Sens!$G$770)</f>
        <v>9.88666562928478</v>
      </c>
      <c r="H787" s="36" t="n">
        <f aca="false">Sens!$H$786*1000/(Sens!$H$769*Sens!$H$770)</f>
        <v>10.5290045586992</v>
      </c>
      <c r="I787" s="36" t="n">
        <f aca="false">Sens!$I$786*1000/(Sens!$I$769*Sens!$I$770)</f>
        <v>10.8576363451674</v>
      </c>
      <c r="J787" s="36" t="n">
        <f aca="false">Sens!$J$786*1000/(Sens!$J$769*Sens!$J$770)</f>
        <v>11.0164452588619</v>
      </c>
      <c r="K787" s="36" t="n">
        <f aca="false">Sens!$K$786*1000/(Sens!$K$769*Sens!$K$770)</f>
        <v>11.1094778327388</v>
      </c>
      <c r="L787" s="36" t="n">
        <f aca="false">Sens!$L$786*1000/(Sens!$L$769*Sens!$L$770)</f>
        <v>11.1704953466718</v>
      </c>
      <c r="M787" s="36" t="n">
        <f aca="false">Sens!$M$786*1000/(Sens!$M$769*Sens!$M$770)</f>
        <v>11.2135729785158</v>
      </c>
      <c r="N787" s="36" t="n">
        <f aca="false">Sens!$N$786*1000/(Sens!$N$769*Sens!$N$770)</f>
        <v>9.67085565405685</v>
      </c>
      <c r="O787" s="36" t="n">
        <f aca="false">Sens!$O$786*1000/(Sens!$O$769*Sens!$O$770)</f>
        <v>9.67085565405685</v>
      </c>
    </row>
    <row r="788" customFormat="false" ht="17.15" hidden="false" customHeight="false" outlineLevel="0" collapsed="false">
      <c r="A788" s="0" t="s">
        <v>577</v>
      </c>
      <c r="B788" s="0" t="s">
        <v>73</v>
      </c>
      <c r="C788" s="38" t="n">
        <f aca="false">Sens!$C$769/ext_sh_lo*(ox_open+rent_mw)*Sens!$C$770/1000</f>
        <v>0.85675894756671</v>
      </c>
      <c r="D788" s="38" t="n">
        <f aca="false">Sens!$D$769/ext_sh_lo*(ox_open+rent_mw)*Sens!$D$770/1000</f>
        <v>3.21284605337516</v>
      </c>
      <c r="E788" s="38" t="n">
        <f aca="false">Sens!$E$769/ext_sh_lo*(ox_open+rent_mw)*Sens!$E$770/1000</f>
        <v>3.14144947441127</v>
      </c>
      <c r="F788" s="38" t="n">
        <f aca="false">((mw_open*ox_open+Sens!$F$784*Sens!$F$782)/ext_sh_lo+Sens!$F$769/ext_sh_lo*rent_mw)*Sens!$F$770/1000</f>
        <v>5.4056265480831</v>
      </c>
      <c r="G788" s="38" t="n">
        <f aca="false">Sens!$E$788+Sens!$F$788</f>
        <v>8.54707602249437</v>
      </c>
      <c r="H788" s="38" t="n">
        <f aca="false">((mw_open*ox_open+Sens!$H$784*Sens!$H$782)/ext_sh_lo+Sens!$H$769/ext_sh_lo*rent_mw)*Sens!$H$770/1000</f>
        <v>21.0811967395488</v>
      </c>
      <c r="I788" s="38" t="n">
        <f aca="false">((mw_open*ox_open+Sens!$I$784*Sens!$I$782)/ext_sh_lo+Sens!$I$769/ext_sh_lo*rent_mw)*Sens!$I$770/1000</f>
        <v>34.9162164534422</v>
      </c>
      <c r="J788" s="38" t="n">
        <f aca="false">((mw_open*ox_open+Sens!$J$784*Sens!$J$782)/ext_sh_lo+Sens!$J$769/ext_sh_lo*rent_mw)*Sens!$J$770/1000</f>
        <v>48.7768171939913</v>
      </c>
      <c r="K788" s="38" t="n">
        <f aca="false">((mw_open*ox_open+Sens!$K$784*Sens!$K$782)/ext_sh_lo+Sens!$K$769/ext_sh_lo*rent_mw)*Sens!$K$770/1000</f>
        <v>62.6459449434256</v>
      </c>
      <c r="L788" s="38" t="n">
        <f aca="false">((mw_open*ox_open+Sens!$L$784*Sens!$L$782)/ext_sh_lo+Sens!$L$769/ext_sh_lo*rent_mw)*Sens!$L$770/1000</f>
        <v>76.5189486059896</v>
      </c>
      <c r="M788" s="38" t="n">
        <f aca="false">((mw_open*ox_open+Sens!$M$784*Sens!$M$782)/ext_sh_lo+Sens!$M$769/ext_sh_lo*rent_mw)*Sens!$M$770/1000</f>
        <v>90.3940392987002</v>
      </c>
      <c r="N788" s="38" t="n">
        <f aca="false">Sens!$N$769/ext_sh_lo*(ox_open+rent_mw)*Sens!$N$770/1000</f>
        <v>1.12449611868131</v>
      </c>
      <c r="O788" s="38" t="n">
        <f aca="false">Sens!$O$769/ext_sh_lo*(ox_open+rent_mw)*Sens!$O$770/1000</f>
        <v>2.08834993469385</v>
      </c>
    </row>
    <row r="789" customFormat="false" ht="17.15" hidden="false" customHeight="false" outlineLevel="0" collapsed="false">
      <c r="A789" s="0" t="s">
        <v>578</v>
      </c>
      <c r="B789" s="0" t="s">
        <v>73</v>
      </c>
      <c r="C789" s="38" t="n">
        <f aca="false">Q!$D$7</f>
        <v>107.556</v>
      </c>
      <c r="D789" s="38" t="n">
        <f aca="false">Q!$E$7</f>
        <v>128.725</v>
      </c>
      <c r="E789" s="38" t="n">
        <f aca="false">Q!$P$7</f>
        <v>79.819</v>
      </c>
      <c r="N789" s="38" t="n">
        <f aca="false">Q!$N$7</f>
        <v>60.14</v>
      </c>
      <c r="O789" s="38" t="n">
        <f aca="false">Q!$O$7</f>
        <v>68.585</v>
      </c>
    </row>
    <row r="790" customFormat="false" ht="17.15" hidden="false" customHeight="false" outlineLevel="0" collapsed="false">
      <c r="A790" s="1" t="s">
        <v>579</v>
      </c>
      <c r="B790" s="8" t="s">
        <v>73</v>
      </c>
      <c r="C790" s="38" t="n">
        <f aca="false">Sens!$C$789-Sens!$C$786</f>
        <v>105.234994643026</v>
      </c>
      <c r="D790" s="38" t="n">
        <f aca="false">Sens!$D$789-Sens!$D$786</f>
        <v>120.021229911349</v>
      </c>
      <c r="E790" s="38" t="n">
        <f aca="false">Sens!$E$789-Sens!$E$786</f>
        <v>71.30864702443</v>
      </c>
      <c r="F790" s="38" t="n">
        <f aca="false">Sens!$O$790*(1+Sens!$F$791)</f>
        <v>78.5950104186653</v>
      </c>
      <c r="G790" s="38" t="n">
        <f aca="false">Sens!$E$790+Sens!$F$790</f>
        <v>149.903657443095</v>
      </c>
      <c r="H790" s="38" t="n">
        <f aca="false">Sens!$G$790*(1+Sens!$H$791)</f>
        <v>180.893560768142</v>
      </c>
      <c r="I790" s="38" t="n">
        <f aca="false">Sens!$H$790*(1+Sens!$I$791)</f>
        <v>210.64839721501</v>
      </c>
      <c r="J790" s="38" t="n">
        <f aca="false">Sens!$I$790*(1+Sens!$J$791)</f>
        <v>236.398909446495</v>
      </c>
      <c r="K790" s="38" t="n">
        <f aca="false">Sens!$J$790*(1+Sens!$K$791)</f>
        <v>255.310822202215</v>
      </c>
      <c r="L790" s="38" t="n">
        <f aca="false">Sens!$K$790*(1+Sens!$L$791)</f>
        <v>275.735687978392</v>
      </c>
      <c r="M790" s="38" t="n">
        <f aca="false">Sens!$L$790*(1+Sens!$M$791)</f>
        <v>297.794543016663</v>
      </c>
      <c r="N790" s="38" t="n">
        <f aca="false">Sens!$N$789-Sens!$N$786</f>
        <v>57.0936804689721</v>
      </c>
      <c r="O790" s="38" t="n">
        <f aca="false">Sens!$O$789-Sens!$O$786</f>
        <v>62.9275494423768</v>
      </c>
      <c r="P790" s="5" t="s">
        <v>580</v>
      </c>
    </row>
    <row r="791" customFormat="false" ht="17.15" hidden="false" customHeight="false" outlineLevel="0" collapsed="false">
      <c r="A791" s="0" t="s">
        <v>581</v>
      </c>
      <c r="B791" s="0" t="s">
        <v>52</v>
      </c>
      <c r="E791" s="12" t="n">
        <f aca="false">Sens!$E$790/Sens!$N$790-1</f>
        <v>0.248976181579029</v>
      </c>
      <c r="F791" s="12" t="n">
        <f aca="false">Sens!$E$791</f>
        <v>0.248976181579029</v>
      </c>
      <c r="G791" s="12" t="n">
        <f aca="false">Sens!$G$790/Sens!$D$790-1</f>
        <v>0.248976181579029</v>
      </c>
      <c r="H791" s="12" t="n">
        <f aca="false">Sens!$E$791+(g_awso_lt-Sens!$E$791)*1/4</f>
        <v>0.206732136184272</v>
      </c>
      <c r="I791" s="12" t="n">
        <f aca="false">Sens!$E$791+(g_awso_lt-Sens!$E$791)*2/4</f>
        <v>0.164488090789515</v>
      </c>
      <c r="J791" s="12" t="n">
        <f aca="false">Sens!$E$791+(g_awso_lt-Sens!$E$791)*3/4</f>
        <v>0.122244045394757</v>
      </c>
      <c r="K791" s="12" t="n">
        <f aca="false">Sens!$E$791+(g_awso_lt-Sens!$E$791)*4/4</f>
        <v>0.08</v>
      </c>
      <c r="L791" s="12" t="n">
        <f aca="false">g_awso_lt</f>
        <v>0.08</v>
      </c>
      <c r="M791" s="12" t="n">
        <f aca="false">g_awso_lt</f>
        <v>0.08</v>
      </c>
      <c r="P791" s="8" t="s">
        <v>582</v>
      </c>
    </row>
    <row r="792" customFormat="false" ht="17.15" hidden="false" customHeight="false" outlineLevel="0" collapsed="false">
      <c r="A792" s="1" t="s">
        <v>583</v>
      </c>
    </row>
    <row r="793" customFormat="false" ht="17.15" hidden="false" customHeight="false" outlineLevel="0" collapsed="false">
      <c r="A793" s="0" t="s">
        <v>584</v>
      </c>
      <c r="B793" s="0" t="s">
        <v>73</v>
      </c>
      <c r="F793" s="38" t="n">
        <f aca="false">cx_rt*Sens!$F$759+cx_awso*Sens!$F$790</f>
        <v>36.8045765066526</v>
      </c>
    </row>
    <row r="794" customFormat="false" ht="17.15" hidden="false" customHeight="false" outlineLevel="0" collapsed="false">
      <c r="A794" s="0" t="s">
        <v>585</v>
      </c>
      <c r="B794" s="0" t="s">
        <v>52</v>
      </c>
      <c r="C794" s="12" t="n">
        <f aca="false">tk_cx_h100/(tk_cx_h100+tk_fac*(1-colo_sh))</f>
        <v>0.730756458006641</v>
      </c>
      <c r="D794" s="12" t="n">
        <f aca="false">tk_cx_h100/(tk_cx_h100+tk_fac*(1-colo_sh))</f>
        <v>0.730756458006641</v>
      </c>
      <c r="E794" s="12" t="n">
        <f aca="false">Sens!$F$794</f>
        <v>0.760792334328868</v>
      </c>
      <c r="F794" s="12" t="n">
        <f aca="false">Sens!$F$777/(Sens!$F$777+tk_fac*(1-colo_sh))</f>
        <v>0.760792334328868</v>
      </c>
      <c r="G794" s="12" t="n">
        <f aca="false">Sens!$G$777/(Sens!$G$777+tk_fac*(1-colo_sh))</f>
        <v>0.760792334328868</v>
      </c>
      <c r="H794" s="12" t="n">
        <f aca="false">Sens!$H$777/(Sens!$H$777+tk_fac*(1-colo_sh))</f>
        <v>0.768110668862996</v>
      </c>
      <c r="I794" s="12" t="n">
        <f aca="false">Sens!$I$777/(Sens!$I$777+tk_fac*(1-colo_sh))</f>
        <v>0.77499450139483</v>
      </c>
      <c r="J794" s="12" t="n">
        <f aca="false">Sens!$J$777/(Sens!$J$777+tk_fac*(1-colo_sh))</f>
        <v>0.77499450139483</v>
      </c>
      <c r="K794" s="12" t="n">
        <f aca="false">Sens!$K$777/(Sens!$K$777+tk_fac*(1-colo_sh))</f>
        <v>0.77499450139483</v>
      </c>
      <c r="L794" s="12" t="n">
        <f aca="false">Sens!$L$777/(Sens!$L$777+tk_fac*(1-colo_sh))</f>
        <v>0.77499450139483</v>
      </c>
      <c r="M794" s="12" t="n">
        <f aca="false">Sens!$M$777/(Sens!$M$777+tk_fac*(1-colo_sh))</f>
        <v>0.77499450139483</v>
      </c>
    </row>
    <row r="795" customFormat="false" ht="17.15" hidden="false" customHeight="false" outlineLevel="0" collapsed="false">
      <c r="A795" s="1" t="s">
        <v>586</v>
      </c>
      <c r="B795" s="8" t="s">
        <v>73</v>
      </c>
      <c r="C795" s="38" t="n">
        <f aca="false">Q!$D$46-cx_rt*Q!$D$16-cx_awso*Sens!$C$790</f>
        <v>25.2781053077374</v>
      </c>
      <c r="D795" s="38" t="n">
        <f aca="false">Q!$E$46-cx_rt*Q!$E$16-cx_awso*Sens!$D$790</f>
        <v>69.5686316310026</v>
      </c>
      <c r="E795" s="38" t="n">
        <f aca="false">Q!$P$46-cx_rt*Q!$P$16-cx_awso*Sens!$E$790</f>
        <v>64.1899206485108</v>
      </c>
      <c r="F795" s="38" t="n">
        <f aca="false">MAX(Sens!$F$772*(Sens!$F$777+tk_fac*(1-colo_sh))/1000,capex_g26-Q!$P$46-Sens!$F$793)</f>
        <v>128.330839986</v>
      </c>
      <c r="G795" s="38" t="n">
        <f aca="false">Sens!$E$795+Sens!$F$795</f>
        <v>192.520760634511</v>
      </c>
      <c r="H795" s="38" t="n">
        <f aca="false">Sens!$H$772*(Sens!$H$777+tk_fac*(1-colo_sh))/1000+Sens!$H$796</f>
        <v>264.761819926333</v>
      </c>
      <c r="I795" s="38" t="n">
        <f aca="false">Sens!$I$772*(Sens!$I$777+tk_fac*(1-colo_sh))/1000+Sens!$I$796</f>
        <v>272.861959880667</v>
      </c>
      <c r="J795" s="38" t="n">
        <f aca="false">Sens!$J$772*(Sens!$J$777+tk_fac*(1-colo_sh))/1000+Sens!$J$796</f>
        <v>279.844317480667</v>
      </c>
      <c r="K795" s="38" t="n">
        <f aca="false">Sens!$K$772*(Sens!$K$777+tk_fac*(1-colo_sh))/1000+Sens!$K$796</f>
        <v>286.826675080667</v>
      </c>
      <c r="L795" s="38" t="n">
        <f aca="false">Sens!$L$772*(Sens!$L$777+tk_fac*(1-colo_sh))/1000+Sens!$L$796</f>
        <v>335.703178280667</v>
      </c>
      <c r="M795" s="38" t="n">
        <f aca="false">Sens!$M$772*(Sens!$M$777+tk_fac*(1-colo_sh))/1000+Sens!$M$796</f>
        <v>415.834459687667</v>
      </c>
      <c r="P795" s="5" t="s">
        <v>587</v>
      </c>
      <c r="R795" s="38" t="n">
        <f aca="false">Q!$C$46-cx_rt*Q!$C$16-cx_awso*(Q!$C$7-mw_ye23/2*rpm_open/1000)</f>
        <v>1.50429979529945</v>
      </c>
      <c r="S795" s="38" t="n">
        <f aca="false">Sens!$C$795</f>
        <v>25.2781053077374</v>
      </c>
      <c r="T795" s="38" t="n">
        <f aca="false">Sens!$D$795</f>
        <v>69.5686316310026</v>
      </c>
      <c r="U795" s="38" t="n">
        <f aca="false">Sens!$G$795</f>
        <v>192.520760634511</v>
      </c>
      <c r="V795" s="38" t="n">
        <f aca="false">Sens!$H$795</f>
        <v>264.761819926333</v>
      </c>
      <c r="W795" s="38" t="n">
        <f aca="false">Sens!$I$795</f>
        <v>272.861959880667</v>
      </c>
      <c r="X795" s="38" t="n">
        <f aca="false">Sens!$J$795</f>
        <v>279.844317480667</v>
      </c>
      <c r="Y795" s="38" t="n">
        <f aca="false">Sens!$K$795</f>
        <v>286.826675080667</v>
      </c>
      <c r="Z795" s="38" t="n">
        <f aca="false">Sens!$L$795</f>
        <v>335.703178280667</v>
      </c>
      <c r="AA795" s="38" t="n">
        <f aca="false">Sens!$M$795</f>
        <v>415.834459687667</v>
      </c>
    </row>
    <row r="796" customFormat="false" ht="17.15" hidden="false" customHeight="false" outlineLevel="0" collapsed="false">
      <c r="A796" s="0" t="s">
        <v>588</v>
      </c>
      <c r="B796" s="0" t="s">
        <v>73</v>
      </c>
      <c r="H796" s="38" t="n">
        <f aca="false">SUMPRODUCT(--(Sens!$R$766:$AA$766=2027-tk_life),Sens!$R$772:$AA$772)*Sens!$H$777/1000</f>
        <v>0</v>
      </c>
      <c r="I796" s="38" t="n">
        <f aca="false">SUMPRODUCT(--(Sens!$R$766:$AA$766=2028-tk_life),Sens!$R$772:$AA$772)*Sens!$I$777/1000</f>
        <v>0</v>
      </c>
      <c r="J796" s="38" t="n">
        <f aca="false">SUMPRODUCT(--(Sens!$R$766:$AA$766=2029-tk_life),Sens!$R$772:$AA$772)*Sens!$J$777/1000</f>
        <v>6.9823576</v>
      </c>
      <c r="K796" s="38" t="n">
        <f aca="false">SUMPRODUCT(--(Sens!$R$766:$AA$766=2030-tk_life),Sens!$R$772:$AA$772)*Sens!$K$777/1000</f>
        <v>13.9647152</v>
      </c>
      <c r="L796" s="38" t="n">
        <f aca="false">SUMPRODUCT(--(Sens!$R$766:$AA$766=2031-tk_life),Sens!$R$772:$AA$772)*Sens!$L$777/1000</f>
        <v>62.8412184</v>
      </c>
      <c r="M796" s="38" t="n">
        <f aca="false">SUMPRODUCT(--(Sens!$R$766:$AA$766=2032-tk_life),Sens!$R$772:$AA$772)*Sens!$M$777/1000</f>
        <v>142.972499807</v>
      </c>
    </row>
    <row r="797" customFormat="false" ht="17.15" hidden="false" customHeight="false" outlineLevel="0" collapsed="false">
      <c r="A797" s="5" t="s">
        <v>589</v>
      </c>
      <c r="B797" s="0" t="s">
        <v>73</v>
      </c>
      <c r="C797" s="38" t="n">
        <f aca="false">Sens!$C$795*Sens!$C$794</f>
        <v>18.472138699801</v>
      </c>
      <c r="D797" s="38" t="n">
        <f aca="false">Sens!$D$795*Sens!$D$794</f>
        <v>50.8377268390402</v>
      </c>
      <c r="E797" s="38" t="n">
        <f aca="false">Sens!$E$795*Sens!$E$794</f>
        <v>48.8351995705653</v>
      </c>
      <c r="F797" s="38" t="n">
        <f aca="false">Sens!$F$795*Sens!$F$794</f>
        <v>97.6331193193333</v>
      </c>
      <c r="G797" s="38" t="n">
        <f aca="false">Sens!$E$797+Sens!$F$797</f>
        <v>146.468318889899</v>
      </c>
      <c r="H797" s="38" t="n">
        <f aca="false">(Sens!$H$795-Sens!$H$796)*Sens!$H$794+Sens!$H$796</f>
        <v>203.366378593</v>
      </c>
      <c r="I797" s="38" t="n">
        <f aca="false">(Sens!$I$795-Sens!$I$796)*Sens!$I$794+Sens!$I$796</f>
        <v>211.466518547333</v>
      </c>
      <c r="J797" s="38" t="n">
        <f aca="false">(Sens!$J$795-Sens!$J$796)*Sens!$J$794+Sens!$J$796</f>
        <v>218.448876147333</v>
      </c>
      <c r="K797" s="38" t="n">
        <f aca="false">(Sens!$K$795-Sens!$K$796)*Sens!$K$794+Sens!$K$796</f>
        <v>225.431233747333</v>
      </c>
      <c r="L797" s="38" t="n">
        <f aca="false">(Sens!$L$795-Sens!$L$796)*Sens!$L$794+Sens!$L$796</f>
        <v>274.307736947333</v>
      </c>
      <c r="M797" s="38" t="n">
        <f aca="false">(Sens!$M$795-Sens!$M$796)*Sens!$M$794+Sens!$M$796</f>
        <v>354.439018354333</v>
      </c>
      <c r="R797" s="38" t="n">
        <f aca="false">Sens!$R$795*Sens!$C$794</f>
        <v>1.09927679019314</v>
      </c>
      <c r="S797" s="38" t="n">
        <f aca="false">Sens!$C$797</f>
        <v>18.472138699801</v>
      </c>
      <c r="T797" s="38" t="n">
        <f aca="false">Sens!$D$797</f>
        <v>50.8377268390402</v>
      </c>
      <c r="U797" s="38" t="n">
        <f aca="false">Sens!$G$797</f>
        <v>146.468318889899</v>
      </c>
      <c r="V797" s="38" t="n">
        <f aca="false">Sens!$H$797</f>
        <v>203.366378593</v>
      </c>
      <c r="W797" s="38" t="n">
        <f aca="false">Sens!$I$797</f>
        <v>211.466518547333</v>
      </c>
      <c r="X797" s="38" t="n">
        <f aca="false">Sens!$J$797</f>
        <v>218.448876147333</v>
      </c>
      <c r="Y797" s="38" t="n">
        <f aca="false">Sens!$K$797</f>
        <v>225.431233747333</v>
      </c>
      <c r="Z797" s="38" t="n">
        <f aca="false">Sens!$L$797</f>
        <v>274.307736947333</v>
      </c>
      <c r="AA797" s="38" t="n">
        <f aca="false">Sens!$M$797</f>
        <v>354.439018354333</v>
      </c>
    </row>
    <row r="798" customFormat="false" ht="15" hidden="false" customHeight="false" outlineLevel="0" collapsed="false">
      <c r="A798" s="5" t="s">
        <v>590</v>
      </c>
      <c r="B798" s="0" t="s">
        <v>73</v>
      </c>
      <c r="R798" s="38" t="n">
        <f aca="false">Sens!$R$795-Sens!$R$797</f>
        <v>0.405023005106309</v>
      </c>
      <c r="S798" s="38" t="n">
        <f aca="false">Sens!$S$795-Sens!$S$797</f>
        <v>6.80596660793636</v>
      </c>
      <c r="T798" s="38" t="n">
        <f aca="false">Sens!$T$795-Sens!$T$797</f>
        <v>18.7309047919624</v>
      </c>
      <c r="U798" s="38" t="n">
        <f aca="false">Sens!$U$795-Sens!$U$797</f>
        <v>46.0524417446122</v>
      </c>
      <c r="V798" s="38" t="n">
        <f aca="false">Sens!$V$795-Sens!$V$797</f>
        <v>61.3954413333334</v>
      </c>
      <c r="W798" s="38" t="n">
        <f aca="false">Sens!$W$795-Sens!$W$797</f>
        <v>61.3954413333333</v>
      </c>
      <c r="X798" s="38" t="n">
        <f aca="false">Sens!$X$795-Sens!$X$797</f>
        <v>61.3954413333333</v>
      </c>
      <c r="Y798" s="38" t="n">
        <f aca="false">Sens!$Y$795-Sens!$Y$797</f>
        <v>61.3954413333333</v>
      </c>
      <c r="Z798" s="38" t="n">
        <f aca="false">Sens!$Z$795-Sens!$Z$797</f>
        <v>61.3954413333333</v>
      </c>
      <c r="AA798" s="38" t="n">
        <f aca="false">Sens!$AA$795-Sens!$AA$797</f>
        <v>61.3954413333333</v>
      </c>
    </row>
    <row r="799" customFormat="false" ht="17.15" hidden="false" customHeight="false" outlineLevel="0" collapsed="false">
      <c r="A799" s="0" t="s">
        <v>591</v>
      </c>
      <c r="B799" s="0" t="s">
        <v>73</v>
      </c>
      <c r="C799" s="38" t="n">
        <f aca="false">Sens!$S$799</f>
        <v>0.183212798365523</v>
      </c>
      <c r="D799" s="38" t="n">
        <f aca="false">Sens!$T$799</f>
        <v>3.2619025816657</v>
      </c>
      <c r="E799" s="38" t="n">
        <f aca="false">Sens!$G$799/2</f>
        <v>5.86742852741953</v>
      </c>
      <c r="F799" s="38" t="n">
        <f aca="false">Sens!$G$799/2</f>
        <v>5.86742852741953</v>
      </c>
      <c r="G799" s="38" t="n">
        <f aca="false">Sens!$U$799</f>
        <v>11.7348570548391</v>
      </c>
      <c r="H799" s="38" t="n">
        <f aca="false">Sens!$V$799</f>
        <v>36.1462435364888</v>
      </c>
      <c r="I799" s="38" t="n">
        <f aca="false">Sens!$W$799</f>
        <v>70.0406399686555</v>
      </c>
      <c r="J799" s="38" t="n">
        <f aca="false">Sens!$X$799</f>
        <v>105.285059726544</v>
      </c>
      <c r="K799" s="38" t="n">
        <f aca="false">Sens!$Y$799</f>
        <v>141.509992952734</v>
      </c>
      <c r="L799" s="38" t="n">
        <f aca="false">Sens!$Z$799</f>
        <v>176.003175460656</v>
      </c>
      <c r="M799" s="38" t="n">
        <f aca="false">Sens!$AA$799</f>
        <v>213.248177145372</v>
      </c>
      <c r="N799" s="38" t="n">
        <f aca="false">Sens!$D$799/2</f>
        <v>1.63095129083285</v>
      </c>
      <c r="O799" s="38" t="n">
        <f aca="false">Sens!$D$799/2</f>
        <v>1.63095129083285</v>
      </c>
      <c r="R799" s="38" t="n">
        <f aca="false">SUMPRODUCT(--(Sens!$R$766:$AA$766&lt;Sens!R$766),--(Sens!$R$766:$AA$766&gt;=Sens!R$766-tk_life),Sens!$R$797:$AA$797)/tk_life</f>
        <v>0</v>
      </c>
      <c r="S799" s="38" t="n">
        <f aca="false">SUMPRODUCT(--(Sens!$R$766:$AA$766&lt;Sens!S$766),--(Sens!$R$766:$AA$766&gt;=Sens!S$766-tk_life),Sens!$R$797:$AA$797)/tk_life</f>
        <v>0.183212798365523</v>
      </c>
      <c r="T799" s="38" t="n">
        <f aca="false">SUMPRODUCT(--(Sens!$R$766:$AA$766&lt;Sens!T$766),--(Sens!$R$766:$AA$766&gt;=Sens!T$766-tk_life),Sens!$R$797:$AA$797)/tk_life</f>
        <v>3.2619025816657</v>
      </c>
      <c r="U799" s="38" t="n">
        <f aca="false">SUMPRODUCT(--(Sens!$R$766:$AA$766&lt;Sens!U$766),--(Sens!$R$766:$AA$766&gt;=Sens!U$766-tk_life),Sens!$R$797:$AA$797)/tk_life</f>
        <v>11.7348570548391</v>
      </c>
      <c r="V799" s="38" t="n">
        <f aca="false">SUMPRODUCT(--(Sens!$R$766:$AA$766&lt;Sens!V$766),--(Sens!$R$766:$AA$766&gt;=Sens!V$766-tk_life),Sens!$R$797:$AA$797)/tk_life</f>
        <v>36.1462435364888</v>
      </c>
      <c r="W799" s="38" t="n">
        <f aca="false">SUMPRODUCT(--(Sens!$R$766:$AA$766&lt;Sens!W$766),--(Sens!$R$766:$AA$766&gt;=Sens!W$766-tk_life),Sens!$R$797:$AA$797)/tk_life</f>
        <v>70.0406399686555</v>
      </c>
      <c r="X799" s="38" t="n">
        <f aca="false">SUMPRODUCT(--(Sens!$R$766:$AA$766&lt;Sens!X$766),--(Sens!$R$766:$AA$766&gt;=Sens!X$766-tk_life),Sens!$R$797:$AA$797)/tk_life</f>
        <v>105.285059726544</v>
      </c>
      <c r="Y799" s="38" t="n">
        <f aca="false">SUMPRODUCT(--(Sens!$R$766:$AA$766&lt;Sens!Y$766),--(Sens!$R$766:$AA$766&gt;=Sens!Y$766-tk_life),Sens!$R$797:$AA$797)/tk_life</f>
        <v>141.509992952734</v>
      </c>
      <c r="Z799" s="38" t="n">
        <f aca="false">SUMPRODUCT(--(Sens!$R$766:$AA$766&lt;Sens!Z$766),--(Sens!$R$766:$AA$766&gt;=Sens!Z$766-tk_life),Sens!$R$797:$AA$797)/tk_life</f>
        <v>176.003175460656</v>
      </c>
      <c r="AA799" s="38" t="n">
        <f aca="false">SUMPRODUCT(--(Sens!$R$766:$AA$766&lt;Sens!AA$766),--(Sens!$R$766:$AA$766&gt;=Sens!AA$766-tk_life),Sens!$R$797:$AA$797)/tk_life</f>
        <v>213.248177145372</v>
      </c>
    </row>
    <row r="800" customFormat="false" ht="17.15" hidden="false" customHeight="false" outlineLevel="0" collapsed="false">
      <c r="A800" s="0" t="s">
        <v>592</v>
      </c>
      <c r="B800" s="0" t="s">
        <v>73</v>
      </c>
      <c r="C800" s="38" t="n">
        <f aca="false">Sens!$S$800</f>
        <v>0.0202511502553155</v>
      </c>
      <c r="D800" s="38" t="n">
        <f aca="false">Sens!$T$800</f>
        <v>0.360549480652134</v>
      </c>
      <c r="E800" s="38" t="n">
        <f aca="false">Sens!$G$800/2</f>
        <v>0.648547360125127</v>
      </c>
      <c r="F800" s="38" t="n">
        <f aca="false">Sens!$G$800/2</f>
        <v>0.648547360125127</v>
      </c>
      <c r="G800" s="38" t="n">
        <f aca="false">Sens!$U$800</f>
        <v>1.29709472025025</v>
      </c>
      <c r="H800" s="38" t="n">
        <f aca="false">Sens!$V$800</f>
        <v>3.59971680748086</v>
      </c>
      <c r="I800" s="38" t="n">
        <f aca="false">Sens!$W$800</f>
        <v>6.66948887414753</v>
      </c>
      <c r="J800" s="38" t="n">
        <f aca="false">Sens!$X$800</f>
        <v>9.7392609408142</v>
      </c>
      <c r="K800" s="38" t="n">
        <f aca="false">Sens!$Y$800</f>
        <v>12.8090330074809</v>
      </c>
      <c r="L800" s="38" t="n">
        <f aca="false">Sens!$Z$800</f>
        <v>15.8788050741475</v>
      </c>
      <c r="M800" s="38" t="n">
        <f aca="false">Sens!$AA$800</f>
        <v>18.9485771408142</v>
      </c>
      <c r="N800" s="38" t="n">
        <f aca="false">Sens!$D$800/2</f>
        <v>0.180274740326067</v>
      </c>
      <c r="O800" s="38" t="n">
        <f aca="false">Sens!$D$800/2</f>
        <v>0.180274740326067</v>
      </c>
      <c r="R800" s="38" t="n">
        <f aca="false">SUMPRODUCT(--(Sens!$R$766:$AA$766&lt;Sens!R$766),Sens!$R$798:$AA$798)/fac_life</f>
        <v>0</v>
      </c>
      <c r="S800" s="38" t="n">
        <f aca="false">SUMPRODUCT(--(Sens!$R$766:$AA$766&lt;Sens!S$766),Sens!$R$798:$AA$798)/fac_life</f>
        <v>0.0202511502553155</v>
      </c>
      <c r="T800" s="38" t="n">
        <f aca="false">SUMPRODUCT(--(Sens!$R$766:$AA$766&lt;Sens!T$766),Sens!$R$798:$AA$798)/fac_life</f>
        <v>0.360549480652134</v>
      </c>
      <c r="U800" s="38" t="n">
        <f aca="false">SUMPRODUCT(--(Sens!$R$766:$AA$766&lt;Sens!U$766),Sens!$R$798:$AA$798)/fac_life</f>
        <v>1.29709472025025</v>
      </c>
      <c r="V800" s="38" t="n">
        <f aca="false">SUMPRODUCT(--(Sens!$R$766:$AA$766&lt;Sens!V$766),Sens!$R$798:$AA$798)/fac_life</f>
        <v>3.59971680748086</v>
      </c>
      <c r="W800" s="38" t="n">
        <f aca="false">SUMPRODUCT(--(Sens!$R$766:$AA$766&lt;Sens!W$766),Sens!$R$798:$AA$798)/fac_life</f>
        <v>6.66948887414753</v>
      </c>
      <c r="X800" s="38" t="n">
        <f aca="false">SUMPRODUCT(--(Sens!$R$766:$AA$766&lt;Sens!X$766),Sens!$R$798:$AA$798)/fac_life</f>
        <v>9.7392609408142</v>
      </c>
      <c r="Y800" s="38" t="n">
        <f aca="false">SUMPRODUCT(--(Sens!$R$766:$AA$766&lt;Sens!Y$766),Sens!$R$798:$AA$798)/fac_life</f>
        <v>12.8090330074809</v>
      </c>
      <c r="Z800" s="38" t="n">
        <f aca="false">SUMPRODUCT(--(Sens!$R$766:$AA$766&lt;Sens!Z$766),Sens!$R$798:$AA$798)/fac_life</f>
        <v>15.8788050741475</v>
      </c>
      <c r="AA800" s="38" t="n">
        <f aca="false">SUMPRODUCT(--(Sens!$R$766:$AA$766&lt;Sens!AA$766),Sens!$R$798:$AA$798)/fac_life</f>
        <v>18.9485771408142</v>
      </c>
    </row>
    <row r="801" customFormat="false" ht="17.15" hidden="false" customHeight="false" outlineLevel="0" collapsed="false">
      <c r="A801" s="1" t="s">
        <v>593</v>
      </c>
      <c r="B801" s="8" t="s">
        <v>73</v>
      </c>
      <c r="C801" s="38" t="n">
        <f aca="false">Sens!$C$799+Sens!$C$800</f>
        <v>0.203463948620839</v>
      </c>
      <c r="D801" s="38" t="n">
        <f aca="false">Sens!$D$799+Sens!$D$800</f>
        <v>3.62245206231783</v>
      </c>
      <c r="E801" s="38" t="n">
        <f aca="false">Sens!$E$799+Sens!$E$800</f>
        <v>6.51597588754466</v>
      </c>
      <c r="F801" s="38" t="n">
        <f aca="false">Sens!$F$799+Sens!$F$800</f>
        <v>6.51597588754466</v>
      </c>
      <c r="G801" s="38" t="n">
        <f aca="false">Sens!$G$799+Sens!$G$800</f>
        <v>13.0319517750893</v>
      </c>
      <c r="H801" s="38" t="n">
        <f aca="false">Sens!$H$799+Sens!$H$800</f>
        <v>39.7459603439697</v>
      </c>
      <c r="I801" s="38" t="n">
        <f aca="false">Sens!$I$799+Sens!$I$800</f>
        <v>76.710128842803</v>
      </c>
      <c r="J801" s="38" t="n">
        <f aca="false">Sens!$J$799+Sens!$J$800</f>
        <v>115.024320667359</v>
      </c>
      <c r="K801" s="38" t="n">
        <f aca="false">Sens!$K$799+Sens!$K$800</f>
        <v>154.319025960215</v>
      </c>
      <c r="L801" s="38" t="n">
        <f aca="false">Sens!$L$799+Sens!$L$800</f>
        <v>191.881980534804</v>
      </c>
      <c r="M801" s="38" t="n">
        <f aca="false">Sens!$M$799+Sens!$M$800</f>
        <v>232.196754286186</v>
      </c>
      <c r="N801" s="38" t="n">
        <f aca="false">Sens!$N$799+Sens!$N$800</f>
        <v>1.81122603115892</v>
      </c>
      <c r="O801" s="38" t="n">
        <f aca="false">Sens!$O$799+Sens!$O$800</f>
        <v>1.81122603115892</v>
      </c>
      <c r="R801" s="38" t="n">
        <f aca="false">Sens!$R$799+Sens!$R$800</f>
        <v>0</v>
      </c>
      <c r="S801" s="38" t="n">
        <f aca="false">Sens!$S$799+Sens!$S$800</f>
        <v>0.203463948620839</v>
      </c>
      <c r="T801" s="38" t="n">
        <f aca="false">Sens!$T$799+Sens!$T$800</f>
        <v>3.62245206231783</v>
      </c>
      <c r="U801" s="38" t="n">
        <f aca="false">Sens!$U$799+Sens!$U$800</f>
        <v>13.0319517750893</v>
      </c>
      <c r="V801" s="38" t="n">
        <f aca="false">Sens!$V$799+Sens!$V$800</f>
        <v>39.7459603439697</v>
      </c>
      <c r="W801" s="38" t="n">
        <f aca="false">Sens!$W$799+Sens!$W$800</f>
        <v>76.710128842803</v>
      </c>
      <c r="X801" s="38" t="n">
        <f aca="false">Sens!$X$799+Sens!$X$800</f>
        <v>115.024320667359</v>
      </c>
      <c r="Y801" s="38" t="n">
        <f aca="false">Sens!$Y$799+Sens!$Y$800</f>
        <v>154.319025960215</v>
      </c>
      <c r="Z801" s="38" t="n">
        <f aca="false">Sens!$Z$799+Sens!$Z$800</f>
        <v>191.881980534804</v>
      </c>
      <c r="AA801" s="38" t="n">
        <f aca="false">Sens!$AA$799+Sens!$AA$800</f>
        <v>232.196754286186</v>
      </c>
    </row>
    <row r="802" customFormat="false" ht="17.15" hidden="false" customHeight="false" outlineLevel="0" collapsed="false">
      <c r="A802" s="0" t="s">
        <v>594</v>
      </c>
      <c r="B802" s="0" t="s">
        <v>73</v>
      </c>
      <c r="C802" s="38" t="n">
        <f aca="false">Sens!$S$802</f>
        <v>26.578941154416</v>
      </c>
      <c r="D802" s="38" t="n">
        <f aca="false">Sens!$T$802</f>
        <v>92.5251207231008</v>
      </c>
      <c r="G802" s="38" t="n">
        <f aca="false">Sens!$U$802</f>
        <v>272.013929582522</v>
      </c>
      <c r="H802" s="38" t="n">
        <f aca="false">Sens!$V$802</f>
        <v>497.029789164886</v>
      </c>
      <c r="I802" s="38" t="n">
        <f aca="false">Sens!$W$802</f>
        <v>693.18162020275</v>
      </c>
      <c r="J802" s="38" t="n">
        <f aca="false">Sens!$X$802</f>
        <v>858.001617016058</v>
      </c>
      <c r="K802" s="38" t="n">
        <f aca="false">Sens!$Y$802</f>
        <v>990.509266136509</v>
      </c>
      <c r="L802" s="38" t="n">
        <f aca="false">Sens!$Z$802</f>
        <v>1134.33046388237</v>
      </c>
      <c r="M802" s="38" t="n">
        <f aca="false">Sens!$AA$802</f>
        <v>1317.96816928385</v>
      </c>
      <c r="R802" s="38" t="n">
        <f aca="false">SUM(Sens!$R$795:$R$795)-SUM(Sens!$R$801:$R$801)</f>
        <v>1.50429979529945</v>
      </c>
      <c r="S802" s="38" t="n">
        <f aca="false">SUM(Sens!$R$795:$S$795)-SUM(Sens!$R$801:$S$801)</f>
        <v>26.578941154416</v>
      </c>
      <c r="T802" s="38" t="n">
        <f aca="false">SUM(Sens!$R$795:$T$795)-SUM(Sens!$R$801:$T$801)</f>
        <v>92.5251207231008</v>
      </c>
      <c r="U802" s="38" t="n">
        <f aca="false">SUM(Sens!$R$795:$U$795)-SUM(Sens!$R$801:$U$801)</f>
        <v>272.013929582522</v>
      </c>
      <c r="V802" s="38" t="n">
        <f aca="false">SUM(Sens!$R$795:$V$795)-SUM(Sens!$R$801:$V$801)</f>
        <v>497.029789164886</v>
      </c>
      <c r="W802" s="38" t="n">
        <f aca="false">SUM(Sens!$R$795:$W$795)-SUM(Sens!$R$801:$W$801)</f>
        <v>693.18162020275</v>
      </c>
      <c r="X802" s="38" t="n">
        <f aca="false">SUM(Sens!$R$795:$X$795)-SUM(Sens!$R$801:$X$801)</f>
        <v>858.001617016058</v>
      </c>
      <c r="Y802" s="38" t="n">
        <f aca="false">SUM(Sens!$R$795:$Y$795)-SUM(Sens!$R$801:$Y$801)</f>
        <v>990.509266136509</v>
      </c>
      <c r="Z802" s="38" t="n">
        <f aca="false">SUM(Sens!$R$795:$Z$795)-SUM(Sens!$R$801:$Z$801)</f>
        <v>1134.33046388237</v>
      </c>
      <c r="AA802" s="38" t="n">
        <f aca="false">SUM(Sens!$R$795:$AA$795)-SUM(Sens!$R$801:$AA$801)</f>
        <v>1317.96816928385</v>
      </c>
    </row>
    <row r="803" customFormat="false" ht="17.15" hidden="false" customHeight="false" outlineLevel="0" collapsed="false">
      <c r="A803" s="1" t="s">
        <v>595</v>
      </c>
    </row>
    <row r="804" customFormat="false" ht="17.15" hidden="false" customHeight="false" outlineLevel="0" collapsed="false">
      <c r="A804" s="0" t="s">
        <v>596</v>
      </c>
      <c r="B804" s="0" t="s">
        <v>73</v>
      </c>
      <c r="C804" s="38" t="n">
        <f aca="false">Sens!$C$786-ext_sh_lo*Sens!$C$788</f>
        <v>1.80694998843362</v>
      </c>
      <c r="D804" s="38" t="n">
        <f aca="false">Sens!$D$786-ext_sh_lo*Sens!$D$788</f>
        <v>6.77606245662607</v>
      </c>
      <c r="E804" s="38" t="n">
        <f aca="false">Sens!$E$786-ext_sh_lo*Sens!$E$788</f>
        <v>6.62548329092326</v>
      </c>
      <c r="F804" s="38" t="n">
        <f aca="false">Sens!$F$786-ext_sh_lo*Sens!$F$788</f>
        <v>11.7200577158706</v>
      </c>
      <c r="G804" s="38" t="n">
        <f aca="false">Sens!$G$786-ext_sh_lo*Sens!$G$788</f>
        <v>18.3455410067939</v>
      </c>
      <c r="H804" s="38" t="n">
        <f aca="false">Sens!$H$786-ext_sh_lo*Sens!$H$788</f>
        <v>47.5171727060453</v>
      </c>
      <c r="I804" s="38" t="n">
        <f aca="false">Sens!$I$786-ext_sh_lo*Sens!$I$788</f>
        <v>80.5539692643667</v>
      </c>
      <c r="J804" s="38" t="n">
        <f aca="false">Sens!$J$786-ext_sh_lo*Sens!$J$788</f>
        <v>113.759316834883</v>
      </c>
      <c r="K804" s="38" t="n">
        <f aca="false">Sens!$K$786-ext_sh_lo*Sens!$K$788</f>
        <v>147.020848076132</v>
      </c>
      <c r="L804" s="38" t="n">
        <f aca="false">Sens!$L$786-ext_sh_lo*Sens!$L$788</f>
        <v>180.307917349531</v>
      </c>
      <c r="M804" s="38" t="n">
        <f aca="false">Sens!$M$786-ext_sh_lo*Sens!$M$788</f>
        <v>213.608737871012</v>
      </c>
      <c r="N804" s="38" t="n">
        <f aca="false">Sens!$N$786-ext_sh_lo*Sens!$N$788</f>
        <v>2.37162185981912</v>
      </c>
      <c r="O804" s="38" t="n">
        <f aca="false">Sens!$O$786-ext_sh_lo*Sens!$O$788</f>
        <v>4.40444059680694</v>
      </c>
    </row>
    <row r="805" customFormat="false" ht="17.15" hidden="false" customHeight="false" outlineLevel="0" collapsed="false">
      <c r="A805" s="1" t="s">
        <v>597</v>
      </c>
      <c r="B805" s="8" t="s">
        <v>73</v>
      </c>
      <c r="C805" s="38" t="n">
        <f aca="false">Sens!$C$804-ext_sh_lo*Sens!$C$801</f>
        <v>1.68487161926111</v>
      </c>
      <c r="D805" s="38" t="n">
        <f aca="false">Sens!$D$804-ext_sh_lo*Sens!$D$801</f>
        <v>4.60259121923537</v>
      </c>
      <c r="E805" s="38" t="n">
        <f aca="false">Sens!$E$804-ext_sh_lo*Sens!$E$801</f>
        <v>2.71589775839647</v>
      </c>
      <c r="F805" s="38" t="n">
        <f aca="false">Sens!$F$804-ext_sh_lo*Sens!$F$801</f>
        <v>7.8104721833438</v>
      </c>
      <c r="G805" s="38" t="n">
        <f aca="false">Sens!$G$804-ext_sh_lo*Sens!$G$801</f>
        <v>10.5263699417403</v>
      </c>
      <c r="H805" s="38" t="n">
        <f aca="false">Sens!$H$804-ext_sh_lo*Sens!$H$801</f>
        <v>23.6695964996635</v>
      </c>
      <c r="I805" s="38" t="n">
        <f aca="false">Sens!$I$804-ext_sh_lo*Sens!$I$801</f>
        <v>34.5278919586849</v>
      </c>
      <c r="J805" s="38" t="n">
        <f aca="false">Sens!$J$804-ext_sh_lo*Sens!$J$801</f>
        <v>44.7447244344682</v>
      </c>
      <c r="K805" s="38" t="n">
        <f aca="false">Sens!$K$804-ext_sh_lo*Sens!$K$801</f>
        <v>54.4294325000026</v>
      </c>
      <c r="L805" s="38" t="n">
        <f aca="false">Sens!$L$804-ext_sh_lo*Sens!$L$801</f>
        <v>65.1787290286487</v>
      </c>
      <c r="M805" s="38" t="n">
        <f aca="false">Sens!$M$804-ext_sh_lo*Sens!$M$801</f>
        <v>74.2906852993</v>
      </c>
      <c r="N805" s="38" t="n">
        <f aca="false">Sens!$N$804-ext_sh_lo*Sens!$N$801</f>
        <v>1.28488624112377</v>
      </c>
      <c r="O805" s="38" t="n">
        <f aca="false">Sens!$O$804-ext_sh_lo*Sens!$O$801</f>
        <v>3.31770497811159</v>
      </c>
    </row>
    <row r="806" customFormat="false" ht="17.15" hidden="false" customHeight="false" outlineLevel="0" collapsed="false">
      <c r="A806" s="0" t="s">
        <v>598</v>
      </c>
      <c r="B806" s="0" t="s">
        <v>52</v>
      </c>
      <c r="C806" s="12" t="n">
        <f aca="false">Sens!$C$805/Sens!$C$786</f>
        <v>0.725923192809006</v>
      </c>
      <c r="D806" s="12" t="n">
        <f aca="false">Sens!$D$805/Sens!$D$786</f>
        <v>0.528804319548454</v>
      </c>
      <c r="E806" s="12" t="n">
        <f aca="false">Sens!$E$805/Sens!$E$786</f>
        <v>0.319128685519011</v>
      </c>
      <c r="F806" s="12" t="n">
        <f aca="false">Sens!$F$805/Sens!$F$786</f>
        <v>0.521970583008504</v>
      </c>
      <c r="G806" s="12" t="n">
        <f aca="false">Sens!$G$805/Sens!$G$786</f>
        <v>0.448430843817988</v>
      </c>
      <c r="H806" s="12" t="n">
        <f aca="false">Sens!$H$805/Sens!$H$786</f>
        <v>0.393405569246927</v>
      </c>
      <c r="I806" s="12" t="n">
        <f aca="false">Sens!$I$805/Sens!$I$786</f>
        <v>0.3401638782866</v>
      </c>
      <c r="J806" s="12" t="n">
        <f aca="false">Sens!$J$805/Sens!$J$786</f>
        <v>0.312844587026008</v>
      </c>
      <c r="K806" s="12" t="n">
        <f aca="false">Sens!$K$805/Sens!$K$786</f>
        <v>0.294837223360399</v>
      </c>
      <c r="L806" s="12" t="n">
        <f aca="false">Sens!$L$805/Sens!$L$786</f>
        <v>0.288121892846953</v>
      </c>
      <c r="M806" s="12" t="n">
        <f aca="false">Sens!$M$805/Sens!$M$786</f>
        <v>0.277364298451603</v>
      </c>
      <c r="N806" s="12" t="n">
        <f aca="false">Sens!$N$805/Sens!$N$786</f>
        <v>0.421783147840115</v>
      </c>
      <c r="O806" s="12" t="n">
        <f aca="false">Sens!$O$805/Sens!$O$786</f>
        <v>0.586431104314483</v>
      </c>
    </row>
    <row r="807" customFormat="false" ht="17.15" hidden="false" customHeight="false" outlineLevel="0" collapsed="false">
      <c r="A807" s="5" t="s">
        <v>599</v>
      </c>
      <c r="B807" s="0" t="s">
        <v>73</v>
      </c>
      <c r="C807" s="38" t="n">
        <f aca="false">rd2*(1-ext_sh_lo)/ext_sh_lo*Sens!$C$769*he_open*Sens!$C$770/1000</f>
        <v>0</v>
      </c>
      <c r="D807" s="38" t="n">
        <f aca="false">rd2*(1-ext_sh_lo)/ext_sh_lo*Sens!$D$769*he_open*Sens!$D$770/1000</f>
        <v>0</v>
      </c>
      <c r="E807" s="38" t="n">
        <f aca="false">rd2*(1-ext_sh_lo)/ext_sh_lo*Sens!$E$769*he_open*Sens!$E$770/1000</f>
        <v>0</v>
      </c>
      <c r="F807" s="38" t="n">
        <f aca="false">rd2*(1-ext_sh_lo)/ext_sh_lo*(mw_open*he_open+Sens!$F$784*Sens!$F$781)*Sens!$F$770/1000</f>
        <v>0</v>
      </c>
      <c r="G807" s="38" t="n">
        <f aca="false">Sens!$E$807+Sens!$F$807</f>
        <v>0</v>
      </c>
      <c r="H807" s="38" t="n">
        <f aca="false">rd2*(1-ext_sh_lo)/ext_sh_lo*(mw_open*he_open+Sens!$H$784*Sens!$H$781)*Sens!$H$770/1000</f>
        <v>0</v>
      </c>
      <c r="I807" s="38" t="n">
        <f aca="false">rd2*(1-ext_sh_lo)/ext_sh_lo*(mw_open*he_open+Sens!$I$784*Sens!$I$781)*Sens!$I$770/1000</f>
        <v>0</v>
      </c>
      <c r="J807" s="38" t="n">
        <f aca="false">rd2*(1-ext_sh_lo)/ext_sh_lo*(mw_open*he_open+Sens!$J$784*Sens!$J$781)*Sens!$J$770/1000</f>
        <v>0</v>
      </c>
      <c r="K807" s="38" t="n">
        <f aca="false">rd2*(1-ext_sh_lo)/ext_sh_lo*(mw_open*he_open+Sens!$K$784*Sens!$K$781)*Sens!$K$770/1000</f>
        <v>0</v>
      </c>
      <c r="L807" s="38" t="n">
        <f aca="false">rd2*(1-ext_sh_lo)/ext_sh_lo*(mw_open*he_open+Sens!$L$784*Sens!$L$781)*Sens!$L$770/1000</f>
        <v>0</v>
      </c>
      <c r="M807" s="38" t="n">
        <f aca="false">rd2*(1-ext_sh_lo)/ext_sh_lo*(mw_open*he_open+Sens!$M$784*Sens!$M$781)*Sens!$M$770/1000</f>
        <v>0</v>
      </c>
      <c r="N807" s="38" t="n">
        <f aca="false">rd2*(1-ext_sh_lo)/ext_sh_lo*Sens!$N$769*he_open*Sens!$N$770/1000</f>
        <v>0</v>
      </c>
      <c r="O807" s="38" t="n">
        <f aca="false">rd2*(1-ext_sh_lo)/ext_sh_lo*Sens!$O$769*he_open*Sens!$O$770/1000</f>
        <v>0</v>
      </c>
      <c r="P807" s="8" t="s">
        <v>600</v>
      </c>
    </row>
    <row r="808" customFormat="false" ht="17.15" hidden="false" customHeight="false" outlineLevel="0" collapsed="false">
      <c r="A808" s="5" t="s">
        <v>601</v>
      </c>
      <c r="B808" s="0" t="s">
        <v>73</v>
      </c>
      <c r="C808" s="38" t="n">
        <f aca="false">(1-ext_sh_lo)*(Sens!$C$788+Sens!$C$801)-Sens!$C$807</f>
        <v>0.424089158475019</v>
      </c>
      <c r="D808" s="38" t="n">
        <f aca="false">(1-ext_sh_lo)*(Sens!$D$788+Sens!$D$801)-Sens!$D$807</f>
        <v>2.7341192462772</v>
      </c>
      <c r="E808" s="38" t="n">
        <f aca="false">(1-ext_sh_lo)*(Sens!$E$788+Sens!$E$801)-Sens!$E$807</f>
        <v>3.86297014478237</v>
      </c>
      <c r="F808" s="38" t="n">
        <f aca="false">(1-ext_sh_lo)*(Sens!$F$788+Sens!$F$801)-Sens!$F$807</f>
        <v>4.7686409742511</v>
      </c>
      <c r="G808" s="38" t="n">
        <f aca="false">(1-ext_sh_lo)*(Sens!$G$788+Sens!$G$801)-Sens!$G$807</f>
        <v>8.63161111903347</v>
      </c>
      <c r="H808" s="38" t="n">
        <f aca="false">(1-ext_sh_lo)*(Sens!$H$788+Sens!$H$801)-Sens!$H$807</f>
        <v>24.3308628334074</v>
      </c>
      <c r="I808" s="38" t="n">
        <f aca="false">(1-ext_sh_lo)*(Sens!$I$788+Sens!$I$801)-Sens!$I$807</f>
        <v>44.6505381184981</v>
      </c>
      <c r="J808" s="38" t="n">
        <f aca="false">(1-ext_sh_lo)*(Sens!$J$788+Sens!$J$801)-Sens!$J$807</f>
        <v>65.52045514454</v>
      </c>
      <c r="K808" s="38" t="n">
        <f aca="false">(1-ext_sh_lo)*(Sens!$K$788+Sens!$K$801)-Sens!$K$807</f>
        <v>86.7859883614564</v>
      </c>
      <c r="L808" s="38" t="n">
        <f aca="false">(1-ext_sh_lo)*(Sens!$L$788+Sens!$L$801)-Sens!$L$807</f>
        <v>107.360371656317</v>
      </c>
      <c r="M808" s="38" t="n">
        <f aca="false">(1-ext_sh_lo)*(Sens!$M$788+Sens!$M$801)-Sens!$M$807</f>
        <v>129.036317433955</v>
      </c>
      <c r="N808" s="38" t="n">
        <f aca="false">(1-ext_sh_lo)*(Sens!$N$788+Sens!$N$801)-Sens!$N$807</f>
        <v>1.17428885993609</v>
      </c>
      <c r="O808" s="38" t="n">
        <f aca="false">(1-ext_sh_lo)*(Sens!$O$788+Sens!$O$801)-Sens!$O$807</f>
        <v>1.55983038634111</v>
      </c>
    </row>
    <row r="809" customFormat="false" ht="17.15" hidden="false" customHeight="false" outlineLevel="0" collapsed="false">
      <c r="A809" s="0" t="s">
        <v>602</v>
      </c>
      <c r="B809" s="0" t="s">
        <v>73</v>
      </c>
      <c r="C809" s="38" t="n">
        <f aca="false">Q!$D$24</f>
        <v>39.834</v>
      </c>
      <c r="D809" s="38" t="n">
        <f aca="false">Q!$E$24</f>
        <v>45.606</v>
      </c>
      <c r="E809" s="38" t="n">
        <f aca="false">Q!$P$24</f>
        <v>30.782</v>
      </c>
      <c r="N809" s="38" t="n">
        <f aca="false">Q!$N$24</f>
        <v>21.707</v>
      </c>
      <c r="O809" s="38" t="n">
        <f aca="false">Q!$O$24</f>
        <v>23.899</v>
      </c>
    </row>
    <row r="810" customFormat="false" ht="17.15" hidden="false" customHeight="false" outlineLevel="0" collapsed="false">
      <c r="A810" s="0" t="s">
        <v>603</v>
      </c>
      <c r="B810" s="0" t="s">
        <v>73</v>
      </c>
      <c r="C810" s="38" t="n">
        <f aca="false">Sens!$C$809-Sens!$C$805</f>
        <v>38.1491283807389</v>
      </c>
      <c r="D810" s="38" t="n">
        <f aca="false">Sens!$D$809-Sens!$D$805</f>
        <v>41.0034087807646</v>
      </c>
      <c r="E810" s="38" t="n">
        <f aca="false">Sens!$E$809-Sens!$E$805</f>
        <v>28.0661022416035</v>
      </c>
      <c r="F810" s="38" t="n">
        <f aca="false">Sens!$F$790*Sens!$F$811</f>
        <v>28.4829486785298</v>
      </c>
      <c r="G810" s="38" t="n">
        <f aca="false">Sens!$E$810+Sens!$F$810</f>
        <v>56.5490509201333</v>
      </c>
      <c r="H810" s="38" t="n">
        <f aca="false">Sens!$H$790*Sens!$H$811</f>
        <v>65.5560954848079</v>
      </c>
      <c r="I810" s="38" t="n">
        <f aca="false">Sens!$I$790*Sens!$I$811</f>
        <v>76.339292470719</v>
      </c>
      <c r="J810" s="38" t="n">
        <f aca="false">Sens!$J$790*Sens!$J$811</f>
        <v>85.6713164049132</v>
      </c>
      <c r="K810" s="38" t="n">
        <f aca="false">Sens!$K$790*Sens!$K$811</f>
        <v>92.5250217173063</v>
      </c>
      <c r="L810" s="38" t="n">
        <f aca="false">Sens!$L$790*Sens!$L$811</f>
        <v>99.9270234546908</v>
      </c>
      <c r="M810" s="38" t="n">
        <f aca="false">Sens!$M$790*Sens!$M$811</f>
        <v>107.921185331066</v>
      </c>
      <c r="N810" s="38" t="n">
        <f aca="false">Sens!$N$809-Sens!$N$805</f>
        <v>20.4221137588762</v>
      </c>
      <c r="O810" s="38" t="n">
        <f aca="false">Sens!$O$809-Sens!$O$805</f>
        <v>20.5812950218884</v>
      </c>
      <c r="P810" s="5" t="s">
        <v>604</v>
      </c>
    </row>
    <row r="811" customFormat="false" ht="17.15" hidden="false" customHeight="false" outlineLevel="0" collapsed="false">
      <c r="A811" s="0" t="s">
        <v>605</v>
      </c>
      <c r="B811" s="0" t="s">
        <v>52</v>
      </c>
      <c r="C811" s="12" t="n">
        <f aca="false">Sens!$C$810/Sens!$C$790</f>
        <v>0.362513710483349</v>
      </c>
      <c r="D811" s="12" t="n">
        <f aca="false">Sens!$D$810/Sens!$D$790</f>
        <v>0.341634632565013</v>
      </c>
      <c r="E811" s="12" t="n">
        <f aca="false">Sens!$E$810/Sens!$E$790</f>
        <v>0.393586239716317</v>
      </c>
      <c r="F811" s="12" t="n">
        <f aca="false">(Sens!$O$810+Sens!$E$810)/(Sens!$O$790+Sens!$E$790)</f>
        <v>0.362401487407469</v>
      </c>
      <c r="G811" s="12" t="n">
        <f aca="false">Sens!$G$810/Sens!$G$790</f>
        <v>0.377235965317256</v>
      </c>
      <c r="H811" s="12" t="n">
        <f aca="false">Sens!$F$811</f>
        <v>0.362401487407469</v>
      </c>
      <c r="I811" s="12" t="n">
        <f aca="false">Sens!$F$811</f>
        <v>0.362401487407469</v>
      </c>
      <c r="J811" s="12" t="n">
        <f aca="false">Sens!$F$811</f>
        <v>0.362401487407469</v>
      </c>
      <c r="K811" s="12" t="n">
        <f aca="false">Sens!$F$811</f>
        <v>0.362401487407469</v>
      </c>
      <c r="L811" s="12" t="n">
        <f aca="false">Sens!$F$811</f>
        <v>0.362401487407469</v>
      </c>
      <c r="M811" s="12" t="n">
        <f aca="false">Sens!$F$811</f>
        <v>0.362401487407469</v>
      </c>
      <c r="N811" s="12" t="n">
        <f aca="false">Sens!$N$810/Sens!$N$790</f>
        <v>0.357694820006826</v>
      </c>
      <c r="O811" s="12" t="n">
        <f aca="false">Sens!$O$810/Sens!$O$790</f>
        <v>0.327063348315111</v>
      </c>
      <c r="P811" s="8" t="s">
        <v>606</v>
      </c>
    </row>
    <row r="812" customFormat="false" ht="17.15" hidden="false" customHeight="false" outlineLevel="0" collapsed="false">
      <c r="A812" s="0" t="s">
        <v>607</v>
      </c>
      <c r="B812" s="0" t="s">
        <v>52</v>
      </c>
      <c r="D812" s="12" t="n">
        <f aca="false">(Q!$E$31-ext_sh_lo*Sens!$D$801)/Sens!$D$790</f>
        <v>0.160609325340588</v>
      </c>
    </row>
    <row r="813" customFormat="false" ht="17.15" hidden="false" customHeight="false" outlineLevel="0" collapsed="false">
      <c r="A813" s="0" t="s">
        <v>608</v>
      </c>
      <c r="B813" s="0" t="s">
        <v>73</v>
      </c>
      <c r="C813" s="38" t="n">
        <f aca="false">Q!$D$31</f>
        <v>13.32</v>
      </c>
      <c r="D813" s="38" t="n">
        <f aca="false">Q!$E$31</f>
        <v>21.45</v>
      </c>
      <c r="E813" s="38" t="n">
        <f aca="false">Q!$P$31</f>
        <v>15.353</v>
      </c>
      <c r="F813" s="38" t="n">
        <f aca="false">ext_sh_lo*Sens!$F$801+Sens!$D$812*Sens!$F$790</f>
        <v>16.5326771310051</v>
      </c>
      <c r="G813" s="38" t="n">
        <f aca="false">Sens!$E$813+Sens!$F$813</f>
        <v>31.8856771310051</v>
      </c>
      <c r="H813" s="38" t="n">
        <f aca="false">ext_sh_lo*Sens!$H$801+Sens!$D$812*Sens!$H$790</f>
        <v>52.9007689598097</v>
      </c>
      <c r="I813" s="38" t="n">
        <f aca="false">ext_sh_lo*Sens!$I$801+Sens!$D$812*Sens!$I$790</f>
        <v>79.8581742664608</v>
      </c>
      <c r="J813" s="38" t="n">
        <f aca="false">ext_sh_lo*Sens!$J$801+Sens!$D$812*Sens!$J$790</f>
        <v>106.982461757867</v>
      </c>
      <c r="K813" s="38" t="n">
        <f aca="false">ext_sh_lo*Sens!$K$801+Sens!$D$812*Sens!$K$790</f>
        <v>133.596714482178</v>
      </c>
      <c r="L813" s="38" t="n">
        <f aca="false">ext_sh_lo*Sens!$L$801+Sens!$D$812*Sens!$L$790</f>
        <v>159.414911139415</v>
      </c>
      <c r="M813" s="38" t="n">
        <f aca="false">ext_sh_lo*Sens!$M$801+Sens!$D$812*Sens!$M$790</f>
        <v>187.146633215727</v>
      </c>
      <c r="N813" s="38" t="n">
        <f aca="false">Q!$N$31</f>
        <v>9.234</v>
      </c>
      <c r="O813" s="38" t="n">
        <f aca="false">Q!$O$31</f>
        <v>12.216</v>
      </c>
    </row>
    <row r="814" customFormat="false" ht="17.15" hidden="false" customHeight="false" outlineLevel="0" collapsed="false">
      <c r="A814" s="1" t="s">
        <v>609</v>
      </c>
    </row>
    <row r="815" customFormat="false" ht="17.15" hidden="false" customHeight="false" outlineLevel="0" collapsed="false">
      <c r="A815" s="14" t="s">
        <v>610</v>
      </c>
      <c r="B815" s="13" t="s">
        <v>52</v>
      </c>
      <c r="C815" s="13"/>
      <c r="D815" s="13"/>
      <c r="E815" s="13"/>
      <c r="F815" s="13"/>
      <c r="G815" s="16" t="n">
        <f aca="false">Sens!$G$805*(1-tax)/(ext_sh_lo*(Sens!$D$802+Sens!$G$802)/2)</f>
        <v>0.0795447930847854</v>
      </c>
      <c r="H815" s="16" t="n">
        <f aca="false">Sens!$H$805*(1-tax)/(ext_sh_lo*(Sens!$G$802+Sens!$H$802)/2)</f>
        <v>0.0847846068180141</v>
      </c>
      <c r="I815" s="16" t="n">
        <f aca="false">Sens!$I$805*(1-tax)/(ext_sh_lo*(Sens!$H$802+Sens!$I$802)/2)</f>
        <v>0.0799140498716809</v>
      </c>
      <c r="J815" s="16" t="n">
        <f aca="false">Sens!$J$805*(1-tax)/(ext_sh_lo*(Sens!$I$802+Sens!$J$802)/2)</f>
        <v>0.0794613465331623</v>
      </c>
      <c r="K815" s="16" t="n">
        <f aca="false">Sens!$K$805*(1-tax)/(ext_sh_lo*(Sens!$J$802+Sens!$K$802)/2)</f>
        <v>0.0811127227420387</v>
      </c>
      <c r="L815" s="16" t="n">
        <f aca="false">Sens!$L$805*(1-tax)/(ext_sh_lo*(Sens!$K$802+Sens!$L$802)/2)</f>
        <v>0.0845000361571929</v>
      </c>
      <c r="M815" s="16" t="n">
        <f aca="false">Sens!$M$805*(1-tax)/(ext_sh_lo*(Sens!$L$802+Sens!$M$802)/2)</f>
        <v>0.0834522775610473</v>
      </c>
      <c r="N815" s="13"/>
      <c r="O815" s="13"/>
      <c r="P815" s="8" t="s">
        <v>611</v>
      </c>
    </row>
    <row r="816" customFormat="false" ht="17.15" hidden="false" customHeight="false" outlineLevel="0" collapsed="false">
      <c r="A816" s="5" t="s">
        <v>612</v>
      </c>
      <c r="B816" s="0" t="s">
        <v>57</v>
      </c>
      <c r="H816" s="36" t="n">
        <f aca="false">Sens!$H$786*1000/(mw_open*he_open+Sens!$H$784*Sens!$H$781)</f>
        <v>0.991949006767191</v>
      </c>
      <c r="I816" s="36" t="n">
        <f aca="false">Sens!$I$786*1000/(mw_open*he_open+Sens!$I$784*Sens!$I$781)</f>
        <v>0.991949006767191</v>
      </c>
      <c r="J816" s="36" t="n">
        <f aca="false">Sens!$J$786*1000/(mw_open*he_open+Sens!$J$784*Sens!$J$781)</f>
        <v>0.991949006767191</v>
      </c>
      <c r="K816" s="36" t="n">
        <f aca="false">Sens!$K$786*1000/(mw_open*he_open+Sens!$K$784*Sens!$K$781)</f>
        <v>0.991949006767191</v>
      </c>
      <c r="L816" s="36" t="n">
        <f aca="false">Sens!$L$786*1000/(mw_open*he_open+Sens!$L$784*Sens!$L$781)</f>
        <v>0.991949006767191</v>
      </c>
      <c r="M816" s="36" t="n">
        <f aca="false">Sens!$M$786*1000/(mw_open*he_open+Sens!$M$784*Sens!$M$781)</f>
        <v>0.991949006767192</v>
      </c>
    </row>
    <row r="817" customFormat="false" ht="17.15" hidden="false" customHeight="false" outlineLevel="0" collapsed="false">
      <c r="A817" s="5" t="s">
        <v>613</v>
      </c>
      <c r="B817" s="0" t="s">
        <v>57</v>
      </c>
      <c r="H817" s="36" t="n">
        <f aca="false">Sens!$H$816*(Sens!$H$786+wacc*ext_sh_lo*(Sens!$G$802+Sens!$H$802)/2/(1-tax)-Sens!$H$805)/Sens!$H$786</f>
        <v>1.17650878774446</v>
      </c>
      <c r="I817" s="36" t="n">
        <f aca="false">Sens!$I$816*(Sens!$I$786+wacc*ext_sh_lo*(Sens!$H$802+Sens!$I$802)/2/(1-tax)-Sens!$I$805)/Sens!$I$786</f>
        <v>1.18182265829844</v>
      </c>
      <c r="J817" s="36" t="n">
        <f aca="false">Sens!$J$816*(Sens!$J$786+wacc*ext_sh_lo*(Sens!$I$802+Sens!$J$802)/2/(1-tax)-Sens!$J$805)/Sens!$J$786</f>
        <v>1.16933633353444</v>
      </c>
      <c r="K817" s="36" t="n">
        <f aca="false">Sens!$K$816*(Sens!$K$786+wacc*ext_sh_lo*(Sens!$J$802+Sens!$K$802)/2/(1-tax)-Sens!$K$805)/Sens!$K$786</f>
        <v>1.14976807084159</v>
      </c>
      <c r="L817" s="36" t="n">
        <f aca="false">Sens!$L$816*(Sens!$L$786+wacc*ext_sh_lo*(Sens!$K$802+Sens!$L$802)/2/(1-tax)-Sens!$L$805)/Sens!$L$786</f>
        <v>1.12853437469107</v>
      </c>
      <c r="M817" s="36" t="n">
        <f aca="false">Sens!$M$816*(Sens!$M$786+wacc*ext_sh_lo*(Sens!$L$802+Sens!$M$802)/2/(1-tax)-Sens!$M$805)/Sens!$M$786</f>
        <v>1.12853984266072</v>
      </c>
    </row>
    <row r="818" customFormat="false" ht="17.15" hidden="false" customHeight="false" outlineLevel="0" collapsed="false">
      <c r="A818" s="5" t="s">
        <v>614</v>
      </c>
      <c r="B818" s="0" t="s">
        <v>52</v>
      </c>
      <c r="C818" s="12" t="n">
        <f aca="false">Sens!$C$787/tk_pq</f>
        <v>0.195316432429398</v>
      </c>
      <c r="D818" s="12" t="n">
        <f aca="false">Sens!$D$787/tk_pq</f>
        <v>0.195316432429398</v>
      </c>
      <c r="E818" s="12" t="n">
        <f aca="false">Sens!$E$787/tk_pq</f>
        <v>0.195316432429398</v>
      </c>
      <c r="F818" s="12" t="n">
        <f aca="false">Sens!$F$787/tk_pq</f>
        <v>0.202241827274866</v>
      </c>
      <c r="G818" s="12" t="n">
        <f aca="false">Sens!$G$787/tk_pq</f>
        <v>0.199675016194063</v>
      </c>
      <c r="H818" s="12" t="n">
        <f aca="false">Sens!$H$787/tk_pq</f>
        <v>0.212647947710325</v>
      </c>
      <c r="I818" s="12" t="n">
        <f aca="false">Sens!$I$787/tk_pq</f>
        <v>0.219285125475351</v>
      </c>
      <c r="J818" s="12" t="n">
        <f aca="false">Sens!$J$787/tk_pq</f>
        <v>0.222492493217189</v>
      </c>
      <c r="K818" s="12" t="n">
        <f aca="false">Sens!$K$787/tk_pq</f>
        <v>0.224371415939166</v>
      </c>
      <c r="L818" s="12" t="n">
        <f aca="false">Sens!$L$787/tk_pq</f>
        <v>0.225603749825993</v>
      </c>
      <c r="M818" s="12" t="n">
        <f aca="false">Sens!$M$787/tk_pq</f>
        <v>0.22647376274628</v>
      </c>
      <c r="N818" s="12" t="n">
        <f aca="false">Sens!$N$787/tk_pq</f>
        <v>0.195316432429398</v>
      </c>
      <c r="O818" s="12" t="n">
        <f aca="false">Sens!$O$787/tk_pq</f>
        <v>0.195316432429398</v>
      </c>
      <c r="P818" s="5" t="s">
        <v>615</v>
      </c>
    </row>
    <row r="821" customFormat="false" ht="17.15" hidden="false" customHeight="false" outlineLevel="0" collapsed="false">
      <c r="A821" s="1" t="s">
        <v>642</v>
      </c>
    </row>
    <row r="822" customFormat="false" ht="17.15" hidden="false" customHeight="false" outlineLevel="0" collapsed="false">
      <c r="A822" s="0" t="s">
        <v>643</v>
      </c>
      <c r="B822" s="0" t="s">
        <v>73</v>
      </c>
      <c r="C822" s="38" t="n">
        <f aca="false">Sens!$C$786</f>
        <v>2.32100535697364</v>
      </c>
      <c r="D822" s="38" t="n">
        <f aca="false">Sens!$D$786</f>
        <v>8.70377008865116</v>
      </c>
      <c r="E822" s="38" t="n">
        <f aca="false">Sens!$E$786</f>
        <v>8.51035297557002</v>
      </c>
      <c r="F822" s="38" t="n">
        <f aca="false">Sens!$F$786</f>
        <v>14.9634336447205</v>
      </c>
      <c r="G822" s="38" t="n">
        <f aca="false">Sens!$G$786</f>
        <v>23.4737866202905</v>
      </c>
      <c r="H822" s="38" t="n">
        <f aca="false">Sens!$H$786</f>
        <v>60.1658907497746</v>
      </c>
      <c r="I822" s="38" t="n">
        <f aca="false">Sens!$I$786</f>
        <v>101.503699136432</v>
      </c>
      <c r="J822" s="38" t="n">
        <f aca="false">Sens!$J$786</f>
        <v>143.025407151278</v>
      </c>
      <c r="K822" s="38" t="n">
        <f aca="false">Sens!$K$786</f>
        <v>184.608415042187</v>
      </c>
      <c r="L822" s="38" t="n">
        <f aca="false">Sens!$L$786</f>
        <v>226.219286513125</v>
      </c>
      <c r="M822" s="38" t="n">
        <f aca="false">Sens!$M$786</f>
        <v>267.845161450232</v>
      </c>
      <c r="N822" s="38" t="n">
        <f aca="false">Sens!$N$786</f>
        <v>3.04631953102791</v>
      </c>
      <c r="O822" s="38" t="n">
        <f aca="false">Sens!$O$786</f>
        <v>5.65745055762326</v>
      </c>
      <c r="P822" s="8" t="s">
        <v>644</v>
      </c>
    </row>
    <row r="823" customFormat="false" ht="17.15" hidden="false" customHeight="false" outlineLevel="0" collapsed="false">
      <c r="A823" s="0" t="s">
        <v>645</v>
      </c>
      <c r="B823" s="0" t="s">
        <v>73</v>
      </c>
      <c r="C823" s="38" t="n">
        <f aca="false">Sens!$C$790</f>
        <v>105.234994643026</v>
      </c>
      <c r="D823" s="38" t="n">
        <f aca="false">Sens!$D$790</f>
        <v>120.021229911349</v>
      </c>
      <c r="E823" s="38" t="n">
        <f aca="false">Sens!$E$790</f>
        <v>71.30864702443</v>
      </c>
      <c r="F823" s="38" t="n">
        <f aca="false">Sens!$F$790</f>
        <v>78.5950104186653</v>
      </c>
      <c r="G823" s="38" t="n">
        <f aca="false">Sens!$G$790</f>
        <v>149.903657443095</v>
      </c>
      <c r="H823" s="38" t="n">
        <f aca="false">Sens!$H$790</f>
        <v>180.893560768142</v>
      </c>
      <c r="I823" s="38" t="n">
        <f aca="false">Sens!$I$790</f>
        <v>210.64839721501</v>
      </c>
      <c r="J823" s="38" t="n">
        <f aca="false">Sens!$J$790</f>
        <v>236.398909446495</v>
      </c>
      <c r="K823" s="38" t="n">
        <f aca="false">Sens!$K$790</f>
        <v>255.310822202215</v>
      </c>
      <c r="L823" s="38" t="n">
        <f aca="false">Sens!$L$790</f>
        <v>275.735687978392</v>
      </c>
      <c r="M823" s="38" t="n">
        <f aca="false">Sens!$M$790</f>
        <v>297.794543016663</v>
      </c>
      <c r="N823" s="38" t="n">
        <f aca="false">Sens!$N$790</f>
        <v>57.0936804689721</v>
      </c>
      <c r="O823" s="38" t="n">
        <f aca="false">Sens!$O$790</f>
        <v>62.9275494423768</v>
      </c>
      <c r="P823" s="8" t="s">
        <v>644</v>
      </c>
    </row>
    <row r="824" customFormat="false" ht="17.15" hidden="false" customHeight="false" outlineLevel="0" collapsed="false">
      <c r="A824" s="1" t="s">
        <v>476</v>
      </c>
      <c r="B824" s="8" t="s">
        <v>73</v>
      </c>
      <c r="C824" s="38" t="n">
        <f aca="false">Q!$D$7</f>
        <v>107.556</v>
      </c>
      <c r="D824" s="38" t="n">
        <f aca="false">Q!$E$7</f>
        <v>128.725</v>
      </c>
      <c r="E824" s="38" t="n">
        <f aca="false">Q!$P$7</f>
        <v>79.819</v>
      </c>
      <c r="F824" s="38" t="n">
        <f aca="false">Sens!$F$822+Sens!$F$823</f>
        <v>93.5584440633857</v>
      </c>
      <c r="G824" s="38" t="n">
        <f aca="false">Sens!$G$822+Sens!$G$823</f>
        <v>173.377444063386</v>
      </c>
      <c r="H824" s="38" t="n">
        <f aca="false">Sens!$H$822+Sens!$H$823</f>
        <v>241.059451517916</v>
      </c>
      <c r="I824" s="38" t="n">
        <f aca="false">Sens!$I$822+Sens!$I$823</f>
        <v>312.152096351442</v>
      </c>
      <c r="J824" s="38" t="n">
        <f aca="false">Sens!$J$822+Sens!$J$823</f>
        <v>379.424316597773</v>
      </c>
      <c r="K824" s="38" t="n">
        <f aca="false">Sens!$K$822+Sens!$K$823</f>
        <v>439.919237244402</v>
      </c>
      <c r="L824" s="38" t="n">
        <f aca="false">Sens!$L$822+Sens!$L$823</f>
        <v>501.954974491517</v>
      </c>
      <c r="M824" s="38" t="n">
        <f aca="false">Sens!$M$822+Sens!$M$823</f>
        <v>565.639704466895</v>
      </c>
      <c r="N824" s="38" t="n">
        <f aca="false">Q!$N$7</f>
        <v>60.14</v>
      </c>
      <c r="O824" s="38" t="n">
        <f aca="false">Q!$O$7</f>
        <v>68.585</v>
      </c>
      <c r="P824" s="5" t="s">
        <v>646</v>
      </c>
    </row>
    <row r="825" customFormat="false" ht="15" hidden="false" customHeight="false" outlineLevel="0" collapsed="false">
      <c r="A825" s="3" t="s">
        <v>647</v>
      </c>
      <c r="B825" s="8" t="s">
        <v>73</v>
      </c>
      <c r="C825" s="38" t="n">
        <f aca="false">Q!$D$8</f>
        <v>637.959</v>
      </c>
      <c r="D825" s="38" t="n">
        <f aca="false">Q!$E$8</f>
        <v>716.924</v>
      </c>
      <c r="E825" s="38" t="n">
        <f aca="false">Q!$P$8</f>
        <v>382.125</v>
      </c>
      <c r="F825" s="38" t="n">
        <f aca="false">Sens!$F$759+Sens!$F$824</f>
        <v>450.494873271816</v>
      </c>
      <c r="G825" s="38" t="n">
        <f aca="false">Sens!$G$759+Sens!$G$824</f>
        <v>832.619873271816</v>
      </c>
      <c r="H825" s="38" t="n">
        <f aca="false">Sens!$H$759+Sens!$H$824</f>
        <v>970.995189139617</v>
      </c>
      <c r="I825" s="38" t="n">
        <f aca="false">Sens!$I$759+Sens!$I$824</f>
        <v>1110.44766604932</v>
      </c>
      <c r="J825" s="38" t="n">
        <f aca="false">Sens!$J$759+Sens!$J$824</f>
        <v>1241.16113892356</v>
      </c>
      <c r="K825" s="38" t="n">
        <f aca="false">Sens!$K$759+Sens!$K$824</f>
        <v>1357.47672934633</v>
      </c>
      <c r="L825" s="38" t="n">
        <f aca="false">Sens!$L$759+Sens!$L$824</f>
        <v>1479.24006423468</v>
      </c>
      <c r="M825" s="38" t="n">
        <f aca="false">Sens!$M$759+Sens!$M$824</f>
        <v>1606.8537230104</v>
      </c>
      <c r="N825" s="38" t="n">
        <f aca="false">Q!$N$8</f>
        <v>323.369</v>
      </c>
      <c r="O825" s="38" t="n">
        <f aca="false">Q!$O$8</f>
        <v>393.555</v>
      </c>
    </row>
    <row r="826" customFormat="false" ht="17.15" hidden="false" customHeight="false" outlineLevel="0" collapsed="false">
      <c r="A826" s="24" t="s">
        <v>655</v>
      </c>
      <c r="B826" s="25" t="s">
        <v>73</v>
      </c>
      <c r="C826" s="39" t="n">
        <f aca="false">Sens!$C$759-(Sens!$C$761+Sens!$C$762)</f>
        <v>0</v>
      </c>
      <c r="D826" s="39" t="n">
        <f aca="false">Sens!$D$759-(Sens!$D$761+Sens!$D$762)</f>
        <v>0</v>
      </c>
      <c r="E826" s="39" t="n">
        <f aca="false">Sens!$E$759-(Sens!$E$761+Sens!$E$762)</f>
        <v>0</v>
      </c>
      <c r="F826" s="39" t="n">
        <f aca="false">Sens!$F$759-(Sens!$F$761+Sens!$F$762)</f>
        <v>0</v>
      </c>
      <c r="G826" s="39" t="n">
        <f aca="false">Sens!$G$759-(Sens!$G$761+Sens!$G$762)</f>
        <v>0</v>
      </c>
      <c r="H826" s="39" t="n">
        <f aca="false">Sens!$H$759-(Sens!$H$761+Sens!$H$762)</f>
        <v>0</v>
      </c>
      <c r="I826" s="39" t="n">
        <f aca="false">Sens!$I$759-(Sens!$I$761+Sens!$I$762)</f>
        <v>0</v>
      </c>
      <c r="J826" s="39" t="n">
        <f aca="false">Sens!$J$759-(Sens!$J$761+Sens!$J$762)</f>
        <v>0</v>
      </c>
      <c r="K826" s="39" t="n">
        <f aca="false">Sens!$K$759-(Sens!$K$761+Sens!$K$762)</f>
        <v>0</v>
      </c>
      <c r="L826" s="39" t="n">
        <f aca="false">Sens!$L$759-(Sens!$L$761+Sens!$L$762)</f>
        <v>0</v>
      </c>
      <c r="M826" s="39" t="n">
        <f aca="false">Sens!$M$759-(Sens!$M$761+Sens!$M$762)</f>
        <v>0</v>
      </c>
      <c r="N826" s="39" t="n">
        <f aca="false">Sens!$N$759-(Sens!$N$761+Sens!$N$762)</f>
        <v>0</v>
      </c>
      <c r="O826" s="39" t="n">
        <f aca="false">Sens!$O$759-(Sens!$O$761+Sens!$O$762)</f>
        <v>0</v>
      </c>
    </row>
    <row r="827" customFormat="false" ht="17.15" hidden="false" customHeight="false" outlineLevel="0" collapsed="false">
      <c r="A827" s="24" t="s">
        <v>656</v>
      </c>
      <c r="B827" s="25" t="s">
        <v>73</v>
      </c>
      <c r="C827" s="39" t="n">
        <f aca="false">Sens!$C$822+Sens!$C$823-Sens!$C$824</f>
        <v>0</v>
      </c>
      <c r="D827" s="39" t="n">
        <f aca="false">Sens!$D$822+Sens!$D$823-Sens!$D$824</f>
        <v>0</v>
      </c>
      <c r="E827" s="39" t="n">
        <f aca="false">Sens!$E$822+Sens!$E$823-Sens!$E$824</f>
        <v>0</v>
      </c>
      <c r="F827" s="39" t="n">
        <f aca="false">Sens!$F$822+Sens!$F$823-Sens!$F$824</f>
        <v>0</v>
      </c>
      <c r="G827" s="39" t="n">
        <f aca="false">Sens!$G$822+Sens!$G$823-Sens!$G$824</f>
        <v>0</v>
      </c>
      <c r="H827" s="39" t="n">
        <f aca="false">Sens!$H$822+Sens!$H$823-Sens!$H$824</f>
        <v>0</v>
      </c>
      <c r="I827" s="39" t="n">
        <f aca="false">Sens!$I$822+Sens!$I$823-Sens!$I$824</f>
        <v>0</v>
      </c>
      <c r="J827" s="39" t="n">
        <f aca="false">Sens!$J$822+Sens!$J$823-Sens!$J$824</f>
        <v>0</v>
      </c>
      <c r="K827" s="39" t="n">
        <f aca="false">Sens!$K$822+Sens!$K$823-Sens!$K$824</f>
        <v>0</v>
      </c>
      <c r="L827" s="39" t="n">
        <f aca="false">Sens!$L$822+Sens!$L$823-Sens!$L$824</f>
        <v>0</v>
      </c>
      <c r="M827" s="39" t="n">
        <f aca="false">Sens!$M$822+Sens!$M$823-Sens!$M$824</f>
        <v>0</v>
      </c>
      <c r="N827" s="39" t="n">
        <f aca="false">Sens!$N$822+Sens!$N$823-Sens!$N$824</f>
        <v>0</v>
      </c>
      <c r="O827" s="39" t="n">
        <f aca="false">Sens!$O$822+Sens!$O$823-Sens!$O$824</f>
        <v>0</v>
      </c>
    </row>
    <row r="828" customFormat="false" ht="17.15" hidden="false" customHeight="false" outlineLevel="0" collapsed="false">
      <c r="A828" s="24" t="s">
        <v>657</v>
      </c>
      <c r="B828" s="25" t="s">
        <v>73</v>
      </c>
      <c r="C828" s="39" t="n">
        <f aca="false">Sens!$C$761+Sens!$C$762+Sens!$C$824-Sens!$C$825</f>
        <v>0</v>
      </c>
      <c r="D828" s="39" t="n">
        <f aca="false">Sens!$D$761+Sens!$D$762+Sens!$D$824-Sens!$D$825</f>
        <v>0</v>
      </c>
      <c r="E828" s="39" t="n">
        <f aca="false">Sens!$E$761+Sens!$E$762+Sens!$E$824-Sens!$E$825</f>
        <v>0</v>
      </c>
      <c r="F828" s="39" t="n">
        <f aca="false">Sens!$F$761+Sens!$F$762+Sens!$F$824-Sens!$F$825</f>
        <v>0</v>
      </c>
      <c r="G828" s="39" t="n">
        <f aca="false">Sens!$G$761+Sens!$G$762+Sens!$G$824-Sens!$G$825</f>
        <v>0</v>
      </c>
      <c r="H828" s="39" t="n">
        <f aca="false">Sens!$H$761+Sens!$H$762+Sens!$H$824-Sens!$H$825</f>
        <v>0</v>
      </c>
      <c r="I828" s="39" t="n">
        <f aca="false">Sens!$I$761+Sens!$I$762+Sens!$I$824-Sens!$I$825</f>
        <v>0</v>
      </c>
      <c r="J828" s="39" t="n">
        <f aca="false">Sens!$J$761+Sens!$J$762+Sens!$J$824-Sens!$J$825</f>
        <v>0</v>
      </c>
      <c r="K828" s="39" t="n">
        <f aca="false">Sens!$K$761+Sens!$K$762+Sens!$K$824-Sens!$K$825</f>
        <v>0</v>
      </c>
      <c r="L828" s="39" t="n">
        <f aca="false">Sens!$L$761+Sens!$L$762+Sens!$L$824-Sens!$L$825</f>
        <v>0</v>
      </c>
      <c r="M828" s="39" t="n">
        <f aca="false">Sens!$M$761+Sens!$M$762+Sens!$M$824-Sens!$M$825</f>
        <v>0</v>
      </c>
      <c r="N828" s="39" t="n">
        <f aca="false">Sens!$N$761+Sens!$N$762+Sens!$N$824-Sens!$N$825</f>
        <v>0</v>
      </c>
      <c r="O828" s="39" t="n">
        <f aca="false">Sens!$O$761+Sens!$O$762+Sens!$O$824-Sens!$O$825</f>
        <v>0</v>
      </c>
    </row>
    <row r="829" customFormat="false" ht="15" hidden="false" customHeight="false" outlineLevel="0" collapsed="false">
      <c r="A829" s="5" t="s">
        <v>651</v>
      </c>
      <c r="B829" s="0" t="s">
        <v>52</v>
      </c>
      <c r="G829" s="12" t="n">
        <f aca="false">Sens!$G$825/Sens!$D$825-1</f>
        <v>0.161378156222718</v>
      </c>
      <c r="H829" s="12" t="n">
        <f aca="false">Sens!$H$825/Sens!$G$825-1</f>
        <v>0.166192665236357</v>
      </c>
      <c r="I829" s="12" t="n">
        <f aca="false">Sens!$I$825/Sens!$H$825-1</f>
        <v>0.143618092519351</v>
      </c>
      <c r="J829" s="12" t="n">
        <f aca="false">Sens!$J$825/Sens!$I$825-1</f>
        <v>0.117712411733268</v>
      </c>
      <c r="K829" s="12" t="n">
        <f aca="false">Sens!$K$825/Sens!$J$825-1</f>
        <v>0.0937151404237868</v>
      </c>
      <c r="L829" s="12" t="n">
        <f aca="false">Sens!$L$825/Sens!$K$825-1</f>
        <v>0.0896982852494186</v>
      </c>
      <c r="M829" s="12" t="n">
        <f aca="false">Sens!$M$825/Sens!$L$825-1</f>
        <v>0.0862697420528154</v>
      </c>
    </row>
    <row r="830" customFormat="false" ht="17.15" hidden="false" customHeight="false" outlineLevel="0" collapsed="false">
      <c r="A830" s="0" t="s">
        <v>652</v>
      </c>
      <c r="B830" s="0" t="s">
        <v>52</v>
      </c>
      <c r="C830" s="12" t="n">
        <f aca="false">Sens!$C$824/Sens!$C$825</f>
        <v>0.168593906504964</v>
      </c>
      <c r="D830" s="12" t="n">
        <f aca="false">Sens!$D$824/Sens!$D$825</f>
        <v>0.179551807444025</v>
      </c>
      <c r="E830" s="12" t="n">
        <f aca="false">Sens!$E$824/Sens!$E$825</f>
        <v>0.208881910369643</v>
      </c>
      <c r="F830" s="12" t="n">
        <f aca="false">Sens!$F$824/Sens!$F$825</f>
        <v>0.207679264769203</v>
      </c>
      <c r="G830" s="12" t="n">
        <f aca="false">Sens!$G$824/Sens!$G$825</f>
        <v>0.208231210458731</v>
      </c>
      <c r="H830" s="12" t="n">
        <f aca="false">Sens!$H$824/Sens!$H$825</f>
        <v>0.248260191414043</v>
      </c>
      <c r="I830" s="12" t="n">
        <f aca="false">Sens!$I$824/Sens!$I$825</f>
        <v>0.28110473450946</v>
      </c>
      <c r="J830" s="12" t="n">
        <f aca="false">Sens!$J$824/Sens!$J$825</f>
        <v>0.30570109287086</v>
      </c>
      <c r="K830" s="12" t="n">
        <f aca="false">Sens!$K$824/Sens!$K$825</f>
        <v>0.324071291782835</v>
      </c>
      <c r="L830" s="12" t="n">
        <f aca="false">Sens!$L$824/Sens!$L$825</f>
        <v>0.339333003903741</v>
      </c>
      <c r="M830" s="12" t="n">
        <f aca="false">Sens!$M$824/Sens!$M$825</f>
        <v>0.3520169237354</v>
      </c>
      <c r="N830" s="12" t="n">
        <f aca="false">Sens!$N$824/Sens!$N$825</f>
        <v>0.185979484737251</v>
      </c>
      <c r="O830" s="12" t="n">
        <f aca="false">Sens!$O$824/Sens!$O$825</f>
        <v>0.174270432341096</v>
      </c>
    </row>
    <row r="831" customFormat="false" ht="17.15" hidden="false" customHeight="false" outlineLevel="0" collapsed="false">
      <c r="A831" s="0" t="s">
        <v>653</v>
      </c>
      <c r="B831" s="0" t="s">
        <v>52</v>
      </c>
      <c r="C831" s="12" t="n">
        <f aca="false">Sens!$C$822/Sens!$C$824</f>
        <v>0.0215795060896058</v>
      </c>
      <c r="D831" s="12" t="n">
        <f aca="false">Sens!$D$822/Sens!$D$824</f>
        <v>0.0676152269462122</v>
      </c>
      <c r="E831" s="12" t="n">
        <f aca="false">Sens!$E$822/Sens!$E$824</f>
        <v>0.106620641395783</v>
      </c>
      <c r="F831" s="12" t="n">
        <f aca="false">Sens!$F$822/Sens!$F$824</f>
        <v>0.159936751776064</v>
      </c>
      <c r="G831" s="12" t="n">
        <f aca="false">Sens!$G$822/Sens!$G$824</f>
        <v>0.135391237003751</v>
      </c>
      <c r="H831" s="12" t="n">
        <f aca="false">Sens!$H$822/Sens!$H$824</f>
        <v>0.249589428545194</v>
      </c>
      <c r="I831" s="12" t="n">
        <f aca="false">Sens!$I$822/Sens!$I$824</f>
        <v>0.325173850577483</v>
      </c>
      <c r="J831" s="12" t="n">
        <f aca="false">Sens!$J$822/Sens!$J$824</f>
        <v>0.376953718817392</v>
      </c>
      <c r="K831" s="12" t="n">
        <f aca="false">Sens!$K$822/Sens!$K$824</f>
        <v>0.419641605578676</v>
      </c>
      <c r="L831" s="12" t="n">
        <f aca="false">Sens!$L$822/Sens!$L$824</f>
        <v>0.450676451094615</v>
      </c>
      <c r="M831" s="12" t="n">
        <f aca="false">Sens!$M$822/Sens!$M$824</f>
        <v>0.473526096798086</v>
      </c>
      <c r="N831" s="12" t="n">
        <f aca="false">Sens!$N$822/Sens!$N$824</f>
        <v>0.0506537999838362</v>
      </c>
      <c r="O831" s="12" t="n">
        <f aca="false">Sens!$O$822/Sens!$O$824</f>
        <v>0.0824881615167056</v>
      </c>
    </row>
    <row r="834" customFormat="false" ht="19.4" hidden="false" customHeight="false" outlineLevel="0" collapsed="false">
      <c r="A834" s="31" t="s">
        <v>1060</v>
      </c>
    </row>
    <row r="835" customFormat="false" ht="17.15" hidden="false" customHeight="false" outlineLevel="0" collapsed="false">
      <c r="A835" s="6" t="s">
        <v>16</v>
      </c>
      <c r="B835" s="6" t="s">
        <v>17</v>
      </c>
      <c r="C835" s="20" t="s">
        <v>457</v>
      </c>
      <c r="D835" s="20" t="s">
        <v>458</v>
      </c>
      <c r="E835" s="20" t="s">
        <v>540</v>
      </c>
      <c r="F835" s="20" t="s">
        <v>541</v>
      </c>
      <c r="G835" s="20" t="s">
        <v>542</v>
      </c>
      <c r="H835" s="20" t="s">
        <v>543</v>
      </c>
      <c r="I835" s="20" t="s">
        <v>544</v>
      </c>
      <c r="J835" s="20" t="s">
        <v>545</v>
      </c>
      <c r="K835" s="20" t="s">
        <v>546</v>
      </c>
      <c r="L835" s="20" t="s">
        <v>547</v>
      </c>
      <c r="M835" s="20" t="s">
        <v>548</v>
      </c>
      <c r="N835" s="20" t="s">
        <v>549</v>
      </c>
      <c r="O835" s="20" t="s">
        <v>550</v>
      </c>
      <c r="P835" s="6" t="s">
        <v>23</v>
      </c>
      <c r="R835" s="20" t="n">
        <v>2023</v>
      </c>
      <c r="S835" s="20" t="n">
        <v>2024</v>
      </c>
      <c r="T835" s="20" t="n">
        <v>2025</v>
      </c>
      <c r="U835" s="20" t="n">
        <v>2026</v>
      </c>
      <c r="V835" s="20" t="n">
        <v>2027</v>
      </c>
      <c r="W835" s="20" t="n">
        <v>2028</v>
      </c>
      <c r="X835" s="20" t="n">
        <v>2029</v>
      </c>
      <c r="Y835" s="20" t="n">
        <v>2030</v>
      </c>
      <c r="Z835" s="20" t="n">
        <v>2031</v>
      </c>
      <c r="AA835" s="20" t="n">
        <v>2032</v>
      </c>
    </row>
    <row r="836" customFormat="false" ht="17.15" hidden="false" customHeight="false" outlineLevel="0" collapsed="false">
      <c r="A836" s="1" t="s">
        <v>668</v>
      </c>
    </row>
    <row r="837" customFormat="false" ht="15" hidden="false" customHeight="false" outlineLevel="0" collapsed="false">
      <c r="A837" s="0" t="s">
        <v>479</v>
      </c>
      <c r="B837" s="0" t="s">
        <v>73</v>
      </c>
      <c r="C837" s="38" t="n">
        <f aca="false">Sens!$C$747</f>
        <v>247.029</v>
      </c>
      <c r="D837" s="38" t="n">
        <f aca="false">Sens!$D$747</f>
        <v>269.287</v>
      </c>
      <c r="E837" s="38" t="n">
        <f aca="false">Sens!$E$747</f>
        <v>134.686</v>
      </c>
      <c r="F837" s="38" t="n">
        <f aca="false">Sens!$F$747</f>
        <v>160.728085930082</v>
      </c>
      <c r="G837" s="38" t="n">
        <f aca="false">Sens!$G$747</f>
        <v>295.414085930082</v>
      </c>
      <c r="H837" s="38" t="n">
        <f aca="false">Sens!$H$747</f>
        <v>320.828163943375</v>
      </c>
      <c r="I837" s="38" t="n">
        <f aca="false">Sens!$I$747</f>
        <v>344.575578072228</v>
      </c>
      <c r="J837" s="38" t="n">
        <f aca="false">Sens!$J$747</f>
        <v>365.942555779681</v>
      </c>
      <c r="K837" s="38" t="n">
        <f aca="false">Sens!$K$747</f>
        <v>384.239683568665</v>
      </c>
      <c r="L837" s="38" t="n">
        <f aca="false">Sens!$L$747</f>
        <v>403.451667747098</v>
      </c>
      <c r="M837" s="38" t="n">
        <f aca="false">Sens!$M$747</f>
        <v>423.624251134453</v>
      </c>
      <c r="N837" s="38" t="n">
        <f aca="false">Sens!$N$747</f>
        <v>118.892</v>
      </c>
      <c r="O837" s="38" t="n">
        <f aca="false">Sens!$O$747</f>
        <v>150.395</v>
      </c>
    </row>
    <row r="838" customFormat="false" ht="15" hidden="false" customHeight="false" outlineLevel="0" collapsed="false">
      <c r="A838" s="0" t="s">
        <v>480</v>
      </c>
      <c r="B838" s="0" t="s">
        <v>73</v>
      </c>
      <c r="C838" s="38" t="n">
        <f aca="false">Sens!$C$749</f>
        <v>21.215</v>
      </c>
      <c r="D838" s="38" t="n">
        <f aca="false">Sens!$D$749</f>
        <v>22.561</v>
      </c>
      <c r="E838" s="38" t="n">
        <f aca="false">Sens!$E$749</f>
        <v>11.579</v>
      </c>
      <c r="F838" s="38" t="n">
        <f aca="false">Sens!$F$749</f>
        <v>12.0952613121125</v>
      </c>
      <c r="G838" s="38" t="n">
        <f aca="false">Sens!$G$749</f>
        <v>23.6742613121125</v>
      </c>
      <c r="H838" s="38" t="n">
        <f aca="false">Sens!$H$749</f>
        <v>24.8803243963206</v>
      </c>
      <c r="I838" s="38" t="n">
        <f aca="false">Sens!$I$749</f>
        <v>25.9741308664154</v>
      </c>
      <c r="J838" s="38" t="n">
        <f aca="false">Sens!$J$749</f>
        <v>26.9346894124267</v>
      </c>
      <c r="K838" s="38" t="n">
        <f aca="false">Sens!$K$749</f>
        <v>27.7427300947995</v>
      </c>
      <c r="L838" s="38" t="n">
        <f aca="false">Sens!$L$749</f>
        <v>28.5750119976435</v>
      </c>
      <c r="M838" s="38" t="n">
        <f aca="false">Sens!$M$749</f>
        <v>29.4322623575728</v>
      </c>
      <c r="N838" s="38" t="n">
        <f aca="false">Sens!$N$749</f>
        <v>11.128</v>
      </c>
      <c r="O838" s="38" t="n">
        <f aca="false">Sens!$O$749</f>
        <v>11.433</v>
      </c>
    </row>
    <row r="839" customFormat="false" ht="15" hidden="false" customHeight="false" outlineLevel="0" collapsed="false">
      <c r="A839" s="0" t="s">
        <v>481</v>
      </c>
      <c r="B839" s="0" t="s">
        <v>73</v>
      </c>
      <c r="C839" s="38" t="n">
        <f aca="false">Sens!$C$751</f>
        <v>156.146</v>
      </c>
      <c r="D839" s="38" t="n">
        <f aca="false">Sens!$D$751</f>
        <v>172.162</v>
      </c>
      <c r="E839" s="38" t="n">
        <f aca="false">Sens!$E$751</f>
        <v>88.358</v>
      </c>
      <c r="F839" s="38" t="n">
        <f aca="false">Sens!$F$751</f>
        <v>103.62028337149</v>
      </c>
      <c r="G839" s="38" t="n">
        <f aca="false">Sens!$G$751</f>
        <v>191.97828337149</v>
      </c>
      <c r="H839" s="38" t="n">
        <f aca="false">Sens!$H$751</f>
        <v>212.128608444755</v>
      </c>
      <c r="I839" s="38" t="n">
        <f aca="false">Sens!$I$751</f>
        <v>231.92183134134</v>
      </c>
      <c r="J839" s="38" t="n">
        <f aca="false">Sens!$J$751</f>
        <v>250.859136487863</v>
      </c>
      <c r="K839" s="38" t="n">
        <f aca="false">Sens!$K$751</f>
        <v>268.419276042014</v>
      </c>
      <c r="L839" s="38" t="n">
        <f aca="false">Sens!$L$751</f>
        <v>287.208625364954</v>
      </c>
      <c r="M839" s="38" t="n">
        <f aca="false">Sens!$M$751</f>
        <v>307.313229140501</v>
      </c>
      <c r="N839" s="38" t="n">
        <f aca="false">Sens!$N$751</f>
        <v>76.86</v>
      </c>
      <c r="O839" s="38" t="n">
        <f aca="false">Sens!$O$751</f>
        <v>95.302</v>
      </c>
    </row>
    <row r="840" customFormat="false" ht="15" hidden="false" customHeight="false" outlineLevel="0" collapsed="false">
      <c r="A840" s="0" t="s">
        <v>482</v>
      </c>
      <c r="B840" s="0" t="s">
        <v>73</v>
      </c>
      <c r="C840" s="38" t="n">
        <f aca="false">Sens!$C$753</f>
        <v>56.214</v>
      </c>
      <c r="D840" s="38" t="n">
        <f aca="false">Sens!$D$753</f>
        <v>68.635</v>
      </c>
      <c r="E840" s="38" t="n">
        <f aca="false">Sens!$E$753</f>
        <v>37.052</v>
      </c>
      <c r="F840" s="38" t="n">
        <f aca="false">Sens!$F$753</f>
        <v>48.1533381827382</v>
      </c>
      <c r="G840" s="38" t="n">
        <f aca="false">Sens!$G$753</f>
        <v>85.2053381827382</v>
      </c>
      <c r="H840" s="38" t="n">
        <f aca="false">Sens!$H$753</f>
        <v>102.29336185894</v>
      </c>
      <c r="I840" s="38" t="n">
        <f aca="false">Sens!$I$753</f>
        <v>119.379837585241</v>
      </c>
      <c r="J840" s="38" t="n">
        <f aca="false">Sens!$J$753</f>
        <v>135.319079048844</v>
      </c>
      <c r="K840" s="38" t="n">
        <f aca="false">Sens!$K$753</f>
        <v>148.850986953729</v>
      </c>
      <c r="L840" s="38" t="n">
        <f aca="false">Sens!$L$753</f>
        <v>163.736085649102</v>
      </c>
      <c r="M840" s="38" t="n">
        <f aca="false">Sens!$M$753</f>
        <v>180.109694214012</v>
      </c>
      <c r="N840" s="38" t="n">
        <f aca="false">Sens!$N$753</f>
        <v>29.615</v>
      </c>
      <c r="O840" s="38" t="n">
        <f aca="false">Sens!$O$753</f>
        <v>39.02</v>
      </c>
    </row>
    <row r="841" customFormat="false" ht="15" hidden="false" customHeight="false" outlineLevel="0" collapsed="false">
      <c r="A841" s="0" t="s">
        <v>483</v>
      </c>
      <c r="B841" s="0" t="s">
        <v>73</v>
      </c>
      <c r="C841" s="38" t="n">
        <f aca="false">Sens!$C$755</f>
        <v>44.374</v>
      </c>
      <c r="D841" s="38" t="n">
        <f aca="false">Sens!$D$755</f>
        <v>49.619</v>
      </c>
      <c r="E841" s="38" t="n">
        <f aca="false">Sens!$E$755</f>
        <v>27.157</v>
      </c>
      <c r="F841" s="38" t="n">
        <f aca="false">Sens!$F$755</f>
        <v>28.9776360923374</v>
      </c>
      <c r="G841" s="38" t="n">
        <f aca="false">Sens!$G$755</f>
        <v>56.1346360923374</v>
      </c>
      <c r="H841" s="38" t="n">
        <f aca="false">Sens!$H$755</f>
        <v>62.4937078946075</v>
      </c>
      <c r="I841" s="38" t="n">
        <f aca="false">Sens!$I$755</f>
        <v>68.6715233062498</v>
      </c>
      <c r="J841" s="38" t="n">
        <f aca="false">Sens!$J$755</f>
        <v>74.4692882949818</v>
      </c>
      <c r="K841" s="38" t="n">
        <f aca="false">Sens!$K$755</f>
        <v>79.6821384756306</v>
      </c>
      <c r="L841" s="38" t="n">
        <f aca="false">Sens!$L$755</f>
        <v>85.2598881689247</v>
      </c>
      <c r="M841" s="38" t="n">
        <f aca="false">Sens!$M$755</f>
        <v>91.2280803407494</v>
      </c>
      <c r="N841" s="38" t="n">
        <f aca="false">Sens!$N$755</f>
        <v>23.923</v>
      </c>
      <c r="O841" s="38" t="n">
        <f aca="false">Sens!$O$755</f>
        <v>25.696</v>
      </c>
    </row>
    <row r="842" customFormat="false" ht="15" hidden="false" customHeight="false" outlineLevel="0" collapsed="false">
      <c r="A842" s="0" t="s">
        <v>484</v>
      </c>
      <c r="B842" s="0" t="s">
        <v>73</v>
      </c>
      <c r="C842" s="38" t="n">
        <f aca="false">Sens!$C$757</f>
        <v>5.425</v>
      </c>
      <c r="D842" s="38" t="n">
        <f aca="false">Sens!$D$757</f>
        <v>5.935</v>
      </c>
      <c r="E842" s="38" t="n">
        <f aca="false">Sens!$E$757</f>
        <v>3.474</v>
      </c>
      <c r="F842" s="38" t="n">
        <f aca="false">Sens!$F$757</f>
        <v>3.36182431966931</v>
      </c>
      <c r="G842" s="38" t="n">
        <f aca="false">Sens!$G$757</f>
        <v>6.83582431966931</v>
      </c>
      <c r="H842" s="38" t="n">
        <f aca="false">Sens!$H$757</f>
        <v>7.31157108370141</v>
      </c>
      <c r="I842" s="38" t="n">
        <f aca="false">Sens!$I$757</f>
        <v>7.77266852639815</v>
      </c>
      <c r="J842" s="38" t="n">
        <f aca="false">Sens!$J$757</f>
        <v>8.2120733019884</v>
      </c>
      <c r="K842" s="38" t="n">
        <f aca="false">Sens!$K$757</f>
        <v>8.62267696708783</v>
      </c>
      <c r="L842" s="38" t="n">
        <f aca="false">Sens!$L$757</f>
        <v>9.05381081544222</v>
      </c>
      <c r="M842" s="38" t="n">
        <f aca="false">Sens!$M$757</f>
        <v>9.50650135621433</v>
      </c>
      <c r="N842" s="38" t="n">
        <f aca="false">Sens!$N$757</f>
        <v>2.811</v>
      </c>
      <c r="O842" s="38" t="n">
        <f aca="false">Sens!$O$757</f>
        <v>3.124</v>
      </c>
    </row>
    <row r="843" customFormat="false" ht="17.15" hidden="false" customHeight="false" outlineLevel="0" collapsed="false">
      <c r="A843" s="0" t="s">
        <v>669</v>
      </c>
      <c r="B843" s="0" t="s">
        <v>73</v>
      </c>
      <c r="C843" s="38" t="n">
        <f aca="false">Sens!$C$824</f>
        <v>107.556</v>
      </c>
      <c r="D843" s="38" t="n">
        <f aca="false">Sens!$D$824</f>
        <v>128.725</v>
      </c>
      <c r="E843" s="38" t="n">
        <f aca="false">Sens!$E$824</f>
        <v>79.819</v>
      </c>
      <c r="F843" s="38" t="n">
        <f aca="false">Sens!$F$824</f>
        <v>93.5584440633857</v>
      </c>
      <c r="G843" s="38" t="n">
        <f aca="false">Sens!$G$824</f>
        <v>173.377444063386</v>
      </c>
      <c r="H843" s="38" t="n">
        <f aca="false">Sens!$H$824</f>
        <v>241.059451517916</v>
      </c>
      <c r="I843" s="38" t="n">
        <f aca="false">Sens!$I$824</f>
        <v>312.152096351442</v>
      </c>
      <c r="J843" s="38" t="n">
        <f aca="false">Sens!$J$824</f>
        <v>379.424316597773</v>
      </c>
      <c r="K843" s="38" t="n">
        <f aca="false">Sens!$K$824</f>
        <v>439.919237244402</v>
      </c>
      <c r="L843" s="38" t="n">
        <f aca="false">Sens!$L$824</f>
        <v>501.954974491517</v>
      </c>
      <c r="M843" s="38" t="n">
        <f aca="false">Sens!$M$824</f>
        <v>565.639704466895</v>
      </c>
      <c r="N843" s="38" t="n">
        <f aca="false">Sens!$N$824</f>
        <v>60.14</v>
      </c>
      <c r="O843" s="38" t="n">
        <f aca="false">Sens!$O$824</f>
        <v>68.585</v>
      </c>
    </row>
    <row r="844" customFormat="false" ht="15" hidden="false" customHeight="false" outlineLevel="0" collapsed="false">
      <c r="A844" s="1" t="s">
        <v>472</v>
      </c>
      <c r="B844" s="8" t="s">
        <v>73</v>
      </c>
      <c r="C844" s="38" t="n">
        <f aca="false">Sens!$C$761</f>
        <v>387.497</v>
      </c>
      <c r="D844" s="38" t="n">
        <f aca="false">Sens!$D$761</f>
        <v>426.305</v>
      </c>
      <c r="E844" s="38" t="n">
        <f aca="false">Sens!$E$761</f>
        <v>220.32</v>
      </c>
      <c r="F844" s="38" t="n">
        <f aca="false">Sens!$F$761</f>
        <v>256.304015003807</v>
      </c>
      <c r="G844" s="38" t="n">
        <f aca="false">Sens!$G$761</f>
        <v>476.624015003807</v>
      </c>
      <c r="H844" s="38" t="n">
        <f aca="false">Sens!$H$761</f>
        <v>527.734391091543</v>
      </c>
      <c r="I844" s="38" t="n">
        <f aca="false">Sens!$I$761</f>
        <v>577.157693029577</v>
      </c>
      <c r="J844" s="38" t="n">
        <f aca="false">Sens!$J$761</f>
        <v>623.024923663827</v>
      </c>
      <c r="K844" s="38" t="n">
        <f aca="false">Sens!$K$761</f>
        <v>663.382568393781</v>
      </c>
      <c r="L844" s="38" t="n">
        <f aca="false">Sens!$L$761</f>
        <v>706.564873010432</v>
      </c>
      <c r="M844" s="38" t="n">
        <f aca="false">Sens!$M$761</f>
        <v>752.784687406019</v>
      </c>
      <c r="N844" s="38" t="n">
        <f aca="false">Sens!$N$761</f>
        <v>192.955</v>
      </c>
      <c r="O844" s="38" t="n">
        <f aca="false">Sens!$O$761</f>
        <v>233.35</v>
      </c>
    </row>
    <row r="845" customFormat="false" ht="15" hidden="false" customHeight="false" outlineLevel="0" collapsed="false">
      <c r="A845" s="1" t="s">
        <v>475</v>
      </c>
      <c r="B845" s="8" t="s">
        <v>73</v>
      </c>
      <c r="C845" s="38" t="n">
        <f aca="false">Sens!$C$762</f>
        <v>142.906</v>
      </c>
      <c r="D845" s="38" t="n">
        <f aca="false">Sens!$D$762</f>
        <v>161.894</v>
      </c>
      <c r="E845" s="38" t="n">
        <f aca="false">Sens!$E$762</f>
        <v>81.986</v>
      </c>
      <c r="F845" s="38" t="n">
        <f aca="false">Sens!$F$762</f>
        <v>100.632414204623</v>
      </c>
      <c r="G845" s="38" t="n">
        <f aca="false">Sens!$G$762</f>
        <v>182.618414204623</v>
      </c>
      <c r="H845" s="38" t="n">
        <f aca="false">Sens!$H$762</f>
        <v>202.201346530158</v>
      </c>
      <c r="I845" s="38" t="n">
        <f aca="false">Sens!$I$762</f>
        <v>221.137876668296</v>
      </c>
      <c r="J845" s="38" t="n">
        <f aca="false">Sens!$J$762</f>
        <v>238.711898661958</v>
      </c>
      <c r="K845" s="38" t="n">
        <f aca="false">Sens!$K$762</f>
        <v>254.174923708144</v>
      </c>
      <c r="L845" s="38" t="n">
        <f aca="false">Sens!$L$762</f>
        <v>270.720216732733</v>
      </c>
      <c r="M845" s="38" t="n">
        <f aca="false">Sens!$M$762</f>
        <v>288.429331137484</v>
      </c>
      <c r="N845" s="38" t="n">
        <f aca="false">Sens!$N$762</f>
        <v>70.274</v>
      </c>
      <c r="O845" s="38" t="n">
        <f aca="false">Sens!$O$762</f>
        <v>91.62</v>
      </c>
    </row>
    <row r="846" customFormat="false" ht="15" hidden="false" customHeight="false" outlineLevel="0" collapsed="false">
      <c r="A846" s="1" t="s">
        <v>476</v>
      </c>
      <c r="B846" s="8" t="s">
        <v>73</v>
      </c>
      <c r="C846" s="38" t="n">
        <f aca="false">Sens!$C$824</f>
        <v>107.556</v>
      </c>
      <c r="D846" s="38" t="n">
        <f aca="false">Sens!$D$824</f>
        <v>128.725</v>
      </c>
      <c r="E846" s="38" t="n">
        <f aca="false">Sens!$E$824</f>
        <v>79.819</v>
      </c>
      <c r="F846" s="38" t="n">
        <f aca="false">Sens!$F$824</f>
        <v>93.5584440633857</v>
      </c>
      <c r="G846" s="38" t="n">
        <f aca="false">Sens!$G$824</f>
        <v>173.377444063386</v>
      </c>
      <c r="H846" s="38" t="n">
        <f aca="false">Sens!$H$824</f>
        <v>241.059451517916</v>
      </c>
      <c r="I846" s="38" t="n">
        <f aca="false">Sens!$I$824</f>
        <v>312.152096351442</v>
      </c>
      <c r="J846" s="38" t="n">
        <f aca="false">Sens!$J$824</f>
        <v>379.424316597773</v>
      </c>
      <c r="K846" s="38" t="n">
        <f aca="false">Sens!$K$824</f>
        <v>439.919237244402</v>
      </c>
      <c r="L846" s="38" t="n">
        <f aca="false">Sens!$L$824</f>
        <v>501.954974491517</v>
      </c>
      <c r="M846" s="38" t="n">
        <f aca="false">Sens!$M$824</f>
        <v>565.639704466895</v>
      </c>
      <c r="N846" s="38" t="n">
        <f aca="false">Sens!$N$824</f>
        <v>60.14</v>
      </c>
      <c r="O846" s="38" t="n">
        <f aca="false">Sens!$O$824</f>
        <v>68.585</v>
      </c>
    </row>
    <row r="847" customFormat="false" ht="17.15" hidden="false" customHeight="false" outlineLevel="0" collapsed="false">
      <c r="A847" s="0" t="s">
        <v>643</v>
      </c>
      <c r="B847" s="0" t="s">
        <v>73</v>
      </c>
      <c r="C847" s="38" t="n">
        <f aca="false">Sens!$C$822</f>
        <v>2.32100535697364</v>
      </c>
      <c r="D847" s="38" t="n">
        <f aca="false">Sens!$D$822</f>
        <v>8.70377008865116</v>
      </c>
      <c r="E847" s="38" t="n">
        <f aca="false">Sens!$E$822</f>
        <v>8.51035297557002</v>
      </c>
      <c r="F847" s="38" t="n">
        <f aca="false">Sens!$F$822</f>
        <v>14.9634336447205</v>
      </c>
      <c r="G847" s="38" t="n">
        <f aca="false">Sens!$G$822</f>
        <v>23.4737866202905</v>
      </c>
      <c r="H847" s="38" t="n">
        <f aca="false">Sens!$H$822</f>
        <v>60.1658907497746</v>
      </c>
      <c r="I847" s="38" t="n">
        <f aca="false">Sens!$I$822</f>
        <v>101.503699136432</v>
      </c>
      <c r="J847" s="38" t="n">
        <f aca="false">Sens!$J$822</f>
        <v>143.025407151278</v>
      </c>
      <c r="K847" s="38" t="n">
        <f aca="false">Sens!$K$822</f>
        <v>184.608415042187</v>
      </c>
      <c r="L847" s="38" t="n">
        <f aca="false">Sens!$L$822</f>
        <v>226.219286513125</v>
      </c>
      <c r="M847" s="38" t="n">
        <f aca="false">Sens!$M$822</f>
        <v>267.845161450232</v>
      </c>
      <c r="N847" s="38" t="n">
        <f aca="false">Sens!$N$822</f>
        <v>3.04631953102791</v>
      </c>
      <c r="O847" s="38" t="n">
        <f aca="false">Sens!$O$822</f>
        <v>5.65745055762326</v>
      </c>
    </row>
    <row r="848" customFormat="false" ht="17.15" hidden="false" customHeight="false" outlineLevel="0" collapsed="false">
      <c r="A848" s="0" t="s">
        <v>645</v>
      </c>
      <c r="B848" s="0" t="s">
        <v>73</v>
      </c>
      <c r="C848" s="38" t="n">
        <f aca="false">Sens!$C$823</f>
        <v>105.234994643026</v>
      </c>
      <c r="D848" s="38" t="n">
        <f aca="false">Sens!$D$823</f>
        <v>120.021229911349</v>
      </c>
      <c r="E848" s="38" t="n">
        <f aca="false">Sens!$E$823</f>
        <v>71.30864702443</v>
      </c>
      <c r="F848" s="38" t="n">
        <f aca="false">Sens!$F$823</f>
        <v>78.5950104186653</v>
      </c>
      <c r="G848" s="38" t="n">
        <f aca="false">Sens!$G$823</f>
        <v>149.903657443095</v>
      </c>
      <c r="H848" s="38" t="n">
        <f aca="false">Sens!$H$823</f>
        <v>180.893560768142</v>
      </c>
      <c r="I848" s="38" t="n">
        <f aca="false">Sens!$I$823</f>
        <v>210.64839721501</v>
      </c>
      <c r="J848" s="38" t="n">
        <f aca="false">Sens!$J$823</f>
        <v>236.398909446495</v>
      </c>
      <c r="K848" s="38" t="n">
        <f aca="false">Sens!$K$823</f>
        <v>255.310822202215</v>
      </c>
      <c r="L848" s="38" t="n">
        <f aca="false">Sens!$L$823</f>
        <v>275.735687978392</v>
      </c>
      <c r="M848" s="38" t="n">
        <f aca="false">Sens!$M$823</f>
        <v>297.794543016663</v>
      </c>
      <c r="N848" s="38" t="n">
        <f aca="false">Sens!$N$823</f>
        <v>57.0936804689721</v>
      </c>
      <c r="O848" s="38" t="n">
        <f aca="false">Sens!$O$823</f>
        <v>62.9275494423768</v>
      </c>
    </row>
    <row r="849" customFormat="false" ht="15" hidden="false" customHeight="false" outlineLevel="0" collapsed="false">
      <c r="A849" s="3" t="s">
        <v>477</v>
      </c>
      <c r="B849" s="8" t="s">
        <v>73</v>
      </c>
      <c r="C849" s="38" t="n">
        <f aca="false">Sens!$C$825</f>
        <v>637.959</v>
      </c>
      <c r="D849" s="38" t="n">
        <f aca="false">Sens!$D$825</f>
        <v>716.924</v>
      </c>
      <c r="E849" s="38" t="n">
        <f aca="false">Sens!$E$825</f>
        <v>382.125</v>
      </c>
      <c r="F849" s="38" t="n">
        <f aca="false">Sens!$F$825</f>
        <v>450.494873271816</v>
      </c>
      <c r="G849" s="38" t="n">
        <f aca="false">Sens!$G$825</f>
        <v>832.619873271816</v>
      </c>
      <c r="H849" s="38" t="n">
        <f aca="false">Sens!$H$825</f>
        <v>970.995189139617</v>
      </c>
      <c r="I849" s="38" t="n">
        <f aca="false">Sens!$I$825</f>
        <v>1110.44766604932</v>
      </c>
      <c r="J849" s="38" t="n">
        <f aca="false">Sens!$J$825</f>
        <v>1241.16113892356</v>
      </c>
      <c r="K849" s="38" t="n">
        <f aca="false">Sens!$K$825</f>
        <v>1357.47672934633</v>
      </c>
      <c r="L849" s="38" t="n">
        <f aca="false">Sens!$L$825</f>
        <v>1479.24006423468</v>
      </c>
      <c r="M849" s="38" t="n">
        <f aca="false">Sens!$M$825</f>
        <v>1606.8537230104</v>
      </c>
      <c r="N849" s="38" t="n">
        <f aca="false">Sens!$N$825</f>
        <v>323.369</v>
      </c>
      <c r="O849" s="38" t="n">
        <f aca="false">Sens!$O$825</f>
        <v>393.555</v>
      </c>
    </row>
    <row r="850" customFormat="false" ht="17.15" hidden="false" customHeight="false" outlineLevel="0" collapsed="false">
      <c r="A850" s="24" t="s">
        <v>655</v>
      </c>
      <c r="B850" s="25" t="s">
        <v>73</v>
      </c>
      <c r="C850" s="39" t="n">
        <f aca="false">Sens!$C$837+Sens!$C$838+Sens!$C$839+Sens!$C$840+Sens!$C$841+Sens!$C$842-(Sens!$C$844+Sens!$C$845)</f>
        <v>0</v>
      </c>
      <c r="D850" s="39" t="n">
        <f aca="false">Sens!$D$837+Sens!$D$838+Sens!$D$839+Sens!$D$840+Sens!$D$841+Sens!$D$842-(Sens!$D$844+Sens!$D$845)</f>
        <v>0</v>
      </c>
      <c r="E850" s="39" t="n">
        <f aca="false">Sens!$E$837+Sens!$E$838+Sens!$E$839+Sens!$E$840+Sens!$E$841+Sens!$E$842-(Sens!$E$844+Sens!$E$845)</f>
        <v>0</v>
      </c>
      <c r="F850" s="39" t="n">
        <f aca="false">Sens!$F$837+Sens!$F$838+Sens!$F$839+Sens!$F$840+Sens!$F$841+Sens!$F$842-(Sens!$F$844+Sens!$F$845)</f>
        <v>0</v>
      </c>
      <c r="G850" s="39" t="n">
        <f aca="false">Sens!$G$837+Sens!$G$838+Sens!$G$839+Sens!$G$840+Sens!$G$841+Sens!$G$842-(Sens!$G$844+Sens!$G$845)</f>
        <v>0</v>
      </c>
      <c r="H850" s="39" t="n">
        <f aca="false">Sens!$H$837+Sens!$H$838+Sens!$H$839+Sens!$H$840+Sens!$H$841+Sens!$H$842-(Sens!$H$844+Sens!$H$845)</f>
        <v>0</v>
      </c>
      <c r="I850" s="39" t="n">
        <f aca="false">Sens!$I$837+Sens!$I$838+Sens!$I$839+Sens!$I$840+Sens!$I$841+Sens!$I$842-(Sens!$I$844+Sens!$I$845)</f>
        <v>0</v>
      </c>
      <c r="J850" s="39" t="n">
        <f aca="false">Sens!$J$837+Sens!$J$838+Sens!$J$839+Sens!$J$840+Sens!$J$841+Sens!$J$842-(Sens!$J$844+Sens!$J$845)</f>
        <v>0</v>
      </c>
      <c r="K850" s="39" t="n">
        <f aca="false">Sens!$K$837+Sens!$K$838+Sens!$K$839+Sens!$K$840+Sens!$K$841+Sens!$K$842-(Sens!$K$844+Sens!$K$845)</f>
        <v>0</v>
      </c>
      <c r="L850" s="39" t="n">
        <f aca="false">Sens!$L$837+Sens!$L$838+Sens!$L$839+Sens!$L$840+Sens!$L$841+Sens!$L$842-(Sens!$L$844+Sens!$L$845)</f>
        <v>0</v>
      </c>
      <c r="M850" s="39" t="n">
        <f aca="false">Sens!$M$837+Sens!$M$838+Sens!$M$839+Sens!$M$840+Sens!$M$841+Sens!$M$842-(Sens!$M$844+Sens!$M$845)</f>
        <v>0</v>
      </c>
      <c r="N850" s="39" t="n">
        <f aca="false">Sens!$N$837+Sens!$N$838+Sens!$N$839+Sens!$N$840+Sens!$N$841+Sens!$N$842-(Sens!$N$844+Sens!$N$845)</f>
        <v>0</v>
      </c>
      <c r="O850" s="39" t="n">
        <f aca="false">Sens!$O$837+Sens!$O$838+Sens!$O$839+Sens!$O$840+Sens!$O$841+Sens!$O$842-(Sens!$O$844+Sens!$O$845)</f>
        <v>0</v>
      </c>
    </row>
    <row r="851" customFormat="false" ht="17.15" hidden="false" customHeight="false" outlineLevel="0" collapsed="false">
      <c r="A851" s="24" t="s">
        <v>656</v>
      </c>
      <c r="B851" s="25" t="s">
        <v>73</v>
      </c>
      <c r="C851" s="39" t="n">
        <f aca="false">Sens!$C$847+Sens!$C$848-Sens!$C$846</f>
        <v>0</v>
      </c>
      <c r="D851" s="39" t="n">
        <f aca="false">Sens!$D$847+Sens!$D$848-Sens!$D$846</f>
        <v>0</v>
      </c>
      <c r="E851" s="39" t="n">
        <f aca="false">Sens!$E$847+Sens!$E$848-Sens!$E$846</f>
        <v>0</v>
      </c>
      <c r="F851" s="39" t="n">
        <f aca="false">Sens!$F$847+Sens!$F$848-Sens!$F$846</f>
        <v>0</v>
      </c>
      <c r="G851" s="39" t="n">
        <f aca="false">Sens!$G$847+Sens!$G$848-Sens!$G$846</f>
        <v>0</v>
      </c>
      <c r="H851" s="39" t="n">
        <f aca="false">Sens!$H$847+Sens!$H$848-Sens!$H$846</f>
        <v>0</v>
      </c>
      <c r="I851" s="39" t="n">
        <f aca="false">Sens!$I$847+Sens!$I$848-Sens!$I$846</f>
        <v>0</v>
      </c>
      <c r="J851" s="39" t="n">
        <f aca="false">Sens!$J$847+Sens!$J$848-Sens!$J$846</f>
        <v>0</v>
      </c>
      <c r="K851" s="39" t="n">
        <f aca="false">Sens!$K$847+Sens!$K$848-Sens!$K$846</f>
        <v>0</v>
      </c>
      <c r="L851" s="39" t="n">
        <f aca="false">Sens!$L$847+Sens!$L$848-Sens!$L$846</f>
        <v>0</v>
      </c>
      <c r="M851" s="39" t="n">
        <f aca="false">Sens!$M$847+Sens!$M$848-Sens!$M$846</f>
        <v>0</v>
      </c>
      <c r="N851" s="39" t="n">
        <f aca="false">Sens!$N$847+Sens!$N$848-Sens!$N$846</f>
        <v>0</v>
      </c>
      <c r="O851" s="39" t="n">
        <f aca="false">Sens!$O$847+Sens!$O$848-Sens!$O$846</f>
        <v>0</v>
      </c>
    </row>
    <row r="852" customFormat="false" ht="17.15" hidden="false" customHeight="false" outlineLevel="0" collapsed="false">
      <c r="A852" s="24" t="s">
        <v>710</v>
      </c>
      <c r="B852" s="25" t="s">
        <v>73</v>
      </c>
      <c r="C852" s="39" t="n">
        <f aca="false">Sens!$C$837+Sens!$C$838+Sens!$C$839+Sens!$C$840+Sens!$C$841+Sens!$C$842+Sens!$C$843-Sens!$C$849</f>
        <v>0</v>
      </c>
      <c r="D852" s="39" t="n">
        <f aca="false">Sens!$D$837+Sens!$D$838+Sens!$D$839+Sens!$D$840+Sens!$D$841+Sens!$D$842+Sens!$D$843-Sens!$D$849</f>
        <v>0</v>
      </c>
      <c r="E852" s="39" t="n">
        <f aca="false">Sens!$E$837+Sens!$E$838+Sens!$E$839+Sens!$E$840+Sens!$E$841+Sens!$E$842+Sens!$E$843-Sens!$E$849</f>
        <v>0</v>
      </c>
      <c r="F852" s="39" t="n">
        <f aca="false">Sens!$F$837+Sens!$F$838+Sens!$F$839+Sens!$F$840+Sens!$F$841+Sens!$F$842+Sens!$F$843-Sens!$F$849</f>
        <v>0</v>
      </c>
      <c r="G852" s="39" t="n">
        <f aca="false">Sens!$G$837+Sens!$G$838+Sens!$G$839+Sens!$G$840+Sens!$G$841+Sens!$G$842+Sens!$G$843-Sens!$G$849</f>
        <v>0</v>
      </c>
      <c r="H852" s="39" t="n">
        <f aca="false">Sens!$H$837+Sens!$H$838+Sens!$H$839+Sens!$H$840+Sens!$H$841+Sens!$H$842+Sens!$H$843-Sens!$H$849</f>
        <v>0</v>
      </c>
      <c r="I852" s="39" t="n">
        <f aca="false">Sens!$I$837+Sens!$I$838+Sens!$I$839+Sens!$I$840+Sens!$I$841+Sens!$I$842+Sens!$I$843-Sens!$I$849</f>
        <v>0</v>
      </c>
      <c r="J852" s="39" t="n">
        <f aca="false">Sens!$J$837+Sens!$J$838+Sens!$J$839+Sens!$J$840+Sens!$J$841+Sens!$J$842+Sens!$J$843-Sens!$J$849</f>
        <v>0</v>
      </c>
      <c r="K852" s="39" t="n">
        <f aca="false">Sens!$K$837+Sens!$K$838+Sens!$K$839+Sens!$K$840+Sens!$K$841+Sens!$K$842+Sens!$K$843-Sens!$K$849</f>
        <v>0</v>
      </c>
      <c r="L852" s="39" t="n">
        <f aca="false">Sens!$L$837+Sens!$L$838+Sens!$L$839+Sens!$L$840+Sens!$L$841+Sens!$L$842+Sens!$L$843-Sens!$L$849</f>
        <v>0</v>
      </c>
      <c r="M852" s="39" t="n">
        <f aca="false">Sens!$M$837+Sens!$M$838+Sens!$M$839+Sens!$M$840+Sens!$M$841+Sens!$M$842+Sens!$M$843-Sens!$M$849</f>
        <v>0</v>
      </c>
      <c r="N852" s="39" t="n">
        <f aca="false">Sens!$N$837+Sens!$N$838+Sens!$N$839+Sens!$N$840+Sens!$N$841+Sens!$N$842+Sens!$N$843-Sens!$N$849</f>
        <v>0</v>
      </c>
      <c r="O852" s="39" t="n">
        <f aca="false">Sens!$O$837+Sens!$O$838+Sens!$O$839+Sens!$O$840+Sens!$O$841+Sens!$O$842+Sens!$O$843-Sens!$O$849</f>
        <v>0</v>
      </c>
    </row>
    <row r="853" customFormat="false" ht="17.15" hidden="false" customHeight="false" outlineLevel="0" collapsed="false">
      <c r="A853" s="24" t="s">
        <v>657</v>
      </c>
      <c r="B853" s="25" t="s">
        <v>73</v>
      </c>
      <c r="C853" s="39" t="n">
        <f aca="false">Sens!$C$844+Sens!$C$845+Sens!$C$846-Sens!$C$849</f>
        <v>0</v>
      </c>
      <c r="D853" s="39" t="n">
        <f aca="false">Sens!$D$844+Sens!$D$845+Sens!$D$846-Sens!$D$849</f>
        <v>0</v>
      </c>
      <c r="E853" s="39" t="n">
        <f aca="false">Sens!$E$844+Sens!$E$845+Sens!$E$846-Sens!$E$849</f>
        <v>0</v>
      </c>
      <c r="F853" s="39" t="n">
        <f aca="false">Sens!$F$844+Sens!$F$845+Sens!$F$846-Sens!$F$849</f>
        <v>0</v>
      </c>
      <c r="G853" s="39" t="n">
        <f aca="false">Sens!$G$844+Sens!$G$845+Sens!$G$846-Sens!$G$849</f>
        <v>0</v>
      </c>
      <c r="H853" s="39" t="n">
        <f aca="false">Sens!$H$844+Sens!$H$845+Sens!$H$846-Sens!$H$849</f>
        <v>0</v>
      </c>
      <c r="I853" s="39" t="n">
        <f aca="false">Sens!$I$844+Sens!$I$845+Sens!$I$846-Sens!$I$849</f>
        <v>0</v>
      </c>
      <c r="J853" s="39" t="n">
        <f aca="false">Sens!$J$844+Sens!$J$845+Sens!$J$846-Sens!$J$849</f>
        <v>0</v>
      </c>
      <c r="K853" s="39" t="n">
        <f aca="false">Sens!$K$844+Sens!$K$845+Sens!$K$846-Sens!$K$849</f>
        <v>0</v>
      </c>
      <c r="L853" s="39" t="n">
        <f aca="false">Sens!$L$844+Sens!$L$845+Sens!$L$846-Sens!$L$849</f>
        <v>0</v>
      </c>
      <c r="M853" s="39" t="n">
        <f aca="false">Sens!$M$844+Sens!$M$845+Sens!$M$846-Sens!$M$849</f>
        <v>0</v>
      </c>
      <c r="N853" s="39" t="n">
        <f aca="false">Sens!$N$844+Sens!$N$845+Sens!$N$846-Sens!$N$849</f>
        <v>0</v>
      </c>
      <c r="O853" s="39" t="n">
        <f aca="false">Sens!$O$844+Sens!$O$845+Sens!$O$846-Sens!$O$849</f>
        <v>0</v>
      </c>
    </row>
    <row r="854" customFormat="false" ht="17.15" hidden="false" customHeight="false" outlineLevel="0" collapsed="false">
      <c r="A854" s="1" t="s">
        <v>671</v>
      </c>
    </row>
    <row r="855" customFormat="false" ht="17.15" hidden="false" customHeight="false" outlineLevel="0" collapsed="false">
      <c r="A855" s="0" t="s">
        <v>672</v>
      </c>
      <c r="B855" s="0" t="s">
        <v>73</v>
      </c>
      <c r="C855" s="38" t="n">
        <f aca="false">Sens!$C$763*m_ad</f>
        <v>20.5341564414228</v>
      </c>
      <c r="D855" s="38" t="n">
        <f aca="false">Sens!$D$763*m_ad</f>
        <v>24.8720617299587</v>
      </c>
      <c r="E855" s="38" t="n">
        <f aca="false">Sens!$E$763*m_ad</f>
        <v>13.5017112462207</v>
      </c>
      <c r="F855" s="38" t="n">
        <f aca="false">Sens!$F$763*m_ad</f>
        <v>17.2886442824599</v>
      </c>
      <c r="G855" s="38" t="n">
        <f aca="false">Sens!$G$763*m_ad</f>
        <v>30.8011958765886</v>
      </c>
      <c r="H855" s="38" t="n">
        <f aca="false">Sens!$H$763*m_ad</f>
        <v>36.978409366026</v>
      </c>
      <c r="I855" s="38" t="n">
        <f aca="false">Sens!$I$763*m_ad</f>
        <v>43.155063281273</v>
      </c>
      <c r="J855" s="38" t="n">
        <f aca="false">Sens!$J$763*m_ad</f>
        <v>48.9169991988532</v>
      </c>
      <c r="K855" s="38" t="n">
        <f aca="false">Sens!$K$763*m_ad</f>
        <v>53.8086991187386</v>
      </c>
      <c r="L855" s="38" t="n">
        <f aca="false">Sens!$L$763*m_ad</f>
        <v>59.1895690306124</v>
      </c>
      <c r="M855" s="38" t="n">
        <f aca="false">Sens!$M$763*m_ad</f>
        <v>65.1085259336737</v>
      </c>
      <c r="N855" s="38" t="n">
        <f aca="false">Sens!$N$763*m_ad</f>
        <v>10.8543555706248</v>
      </c>
      <c r="O855" s="38" t="n">
        <f aca="false">Sens!$O$763*m_ad</f>
        <v>14.0094731821399</v>
      </c>
    </row>
    <row r="856" customFormat="false" ht="17.15" hidden="false" customHeight="false" outlineLevel="0" collapsed="false">
      <c r="A856" s="0" t="s">
        <v>673</v>
      </c>
      <c r="B856" s="0" t="s">
        <v>73</v>
      </c>
      <c r="C856" s="38" t="n">
        <f aca="false">Sens!$C$761-Sens!$C$763</f>
        <v>346.428687117154</v>
      </c>
      <c r="D856" s="38" t="n">
        <f aca="false">Sens!$D$761-Sens!$D$763</f>
        <v>376.560876540083</v>
      </c>
      <c r="E856" s="38" t="n">
        <f aca="false">Sens!$E$761-Sens!$E$763</f>
        <v>193.316577507559</v>
      </c>
      <c r="F856" s="38" t="n">
        <f aca="false">Sens!$F$761-Sens!$F$763</f>
        <v>221.726726438887</v>
      </c>
      <c r="G856" s="38" t="n">
        <f aca="false">Sens!$G$761-Sens!$G$763</f>
        <v>415.02162325063</v>
      </c>
      <c r="H856" s="38" t="n">
        <f aca="false">Sens!$H$761-Sens!$H$763</f>
        <v>453.777572359491</v>
      </c>
      <c r="I856" s="38" t="n">
        <f aca="false">Sens!$I$761-Sens!$I$763</f>
        <v>490.847566467031</v>
      </c>
      <c r="J856" s="38" t="n">
        <f aca="false">Sens!$J$761-Sens!$J$763</f>
        <v>525.190925266121</v>
      </c>
      <c r="K856" s="38" t="n">
        <f aca="false">Sens!$K$761-Sens!$K$763</f>
        <v>555.765170156304</v>
      </c>
      <c r="L856" s="38" t="n">
        <f aca="false">Sens!$L$761-Sens!$L$763</f>
        <v>588.185734949207</v>
      </c>
      <c r="M856" s="38" t="n">
        <f aca="false">Sens!$M$761-Sens!$M$763</f>
        <v>622.567635538672</v>
      </c>
      <c r="N856" s="38" t="n">
        <f aca="false">Sens!$N$761-Sens!$N$763</f>
        <v>171.24628885875</v>
      </c>
      <c r="O856" s="38" t="n">
        <f aca="false">Sens!$O$761-Sens!$O$763</f>
        <v>205.33105363572</v>
      </c>
    </row>
    <row r="857" customFormat="false" ht="17.15" hidden="false" customHeight="false" outlineLevel="0" collapsed="false">
      <c r="A857" s="0" t="s">
        <v>674</v>
      </c>
      <c r="B857" s="0" t="s">
        <v>73</v>
      </c>
      <c r="C857" s="38" t="n">
        <f aca="false">Sens!$C$808*Sens!$C$760</f>
        <v>0.30982720052789</v>
      </c>
      <c r="D857" s="38" t="n">
        <f aca="false">Sens!$D$808*Sens!$D$760</f>
        <v>1.98158906302833</v>
      </c>
      <c r="E857" s="38" t="n">
        <f aca="false">Sens!$E$808*Sens!$E$760</f>
        <v>2.81532481094802</v>
      </c>
      <c r="F857" s="38" t="n">
        <f aca="false">Sens!$F$808*Sens!$F$760</f>
        <v>3.42420029953994</v>
      </c>
      <c r="G857" s="38" t="n">
        <f aca="false">Sens!$G$808*Sens!$G$760</f>
        <v>6.24054667179882</v>
      </c>
      <c r="H857" s="38" t="n">
        <f aca="false">Sens!$H$808*Sens!$H$760</f>
        <v>17.5909089257043</v>
      </c>
      <c r="I857" s="38" t="n">
        <f aca="false">Sens!$I$808*Sens!$I$760</f>
        <v>32.2817795202781</v>
      </c>
      <c r="J857" s="38" t="n">
        <f aca="false">Sens!$J$808*Sens!$J$760</f>
        <v>47.3704679981908</v>
      </c>
      <c r="K857" s="38" t="n">
        <f aca="false">Sens!$K$808*Sens!$K$760</f>
        <v>62.745182024431</v>
      </c>
      <c r="L857" s="38" t="n">
        <f aca="false">Sens!$L$808*Sens!$L$760</f>
        <v>77.6202033181887</v>
      </c>
      <c r="M857" s="38" t="n">
        <f aca="false">Sens!$M$808*Sens!$M$760</f>
        <v>93.2916404827342</v>
      </c>
      <c r="N857" s="38" t="n">
        <f aca="false">Sens!$N$808*Sens!$N$760</f>
        <v>0.860790061007594</v>
      </c>
      <c r="O857" s="38" t="n">
        <f aca="false">Sens!$O$808*Sens!$O$760</f>
        <v>1.12006160769516</v>
      </c>
    </row>
    <row r="858" customFormat="false" ht="17.15" hidden="false" customHeight="false" outlineLevel="0" collapsed="false">
      <c r="A858" s="0" t="s">
        <v>675</v>
      </c>
      <c r="B858" s="0" t="s">
        <v>52</v>
      </c>
      <c r="C858" s="28" t="n">
        <f aca="false">(Sens!$C$859-Sens!$C$855+Sens!$C$857)/Sens!$C$856</f>
        <v>0.0136901790627437</v>
      </c>
      <c r="D858" s="28" t="n">
        <f aca="false">(Sens!$D$859-Sens!$D$855+Sens!$D$857)/Sens!$D$856</f>
        <v>0.0178683653885997</v>
      </c>
      <c r="E858" s="28" t="n">
        <f aca="false">(Sens!$E$859-Sens!$E$855+Sens!$E$857)/Sens!$E$856</f>
        <v>0.034676868642914</v>
      </c>
      <c r="F858" s="28" t="n">
        <f aca="false">Sens!$O$858+(Sens!$E$858-Sens!$N$858)</f>
        <v>0.0314503658951746</v>
      </c>
      <c r="G858" s="28" t="n">
        <f aca="false">(Sens!$G$859-Sens!$G$855+Sens!$G$857)/Sens!$G$856</f>
        <v>0.0329312515004041</v>
      </c>
      <c r="H858" s="28" t="n">
        <f aca="false">Sens!$G$858+step_na</f>
        <v>0.0359312515004041</v>
      </c>
      <c r="I858" s="28" t="n">
        <f aca="false">Sens!$H$858+step_na</f>
        <v>0.0389312515004041</v>
      </c>
      <c r="J858" s="28" t="n">
        <f aca="false">Sens!$I$858+step_na</f>
        <v>0.0419312515004041</v>
      </c>
      <c r="K858" s="28" t="n">
        <f aca="false">Sens!$J$858+step_na</f>
        <v>0.0449312515004041</v>
      </c>
      <c r="L858" s="28" t="n">
        <f aca="false">Sens!$K$858</f>
        <v>0.0449312515004041</v>
      </c>
      <c r="M858" s="28" t="n">
        <f aca="false">Sens!$L$858</f>
        <v>0.0449312515004041</v>
      </c>
      <c r="N858" s="28" t="n">
        <f aca="false">(Sens!$N$859-Sens!$N$855+Sens!$N$857)/Sens!$N$856</f>
        <v>0.0196467585534532</v>
      </c>
      <c r="O858" s="28" t="n">
        <f aca="false">(Sens!$O$859-Sens!$O$855+Sens!$O$857)/Sens!$O$856</f>
        <v>0.0164202558057138</v>
      </c>
      <c r="P858" s="8" t="s">
        <v>676</v>
      </c>
    </row>
    <row r="859" customFormat="false" ht="17.15" hidden="false" customHeight="false" outlineLevel="0" collapsed="false">
      <c r="A859" s="1" t="s">
        <v>677</v>
      </c>
      <c r="B859" s="8" t="s">
        <v>73</v>
      </c>
      <c r="C859" s="38" t="n">
        <f aca="false">Q!$D$22</f>
        <v>24.967</v>
      </c>
      <c r="D859" s="38" t="n">
        <f aca="false">Q!$E$22</f>
        <v>29.619</v>
      </c>
      <c r="E859" s="38" t="n">
        <f aca="false">Q!$P$22</f>
        <v>17.39</v>
      </c>
      <c r="F859" s="38" t="n">
        <f aca="false">Sens!$F$855+Sens!$F$856*Sens!$F$858-Sens!$F$857</f>
        <v>20.8378306581622</v>
      </c>
      <c r="G859" s="38" t="n">
        <f aca="false">Sens!$E$859+Sens!$F$859</f>
        <v>38.2278306581622</v>
      </c>
      <c r="H859" s="38" t="n">
        <f aca="false">Sens!$H$855+Sens!$H$856*Sens!$H$858-Sens!$H$857</f>
        <v>35.6922965180134</v>
      </c>
      <c r="I859" s="38" t="n">
        <f aca="false">Sens!$I$855+Sens!$I$856*Sens!$I$858-Sens!$I$857</f>
        <v>29.9825938194842</v>
      </c>
      <c r="J859" s="38" t="n">
        <f aca="false">Sens!$J$855+Sens!$J$856*Sens!$J$858-Sens!$J$857</f>
        <v>23.5684439737261</v>
      </c>
      <c r="K859" s="38" t="n">
        <f aca="false">Sens!$K$855+Sens!$K$856*Sens!$K$858-Sens!$K$857</f>
        <v>16.0347417297653</v>
      </c>
      <c r="L859" s="38" t="n">
        <f aca="false">Sens!$L$855+Sens!$L$856*Sens!$L$858-Sens!$L$857</f>
        <v>7.99728689837664</v>
      </c>
      <c r="M859" s="38" t="n">
        <f aca="false">Sens!$M$855+Sens!$M$856*Sens!$M$858-Sens!$M$857</f>
        <v>-0.210371540660489</v>
      </c>
      <c r="N859" s="38" t="n">
        <f aca="false">Q!$N$22</f>
        <v>13.358</v>
      </c>
      <c r="O859" s="38" t="n">
        <f aca="false">Q!$O$22</f>
        <v>16.261</v>
      </c>
    </row>
    <row r="860" customFormat="false" ht="17.15" hidden="false" customHeight="false" outlineLevel="0" collapsed="false">
      <c r="A860" s="0" t="s">
        <v>678</v>
      </c>
      <c r="B860" s="0" t="s">
        <v>73</v>
      </c>
      <c r="C860" s="38" t="n">
        <f aca="false">Sens!$C$764*m_ad</f>
        <v>7.57284355857716</v>
      </c>
      <c r="D860" s="38" t="n">
        <f aca="false">Sens!$D$764*m_ad</f>
        <v>9.44543827004127</v>
      </c>
      <c r="E860" s="38" t="n">
        <f aca="false">Sens!$E$764*m_ad</f>
        <v>5.02428875377928</v>
      </c>
      <c r="F860" s="38" t="n">
        <f aca="false">Sens!$F$764*m_ad</f>
        <v>6.78802480890925</v>
      </c>
      <c r="G860" s="38" t="n">
        <f aca="false">Sens!$G$764*m_ad</f>
        <v>11.8014732147805</v>
      </c>
      <c r="H860" s="38" t="n">
        <f aca="false">Sens!$H$764*m_ad</f>
        <v>14.1682715634442</v>
      </c>
      <c r="I860" s="38" t="n">
        <f aca="false">Sens!$I$764*m_ad</f>
        <v>16.5348555113474</v>
      </c>
      <c r="J860" s="38" t="n">
        <f aca="false">Sens!$J$764*m_ad</f>
        <v>18.7425403255689</v>
      </c>
      <c r="K860" s="38" t="n">
        <f aca="false">Sens!$K$764*m_ad</f>
        <v>20.6167943581258</v>
      </c>
      <c r="L860" s="38" t="n">
        <f aca="false">Sens!$L$764*m_ad</f>
        <v>22.6784737939383</v>
      </c>
      <c r="M860" s="38" t="n">
        <f aca="false">Sens!$M$764*m_ad</f>
        <v>24.9463211733322</v>
      </c>
      <c r="N860" s="38" t="n">
        <f aca="false">Sens!$N$764*m_ad</f>
        <v>3.95314442937518</v>
      </c>
      <c r="O860" s="38" t="n">
        <f aca="false">Sens!$O$764*m_ad</f>
        <v>5.50052681786011</v>
      </c>
    </row>
    <row r="861" customFormat="false" ht="17.15" hidden="false" customHeight="false" outlineLevel="0" collapsed="false">
      <c r="A861" s="0" t="s">
        <v>679</v>
      </c>
      <c r="B861" s="0" t="s">
        <v>73</v>
      </c>
      <c r="C861" s="38" t="n">
        <f aca="false">Sens!$C$762-Sens!$C$764</f>
        <v>127.760312882846</v>
      </c>
      <c r="D861" s="38" t="n">
        <f aca="false">Sens!$D$762-Sens!$D$764</f>
        <v>143.003123459917</v>
      </c>
      <c r="E861" s="38" t="n">
        <f aca="false">Sens!$E$762-Sens!$E$764</f>
        <v>71.9374224924414</v>
      </c>
      <c r="F861" s="38" t="n">
        <f aca="false">Sens!$F$762-Sens!$F$764</f>
        <v>87.0563645868046</v>
      </c>
      <c r="G861" s="38" t="n">
        <f aca="false">Sens!$G$762-Sens!$G$764</f>
        <v>159.015467775062</v>
      </c>
      <c r="H861" s="38" t="n">
        <f aca="false">Sens!$H$762-Sens!$H$764</f>
        <v>173.864803403269</v>
      </c>
      <c r="I861" s="38" t="n">
        <f aca="false">Sens!$I$762-Sens!$I$764</f>
        <v>188.068165645601</v>
      </c>
      <c r="J861" s="38" t="n">
        <f aca="false">Sens!$J$762-Sens!$J$764</f>
        <v>201.22681801082</v>
      </c>
      <c r="K861" s="38" t="n">
        <f aca="false">Sens!$K$762-Sens!$K$764</f>
        <v>212.941334991893</v>
      </c>
      <c r="L861" s="38" t="n">
        <f aca="false">Sens!$L$762-Sens!$L$764</f>
        <v>225.363269144856</v>
      </c>
      <c r="M861" s="38" t="n">
        <f aca="false">Sens!$M$762-Sens!$M$764</f>
        <v>238.536688790819</v>
      </c>
      <c r="N861" s="38" t="n">
        <f aca="false">Sens!$N$762-Sens!$N$764</f>
        <v>62.3677111412496</v>
      </c>
      <c r="O861" s="38" t="n">
        <f aca="false">Sens!$O$762-Sens!$O$764</f>
        <v>80.6189463642798</v>
      </c>
    </row>
    <row r="862" customFormat="false" ht="17.15" hidden="false" customHeight="false" outlineLevel="0" collapsed="false">
      <c r="A862" s="0" t="s">
        <v>680</v>
      </c>
      <c r="B862" s="0" t="s">
        <v>73</v>
      </c>
      <c r="C862" s="38" t="n">
        <f aca="false">Sens!$C$808*(1-Sens!$C$760)</f>
        <v>0.114261957947129</v>
      </c>
      <c r="D862" s="38" t="n">
        <f aca="false">Sens!$D$808*(1-Sens!$D$760)</f>
        <v>0.752530183248868</v>
      </c>
      <c r="E862" s="38" t="n">
        <f aca="false">Sens!$E$808*(1-Sens!$E$760)</f>
        <v>1.04764533383435</v>
      </c>
      <c r="F862" s="38" t="n">
        <f aca="false">Sens!$F$808*(1-Sens!$F$760)</f>
        <v>1.34444067471116</v>
      </c>
      <c r="G862" s="38" t="n">
        <f aca="false">Sens!$G$808*(1-Sens!$G$760)</f>
        <v>2.39106444723465</v>
      </c>
      <c r="H862" s="38" t="n">
        <f aca="false">Sens!$H$808*(1-Sens!$H$760)</f>
        <v>6.73995390770313</v>
      </c>
      <c r="I862" s="38" t="n">
        <f aca="false">Sens!$I$808*(1-Sens!$I$760)</f>
        <v>12.36875859822</v>
      </c>
      <c r="J862" s="38" t="n">
        <f aca="false">Sens!$J$808*(1-Sens!$J$760)</f>
        <v>18.1499871463492</v>
      </c>
      <c r="K862" s="38" t="n">
        <f aca="false">Sens!$K$808*(1-Sens!$K$760)</f>
        <v>24.0408063370254</v>
      </c>
      <c r="L862" s="38" t="n">
        <f aca="false">Sens!$L$808*(1-Sens!$L$760)</f>
        <v>29.7401683381288</v>
      </c>
      <c r="M862" s="38" t="n">
        <f aca="false">Sens!$M$808*(1-Sens!$M$760)</f>
        <v>35.7446769512204</v>
      </c>
      <c r="N862" s="38" t="n">
        <f aca="false">Sens!$N$808*(1-Sens!$N$760)</f>
        <v>0.313498798928495</v>
      </c>
      <c r="O862" s="38" t="n">
        <f aca="false">Sens!$O$808*(1-Sens!$O$760)</f>
        <v>0.439768778645944</v>
      </c>
    </row>
    <row r="863" customFormat="false" ht="17.15" hidden="false" customHeight="false" outlineLevel="0" collapsed="false">
      <c r="A863" s="0" t="s">
        <v>681</v>
      </c>
      <c r="B863" s="0" t="s">
        <v>52</v>
      </c>
      <c r="C863" s="28" t="n">
        <f aca="false">(Sens!$C$864-Sens!$C$860+Sens!$C$862)/Sens!$C$861</f>
        <v>-0.0286989090578717</v>
      </c>
      <c r="D863" s="28" t="n">
        <f aca="false">(Sens!$D$864-Sens!$D$860+Sens!$D$862)/Sens!$D$861</f>
        <v>-0.027572181581737</v>
      </c>
      <c r="E863" s="28" t="n">
        <f aca="false">(Sens!$E$864-Sens!$E$860+Sens!$E$862)/Sens!$E$861</f>
        <v>-0.0116162546695739</v>
      </c>
      <c r="F863" s="28" t="n">
        <f aca="false">Sens!$O$863+(Sens!$E$863-Sens!$N$863)</f>
        <v>-0.0285207982007442</v>
      </c>
      <c r="G863" s="28" t="n">
        <f aca="false">(Sens!$G$864-Sens!$G$860+Sens!$G$862)/Sens!$G$861</f>
        <v>-0.0208076716442384</v>
      </c>
      <c r="H863" s="28" t="n">
        <f aca="false">Sens!$G$863+step_in</f>
        <v>-0.0208076716442384</v>
      </c>
      <c r="I863" s="28" t="n">
        <f aca="false">Sens!$H$863+step_in</f>
        <v>-0.0208076716442384</v>
      </c>
      <c r="J863" s="28" t="n">
        <f aca="false">Sens!$I$863+step_in</f>
        <v>-0.0208076716442384</v>
      </c>
      <c r="K863" s="28" t="n">
        <f aca="false">Sens!$J$863+step_in</f>
        <v>-0.0208076716442384</v>
      </c>
      <c r="L863" s="28" t="n">
        <f aca="false">Sens!$K$863</f>
        <v>-0.0208076716442384</v>
      </c>
      <c r="M863" s="28" t="n">
        <f aca="false">Sens!$L$863</f>
        <v>-0.0208076716442384</v>
      </c>
      <c r="N863" s="28" t="n">
        <f aca="false">(Sens!$N$864-Sens!$N$860+Sens!$N$862)/Sens!$N$861</f>
        <v>-0.0180966338157022</v>
      </c>
      <c r="O863" s="28" t="n">
        <f aca="false">(Sens!$O$864-Sens!$O$860+Sens!$O$862)/Sens!$O$861</f>
        <v>-0.0350011773468726</v>
      </c>
      <c r="P863" s="8" t="s">
        <v>676</v>
      </c>
    </row>
    <row r="864" customFormat="false" ht="17.15" hidden="false" customHeight="false" outlineLevel="0" collapsed="false">
      <c r="A864" s="1" t="s">
        <v>682</v>
      </c>
      <c r="B864" s="8" t="s">
        <v>73</v>
      </c>
      <c r="C864" s="38" t="n">
        <f aca="false">Q!$D$23</f>
        <v>3.792</v>
      </c>
      <c r="D864" s="38" t="n">
        <f aca="false">Q!$E$23</f>
        <v>4.75</v>
      </c>
      <c r="E864" s="38" t="n">
        <f aca="false">Q!$P$23</f>
        <v>3.141</v>
      </c>
      <c r="F864" s="38" t="n">
        <f aca="false">Sens!$F$860+Sens!$F$861*Sens!$F$863-Sens!$F$862</f>
        <v>2.96066712772742</v>
      </c>
      <c r="G864" s="38" t="n">
        <f aca="false">Sens!$E$864+Sens!$F$864</f>
        <v>6.10166712772742</v>
      </c>
      <c r="H864" s="38" t="n">
        <f aca="false">Sens!$H$860+Sens!$H$861*Sens!$H$863-Sens!$H$862</f>
        <v>3.81059591603579</v>
      </c>
      <c r="I864" s="38" t="n">
        <f aca="false">Sens!$I$860+Sens!$I$861*Sens!$I$863-Sens!$I$862</f>
        <v>0.252836275639547</v>
      </c>
      <c r="J864" s="38" t="n">
        <f aca="false">Sens!$J$860+Sens!$J$861*Sens!$J$863-Sens!$J$862</f>
        <v>-3.59450837596439</v>
      </c>
      <c r="K864" s="38" t="n">
        <f aca="false">Sens!$K$860+Sens!$K$861*Sens!$K$863-Sens!$K$862</f>
        <v>-7.85482535689671</v>
      </c>
      <c r="L864" s="38" t="n">
        <f aca="false">Sens!$L$860+Sens!$L$861*Sens!$L$863-Sens!$L$862</f>
        <v>-11.7509794492287</v>
      </c>
      <c r="M864" s="38" t="n">
        <f aca="false">Sens!$M$860+Sens!$M$861*Sens!$M$863-Sens!$M$862</f>
        <v>-15.7617488733515</v>
      </c>
      <c r="N864" s="38" t="n">
        <f aca="false">Q!$N$23</f>
        <v>2.511</v>
      </c>
      <c r="O864" s="38" t="n">
        <f aca="false">Q!$O$23</f>
        <v>2.239</v>
      </c>
    </row>
    <row r="865" customFormat="false" ht="17.15" hidden="false" customHeight="false" outlineLevel="0" collapsed="false">
      <c r="A865" s="0" t="s">
        <v>683</v>
      </c>
      <c r="B865" s="0" t="s">
        <v>73</v>
      </c>
      <c r="C865" s="38" t="n">
        <f aca="false">Sens!$C$805</f>
        <v>1.68487161926111</v>
      </c>
      <c r="D865" s="38" t="n">
        <f aca="false">Sens!$D$805</f>
        <v>4.60259121923537</v>
      </c>
      <c r="E865" s="38" t="n">
        <f aca="false">Sens!$E$805</f>
        <v>2.71589775839647</v>
      </c>
      <c r="F865" s="38" t="n">
        <f aca="false">Sens!$F$805</f>
        <v>7.8104721833438</v>
      </c>
      <c r="G865" s="38" t="n">
        <f aca="false">Sens!$G$805</f>
        <v>10.5263699417403</v>
      </c>
      <c r="H865" s="38" t="n">
        <f aca="false">Sens!$H$805</f>
        <v>23.6695964996635</v>
      </c>
      <c r="I865" s="38" t="n">
        <f aca="false">Sens!$I$805</f>
        <v>34.5278919586849</v>
      </c>
      <c r="J865" s="38" t="n">
        <f aca="false">Sens!$J$805</f>
        <v>44.7447244344682</v>
      </c>
      <c r="K865" s="38" t="n">
        <f aca="false">Sens!$K$805</f>
        <v>54.4294325000026</v>
      </c>
      <c r="L865" s="38" t="n">
        <f aca="false">Sens!$L$805</f>
        <v>65.1787290286487</v>
      </c>
      <c r="M865" s="38" t="n">
        <f aca="false">Sens!$M$805</f>
        <v>74.2906852993</v>
      </c>
      <c r="N865" s="38" t="n">
        <f aca="false">Sens!$N$805</f>
        <v>1.28488624112377</v>
      </c>
      <c r="O865" s="38" t="n">
        <f aca="false">Sens!$O$805</f>
        <v>3.31770497811159</v>
      </c>
    </row>
    <row r="866" customFormat="false" ht="17.15" hidden="false" customHeight="false" outlineLevel="0" collapsed="false">
      <c r="A866" s="0" t="s">
        <v>603</v>
      </c>
      <c r="B866" s="0" t="s">
        <v>73</v>
      </c>
      <c r="C866" s="38" t="n">
        <f aca="false">Sens!$C$810</f>
        <v>38.1491283807389</v>
      </c>
      <c r="D866" s="38" t="n">
        <f aca="false">Sens!$D$810</f>
        <v>41.0034087807646</v>
      </c>
      <c r="E866" s="38" t="n">
        <f aca="false">Sens!$E$810</f>
        <v>28.0661022416035</v>
      </c>
      <c r="F866" s="38" t="n">
        <f aca="false">Sens!$F$810</f>
        <v>28.4829486785298</v>
      </c>
      <c r="G866" s="38" t="n">
        <f aca="false">Sens!$G$810</f>
        <v>56.5490509201333</v>
      </c>
      <c r="H866" s="38" t="n">
        <f aca="false">Sens!$H$810</f>
        <v>65.5560954848079</v>
      </c>
      <c r="I866" s="38" t="n">
        <f aca="false">Sens!$I$810</f>
        <v>76.339292470719</v>
      </c>
      <c r="J866" s="38" t="n">
        <f aca="false">Sens!$J$810</f>
        <v>85.6713164049132</v>
      </c>
      <c r="K866" s="38" t="n">
        <f aca="false">Sens!$K$810</f>
        <v>92.5250217173063</v>
      </c>
      <c r="L866" s="38" t="n">
        <f aca="false">Sens!$L$810</f>
        <v>99.9270234546908</v>
      </c>
      <c r="M866" s="38" t="n">
        <f aca="false">Sens!$M$810</f>
        <v>107.921185331066</v>
      </c>
      <c r="N866" s="38" t="n">
        <f aca="false">Sens!$N$810</f>
        <v>20.4221137588762</v>
      </c>
      <c r="O866" s="38" t="n">
        <f aca="false">Sens!$O$810</f>
        <v>20.5812950218884</v>
      </c>
    </row>
    <row r="867" customFormat="false" ht="17.15" hidden="false" customHeight="false" outlineLevel="0" collapsed="false">
      <c r="A867" s="1" t="s">
        <v>684</v>
      </c>
      <c r="B867" s="8" t="s">
        <v>73</v>
      </c>
      <c r="C867" s="38" t="n">
        <f aca="false">Q!$D$24</f>
        <v>39.834</v>
      </c>
      <c r="D867" s="38" t="n">
        <f aca="false">Q!$E$24</f>
        <v>45.606</v>
      </c>
      <c r="E867" s="38" t="n">
        <f aca="false">Q!$P$24</f>
        <v>30.782</v>
      </c>
      <c r="F867" s="38" t="n">
        <f aca="false">Sens!$F$865+Sens!$F$866</f>
        <v>36.2934208618736</v>
      </c>
      <c r="G867" s="38" t="n">
        <f aca="false">Sens!$G$865+Sens!$G$866</f>
        <v>67.0754208618736</v>
      </c>
      <c r="H867" s="38" t="n">
        <f aca="false">Sens!$H$865+Sens!$H$866</f>
        <v>89.2256919844714</v>
      </c>
      <c r="I867" s="38" t="n">
        <f aca="false">Sens!$I$865+Sens!$I$866</f>
        <v>110.867184429404</v>
      </c>
      <c r="J867" s="38" t="n">
        <f aca="false">Sens!$J$865+Sens!$J$866</f>
        <v>130.416040839381</v>
      </c>
      <c r="K867" s="38" t="n">
        <f aca="false">Sens!$K$865+Sens!$K$866</f>
        <v>146.954454217309</v>
      </c>
      <c r="L867" s="38" t="n">
        <f aca="false">Sens!$L$865+Sens!$L$866</f>
        <v>165.10575248334</v>
      </c>
      <c r="M867" s="38" t="n">
        <f aca="false">Sens!$M$865+Sens!$M$866</f>
        <v>182.211870630366</v>
      </c>
      <c r="N867" s="38" t="n">
        <f aca="false">Q!$N$24</f>
        <v>21.707</v>
      </c>
      <c r="O867" s="38" t="n">
        <f aca="false">Q!$O$24</f>
        <v>23.899</v>
      </c>
    </row>
    <row r="868" customFormat="false" ht="17.15" hidden="false" customHeight="false" outlineLevel="0" collapsed="false">
      <c r="A868" s="5" t="s">
        <v>685</v>
      </c>
      <c r="B868" s="0" t="s">
        <v>73</v>
      </c>
      <c r="C868" s="38" t="n">
        <f aca="false">Q!$D$26</f>
        <v>0</v>
      </c>
      <c r="D868" s="38" t="n">
        <f aca="false">Q!$E$26</f>
        <v>0</v>
      </c>
      <c r="E868" s="38" t="n">
        <f aca="false">Q!$P$26</f>
        <v>0</v>
      </c>
      <c r="F868" s="41" t="n">
        <v>0</v>
      </c>
      <c r="G868" s="38" t="n">
        <f aca="false">Sens!$E$868+Sens!$F$868</f>
        <v>0</v>
      </c>
      <c r="H868" s="41" t="n">
        <v>0</v>
      </c>
      <c r="I868" s="41" t="n">
        <v>0</v>
      </c>
      <c r="J868" s="41" t="n">
        <v>0</v>
      </c>
      <c r="K868" s="41" t="n">
        <v>0</v>
      </c>
      <c r="L868" s="41" t="n">
        <v>0</v>
      </c>
      <c r="M868" s="41" t="n">
        <v>0</v>
      </c>
      <c r="N868" s="38" t="n">
        <f aca="false">Q!$N$26</f>
        <v>0</v>
      </c>
      <c r="O868" s="38" t="n">
        <f aca="false">Q!$O$26</f>
        <v>0</v>
      </c>
    </row>
    <row r="869" customFormat="false" ht="15" hidden="false" customHeight="false" outlineLevel="0" collapsed="false">
      <c r="A869" s="3" t="s">
        <v>494</v>
      </c>
      <c r="B869" s="8" t="s">
        <v>73</v>
      </c>
      <c r="C869" s="38" t="n">
        <f aca="false">Q!$D$25</f>
        <v>68.593</v>
      </c>
      <c r="D869" s="38" t="n">
        <f aca="false">Q!$E$25</f>
        <v>79.975</v>
      </c>
      <c r="E869" s="38" t="n">
        <f aca="false">Q!$P$25</f>
        <v>51.313</v>
      </c>
      <c r="F869" s="38" t="n">
        <f aca="false">Sens!$F$859+Sens!$F$864+Sens!$F$867+Sens!$F$868</f>
        <v>60.0919186477632</v>
      </c>
      <c r="G869" s="38" t="n">
        <f aca="false">Sens!$G$859+Sens!$G$864+Sens!$G$867+Sens!$G$868</f>
        <v>111.404918647763</v>
      </c>
      <c r="H869" s="38" t="n">
        <f aca="false">Sens!$H$859+Sens!$H$864+Sens!$H$867+Sens!$H$868</f>
        <v>128.728584418521</v>
      </c>
      <c r="I869" s="38" t="n">
        <f aca="false">Sens!$I$859+Sens!$I$864+Sens!$I$867+Sens!$I$868</f>
        <v>141.102614524528</v>
      </c>
      <c r="J869" s="38" t="n">
        <f aca="false">Sens!$J$859+Sens!$J$864+Sens!$J$867+Sens!$J$868</f>
        <v>150.389976437143</v>
      </c>
      <c r="K869" s="38" t="n">
        <f aca="false">Sens!$K$859+Sens!$K$864+Sens!$K$867+Sens!$K$868</f>
        <v>155.134370590178</v>
      </c>
      <c r="L869" s="38" t="n">
        <f aca="false">Sens!$L$859+Sens!$L$864+Sens!$L$867+Sens!$L$868</f>
        <v>161.352059932487</v>
      </c>
      <c r="M869" s="38" t="n">
        <f aca="false">Sens!$M$859+Sens!$M$864+Sens!$M$867+Sens!$M$868</f>
        <v>166.239750216354</v>
      </c>
      <c r="N869" s="38" t="n">
        <f aca="false">Q!$N$25</f>
        <v>37.576</v>
      </c>
      <c r="O869" s="38" t="n">
        <f aca="false">Q!$O$25</f>
        <v>42.399</v>
      </c>
    </row>
    <row r="870" customFormat="false" ht="17.15" hidden="false" customHeight="false" outlineLevel="0" collapsed="false">
      <c r="A870" s="24" t="s">
        <v>711</v>
      </c>
      <c r="B870" s="25" t="s">
        <v>73</v>
      </c>
      <c r="C870" s="39" t="n">
        <f aca="false">Sens!$C$859+Sens!$C$864+Sens!$C$867+Sens!$C$868-Sens!$C$869</f>
        <v>0</v>
      </c>
      <c r="D870" s="39" t="n">
        <f aca="false">Sens!$D$859+Sens!$D$864+Sens!$D$867+Sens!$D$868-Sens!$D$869</f>
        <v>0</v>
      </c>
      <c r="E870" s="39" t="n">
        <f aca="false">Sens!$E$859+Sens!$E$864+Sens!$E$867+Sens!$E$868-Sens!$E$869</f>
        <v>0</v>
      </c>
      <c r="F870" s="39" t="n">
        <f aca="false">Sens!$F$859+Sens!$F$864+Sens!$F$867+Sens!$F$868-Sens!$F$869</f>
        <v>0</v>
      </c>
      <c r="G870" s="39" t="n">
        <f aca="false">Sens!$G$859+Sens!$G$864+Sens!$G$867+Sens!$G$868-Sens!$G$869</f>
        <v>0</v>
      </c>
      <c r="H870" s="39" t="n">
        <f aca="false">Sens!$H$859+Sens!$H$864+Sens!$H$867+Sens!$H$868-Sens!$H$869</f>
        <v>0</v>
      </c>
      <c r="I870" s="39" t="n">
        <f aca="false">Sens!$I$859+Sens!$I$864+Sens!$I$867+Sens!$I$868-Sens!$I$869</f>
        <v>0</v>
      </c>
      <c r="J870" s="39" t="n">
        <f aca="false">Sens!$J$859+Sens!$J$864+Sens!$J$867+Sens!$J$868-Sens!$J$869</f>
        <v>0</v>
      </c>
      <c r="K870" s="39" t="n">
        <f aca="false">Sens!$K$859+Sens!$K$864+Sens!$K$867+Sens!$K$868-Sens!$K$869</f>
        <v>0</v>
      </c>
      <c r="L870" s="39" t="n">
        <f aca="false">Sens!$L$859+Sens!$L$864+Sens!$L$867+Sens!$L$868-Sens!$L$869</f>
        <v>0</v>
      </c>
      <c r="M870" s="39" t="n">
        <f aca="false">Sens!$M$859+Sens!$M$864+Sens!$M$867+Sens!$M$868-Sens!$M$869</f>
        <v>0</v>
      </c>
      <c r="N870" s="39" t="n">
        <f aca="false">Sens!$N$859+Sens!$N$864+Sens!$N$867+Sens!$N$868-Sens!$N$869</f>
        <v>0</v>
      </c>
      <c r="O870" s="39" t="n">
        <f aca="false">Sens!$O$859+Sens!$O$864+Sens!$O$867+Sens!$O$868-Sens!$O$869</f>
        <v>0</v>
      </c>
    </row>
    <row r="871" customFormat="false" ht="17.15" hidden="false" customHeight="false" outlineLevel="0" collapsed="false">
      <c r="A871" s="0" t="s">
        <v>687</v>
      </c>
      <c r="B871" s="0" t="s">
        <v>52</v>
      </c>
      <c r="C871" s="12" t="n">
        <f aca="false">Sens!$C$859/Sens!$C$844</f>
        <v>0.0644314665661928</v>
      </c>
      <c r="D871" s="12" t="n">
        <f aca="false">Sens!$D$859/Sens!$D$844</f>
        <v>0.0694784250712518</v>
      </c>
      <c r="E871" s="12" t="n">
        <f aca="false">Sens!$E$859/Sens!$E$844</f>
        <v>0.0789306463326071</v>
      </c>
      <c r="F871" s="12" t="n">
        <f aca="false">Sens!$F$859/Sens!$F$844</f>
        <v>0.0813012260375738</v>
      </c>
      <c r="G871" s="12" t="n">
        <f aca="false">Sens!$G$859/Sens!$G$844</f>
        <v>0.0802054228380768</v>
      </c>
      <c r="H871" s="12" t="n">
        <f aca="false">Sens!$H$859/Sens!$H$844</f>
        <v>0.0676330690599659</v>
      </c>
      <c r="I871" s="12" t="n">
        <f aca="false">Sens!$I$859/Sens!$I$844</f>
        <v>0.0519487034160485</v>
      </c>
      <c r="J871" s="12" t="n">
        <f aca="false">Sens!$J$859/Sens!$J$844</f>
        <v>0.0378290547914632</v>
      </c>
      <c r="K871" s="12" t="n">
        <f aca="false">Sens!$K$859/Sens!$K$844</f>
        <v>0.0241711834071697</v>
      </c>
      <c r="L871" s="12" t="n">
        <f aca="false">Sens!$L$859/Sens!$L$844</f>
        <v>0.0113185458318964</v>
      </c>
      <c r="M871" s="12" t="n">
        <f aca="false">Sens!$M$859/Sens!$M$844</f>
        <v>-0.000279457784118055</v>
      </c>
      <c r="N871" s="12" t="n">
        <f aca="false">Sens!$N$859/Sens!$N$844</f>
        <v>0.069228576611127</v>
      </c>
      <c r="O871" s="12" t="n">
        <f aca="false">Sens!$O$859/Sens!$O$844</f>
        <v>0.069685022498393</v>
      </c>
    </row>
    <row r="872" customFormat="false" ht="17.15" hidden="false" customHeight="false" outlineLevel="0" collapsed="false">
      <c r="A872" s="0" t="s">
        <v>688</v>
      </c>
      <c r="B872" s="0" t="s">
        <v>52</v>
      </c>
      <c r="C872" s="12" t="n">
        <f aca="false">Sens!$C$864/Sens!$C$845</f>
        <v>0.026534925055631</v>
      </c>
      <c r="D872" s="12" t="n">
        <f aca="false">Sens!$D$864/Sens!$D$845</f>
        <v>0.0293401855535103</v>
      </c>
      <c r="E872" s="12" t="n">
        <f aca="false">Sens!$E$864/Sens!$E$845</f>
        <v>0.03831141902276</v>
      </c>
      <c r="F872" s="12" t="n">
        <f aca="false">Sens!$F$864/Sens!$F$845</f>
        <v>0.0294206111532541</v>
      </c>
      <c r="G872" s="12" t="n">
        <f aca="false">Sens!$G$864/Sens!$G$845</f>
        <v>0.0334121131995513</v>
      </c>
      <c r="H872" s="12" t="n">
        <f aca="false">Sens!$H$864/Sens!$H$845</f>
        <v>0.018845551631712</v>
      </c>
      <c r="I872" s="12" t="n">
        <f aca="false">Sens!$I$864/Sens!$I$845</f>
        <v>0.00114334224172188</v>
      </c>
      <c r="J872" s="12" t="n">
        <f aca="false">Sens!$J$864/Sens!$J$845</f>
        <v>-0.0150579355118557</v>
      </c>
      <c r="K872" s="12" t="n">
        <f aca="false">Sens!$K$864/Sens!$K$845</f>
        <v>-0.0309032269678813</v>
      </c>
      <c r="L872" s="12" t="n">
        <f aca="false">Sens!$L$864/Sens!$L$845</f>
        <v>-0.0434063609694499</v>
      </c>
      <c r="M872" s="12" t="n">
        <f aca="false">Sens!$M$864/Sens!$M$845</f>
        <v>-0.0546468308586773</v>
      </c>
      <c r="N872" s="12" t="n">
        <f aca="false">Sens!$N$864/Sens!$N$845</f>
        <v>0.0357315650169337</v>
      </c>
      <c r="O872" s="12" t="n">
        <f aca="false">Sens!$O$864/Sens!$O$845</f>
        <v>0.0244378956559703</v>
      </c>
    </row>
    <row r="873" customFormat="false" ht="17.15" hidden="false" customHeight="false" outlineLevel="0" collapsed="false">
      <c r="A873" s="13" t="s">
        <v>689</v>
      </c>
      <c r="B873" s="13" t="s">
        <v>52</v>
      </c>
      <c r="C873" s="16" t="n">
        <f aca="false">Sens!$C$867/Sens!$C$846</f>
        <v>0.370355907620217</v>
      </c>
      <c r="D873" s="16" t="n">
        <f aca="false">Sens!$D$867/Sens!$D$846</f>
        <v>0.35429015342785</v>
      </c>
      <c r="E873" s="16" t="n">
        <f aca="false">Sens!$E$867/Sens!$E$846</f>
        <v>0.385647527531039</v>
      </c>
      <c r="F873" s="16" t="n">
        <f aca="false">Sens!$F$867/Sens!$F$846</f>
        <v>0.387922450241742</v>
      </c>
      <c r="G873" s="16" t="n">
        <f aca="false">Sens!$G$867/Sens!$G$846</f>
        <v>0.386875127985802</v>
      </c>
      <c r="H873" s="16" t="n">
        <f aca="false">Sens!$H$867/Sens!$H$846</f>
        <v>0.370139778476348</v>
      </c>
      <c r="I873" s="16" t="n">
        <f aca="false">Sens!$I$867/Sens!$I$846</f>
        <v>0.355170398421999</v>
      </c>
      <c r="J873" s="16" t="n">
        <f aca="false">Sens!$J$867/Sens!$J$846</f>
        <v>0.343720829515614</v>
      </c>
      <c r="K873" s="16" t="n">
        <f aca="false">Sens!$K$867/Sens!$K$846</f>
        <v>0.334048711163015</v>
      </c>
      <c r="L873" s="16" t="n">
        <f aca="false">Sens!$L$867/Sens!$L$846</f>
        <v>0.328925423342189</v>
      </c>
      <c r="M873" s="16" t="n">
        <f aca="false">Sens!$M$867/Sens!$M$846</f>
        <v>0.322134159238516</v>
      </c>
      <c r="N873" s="16" t="n">
        <f aca="false">Sens!$N$867/Sens!$N$846</f>
        <v>0.360941137346192</v>
      </c>
      <c r="O873" s="16" t="n">
        <f aca="false">Sens!$O$867/Sens!$O$846</f>
        <v>0.348458117664212</v>
      </c>
    </row>
    <row r="874" customFormat="false" ht="17.15" hidden="false" customHeight="false" outlineLevel="0" collapsed="false">
      <c r="A874" s="0" t="s">
        <v>690</v>
      </c>
      <c r="B874" s="0" t="s">
        <v>52</v>
      </c>
      <c r="C874" s="12" t="n">
        <f aca="false">Sens!$C$865/Sens!$C$847</f>
        <v>0.725923192809006</v>
      </c>
      <c r="D874" s="12" t="n">
        <f aca="false">Sens!$D$865/Sens!$D$847</f>
        <v>0.528804319548454</v>
      </c>
      <c r="E874" s="12" t="n">
        <f aca="false">Sens!$E$865/Sens!$E$847</f>
        <v>0.319128685519011</v>
      </c>
      <c r="F874" s="12" t="n">
        <f aca="false">Sens!$F$865/Sens!$F$847</f>
        <v>0.521970583008504</v>
      </c>
      <c r="G874" s="12" t="n">
        <f aca="false">Sens!$G$865/Sens!$G$847</f>
        <v>0.448430843817988</v>
      </c>
      <c r="H874" s="12" t="n">
        <f aca="false">Sens!$H$865/Sens!$H$847</f>
        <v>0.393405569246927</v>
      </c>
      <c r="I874" s="12" t="n">
        <f aca="false">Sens!$I$865/Sens!$I$847</f>
        <v>0.3401638782866</v>
      </c>
      <c r="J874" s="12" t="n">
        <f aca="false">Sens!$J$865/Sens!$J$847</f>
        <v>0.312844587026008</v>
      </c>
      <c r="K874" s="12" t="n">
        <f aca="false">Sens!$K$865/Sens!$K$847</f>
        <v>0.294837223360399</v>
      </c>
      <c r="L874" s="12" t="n">
        <f aca="false">Sens!$L$865/Sens!$L$847</f>
        <v>0.288121892846953</v>
      </c>
      <c r="M874" s="12" t="n">
        <f aca="false">Sens!$M$865/Sens!$M$847</f>
        <v>0.277364298451603</v>
      </c>
      <c r="N874" s="12" t="n">
        <f aca="false">Sens!$N$865/Sens!$N$847</f>
        <v>0.421783147840115</v>
      </c>
      <c r="O874" s="12" t="n">
        <f aca="false">Sens!$O$865/Sens!$O$847</f>
        <v>0.586431104314483</v>
      </c>
    </row>
    <row r="875" customFormat="false" ht="15" hidden="false" customHeight="false" outlineLevel="0" collapsed="false">
      <c r="A875" s="5" t="s">
        <v>691</v>
      </c>
      <c r="B875" s="0" t="s">
        <v>52</v>
      </c>
      <c r="C875" s="12" t="n">
        <f aca="false">Sens!$C$869/Sens!$C$849</f>
        <v>0.107519448742004</v>
      </c>
      <c r="D875" s="12" t="n">
        <f aca="false">Sens!$D$869/Sens!$D$849</f>
        <v>0.111552967957552</v>
      </c>
      <c r="E875" s="12" t="n">
        <f aca="false">Sens!$E$869/Sens!$E$849</f>
        <v>0.13428328426562</v>
      </c>
      <c r="F875" s="12" t="n">
        <f aca="false">Sens!$F$869/Sens!$F$849</f>
        <v>0.133390904565312</v>
      </c>
      <c r="G875" s="12" t="n">
        <f aca="false">Sens!$G$869/Sens!$G$849</f>
        <v>0.133800455915126</v>
      </c>
      <c r="H875" s="12" t="n">
        <f aca="false">Sens!$H$869/Sens!$H$849</f>
        <v>0.132573864276902</v>
      </c>
      <c r="I875" s="12" t="n">
        <f aca="false">Sens!$I$869/Sens!$I$849</f>
        <v>0.12706822558017</v>
      </c>
      <c r="J875" s="12" t="n">
        <f aca="false">Sens!$J$869/Sens!$J$849</f>
        <v>0.121168776334372</v>
      </c>
      <c r="K875" s="12" t="n">
        <f aca="false">Sens!$K$869/Sens!$K$849</f>
        <v>0.114281421726382</v>
      </c>
      <c r="L875" s="12" t="n">
        <f aca="false">Sens!$L$869/Sens!$L$849</f>
        <v>0.109077670240068</v>
      </c>
      <c r="M875" s="12" t="n">
        <f aca="false">Sens!$M$869/Sens!$M$849</f>
        <v>0.103456679245768</v>
      </c>
      <c r="N875" s="12" t="n">
        <f aca="false">Sens!$N$869/Sens!$N$849</f>
        <v>0.116201614873411</v>
      </c>
      <c r="O875" s="12" t="n">
        <f aca="false">Sens!$O$869/Sens!$O$849</f>
        <v>0.107733353660861</v>
      </c>
    </row>
    <row r="876" customFormat="false" ht="17.15" hidden="false" customHeight="false" outlineLevel="0" collapsed="false">
      <c r="A876" s="1" t="s">
        <v>692</v>
      </c>
    </row>
    <row r="877" customFormat="false" ht="17.15" hidden="false" customHeight="false" outlineLevel="0" collapsed="false">
      <c r="A877" s="5" t="s">
        <v>693</v>
      </c>
      <c r="B877" s="0" t="s">
        <v>52</v>
      </c>
      <c r="D877" s="28" t="n">
        <f aca="false">(Q!$E$29+Q!$E$30-(1-ext_sh_lo)*Sens!$D$801)/Sens!$D$759</f>
        <v>0.032235721541643</v>
      </c>
    </row>
    <row r="878" customFormat="false" ht="17.15" hidden="false" customHeight="false" outlineLevel="0" collapsed="false">
      <c r="A878" s="0" t="s">
        <v>498</v>
      </c>
      <c r="B878" s="0" t="s">
        <v>73</v>
      </c>
      <c r="C878" s="38" t="n">
        <f aca="false">Q!$D$29</f>
        <v>14.285</v>
      </c>
      <c r="D878" s="38" t="n">
        <f aca="false">Q!$E$29</f>
        <v>15.503</v>
      </c>
      <c r="E878" s="38" t="n">
        <f aca="false">Q!$P$29</f>
        <v>8.78</v>
      </c>
      <c r="F878" s="38" t="n">
        <f aca="false">(Sens!$D$877*Sens!$F$759+(1-ext_sh_lo)*Sens!$F$801)*Sens!$F$760</f>
        <v>10.1337058920507</v>
      </c>
      <c r="G878" s="38" t="n">
        <f aca="false">Sens!$E$878+Sens!$F$878</f>
        <v>18.9137058920507</v>
      </c>
      <c r="H878" s="38" t="n">
        <f aca="false">(Sens!$D$877*Sens!$H$759+(1-ext_sh_lo)*Sens!$H$801)*Sens!$H$760</f>
        <v>28.5062313796314</v>
      </c>
      <c r="I878" s="38" t="n">
        <f aca="false">(Sens!$D$877*Sens!$I$759+(1-ext_sh_lo)*Sens!$I$801)*Sens!$I$760</f>
        <v>40.7892794214561</v>
      </c>
      <c r="J878" s="38" t="n">
        <f aca="false">(Sens!$D$877*Sens!$J$759+(1-ext_sh_lo)*Sens!$J$801)*Sens!$J$760</f>
        <v>53.3481149176074</v>
      </c>
      <c r="K878" s="38" t="n">
        <f aca="false">(Sens!$D$877*Sens!$K$759+(1-ext_sh_lo)*Sens!$K$801)*Sens!$K$760</f>
        <v>66.0129045168387</v>
      </c>
      <c r="L878" s="38" t="n">
        <f aca="false">(Sens!$D$877*Sens!$L$759+(1-ext_sh_lo)*Sens!$L$801)*Sens!$L$760</f>
        <v>78.2679354384961</v>
      </c>
      <c r="M878" s="38" t="n">
        <f aca="false">(Sens!$D$877*Sens!$M$759+(1-ext_sh_lo)*Sens!$M$801)*Sens!$M$760</f>
        <v>91.4166949916982</v>
      </c>
      <c r="N878" s="38" t="n">
        <f aca="false">Q!$N$29</f>
        <v>7.272</v>
      </c>
      <c r="O878" s="38" t="n">
        <f aca="false">Q!$O$29</f>
        <v>8.231</v>
      </c>
    </row>
    <row r="879" customFormat="false" ht="17.15" hidden="false" customHeight="false" outlineLevel="0" collapsed="false">
      <c r="A879" s="0" t="s">
        <v>500</v>
      </c>
      <c r="B879" s="0" t="s">
        <v>73</v>
      </c>
      <c r="C879" s="38" t="n">
        <f aca="false">Q!$D$30</f>
        <v>4.462</v>
      </c>
      <c r="D879" s="38" t="n">
        <f aca="false">Q!$E$30</f>
        <v>4.907</v>
      </c>
      <c r="E879" s="38" t="n">
        <f aca="false">Q!$P$30</f>
        <v>2.57</v>
      </c>
      <c r="F879" s="38" t="n">
        <f aca="false">(Sens!$D$877*Sens!$F$759+(1-ext_sh_lo)*Sens!$F$801)*(1-Sens!$F$760)</f>
        <v>3.97878780299845</v>
      </c>
      <c r="G879" s="38" t="n">
        <f aca="false">Sens!$E$879+Sens!$F$879</f>
        <v>6.54878780299845</v>
      </c>
      <c r="H879" s="38" t="n">
        <f aca="false">(Sens!$D$877*Sens!$H$759+(1-ext_sh_lo)*Sens!$H$801)*(1-Sens!$H$760)</f>
        <v>10.9221579392234</v>
      </c>
      <c r="I879" s="38" t="n">
        <f aca="false">(Sens!$D$877*Sens!$I$759+(1-ext_sh_lo)*Sens!$I$801)*(1-Sens!$I$760)</f>
        <v>15.628405808373</v>
      </c>
      <c r="J879" s="38" t="n">
        <f aca="false">(Sens!$D$877*Sens!$J$759+(1-ext_sh_lo)*Sens!$J$801)*(1-Sens!$J$760)</f>
        <v>20.4403215960103</v>
      </c>
      <c r="K879" s="38" t="n">
        <f aca="false">(Sens!$D$877*Sens!$K$759+(1-ext_sh_lo)*Sens!$K$801)*(1-Sens!$K$760)</f>
        <v>25.2928336810934</v>
      </c>
      <c r="L879" s="38" t="n">
        <f aca="false">(Sens!$D$877*Sens!$L$759+(1-ext_sh_lo)*Sens!$L$801)*(1-Sens!$L$760)</f>
        <v>29.9883467951858</v>
      </c>
      <c r="M879" s="38" t="n">
        <f aca="false">(Sens!$D$877*Sens!$M$759+(1-ext_sh_lo)*Sens!$M$801)*(1-Sens!$M$760)</f>
        <v>35.0262918897997</v>
      </c>
      <c r="N879" s="38" t="n">
        <f aca="false">Q!$N$30</f>
        <v>2.316</v>
      </c>
      <c r="O879" s="38" t="n">
        <f aca="false">Q!$O$30</f>
        <v>2.591</v>
      </c>
    </row>
    <row r="880" customFormat="false" ht="17.15" hidden="false" customHeight="false" outlineLevel="0" collapsed="false">
      <c r="A880" s="0" t="s">
        <v>501</v>
      </c>
      <c r="B880" s="0" t="s">
        <v>73</v>
      </c>
      <c r="C880" s="38" t="n">
        <f aca="false">Sens!$C$813</f>
        <v>13.32</v>
      </c>
      <c r="D880" s="38" t="n">
        <f aca="false">Sens!$D$813</f>
        <v>21.45</v>
      </c>
      <c r="E880" s="38" t="n">
        <f aca="false">Sens!$E$813</f>
        <v>15.353</v>
      </c>
      <c r="F880" s="38" t="n">
        <f aca="false">Sens!$F$813</f>
        <v>16.5326771310051</v>
      </c>
      <c r="G880" s="38" t="n">
        <f aca="false">Sens!$G$813</f>
        <v>31.8856771310051</v>
      </c>
      <c r="H880" s="38" t="n">
        <f aca="false">Sens!$H$813</f>
        <v>52.9007689598097</v>
      </c>
      <c r="I880" s="38" t="n">
        <f aca="false">Sens!$I$813</f>
        <v>79.8581742664608</v>
      </c>
      <c r="J880" s="38" t="n">
        <f aca="false">Sens!$J$813</f>
        <v>106.982461757867</v>
      </c>
      <c r="K880" s="38" t="n">
        <f aca="false">Sens!$K$813</f>
        <v>133.596714482178</v>
      </c>
      <c r="L880" s="38" t="n">
        <f aca="false">Sens!$L$813</f>
        <v>159.414911139415</v>
      </c>
      <c r="M880" s="38" t="n">
        <f aca="false">Sens!$M$813</f>
        <v>187.146633215727</v>
      </c>
      <c r="N880" s="38" t="n">
        <f aca="false">Sens!$N$813</f>
        <v>9.234</v>
      </c>
      <c r="O880" s="38" t="n">
        <f aca="false">Sens!$O$813</f>
        <v>12.216</v>
      </c>
    </row>
    <row r="881" customFormat="false" ht="17.15" hidden="false" customHeight="false" outlineLevel="0" collapsed="false">
      <c r="A881" s="5" t="s">
        <v>694</v>
      </c>
      <c r="B881" s="0" t="s">
        <v>73</v>
      </c>
      <c r="C881" s="38" t="n">
        <f aca="false">Sens!$C$878+Sens!$C$879+Sens!$C$880</f>
        <v>32.067</v>
      </c>
      <c r="D881" s="38" t="n">
        <f aca="false">Sens!$D$878+Sens!$D$879+Sens!$D$880</f>
        <v>41.86</v>
      </c>
      <c r="E881" s="38" t="n">
        <f aca="false">Sens!$E$878+Sens!$E$879+Sens!$E$880</f>
        <v>26.703</v>
      </c>
      <c r="F881" s="38" t="n">
        <f aca="false">Sens!$F$878+Sens!$F$879+Sens!$F$880</f>
        <v>30.6451708260543</v>
      </c>
      <c r="G881" s="38" t="n">
        <f aca="false">Sens!$G$878+Sens!$G$879+Sens!$G$880</f>
        <v>57.3481708260543</v>
      </c>
      <c r="H881" s="38" t="n">
        <f aca="false">Sens!$H$878+Sens!$H$879+Sens!$H$880</f>
        <v>92.3291582786645</v>
      </c>
      <c r="I881" s="38" t="n">
        <f aca="false">Sens!$I$878+Sens!$I$879+Sens!$I$880</f>
        <v>136.27585949629</v>
      </c>
      <c r="J881" s="38" t="n">
        <f aca="false">Sens!$J$878+Sens!$J$879+Sens!$J$880</f>
        <v>180.770898271485</v>
      </c>
      <c r="K881" s="38" t="n">
        <f aca="false">Sens!$K$878+Sens!$K$879+Sens!$K$880</f>
        <v>224.90245268011</v>
      </c>
      <c r="L881" s="38" t="n">
        <f aca="false">Sens!$L$878+Sens!$L$879+Sens!$L$880</f>
        <v>267.671193373097</v>
      </c>
      <c r="M881" s="38" t="n">
        <f aca="false">Sens!$M$878+Sens!$M$879+Sens!$M$880</f>
        <v>313.589620097225</v>
      </c>
      <c r="N881" s="38" t="n">
        <f aca="false">Sens!$N$878+Sens!$N$879+Sens!$N$880</f>
        <v>18.822</v>
      </c>
      <c r="O881" s="38" t="n">
        <f aca="false">Sens!$O$878+Sens!$O$879+Sens!$O$880</f>
        <v>23.038</v>
      </c>
    </row>
    <row r="882" customFormat="false" ht="17.15" hidden="false" customHeight="false" outlineLevel="0" collapsed="false">
      <c r="A882" s="0" t="s">
        <v>695</v>
      </c>
      <c r="B882" s="0" t="s">
        <v>73</v>
      </c>
      <c r="C882" s="38" t="n">
        <f aca="false">Sens!$C$855+Sens!$C$860</f>
        <v>28.107</v>
      </c>
      <c r="D882" s="38" t="n">
        <f aca="false">Sens!$D$855+Sens!$D$860</f>
        <v>34.3175</v>
      </c>
      <c r="E882" s="38" t="n">
        <f aca="false">Sens!$E$855+Sens!$E$860</f>
        <v>18.526</v>
      </c>
      <c r="F882" s="38" t="n">
        <f aca="false">Sens!$F$855+Sens!$F$860</f>
        <v>24.0766690913691</v>
      </c>
      <c r="G882" s="38" t="n">
        <f aca="false">Sens!$G$855+Sens!$G$860</f>
        <v>42.6026690913691</v>
      </c>
      <c r="H882" s="38" t="n">
        <f aca="false">Sens!$H$855+Sens!$H$860</f>
        <v>51.1466809294702</v>
      </c>
      <c r="I882" s="38" t="n">
        <f aca="false">Sens!$I$855+Sens!$I$860</f>
        <v>59.6899187926205</v>
      </c>
      <c r="J882" s="38" t="n">
        <f aca="false">Sens!$J$855+Sens!$J$860</f>
        <v>67.6595395244221</v>
      </c>
      <c r="K882" s="38" t="n">
        <f aca="false">Sens!$K$855+Sens!$K$860</f>
        <v>74.4254934768643</v>
      </c>
      <c r="L882" s="38" t="n">
        <f aca="false">Sens!$L$855+Sens!$L$860</f>
        <v>81.8680428245508</v>
      </c>
      <c r="M882" s="38" t="n">
        <f aca="false">Sens!$M$855+Sens!$M$860</f>
        <v>90.0548471070059</v>
      </c>
      <c r="N882" s="38" t="n">
        <f aca="false">Sens!$N$855+Sens!$N$860</f>
        <v>14.8075</v>
      </c>
      <c r="O882" s="38" t="n">
        <f aca="false">Sens!$O$855+Sens!$O$860</f>
        <v>19.51</v>
      </c>
    </row>
    <row r="883" customFormat="false" ht="17.15" hidden="false" customHeight="false" outlineLevel="0" collapsed="false">
      <c r="A883" s="0" t="s">
        <v>696</v>
      </c>
      <c r="B883" s="0" t="s">
        <v>73</v>
      </c>
      <c r="C883" s="38" t="n">
        <f aca="false">Sens!$C$859+Sens!$C$864+Sens!$C$878+Sens!$C$879-Sens!$C$882</f>
        <v>19.399</v>
      </c>
      <c r="D883" s="38" t="n">
        <f aca="false">Sens!$D$859+Sens!$D$864+Sens!$D$878+Sens!$D$879-Sens!$D$882</f>
        <v>20.4615</v>
      </c>
      <c r="E883" s="38" t="n">
        <f aca="false">Sens!$E$859+Sens!$E$864+Sens!$E$878+Sens!$E$879-Sens!$E$882</f>
        <v>13.355</v>
      </c>
      <c r="F883" s="38" t="n">
        <f aca="false">Sens!$F$859+Sens!$F$864+Sens!$F$878+Sens!$F$879-Sens!$F$882</f>
        <v>13.8343223895697</v>
      </c>
      <c r="G883" s="38" t="n">
        <f aca="false">Sens!$G$859+Sens!$G$864+Sens!$G$878+Sens!$G$879-Sens!$G$882</f>
        <v>27.1893223895697</v>
      </c>
      <c r="H883" s="38" t="n">
        <f aca="false">Sens!$H$859+Sens!$H$864+Sens!$H$878+Sens!$H$879-Sens!$H$882</f>
        <v>27.7846008234338</v>
      </c>
      <c r="I883" s="38" t="n">
        <f aca="false">Sens!$I$859+Sens!$I$864+Sens!$I$878+Sens!$I$879-Sens!$I$882</f>
        <v>26.9631965323324</v>
      </c>
      <c r="J883" s="38" t="n">
        <f aca="false">Sens!$J$859+Sens!$J$864+Sens!$J$878+Sens!$J$879-Sens!$J$882</f>
        <v>26.1028325869573</v>
      </c>
      <c r="K883" s="38" t="n">
        <f aca="false">Sens!$K$859+Sens!$K$864+Sens!$K$878+Sens!$K$879-Sens!$K$882</f>
        <v>25.0601610939364</v>
      </c>
      <c r="L883" s="38" t="n">
        <f aca="false">Sens!$L$859+Sens!$L$864+Sens!$L$878+Sens!$L$879-Sens!$L$882</f>
        <v>22.634546858279</v>
      </c>
      <c r="M883" s="38" t="n">
        <f aca="false">Sens!$M$859+Sens!$M$864+Sens!$M$878+Sens!$M$879-Sens!$M$882</f>
        <v>20.4160193604801</v>
      </c>
      <c r="N883" s="38" t="n">
        <f aca="false">Sens!$N$859+Sens!$N$864+Sens!$N$878+Sens!$N$879-Sens!$N$882</f>
        <v>10.6495</v>
      </c>
      <c r="O883" s="38" t="n">
        <f aca="false">Sens!$O$859+Sens!$O$864+Sens!$O$878+Sens!$O$879-Sens!$O$882</f>
        <v>9.81200000000001</v>
      </c>
    </row>
    <row r="884" customFormat="false" ht="17.15" hidden="false" customHeight="false" outlineLevel="0" collapsed="false">
      <c r="A884" s="0" t="s">
        <v>697</v>
      </c>
      <c r="B884" s="0" t="s">
        <v>73</v>
      </c>
      <c r="C884" s="38" t="n">
        <f aca="false">Sens!$C$866+Sens!$C$880-ext_sh_lo*Sens!$C$801</f>
        <v>51.3470500115664</v>
      </c>
      <c r="D884" s="38" t="n">
        <f aca="false">Sens!$D$866+Sens!$D$880-ext_sh_lo*Sens!$D$801</f>
        <v>60.2799375433739</v>
      </c>
      <c r="E884" s="38" t="n">
        <f aca="false">Sens!$E$866+Sens!$E$880-ext_sh_lo*Sens!$E$801</f>
        <v>39.5095167090767</v>
      </c>
      <c r="F884" s="38" t="n">
        <f aca="false">Sens!$F$866+Sens!$F$880-ext_sh_lo*Sens!$F$801</f>
        <v>41.1060402770081</v>
      </c>
      <c r="G884" s="38" t="n">
        <f aca="false">Sens!$G$866+Sens!$G$880-ext_sh_lo*Sens!$G$801</f>
        <v>80.6155569860848</v>
      </c>
      <c r="H884" s="38" t="n">
        <f aca="false">Sens!$H$866+Sens!$H$880-ext_sh_lo*Sens!$H$801</f>
        <v>94.6092882382357</v>
      </c>
      <c r="I884" s="38" t="n">
        <f aca="false">Sens!$I$866+Sens!$I$880-ext_sh_lo*Sens!$I$801</f>
        <v>110.171389431498</v>
      </c>
      <c r="J884" s="38" t="n">
        <f aca="false">Sens!$J$866+Sens!$J$880-ext_sh_lo*Sens!$J$801</f>
        <v>123.639185762365</v>
      </c>
      <c r="K884" s="38" t="n">
        <f aca="false">Sens!$K$866+Sens!$K$880-ext_sh_lo*Sens!$K$801</f>
        <v>133.530320623355</v>
      </c>
      <c r="L884" s="38" t="n">
        <f aca="false">Sens!$L$866+Sens!$L$880-ext_sh_lo*Sens!$L$801</f>
        <v>144.212746273223</v>
      </c>
      <c r="M884" s="38" t="n">
        <f aca="false">Sens!$M$866+Sens!$M$880-ext_sh_lo*Sens!$M$801</f>
        <v>155.749765975081</v>
      </c>
      <c r="N884" s="38" t="n">
        <f aca="false">Sens!$N$866+Sens!$N$880-ext_sh_lo*Sens!$N$801</f>
        <v>28.5693781401809</v>
      </c>
      <c r="O884" s="38" t="n">
        <f aca="false">Sens!$O$866+Sens!$O$880-ext_sh_lo*Sens!$O$801</f>
        <v>31.7105594031931</v>
      </c>
    </row>
    <row r="885" customFormat="false" ht="17.15" hidden="false" customHeight="false" outlineLevel="0" collapsed="false">
      <c r="A885" s="0" t="s">
        <v>698</v>
      </c>
      <c r="B885" s="0" t="s">
        <v>73</v>
      </c>
      <c r="C885" s="38" t="n">
        <f aca="false">Sens!$C$804</f>
        <v>1.80694998843362</v>
      </c>
      <c r="D885" s="38" t="n">
        <f aca="false">Sens!$D$804</f>
        <v>6.77606245662607</v>
      </c>
      <c r="E885" s="38" t="n">
        <f aca="false">Sens!$E$804</f>
        <v>6.62548329092326</v>
      </c>
      <c r="F885" s="38" t="n">
        <f aca="false">Sens!$F$804</f>
        <v>11.7200577158706</v>
      </c>
      <c r="G885" s="38" t="n">
        <f aca="false">Sens!$G$804</f>
        <v>18.3455410067939</v>
      </c>
      <c r="H885" s="38" t="n">
        <f aca="false">Sens!$H$804</f>
        <v>47.5171727060453</v>
      </c>
      <c r="I885" s="38" t="n">
        <f aca="false">Sens!$I$804</f>
        <v>80.5539692643667</v>
      </c>
      <c r="J885" s="38" t="n">
        <f aca="false">Sens!$J$804</f>
        <v>113.759316834883</v>
      </c>
      <c r="K885" s="38" t="n">
        <f aca="false">Sens!$K$804</f>
        <v>147.020848076132</v>
      </c>
      <c r="L885" s="38" t="n">
        <f aca="false">Sens!$L$804</f>
        <v>180.307917349531</v>
      </c>
      <c r="M885" s="38" t="n">
        <f aca="false">Sens!$M$804</f>
        <v>213.608737871012</v>
      </c>
      <c r="N885" s="38" t="n">
        <f aca="false">Sens!$N$804</f>
        <v>2.37162185981912</v>
      </c>
      <c r="O885" s="38" t="n">
        <f aca="false">Sens!$O$804</f>
        <v>4.40444059680694</v>
      </c>
    </row>
    <row r="886" customFormat="false" ht="17.15" hidden="false" customHeight="false" outlineLevel="0" collapsed="false">
      <c r="A886" s="0" t="s">
        <v>699</v>
      </c>
      <c r="B886" s="0" t="s">
        <v>73</v>
      </c>
      <c r="C886" s="38" t="n">
        <f aca="false">Sens!$C$869+Sens!$C$881</f>
        <v>100.66</v>
      </c>
      <c r="D886" s="38" t="n">
        <f aca="false">Sens!$D$869+Sens!$D$881</f>
        <v>121.835</v>
      </c>
      <c r="E886" s="38" t="n">
        <f aca="false">Sens!$E$869+Sens!$E$881</f>
        <v>78.016</v>
      </c>
      <c r="F886" s="38" t="n">
        <f aca="false">Sens!$F$869+Sens!$F$881</f>
        <v>90.7370894738175</v>
      </c>
      <c r="G886" s="38" t="n">
        <f aca="false">Sens!$G$869+Sens!$G$881</f>
        <v>168.753089473817</v>
      </c>
      <c r="H886" s="38" t="n">
        <f aca="false">Sens!$H$869+Sens!$H$881</f>
        <v>221.057742697185</v>
      </c>
      <c r="I886" s="38" t="n">
        <f aca="false">Sens!$I$869+Sens!$I$881</f>
        <v>277.378474020818</v>
      </c>
      <c r="J886" s="38" t="n">
        <f aca="false">Sens!$J$869+Sens!$J$881</f>
        <v>331.160874708628</v>
      </c>
      <c r="K886" s="38" t="n">
        <f aca="false">Sens!$K$869+Sens!$K$881</f>
        <v>380.036823270287</v>
      </c>
      <c r="L886" s="38" t="n">
        <f aca="false">Sens!$L$869+Sens!$L$881</f>
        <v>429.023253305584</v>
      </c>
      <c r="M886" s="38" t="n">
        <f aca="false">Sens!$M$869+Sens!$M$881</f>
        <v>479.829370313579</v>
      </c>
      <c r="N886" s="38" t="n">
        <f aca="false">Sens!$N$869+Sens!$N$881</f>
        <v>56.398</v>
      </c>
      <c r="O886" s="38" t="n">
        <f aca="false">Sens!$O$869+Sens!$O$881</f>
        <v>65.437</v>
      </c>
    </row>
    <row r="887" customFormat="false" ht="17.15" hidden="false" customHeight="false" outlineLevel="0" collapsed="false">
      <c r="A887" s="1" t="s">
        <v>700</v>
      </c>
    </row>
    <row r="888" customFormat="false" ht="15" hidden="false" customHeight="false" outlineLevel="0" collapsed="false">
      <c r="A888" s="5" t="s">
        <v>504</v>
      </c>
      <c r="B888" s="0" t="s">
        <v>73</v>
      </c>
      <c r="C888" s="38" t="n">
        <f aca="false">Q!$D$34</f>
        <v>2.406</v>
      </c>
      <c r="D888" s="38" t="n">
        <f aca="false">Q!$E$34</f>
        <v>2.274</v>
      </c>
      <c r="E888" s="38" t="n">
        <f aca="false">Q!$P$34</f>
        <v>2.114</v>
      </c>
      <c r="F888" s="38" t="n">
        <f aca="false">Sens!$F$924</f>
        <v>3.24888964316061</v>
      </c>
      <c r="G888" s="38" t="n">
        <f aca="false">Sens!$E$888+Sens!$F$888</f>
        <v>5.36288964316061</v>
      </c>
      <c r="H888" s="38" t="n">
        <f aca="false">Sens!$H$924</f>
        <v>7.42354178632123</v>
      </c>
      <c r="I888" s="38" t="n">
        <f aca="false">Sens!$I$924</f>
        <v>13.8635208475502</v>
      </c>
      <c r="J888" s="38" t="n">
        <f aca="false">Sens!$J$924</f>
        <v>18.9036956787043</v>
      </c>
      <c r="K888" s="38" t="n">
        <f aca="false">Sens!$K$924</f>
        <v>21.6051858054031</v>
      </c>
      <c r="L888" s="38" t="n">
        <f aca="false">Sens!$L$924</f>
        <v>22.024853207096</v>
      </c>
      <c r="M888" s="38" t="n">
        <f aca="false">Sens!$M$924</f>
        <v>22.7254695660819</v>
      </c>
      <c r="N888" s="38" t="n">
        <f aca="false">Q!$N$34</f>
        <v>1.057</v>
      </c>
      <c r="O888" s="38" t="n">
        <f aca="false">Q!$O$34</f>
        <v>1.217</v>
      </c>
    </row>
    <row r="889" customFormat="false" ht="15" hidden="false" customHeight="false" outlineLevel="0" collapsed="false">
      <c r="A889" s="5" t="s">
        <v>701</v>
      </c>
      <c r="B889" s="0" t="s">
        <v>73</v>
      </c>
      <c r="F889" s="38" t="n">
        <f aca="false">Sens!$F$925</f>
        <v>2.59</v>
      </c>
      <c r="H889" s="38" t="n">
        <f aca="false">Sens!$H$925</f>
        <v>2.6672102948915</v>
      </c>
      <c r="I889" s="38" t="n">
        <f aca="false">Sens!$I$925</f>
        <v>2.10589651022864</v>
      </c>
      <c r="J889" s="38" t="n">
        <f aca="false">Sens!$J$925</f>
        <v>2.10589651022864</v>
      </c>
      <c r="K889" s="38" t="n">
        <f aca="false">Sens!$K$925</f>
        <v>2.10589651022864</v>
      </c>
      <c r="L889" s="38" t="n">
        <f aca="false">Sens!$L$925</f>
        <v>2.10589651022864</v>
      </c>
      <c r="M889" s="38" t="n">
        <f aca="false">Sens!$M$925</f>
        <v>2.10589651022864</v>
      </c>
    </row>
    <row r="890" customFormat="false" ht="17.15" hidden="false" customHeight="false" outlineLevel="0" collapsed="false">
      <c r="A890" s="5" t="s">
        <v>702</v>
      </c>
      <c r="B890" s="0" t="s">
        <v>73</v>
      </c>
      <c r="C890" s="38" t="n">
        <f aca="false">Q!$D$39</f>
        <v>2.427</v>
      </c>
      <c r="D890" s="38" t="n">
        <f aca="false">Q!$E$39</f>
        <v>19.61</v>
      </c>
      <c r="E890" s="38" t="n">
        <f aca="false">Q!$P$39</f>
        <v>71.492</v>
      </c>
      <c r="F890" s="41" t="n">
        <v>0</v>
      </c>
      <c r="G890" s="38" t="n">
        <f aca="false">Sens!$E$890+Sens!$F$890</f>
        <v>71.492</v>
      </c>
      <c r="H890" s="41" t="n">
        <v>0</v>
      </c>
      <c r="I890" s="41" t="n">
        <v>0</v>
      </c>
      <c r="J890" s="41" t="n">
        <v>0</v>
      </c>
      <c r="K890" s="41" t="n">
        <v>0</v>
      </c>
      <c r="L890" s="41" t="n">
        <v>0</v>
      </c>
      <c r="M890" s="41" t="n">
        <v>0</v>
      </c>
      <c r="N890" s="38" t="n">
        <f aca="false">Q!$N$39</f>
        <v>6.017</v>
      </c>
      <c r="O890" s="38" t="n">
        <f aca="false">Q!$O$39</f>
        <v>13.593</v>
      </c>
      <c r="P890" s="5" t="s">
        <v>703</v>
      </c>
    </row>
    <row r="891" customFormat="false" ht="15" hidden="false" customHeight="false" outlineLevel="0" collapsed="false">
      <c r="A891" s="5" t="s">
        <v>507</v>
      </c>
      <c r="B891" s="0" t="s">
        <v>73</v>
      </c>
      <c r="C891" s="38" t="n">
        <f aca="false">Q!$D$36</f>
        <v>68.614</v>
      </c>
      <c r="D891" s="38" t="n">
        <f aca="false">Q!$E$36</f>
        <v>97.311</v>
      </c>
      <c r="E891" s="38" t="n">
        <f aca="false">Q!$P$36</f>
        <v>120.691</v>
      </c>
      <c r="F891" s="38" t="n">
        <f aca="false">Sens!$F$869-Sens!$F$888+Sens!$F$889+Sens!$F$890</f>
        <v>59.4330290046026</v>
      </c>
      <c r="G891" s="38" t="n">
        <f aca="false">Sens!$E$891+Sens!$F$891</f>
        <v>180.124029004603</v>
      </c>
      <c r="H891" s="38" t="n">
        <f aca="false">Sens!$H$869-Sens!$H$888+Sens!$H$889+Sens!$H$890</f>
        <v>123.972252927091</v>
      </c>
      <c r="I891" s="38" t="n">
        <f aca="false">Sens!$I$869-Sens!$I$888+Sens!$I$889+Sens!$I$890</f>
        <v>129.344990187206</v>
      </c>
      <c r="J891" s="38" t="n">
        <f aca="false">Sens!$J$869-Sens!$J$888+Sens!$J$889+Sens!$J$890</f>
        <v>133.592177268668</v>
      </c>
      <c r="K891" s="38" t="n">
        <f aca="false">Sens!$K$869-Sens!$K$888+Sens!$K$889+Sens!$K$890</f>
        <v>135.635081295003</v>
      </c>
      <c r="L891" s="38" t="n">
        <f aca="false">Sens!$L$869-Sens!$L$888+Sens!$L$889+Sens!$L$890</f>
        <v>141.43310323562</v>
      </c>
      <c r="M891" s="38" t="n">
        <f aca="false">Sens!$M$869-Sens!$M$888+Sens!$M$889+Sens!$M$890</f>
        <v>145.620177160501</v>
      </c>
      <c r="N891" s="38" t="n">
        <f aca="false">Q!$N$36</f>
        <v>42.536</v>
      </c>
      <c r="O891" s="38" t="n">
        <f aca="false">Q!$O$36</f>
        <v>54.775</v>
      </c>
    </row>
    <row r="892" customFormat="false" ht="15" hidden="false" customHeight="false" outlineLevel="0" collapsed="false">
      <c r="A892" s="5" t="s">
        <v>508</v>
      </c>
      <c r="B892" s="0" t="s">
        <v>73</v>
      </c>
      <c r="C892" s="38" t="n">
        <f aca="false">Q!$D$37</f>
        <v>9.265</v>
      </c>
      <c r="D892" s="38" t="n">
        <f aca="false">Q!$E$37</f>
        <v>19.087</v>
      </c>
      <c r="E892" s="38" t="n">
        <f aca="false">Q!$P$37</f>
        <v>27.759</v>
      </c>
      <c r="F892" s="38" t="n">
        <f aca="false">Sens!$F$891*tax</f>
        <v>10.3166542054176</v>
      </c>
      <c r="G892" s="38" t="n">
        <f aca="false">Sens!$E$892+Sens!$F$892</f>
        <v>38.0756542054176</v>
      </c>
      <c r="H892" s="38" t="n">
        <f aca="false">Sens!$H$891*tax</f>
        <v>21.5196648384911</v>
      </c>
      <c r="I892" s="38" t="n">
        <f aca="false">Sens!$I$891*tax</f>
        <v>22.4522888924474</v>
      </c>
      <c r="J892" s="38" t="n">
        <f aca="false">Sens!$J$891*tax</f>
        <v>23.1895348514538</v>
      </c>
      <c r="K892" s="38" t="n">
        <f aca="false">Sens!$K$891*tax</f>
        <v>23.5441513797975</v>
      </c>
      <c r="L892" s="38" t="n">
        <f aca="false">Sens!$L$891*tax</f>
        <v>24.5505982736978</v>
      </c>
      <c r="M892" s="38" t="n">
        <f aca="false">Sens!$M$891*tax</f>
        <v>25.2774095188754</v>
      </c>
      <c r="N892" s="38" t="n">
        <f aca="false">Q!$N$37</f>
        <v>7.231</v>
      </c>
      <c r="O892" s="38" t="n">
        <f aca="false">Q!$O$37</f>
        <v>11.856</v>
      </c>
    </row>
    <row r="893" customFormat="false" ht="15" hidden="false" customHeight="false" outlineLevel="0" collapsed="false">
      <c r="A893" s="3" t="s">
        <v>509</v>
      </c>
      <c r="B893" s="8" t="s">
        <v>73</v>
      </c>
      <c r="C893" s="38" t="n">
        <f aca="false">Q!$D$38</f>
        <v>59.248</v>
      </c>
      <c r="D893" s="38" t="n">
        <f aca="false">Q!$E$38</f>
        <v>77.67</v>
      </c>
      <c r="E893" s="38" t="n">
        <f aca="false">Q!$P$38</f>
        <v>92.902</v>
      </c>
      <c r="F893" s="38" t="n">
        <f aca="false">Sens!$F$891-Sens!$F$892</f>
        <v>49.116374799185</v>
      </c>
      <c r="G893" s="38" t="n">
        <f aca="false">Sens!$E$893+Sens!$F$893</f>
        <v>142.018374799185</v>
      </c>
      <c r="H893" s="38" t="n">
        <f aca="false">Sens!$H$891-Sens!$H$892</f>
        <v>102.4525880886</v>
      </c>
      <c r="I893" s="38" t="n">
        <f aca="false">Sens!$I$891-Sens!$I$892</f>
        <v>106.892701294759</v>
      </c>
      <c r="J893" s="38" t="n">
        <f aca="false">Sens!$J$891-Sens!$J$892</f>
        <v>110.402642417214</v>
      </c>
      <c r="K893" s="38" t="n">
        <f aca="false">Sens!$K$891-Sens!$K$892</f>
        <v>112.090929915206</v>
      </c>
      <c r="L893" s="38" t="n">
        <f aca="false">Sens!$L$891-Sens!$L$892</f>
        <v>116.882504961922</v>
      </c>
      <c r="M893" s="38" t="n">
        <f aca="false">Sens!$M$891-Sens!$M$892</f>
        <v>120.342767641625</v>
      </c>
      <c r="N893" s="38" t="n">
        <f aca="false">Q!$N$38</f>
        <v>35.291</v>
      </c>
      <c r="O893" s="38" t="n">
        <f aca="false">Q!$O$38</f>
        <v>42.379</v>
      </c>
    </row>
    <row r="894" customFormat="false" ht="17.15" hidden="false" customHeight="false" outlineLevel="0" collapsed="false">
      <c r="A894" s="5" t="s">
        <v>512</v>
      </c>
      <c r="B894" s="5" t="s">
        <v>33</v>
      </c>
      <c r="C894" s="22" t="n">
        <f aca="false">Q!$D$41</f>
        <v>10.721</v>
      </c>
      <c r="D894" s="22" t="n">
        <f aca="false">Q!$E$41</f>
        <v>10.827</v>
      </c>
      <c r="E894" s="22" t="n">
        <f aca="false">(Q!$L$41+Q!$M$41)/2</f>
        <v>10.8885</v>
      </c>
      <c r="F894" s="22" t="n">
        <f aca="false">Sens!$G$894</f>
        <v>10.924806</v>
      </c>
      <c r="G894" s="22" t="n">
        <f aca="false">Q!$M$41*(1+sh_g*0.25)</f>
        <v>10.924806</v>
      </c>
      <c r="H894" s="22" t="n">
        <f aca="false">Sens!$G$894*(1+sh_g)</f>
        <v>11.012204448</v>
      </c>
      <c r="I894" s="22" t="n">
        <f aca="false">Sens!$H$894*(1+sh_g)</f>
        <v>11.100302083584</v>
      </c>
      <c r="J894" s="22" t="n">
        <f aca="false">Sens!$I$894*(1+sh_g)</f>
        <v>11.1891045002527</v>
      </c>
      <c r="K894" s="22" t="n">
        <f aca="false">Sens!$J$894*(1+sh_g)</f>
        <v>11.2786173362547</v>
      </c>
      <c r="L894" s="22" t="n">
        <f aca="false">Sens!$K$894*(1+sh_g)</f>
        <v>11.3688462749447</v>
      </c>
      <c r="M894" s="22" t="n">
        <f aca="false">Sens!$L$894*(1+sh_g)</f>
        <v>11.4597970451443</v>
      </c>
      <c r="P894" s="5" t="s">
        <v>704</v>
      </c>
    </row>
    <row r="895" customFormat="false" ht="17.15" hidden="false" customHeight="false" outlineLevel="0" collapsed="false">
      <c r="A895" s="42" t="s">
        <v>705</v>
      </c>
      <c r="B895" s="13" t="s">
        <v>27</v>
      </c>
      <c r="C895" s="43" t="n">
        <f aca="false">Sens!$C$893/Sens!$C$894</f>
        <v>5.52635015390355</v>
      </c>
      <c r="D895" s="43" t="n">
        <f aca="false">Sens!$D$893/Sens!$D$894</f>
        <v>7.1737323358271</v>
      </c>
      <c r="E895" s="43" t="n">
        <f aca="false">Sens!$E$893/Sens!$E$894</f>
        <v>8.53212104513937</v>
      </c>
      <c r="F895" s="13"/>
      <c r="G895" s="43" t="n">
        <f aca="false">Sens!$G$893/Sens!$G$894</f>
        <v>12.9996244143086</v>
      </c>
      <c r="H895" s="43" t="n">
        <f aca="false">Sens!$H$893/Sens!$H$894</f>
        <v>9.30354940033889</v>
      </c>
      <c r="I895" s="43" t="n">
        <f aca="false">Sens!$I$893/Sens!$I$894</f>
        <v>9.62971101956225</v>
      </c>
      <c r="J895" s="43" t="n">
        <f aca="false">Sens!$J$893/Sens!$J$894</f>
        <v>9.86697750608376</v>
      </c>
      <c r="K895" s="43" t="n">
        <f aca="false">Sens!$K$893/Sens!$K$894</f>
        <v>9.93835738667128</v>
      </c>
      <c r="L895" s="43" t="n">
        <f aca="false">Sens!$L$893/Sens!$L$894</f>
        <v>10.280946908352</v>
      </c>
      <c r="M895" s="43" t="n">
        <f aca="false">Sens!$M$893/Sens!$M$894</f>
        <v>10.5013000812799</v>
      </c>
      <c r="N895" s="13"/>
      <c r="O895" s="13"/>
    </row>
    <row r="896" customFormat="false" ht="17.15" hidden="false" customHeight="false" outlineLevel="0" collapsed="false">
      <c r="A896" s="0" t="s">
        <v>706</v>
      </c>
      <c r="B896" s="0" t="s">
        <v>27</v>
      </c>
      <c r="C896" s="30" t="n">
        <f aca="false">(Sens!$C$893-Sens!$C$890*(1-tax))/Sens!$C$894</f>
        <v>5.33926775917445</v>
      </c>
      <c r="D896" s="30" t="n">
        <f aca="false">(Sens!$D$893-Sens!$D$890*(1-tax))/Sens!$D$894</f>
        <v>5.67691812755503</v>
      </c>
      <c r="E896" s="30" t="n">
        <f aca="false">(Sens!$E$893-Sens!$E$890*(1-tax))/Sens!$E$894</f>
        <v>3.10602057006846</v>
      </c>
      <c r="G896" s="30" t="n">
        <f aca="false">(Sens!$G$893-Sens!$G$890*(1-tax))/Sens!$G$894</f>
        <v>7.59155629641161</v>
      </c>
      <c r="H896" s="30" t="n">
        <f aca="false">(Sens!$H$893-Sens!$H$890*(1-tax))/Sens!$H$894</f>
        <v>9.30354940033889</v>
      </c>
      <c r="I896" s="30" t="n">
        <f aca="false">(Sens!$I$893-Sens!$I$890*(1-tax))/Sens!$I$894</f>
        <v>9.62971101956225</v>
      </c>
      <c r="J896" s="30" t="n">
        <f aca="false">(Sens!$J$893-Sens!$J$890*(1-tax))/Sens!$J$894</f>
        <v>9.86697750608376</v>
      </c>
      <c r="K896" s="30" t="n">
        <f aca="false">(Sens!$K$893-Sens!$K$890*(1-tax))/Sens!$K$894</f>
        <v>9.93835738667128</v>
      </c>
      <c r="L896" s="30" t="n">
        <f aca="false">(Sens!$L$893-Sens!$L$890*(1-tax))/Sens!$L$894</f>
        <v>10.280946908352</v>
      </c>
      <c r="M896" s="30" t="n">
        <f aca="false">(Sens!$M$893-Sens!$M$890*(1-tax))/Sens!$M$894</f>
        <v>10.5013000812799</v>
      </c>
      <c r="P896" s="5" t="s">
        <v>707</v>
      </c>
    </row>
    <row r="897" customFormat="false" ht="17.15" hidden="false" customHeight="false" outlineLevel="0" collapsed="false">
      <c r="A897" s="0" t="s">
        <v>708</v>
      </c>
      <c r="B897" s="0" t="s">
        <v>52</v>
      </c>
      <c r="H897" s="12" t="n">
        <f aca="false">Sens!$H$895/Sens!$G$895-1</f>
        <v>-0.284321677009488</v>
      </c>
      <c r="I897" s="12" t="n">
        <f aca="false">Sens!$I$895/Sens!$H$895-1</f>
        <v>0.0350577618485568</v>
      </c>
      <c r="J897" s="12" t="n">
        <f aca="false">Sens!$J$895/Sens!$I$895-1</f>
        <v>0.0246390038122137</v>
      </c>
      <c r="K897" s="12" t="n">
        <f aca="false">Sens!$K$895/Sens!$J$895-1</f>
        <v>0.00723421945002967</v>
      </c>
      <c r="L897" s="12" t="n">
        <f aca="false">Sens!$L$895/Sens!$K$895-1</f>
        <v>0.0344714431521844</v>
      </c>
      <c r="M897" s="12" t="n">
        <f aca="false">Sens!$M$895/Sens!$L$895-1</f>
        <v>0.0214331593084012</v>
      </c>
    </row>
    <row r="900" customFormat="false" ht="19.4" hidden="false" customHeight="false" outlineLevel="0" collapsed="false">
      <c r="A900" s="31" t="s">
        <v>1061</v>
      </c>
    </row>
    <row r="901" customFormat="false" ht="17.15" hidden="false" customHeight="false" outlineLevel="0" collapsed="false">
      <c r="A901" s="6" t="s">
        <v>16</v>
      </c>
      <c r="B901" s="6" t="s">
        <v>17</v>
      </c>
      <c r="C901" s="20" t="s">
        <v>457</v>
      </c>
      <c r="D901" s="20" t="s">
        <v>458</v>
      </c>
      <c r="E901" s="20" t="s">
        <v>540</v>
      </c>
      <c r="F901" s="20" t="s">
        <v>541</v>
      </c>
      <c r="G901" s="20" t="s">
        <v>542</v>
      </c>
      <c r="H901" s="20" t="s">
        <v>543</v>
      </c>
      <c r="I901" s="20" t="s">
        <v>544</v>
      </c>
      <c r="J901" s="20" t="s">
        <v>545</v>
      </c>
      <c r="K901" s="20" t="s">
        <v>546</v>
      </c>
      <c r="L901" s="20" t="s">
        <v>547</v>
      </c>
      <c r="M901" s="20" t="s">
        <v>548</v>
      </c>
      <c r="N901" s="20" t="s">
        <v>549</v>
      </c>
      <c r="O901" s="20" t="s">
        <v>550</v>
      </c>
      <c r="P901" s="6" t="s">
        <v>23</v>
      </c>
      <c r="R901" s="20" t="n">
        <v>2023</v>
      </c>
      <c r="S901" s="20" t="n">
        <v>2024</v>
      </c>
      <c r="T901" s="20" t="n">
        <v>2025</v>
      </c>
      <c r="U901" s="20" t="n">
        <v>2026</v>
      </c>
      <c r="V901" s="20" t="n">
        <v>2027</v>
      </c>
      <c r="W901" s="20" t="n">
        <v>2028</v>
      </c>
      <c r="X901" s="20" t="n">
        <v>2029</v>
      </c>
      <c r="Y901" s="20" t="n">
        <v>2030</v>
      </c>
      <c r="Z901" s="20" t="n">
        <v>2031</v>
      </c>
      <c r="AA901" s="20" t="n">
        <v>2032</v>
      </c>
    </row>
    <row r="902" customFormat="false" ht="15" hidden="false" customHeight="false" outlineLevel="0" collapsed="false">
      <c r="A902" s="5" t="s">
        <v>509</v>
      </c>
      <c r="B902" s="0" t="s">
        <v>73</v>
      </c>
      <c r="C902" s="38" t="n">
        <f aca="false">Sens!$C$893</f>
        <v>59.248</v>
      </c>
      <c r="D902" s="38" t="n">
        <f aca="false">Sens!$D$893</f>
        <v>77.67</v>
      </c>
      <c r="E902" s="38" t="n">
        <f aca="false">Sens!$E$893</f>
        <v>92.902</v>
      </c>
      <c r="F902" s="38" t="n">
        <f aca="false">Sens!$F$893</f>
        <v>49.116374799185</v>
      </c>
      <c r="G902" s="38" t="n">
        <f aca="false">Sens!$G$893</f>
        <v>142.018374799185</v>
      </c>
      <c r="H902" s="38" t="n">
        <f aca="false">Sens!$H$893</f>
        <v>102.4525880886</v>
      </c>
      <c r="I902" s="38" t="n">
        <f aca="false">Sens!$I$893</f>
        <v>106.892701294759</v>
      </c>
      <c r="J902" s="38" t="n">
        <f aca="false">Sens!$J$893</f>
        <v>110.402642417214</v>
      </c>
      <c r="K902" s="38" t="n">
        <f aca="false">Sens!$K$893</f>
        <v>112.090929915206</v>
      </c>
      <c r="L902" s="38" t="n">
        <f aca="false">Sens!$L$893</f>
        <v>116.882504961922</v>
      </c>
      <c r="M902" s="38" t="n">
        <f aca="false">Sens!$M$893</f>
        <v>120.342767641625</v>
      </c>
    </row>
    <row r="903" customFormat="false" ht="17.15" hidden="false" customHeight="false" outlineLevel="0" collapsed="false">
      <c r="A903" s="5" t="s">
        <v>730</v>
      </c>
      <c r="B903" s="0" t="s">
        <v>73</v>
      </c>
      <c r="C903" s="38" t="n">
        <f aca="false">Sens!$C$881</f>
        <v>32.067</v>
      </c>
      <c r="D903" s="38" t="n">
        <f aca="false">Sens!$D$881</f>
        <v>41.86</v>
      </c>
      <c r="E903" s="38" t="n">
        <f aca="false">Sens!$E$881</f>
        <v>26.703</v>
      </c>
      <c r="F903" s="38" t="n">
        <f aca="false">Sens!$F$881</f>
        <v>30.6451708260543</v>
      </c>
      <c r="G903" s="38" t="n">
        <f aca="false">Sens!$G$881</f>
        <v>57.3481708260543</v>
      </c>
      <c r="H903" s="38" t="n">
        <f aca="false">Sens!$H$881</f>
        <v>92.3291582786645</v>
      </c>
      <c r="I903" s="38" t="n">
        <f aca="false">Sens!$I$881</f>
        <v>136.27585949629</v>
      </c>
      <c r="J903" s="38" t="n">
        <f aca="false">Sens!$J$881</f>
        <v>180.770898271485</v>
      </c>
      <c r="K903" s="38" t="n">
        <f aca="false">Sens!$K$881</f>
        <v>224.90245268011</v>
      </c>
      <c r="L903" s="38" t="n">
        <f aca="false">Sens!$L$881</f>
        <v>267.671193373097</v>
      </c>
      <c r="M903" s="38" t="n">
        <f aca="false">Sens!$M$881</f>
        <v>313.589620097225</v>
      </c>
    </row>
    <row r="904" customFormat="false" ht="15" hidden="false" customHeight="false" outlineLevel="0" collapsed="false">
      <c r="A904" s="5" t="s">
        <v>731</v>
      </c>
      <c r="B904" s="0" t="s">
        <v>73</v>
      </c>
      <c r="C904" s="38" t="n">
        <f aca="false">Q!$D$48</f>
        <v>22.011</v>
      </c>
      <c r="D904" s="38" t="n">
        <f aca="false">Q!$E$48</f>
        <v>19.467</v>
      </c>
      <c r="E904" s="38" t="n">
        <f aca="false">Q!$P$48</f>
        <v>10.07</v>
      </c>
      <c r="F904" s="38" t="n">
        <f aca="false">sbc_r*Sens!$F$825</f>
        <v>11.2170714500462</v>
      </c>
      <c r="G904" s="38" t="n">
        <f aca="false">Sens!$E$904+Sens!$F$904</f>
        <v>21.2870714500462</v>
      </c>
      <c r="H904" s="38" t="n">
        <f aca="false">sbc_r*Sens!$H$825</f>
        <v>24.1772394325528</v>
      </c>
      <c r="I904" s="38" t="n">
        <f aca="false">sbc_r*Sens!$I$825</f>
        <v>27.6495284422397</v>
      </c>
      <c r="J904" s="38" t="n">
        <f aca="false">sbc_r*Sens!$J$825</f>
        <v>30.9042211184633</v>
      </c>
      <c r="K904" s="38" t="n">
        <f aca="false">sbc_r*Sens!$K$825</f>
        <v>33.8004145402678</v>
      </c>
      <c r="L904" s="38" t="n">
        <f aca="false">sbc_r*Sens!$L$825</f>
        <v>36.8322537652494</v>
      </c>
      <c r="M904" s="38" t="n">
        <f aca="false">sbc_r*Sens!$M$825</f>
        <v>40.0097627968013</v>
      </c>
    </row>
    <row r="905" customFormat="false" ht="17.15" hidden="false" customHeight="false" outlineLevel="0" collapsed="false">
      <c r="A905" s="5" t="s">
        <v>732</v>
      </c>
      <c r="B905" s="0" t="s">
        <v>73</v>
      </c>
      <c r="C905" s="38" t="n">
        <f aca="false">Q!$D$44-Sens!$C$902-Sens!$C$903-Sens!$C$904</f>
        <v>2.551</v>
      </c>
      <c r="D905" s="38" t="n">
        <f aca="false">Q!$E$44-Sens!$D$902-Sens!$D$903-Sens!$D$904</f>
        <v>0.51700000000001</v>
      </c>
      <c r="E905" s="38" t="n">
        <f aca="false">Q!$P$44-Sens!$E$902-Sens!$E$903-Sens!$E$904</f>
        <v>-58.256</v>
      </c>
      <c r="F905" s="38" t="n">
        <f aca="false">wc_2h26+oth_r*Sens!$F$825</f>
        <v>7.34599241893378</v>
      </c>
      <c r="G905" s="38" t="n">
        <f aca="false">Sens!$E$905+Sens!$F$905</f>
        <v>-50.9100075810662</v>
      </c>
      <c r="H905" s="38" t="n">
        <f aca="false">oth_r*Sens!$H$825</f>
        <v>11.6369707537667</v>
      </c>
      <c r="I905" s="38" t="n">
        <f aca="false">oth_r*Sens!$I$825</f>
        <v>13.3082502961262</v>
      </c>
      <c r="J905" s="38" t="n">
        <f aca="false">oth_r*Sens!$J$825</f>
        <v>14.8747965344332</v>
      </c>
      <c r="K905" s="38" t="n">
        <f aca="false">oth_r*Sens!$K$825</f>
        <v>16.2687901804328</v>
      </c>
      <c r="L905" s="38" t="n">
        <f aca="false">oth_r*Sens!$L$825</f>
        <v>17.7280727627002</v>
      </c>
      <c r="M905" s="38" t="n">
        <f aca="false">oth_r*Sens!$M$825</f>
        <v>19.2574690270319</v>
      </c>
      <c r="P905" s="8" t="s">
        <v>733</v>
      </c>
    </row>
    <row r="906" customFormat="false" ht="15" hidden="false" customHeight="false" outlineLevel="0" collapsed="false">
      <c r="A906" s="3" t="s">
        <v>515</v>
      </c>
      <c r="B906" s="8" t="s">
        <v>73</v>
      </c>
      <c r="C906" s="38" t="n">
        <f aca="false">Q!$D$44</f>
        <v>115.877</v>
      </c>
      <c r="D906" s="38" t="n">
        <f aca="false">Q!$E$44</f>
        <v>139.514</v>
      </c>
      <c r="E906" s="38" t="n">
        <f aca="false">Q!$P$44</f>
        <v>71.419</v>
      </c>
      <c r="F906" s="38" t="n">
        <f aca="false">Sens!$F$902+Sens!$F$903+Sens!$F$904+Sens!$F$905</f>
        <v>98.3246094942192</v>
      </c>
      <c r="G906" s="38" t="n">
        <f aca="false">Sens!$E$906+Sens!$F$906</f>
        <v>169.743609494219</v>
      </c>
      <c r="H906" s="38" t="n">
        <f aca="false">Sens!$H$902+Sens!$H$903+Sens!$H$904+Sens!$H$905</f>
        <v>230.595956553584</v>
      </c>
      <c r="I906" s="38" t="n">
        <f aca="false">Sens!$I$902+Sens!$I$903+Sens!$I$904+Sens!$I$905</f>
        <v>284.126339529414</v>
      </c>
      <c r="J906" s="38" t="n">
        <f aca="false">Sens!$J$902+Sens!$J$903+Sens!$J$904+Sens!$J$905</f>
        <v>336.952558341595</v>
      </c>
      <c r="K906" s="38" t="n">
        <f aca="false">Sens!$K$902+Sens!$K$903+Sens!$K$904+Sens!$K$905</f>
        <v>387.062587316016</v>
      </c>
      <c r="L906" s="38" t="n">
        <f aca="false">Sens!$L$902+Sens!$L$903+Sens!$L$904+Sens!$L$905</f>
        <v>439.114024862968</v>
      </c>
      <c r="M906" s="38" t="n">
        <f aca="false">Sens!$M$902+Sens!$M$903+Sens!$M$904+Sens!$M$905</f>
        <v>493.199619562683</v>
      </c>
    </row>
    <row r="907" customFormat="false" ht="17.15" hidden="false" customHeight="false" outlineLevel="0" collapsed="false">
      <c r="A907" s="5" t="s">
        <v>734</v>
      </c>
      <c r="B907" s="0" t="s">
        <v>73</v>
      </c>
      <c r="C907" s="38" t="n">
        <f aca="false">Sens!$C$795</f>
        <v>25.2781053077374</v>
      </c>
      <c r="D907" s="38" t="n">
        <f aca="false">Sens!$D$795</f>
        <v>69.5686316310026</v>
      </c>
      <c r="E907" s="38" t="n">
        <f aca="false">Sens!$E$795</f>
        <v>64.1899206485108</v>
      </c>
      <c r="F907" s="38" t="n">
        <f aca="false">Sens!$F$795</f>
        <v>128.330839986</v>
      </c>
      <c r="G907" s="38" t="n">
        <f aca="false">Sens!$G$795</f>
        <v>192.520760634511</v>
      </c>
      <c r="H907" s="38" t="n">
        <f aca="false">Sens!$H$795</f>
        <v>264.761819926333</v>
      </c>
      <c r="I907" s="38" t="n">
        <f aca="false">Sens!$I$795</f>
        <v>272.861959880667</v>
      </c>
      <c r="J907" s="38" t="n">
        <f aca="false">Sens!$J$795</f>
        <v>279.844317480667</v>
      </c>
      <c r="K907" s="38" t="n">
        <f aca="false">Sens!$K$795</f>
        <v>286.826675080667</v>
      </c>
      <c r="L907" s="38" t="n">
        <f aca="false">Sens!$L$795</f>
        <v>335.703178280667</v>
      </c>
      <c r="M907" s="38" t="n">
        <f aca="false">Sens!$M$795</f>
        <v>415.834459687667</v>
      </c>
    </row>
    <row r="908" customFormat="false" ht="17.15" hidden="false" customHeight="false" outlineLevel="0" collapsed="false">
      <c r="A908" s="5" t="s">
        <v>735</v>
      </c>
      <c r="B908" s="0" t="s">
        <v>73</v>
      </c>
      <c r="C908" s="38" t="n">
        <f aca="false">cx_awso*Sens!$C$823</f>
        <v>21.0469989286053</v>
      </c>
      <c r="D908" s="38" t="n">
        <f aca="false">cx_awso*Sens!$D$823</f>
        <v>24.0042459822698</v>
      </c>
      <c r="E908" s="38" t="n">
        <f aca="false">cx_awso*Sens!$E$823</f>
        <v>14.261729404886</v>
      </c>
      <c r="F908" s="38" t="n">
        <f aca="false">cx_awso*Sens!$F$823</f>
        <v>15.7190020837331</v>
      </c>
      <c r="G908" s="38" t="n">
        <f aca="false">Sens!$E$908+Sens!$F$908</f>
        <v>29.9807314886191</v>
      </c>
      <c r="H908" s="38" t="n">
        <f aca="false">cx_awso*Sens!$H$823</f>
        <v>36.1787121536283</v>
      </c>
      <c r="I908" s="38" t="n">
        <f aca="false">cx_awso*Sens!$I$823</f>
        <v>42.1296794430021</v>
      </c>
      <c r="J908" s="38" t="n">
        <f aca="false">cx_awso*Sens!$J$823</f>
        <v>47.279781889299</v>
      </c>
      <c r="K908" s="38" t="n">
        <f aca="false">cx_awso*Sens!$K$823</f>
        <v>51.0621644404429</v>
      </c>
      <c r="L908" s="38" t="n">
        <f aca="false">cx_awso*Sens!$L$823</f>
        <v>55.1471375956783</v>
      </c>
      <c r="M908" s="38" t="n">
        <f aca="false">cx_awso*Sens!$M$823</f>
        <v>59.5589086033326</v>
      </c>
    </row>
    <row r="909" customFormat="false" ht="17.15" hidden="false" customHeight="false" outlineLevel="0" collapsed="false">
      <c r="A909" s="5" t="s">
        <v>736</v>
      </c>
      <c r="B909" s="0" t="s">
        <v>73</v>
      </c>
      <c r="C909" s="38" t="n">
        <f aca="false">Q!$D$46-Sens!$C$907-Sens!$C$908</f>
        <v>31.3328957636573</v>
      </c>
      <c r="D909" s="38" t="n">
        <f aca="false">Q!$E$46-Sens!$D$907-Sens!$D$908</f>
        <v>34.7471223867276</v>
      </c>
      <c r="E909" s="38" t="n">
        <f aca="false">Q!$P$46-Sens!$E$907-Sens!$E$908</f>
        <v>17.8583499466032</v>
      </c>
      <c r="F909" s="38" t="n">
        <f aca="false">cx_rt*Sens!$F$759</f>
        <v>21.0855744229195</v>
      </c>
      <c r="G909" s="38" t="n">
        <f aca="false">Sens!$E$909+Sens!$F$909</f>
        <v>38.9439243695228</v>
      </c>
      <c r="H909" s="38" t="n">
        <f aca="false">cx_rt*Sens!$H$759</f>
        <v>43.1200434029767</v>
      </c>
      <c r="I909" s="38" t="n">
        <f aca="false">cx_rt*Sens!$I$759</f>
        <v>47.1583152318763</v>
      </c>
      <c r="J909" s="38" t="n">
        <f aca="false">cx_rt*Sens!$J$759</f>
        <v>50.9060281137911</v>
      </c>
      <c r="K909" s="38" t="n">
        <f aca="false">cx_rt*Sens!$K$759</f>
        <v>54.2035645673053</v>
      </c>
      <c r="L909" s="38" t="n">
        <f aca="false">cx_rt*Sens!$L$759</f>
        <v>57.7318979121519</v>
      </c>
      <c r="M909" s="38" t="n">
        <f aca="false">cx_rt*Sens!$M$759</f>
        <v>61.5084196557756</v>
      </c>
    </row>
    <row r="910" customFormat="false" ht="15" hidden="false" customHeight="false" outlineLevel="0" collapsed="false">
      <c r="A910" s="3" t="s">
        <v>737</v>
      </c>
      <c r="B910" s="8" t="s">
        <v>73</v>
      </c>
      <c r="C910" s="38" t="n">
        <f aca="false">Q!$D$46</f>
        <v>77.658</v>
      </c>
      <c r="D910" s="38" t="n">
        <f aca="false">Q!$E$46</f>
        <v>128.32</v>
      </c>
      <c r="E910" s="38" t="n">
        <f aca="false">Q!$P$46</f>
        <v>96.31</v>
      </c>
      <c r="F910" s="38" t="n">
        <f aca="false">Sens!$F$907+Sens!$F$908+Sens!$F$909</f>
        <v>165.135416492653</v>
      </c>
      <c r="G910" s="38" t="n">
        <f aca="false">Sens!$E$910+Sens!$F$910</f>
        <v>261.445416492653</v>
      </c>
      <c r="H910" s="38" t="n">
        <f aca="false">Sens!$H$907+Sens!$H$908+Sens!$H$909</f>
        <v>344.060575482938</v>
      </c>
      <c r="I910" s="38" t="n">
        <f aca="false">Sens!$I$907+Sens!$I$908+Sens!$I$909</f>
        <v>362.149954555545</v>
      </c>
      <c r="J910" s="38" t="n">
        <f aca="false">Sens!$J$907+Sens!$J$908+Sens!$J$909</f>
        <v>378.030127483757</v>
      </c>
      <c r="K910" s="38" t="n">
        <f aca="false">Sens!$K$907+Sens!$K$908+Sens!$K$909</f>
        <v>392.092404088415</v>
      </c>
      <c r="L910" s="38" t="n">
        <f aca="false">Sens!$L$907+Sens!$L$908+Sens!$L$909</f>
        <v>448.582213788497</v>
      </c>
      <c r="M910" s="38" t="n">
        <f aca="false">Sens!$M$907+Sens!$M$908+Sens!$M$909</f>
        <v>536.901787946775</v>
      </c>
    </row>
    <row r="911" customFormat="false" ht="17.15" hidden="false" customHeight="false" outlineLevel="0" collapsed="false">
      <c r="A911" s="5" t="s">
        <v>523</v>
      </c>
      <c r="B911" s="0" t="s">
        <v>73</v>
      </c>
      <c r="C911" s="38" t="n">
        <f aca="false">Q!$D$50</f>
        <v>2.043</v>
      </c>
      <c r="D911" s="38" t="n">
        <f aca="false">Q!$E$50</f>
        <v>1.557</v>
      </c>
      <c r="E911" s="38" t="n">
        <f aca="false">lease_pr/2</f>
        <v>0.8</v>
      </c>
      <c r="F911" s="38" t="n">
        <f aca="false">lease_pr/2</f>
        <v>0.8</v>
      </c>
      <c r="G911" s="38" t="n">
        <f aca="false">Sens!$E$911+Sens!$F$911</f>
        <v>1.6</v>
      </c>
      <c r="H911" s="38" t="n">
        <f aca="false">lease_pr</f>
        <v>1.6</v>
      </c>
      <c r="I911" s="38" t="n">
        <f aca="false">lease_pr</f>
        <v>1.6</v>
      </c>
      <c r="J911" s="38" t="n">
        <f aca="false">lease_pr</f>
        <v>1.6</v>
      </c>
      <c r="K911" s="38" t="n">
        <f aca="false">lease_pr</f>
        <v>1.6</v>
      </c>
      <c r="L911" s="38" t="n">
        <f aca="false">lease_pr</f>
        <v>1.6</v>
      </c>
      <c r="M911" s="38" t="n">
        <f aca="false">lease_pr</f>
        <v>1.6</v>
      </c>
      <c r="P911" s="8" t="s">
        <v>738</v>
      </c>
    </row>
    <row r="912" customFormat="false" ht="15" hidden="false" customHeight="false" outlineLevel="0" collapsed="false">
      <c r="A912" s="46" t="s">
        <v>739</v>
      </c>
      <c r="B912" s="13" t="s">
        <v>73</v>
      </c>
      <c r="C912" s="47" t="n">
        <f aca="false">Sens!$C$906-Sens!$C$910-Sens!$C$911</f>
        <v>36.176</v>
      </c>
      <c r="D912" s="47" t="n">
        <f aca="false">Sens!$D$906-Sens!$D$910-Sens!$D$911</f>
        <v>9.63700000000002</v>
      </c>
      <c r="E912" s="47" t="n">
        <f aca="false">Sens!$E$906-Sens!$E$910-Sens!$E$911</f>
        <v>-25.691</v>
      </c>
      <c r="F912" s="47" t="n">
        <f aca="false">Sens!$F$906-Sens!$F$910-Sens!$F$911</f>
        <v>-67.6108069984334</v>
      </c>
      <c r="G912" s="47" t="n">
        <f aca="false">Sens!$G$906-Sens!$G$910-Sens!$G$911</f>
        <v>-93.3018069984334</v>
      </c>
      <c r="H912" s="47" t="n">
        <f aca="false">Sens!$H$906-Sens!$H$910-Sens!$H$911</f>
        <v>-115.064618929355</v>
      </c>
      <c r="I912" s="47" t="n">
        <f aca="false">Sens!$I$906-Sens!$I$910-Sens!$I$911</f>
        <v>-79.6236150261307</v>
      </c>
      <c r="J912" s="47" t="n">
        <f aca="false">Sens!$J$906-Sens!$J$910-Sens!$J$911</f>
        <v>-42.6775691421615</v>
      </c>
      <c r="K912" s="47" t="n">
        <f aca="false">Sens!$K$906-Sens!$K$910-Sens!$K$911</f>
        <v>-6.62981677239887</v>
      </c>
      <c r="L912" s="47" t="n">
        <f aca="false">Sens!$L$906-Sens!$L$910-Sens!$L$911</f>
        <v>-11.0681889255284</v>
      </c>
      <c r="M912" s="47" t="n">
        <f aca="false">Sens!$M$906-Sens!$M$910-Sens!$M$911</f>
        <v>-45.3021683840919</v>
      </c>
      <c r="N912" s="13"/>
      <c r="O912" s="13"/>
    </row>
    <row r="913" customFormat="false" ht="17.15" hidden="false" customHeight="false" outlineLevel="0" collapsed="false">
      <c r="A913" s="5" t="s">
        <v>740</v>
      </c>
      <c r="B913" s="0" t="s">
        <v>73</v>
      </c>
      <c r="C913" s="38" t="n">
        <f aca="false">dps*Sens!$C$894</f>
        <v>0</v>
      </c>
      <c r="D913" s="38" t="n">
        <f aca="false">dps*Sens!$D$894</f>
        <v>0</v>
      </c>
      <c r="E913" s="38" t="n">
        <f aca="false">dps*Sens!$E$894</f>
        <v>0</v>
      </c>
      <c r="F913" s="38" t="n">
        <f aca="false">0</f>
        <v>0</v>
      </c>
      <c r="G913" s="38" t="n">
        <f aca="false">dps*Sens!$G$894</f>
        <v>0</v>
      </c>
      <c r="H913" s="38" t="n">
        <f aca="false">dps*Sens!$H$894</f>
        <v>0</v>
      </c>
      <c r="I913" s="38" t="n">
        <f aca="false">dps*Sens!$I$894</f>
        <v>0</v>
      </c>
      <c r="J913" s="38" t="n">
        <f aca="false">dps*Sens!$J$894</f>
        <v>0</v>
      </c>
      <c r="K913" s="38" t="n">
        <f aca="false">dps*Sens!$K$894</f>
        <v>0</v>
      </c>
      <c r="L913" s="38" t="n">
        <f aca="false">dps*Sens!$L$894</f>
        <v>0</v>
      </c>
      <c r="M913" s="38" t="n">
        <f aca="false">dps*Sens!$M$894</f>
        <v>0</v>
      </c>
      <c r="P913" s="8" t="s">
        <v>741</v>
      </c>
    </row>
    <row r="914" customFormat="false" ht="17.15" hidden="false" customHeight="false" outlineLevel="0" collapsed="false">
      <c r="A914" s="5" t="s">
        <v>742</v>
      </c>
      <c r="B914" s="0" t="s">
        <v>73</v>
      </c>
      <c r="C914" s="38" t="n">
        <f aca="false">0</f>
        <v>0</v>
      </c>
      <c r="D914" s="38" t="n">
        <f aca="false">0</f>
        <v>0</v>
      </c>
      <c r="E914" s="38" t="n">
        <f aca="false">0</f>
        <v>0</v>
      </c>
      <c r="F914" s="38" t="n">
        <f aca="false">0</f>
        <v>0</v>
      </c>
      <c r="G914" s="38" t="n">
        <f aca="false">0</f>
        <v>0</v>
      </c>
      <c r="H914" s="38" t="n">
        <f aca="false">0</f>
        <v>0</v>
      </c>
      <c r="I914" s="38" t="n">
        <f aca="false">0</f>
        <v>0</v>
      </c>
      <c r="J914" s="38" t="n">
        <f aca="false">0</f>
        <v>0</v>
      </c>
      <c r="K914" s="38" t="n">
        <f aca="false">0</f>
        <v>0</v>
      </c>
      <c r="L914" s="38" t="n">
        <f aca="false">0</f>
        <v>0</v>
      </c>
      <c r="M914" s="38" t="n">
        <f aca="false">0</f>
        <v>0</v>
      </c>
      <c r="P914" s="8" t="s">
        <v>743</v>
      </c>
    </row>
    <row r="915" customFormat="false" ht="15" hidden="false" customHeight="false" outlineLevel="0" collapsed="false">
      <c r="A915" s="3" t="s">
        <v>744</v>
      </c>
      <c r="B915" s="8" t="s">
        <v>73</v>
      </c>
      <c r="C915" s="38" t="n">
        <f aca="false">Sens!$C$912-Sens!$C$913</f>
        <v>36.176</v>
      </c>
      <c r="D915" s="38" t="n">
        <f aca="false">Sens!$D$912-Sens!$D$913</f>
        <v>9.63700000000002</v>
      </c>
      <c r="E915" s="38" t="n">
        <f aca="false">Sens!$E$912-Sens!$E$913</f>
        <v>-25.691</v>
      </c>
      <c r="F915" s="38" t="n">
        <f aca="false">Sens!$F$912-Sens!$F$913</f>
        <v>-67.6108069984334</v>
      </c>
      <c r="G915" s="38" t="n">
        <f aca="false">Sens!$G$912-Sens!$G$913</f>
        <v>-93.3018069984334</v>
      </c>
      <c r="H915" s="38" t="n">
        <f aca="false">Sens!$H$912-Sens!$H$913</f>
        <v>-115.064618929355</v>
      </c>
      <c r="I915" s="38" t="n">
        <f aca="false">Sens!$I$912-Sens!$I$913</f>
        <v>-79.6236150261307</v>
      </c>
      <c r="J915" s="38" t="n">
        <f aca="false">Sens!$J$912-Sens!$J$913</f>
        <v>-42.6775691421615</v>
      </c>
      <c r="K915" s="38" t="n">
        <f aca="false">Sens!$K$912-Sens!$K$913</f>
        <v>-6.62981677239887</v>
      </c>
      <c r="L915" s="38" t="n">
        <f aca="false">Sens!$L$912-Sens!$L$913</f>
        <v>-11.0681889255284</v>
      </c>
      <c r="M915" s="38" t="n">
        <f aca="false">Sens!$M$912-Sens!$M$913</f>
        <v>-45.3021683840919</v>
      </c>
    </row>
    <row r="916" customFormat="false" ht="17.15" hidden="false" customHeight="false" outlineLevel="0" collapsed="false">
      <c r="A916" s="5" t="s">
        <v>745</v>
      </c>
      <c r="B916" s="0" t="s">
        <v>73</v>
      </c>
      <c r="E916" s="38" t="n">
        <f aca="false">Q!$P$53</f>
        <v>39.767</v>
      </c>
      <c r="F916" s="38" t="n">
        <f aca="false">inv_2h26</f>
        <v>21.3</v>
      </c>
      <c r="G916" s="38" t="n">
        <f aca="false">Sens!$E$916+Sens!$F$916</f>
        <v>61.067</v>
      </c>
      <c r="H916" s="41" t="n">
        <v>0</v>
      </c>
      <c r="I916" s="41" t="n">
        <v>0</v>
      </c>
      <c r="J916" s="41" t="n">
        <v>0</v>
      </c>
      <c r="K916" s="41" t="n">
        <v>0</v>
      </c>
      <c r="L916" s="41" t="n">
        <v>0</v>
      </c>
      <c r="M916" s="41" t="n">
        <v>0</v>
      </c>
    </row>
    <row r="917" customFormat="false" ht="17.15" hidden="false" customHeight="false" outlineLevel="0" collapsed="false">
      <c r="A917" s="5" t="s">
        <v>746</v>
      </c>
      <c r="B917" s="0" t="s">
        <v>73</v>
      </c>
      <c r="F917" s="38" t="n">
        <f aca="false">iss_2h26</f>
        <v>29.25</v>
      </c>
      <c r="G917" s="38" t="n">
        <f aca="false">Sens!$F$917</f>
        <v>29.25</v>
      </c>
      <c r="H917" s="41" t="n">
        <v>0</v>
      </c>
      <c r="I917" s="41" t="n">
        <v>0</v>
      </c>
      <c r="J917" s="41" t="n">
        <v>0</v>
      </c>
      <c r="K917" s="41" t="n">
        <v>0</v>
      </c>
      <c r="L917" s="41" t="n">
        <v>0</v>
      </c>
      <c r="M917" s="41" t="n">
        <v>0</v>
      </c>
    </row>
    <row r="918" customFormat="false" ht="17.15" hidden="false" customHeight="false" outlineLevel="0" collapsed="false">
      <c r="A918" s="5" t="s">
        <v>747</v>
      </c>
      <c r="B918" s="0" t="s">
        <v>73</v>
      </c>
      <c r="F918" s="38" t="n">
        <f aca="false">cash_q2</f>
        <v>122.988</v>
      </c>
      <c r="G918" s="38" t="n">
        <f aca="false">cash_q2</f>
        <v>122.988</v>
      </c>
      <c r="H918" s="38" t="n">
        <f aca="false">Sens!$G$921</f>
        <v>63.3271930015667</v>
      </c>
      <c r="I918" s="38" t="n">
        <f aca="false">Sens!$H$921</f>
        <v>50</v>
      </c>
      <c r="J918" s="38" t="n">
        <f aca="false">Sens!$I$921</f>
        <v>50</v>
      </c>
      <c r="K918" s="38" t="n">
        <f aca="false">Sens!$J$921</f>
        <v>50</v>
      </c>
      <c r="L918" s="38" t="n">
        <f aca="false">Sens!$K$921</f>
        <v>50</v>
      </c>
      <c r="M918" s="38" t="n">
        <f aca="false">Sens!$L$921</f>
        <v>50</v>
      </c>
    </row>
    <row r="919" customFormat="false" ht="15" hidden="false" customHeight="false" outlineLevel="0" collapsed="false">
      <c r="A919" s="5" t="s">
        <v>748</v>
      </c>
      <c r="B919" s="0" t="s">
        <v>73</v>
      </c>
      <c r="F919" s="38" t="n">
        <f aca="false">Sens!$F$918+Sens!$F$915-Sens!$F$914-Sens!$F$916+Sens!$F$917</f>
        <v>63.3271930015667</v>
      </c>
      <c r="H919" s="38" t="n">
        <f aca="false">Sens!$H$918+Sens!$H$915-Sens!$H$914-Sens!$H$916+Sens!$H$917</f>
        <v>-51.7374259277882</v>
      </c>
      <c r="I919" s="38" t="n">
        <f aca="false">Sens!$I$918+Sens!$I$915-Sens!$I$914-Sens!$I$916+Sens!$I$917</f>
        <v>-29.6236150261307</v>
      </c>
      <c r="J919" s="38" t="n">
        <f aca="false">Sens!$J$918+Sens!$J$915-Sens!$J$914-Sens!$J$916+Sens!$J$917</f>
        <v>7.32243085783855</v>
      </c>
      <c r="K919" s="38" t="n">
        <f aca="false">Sens!$K$918+Sens!$K$915-Sens!$K$914-Sens!$K$916+Sens!$K$917</f>
        <v>43.3701832276011</v>
      </c>
      <c r="L919" s="38" t="n">
        <f aca="false">Sens!$L$918+Sens!$L$915-Sens!$L$914-Sens!$L$916+Sens!$L$917</f>
        <v>38.9318110744716</v>
      </c>
      <c r="M919" s="38" t="n">
        <f aca="false">Sens!$M$918+Sens!$M$915-Sens!$M$914-Sens!$M$916+Sens!$M$917</f>
        <v>4.69783161590808</v>
      </c>
    </row>
    <row r="920" customFormat="false" ht="17.15" hidden="false" customHeight="false" outlineLevel="0" collapsed="false">
      <c r="A920" s="5" t="s">
        <v>749</v>
      </c>
      <c r="B920" s="0" t="s">
        <v>73</v>
      </c>
      <c r="F920" s="38" t="n">
        <f aca="false">MAX(0,min_cash-Sens!$F$919)</f>
        <v>0</v>
      </c>
      <c r="G920" s="38" t="n">
        <f aca="false">Sens!$F$920</f>
        <v>0</v>
      </c>
      <c r="H920" s="38" t="n">
        <f aca="false">MAX(0,min_cash-Sens!$H$919)</f>
        <v>101.737425927788</v>
      </c>
      <c r="I920" s="38" t="n">
        <f aca="false">MAX(0,min_cash-Sens!$I$919)</f>
        <v>79.6236150261307</v>
      </c>
      <c r="J920" s="38" t="n">
        <f aca="false">MAX(0,min_cash-Sens!$J$919)</f>
        <v>42.6775691421615</v>
      </c>
      <c r="K920" s="38" t="n">
        <f aca="false">MAX(0,min_cash-Sens!$K$919)</f>
        <v>6.62981677239888</v>
      </c>
      <c r="L920" s="38" t="n">
        <f aca="false">MAX(0,min_cash-Sens!$L$919)</f>
        <v>11.0681889255284</v>
      </c>
      <c r="M920" s="38" t="n">
        <f aca="false">MAX(0,min_cash-Sens!$M$919)</f>
        <v>45.3021683840919</v>
      </c>
      <c r="P920" s="5" t="s">
        <v>750</v>
      </c>
    </row>
    <row r="921" customFormat="false" ht="15" hidden="false" customHeight="false" outlineLevel="0" collapsed="false">
      <c r="A921" s="5" t="s">
        <v>751</v>
      </c>
      <c r="B921" s="0" t="s">
        <v>73</v>
      </c>
      <c r="D921" s="38" t="n">
        <f aca="false">Q!$E$61</f>
        <v>123.029</v>
      </c>
      <c r="E921" s="38" t="n">
        <f aca="false">Q!$M$61</f>
        <v>122.988</v>
      </c>
      <c r="F921" s="38" t="n">
        <f aca="false">Sens!$F$919+Sens!$F$920</f>
        <v>63.3271930015667</v>
      </c>
      <c r="G921" s="38" t="n">
        <f aca="false">Sens!$F$921</f>
        <v>63.3271930015667</v>
      </c>
      <c r="H921" s="38" t="n">
        <f aca="false">Sens!$H$919+Sens!$H$920</f>
        <v>50</v>
      </c>
      <c r="I921" s="38" t="n">
        <f aca="false">Sens!$I$919+Sens!$I$920</f>
        <v>50</v>
      </c>
      <c r="J921" s="38" t="n">
        <f aca="false">Sens!$J$919+Sens!$J$920</f>
        <v>50</v>
      </c>
      <c r="K921" s="38" t="n">
        <f aca="false">Sens!$K$919+Sens!$K$920</f>
        <v>50</v>
      </c>
      <c r="L921" s="38" t="n">
        <f aca="false">Sens!$L$919+Sens!$L$920</f>
        <v>50</v>
      </c>
      <c r="M921" s="38" t="n">
        <f aca="false">Sens!$M$919+Sens!$M$920</f>
        <v>50</v>
      </c>
    </row>
    <row r="922" customFormat="false" ht="15" hidden="false" customHeight="false" outlineLevel="0" collapsed="false">
      <c r="A922" s="5" t="s">
        <v>752</v>
      </c>
      <c r="B922" s="0" t="s">
        <v>73</v>
      </c>
      <c r="D922" s="38" t="n">
        <f aca="false">Q!$E$62</f>
        <v>68.836</v>
      </c>
      <c r="E922" s="38" t="n">
        <f aca="false">Q!$M$62</f>
        <v>132.995</v>
      </c>
      <c r="F922" s="38" t="n">
        <f aca="false">debt_q2+Sens!$F$917+Sens!$F$920</f>
        <v>162.245</v>
      </c>
      <c r="G922" s="38" t="n">
        <f aca="false">Sens!$F$922</f>
        <v>162.245</v>
      </c>
      <c r="H922" s="38" t="n">
        <f aca="false">Sens!$G$922+Sens!$H$920</f>
        <v>263.982425927788</v>
      </c>
      <c r="I922" s="38" t="n">
        <f aca="false">Sens!$H$922+Sens!$I$920</f>
        <v>343.606040953919</v>
      </c>
      <c r="J922" s="38" t="n">
        <f aca="false">Sens!$I$922+Sens!$J$920</f>
        <v>386.28361009608</v>
      </c>
      <c r="K922" s="38" t="n">
        <f aca="false">Sens!$J$922+Sens!$K$920</f>
        <v>392.913426868479</v>
      </c>
      <c r="L922" s="38" t="n">
        <f aca="false">Sens!$K$922+Sens!$L$920</f>
        <v>403.981615794008</v>
      </c>
      <c r="M922" s="38" t="n">
        <f aca="false">Sens!$L$922+Sens!$M$920</f>
        <v>449.2837841781</v>
      </c>
    </row>
    <row r="923" customFormat="false" ht="15" hidden="false" customHeight="false" outlineLevel="0" collapsed="false">
      <c r="A923" s="5" t="s">
        <v>753</v>
      </c>
      <c r="B923" s="0" t="s">
        <v>73</v>
      </c>
      <c r="D923" s="38" t="n">
        <f aca="false">Sens!$D$922-Sens!$D$921</f>
        <v>-54.193</v>
      </c>
      <c r="E923" s="38" t="n">
        <f aca="false">Sens!$E$922-Sens!$E$921</f>
        <v>10.007</v>
      </c>
      <c r="F923" s="38" t="n">
        <f aca="false">Sens!$F$922-Sens!$F$921</f>
        <v>98.9178069984334</v>
      </c>
      <c r="G923" s="38" t="n">
        <f aca="false">Sens!$G$922-Sens!$G$921</f>
        <v>98.9178069984334</v>
      </c>
      <c r="H923" s="38" t="n">
        <f aca="false">Sens!$H$922-Sens!$H$921</f>
        <v>213.982425927788</v>
      </c>
      <c r="I923" s="38" t="n">
        <f aca="false">Sens!$I$922-Sens!$I$921</f>
        <v>293.606040953919</v>
      </c>
      <c r="J923" s="38" t="n">
        <f aca="false">Sens!$J$922-Sens!$J$921</f>
        <v>336.28361009608</v>
      </c>
      <c r="K923" s="38" t="n">
        <f aca="false">Sens!$K$922-Sens!$K$921</f>
        <v>342.913426868479</v>
      </c>
      <c r="L923" s="38" t="n">
        <f aca="false">Sens!$L$922-Sens!$L$921</f>
        <v>353.981615794008</v>
      </c>
      <c r="M923" s="38" t="n">
        <f aca="false">Sens!$M$922-Sens!$M$921</f>
        <v>399.2837841781</v>
      </c>
    </row>
    <row r="924" customFormat="false" ht="17.15" hidden="false" customHeight="false" outlineLevel="0" collapsed="false">
      <c r="A924" s="5" t="s">
        <v>754</v>
      </c>
      <c r="B924" s="0" t="s">
        <v>73</v>
      </c>
      <c r="F924" s="38" t="n">
        <f aca="false">debt_q2*kd_book*0.5+iss_2h26*kd_new*0.25</f>
        <v>3.24888964316061</v>
      </c>
      <c r="H924" s="38" t="n">
        <f aca="false">debt_q2*kd_book+(Sens!$G$922-debt_q2)*kd_new</f>
        <v>7.42354178632123</v>
      </c>
      <c r="I924" s="38" t="n">
        <f aca="false">debt_q2*kd_book+(Sens!$H$922-debt_q2)*kd_new</f>
        <v>13.8635208475502</v>
      </c>
      <c r="J924" s="38" t="n">
        <f aca="false">debt_q2*kd_book+(Sens!$I$922-debt_q2)*kd_new</f>
        <v>18.9036956787043</v>
      </c>
      <c r="K924" s="38" t="n">
        <f aca="false">debt_q2*kd_book+(Sens!$J$922-debt_q2)*kd_new</f>
        <v>21.6051858054031</v>
      </c>
      <c r="L924" s="38" t="n">
        <f aca="false">debt_q2*kd_book+(Sens!$K$922-debt_q2)*kd_new</f>
        <v>22.024853207096</v>
      </c>
      <c r="M924" s="38" t="n">
        <f aca="false">debt_q2*kd_book+(Sens!$L$922-debt_q2)*kd_new</f>
        <v>22.7254695660819</v>
      </c>
    </row>
    <row r="925" customFormat="false" ht="17.15" hidden="false" customHeight="false" outlineLevel="0" collapsed="false">
      <c r="A925" s="5" t="s">
        <v>755</v>
      </c>
      <c r="B925" s="0" t="s">
        <v>73</v>
      </c>
      <c r="F925" s="38" t="n">
        <f aca="false">cash_q2*y_cash*0.5</f>
        <v>2.59</v>
      </c>
      <c r="H925" s="38" t="n">
        <f aca="false">Sens!$G$921*y_cash</f>
        <v>2.6672102948915</v>
      </c>
      <c r="I925" s="38" t="n">
        <f aca="false">Sens!$H$921*y_cash</f>
        <v>2.10589651022864</v>
      </c>
      <c r="J925" s="38" t="n">
        <f aca="false">Sens!$I$921*y_cash</f>
        <v>2.10589651022864</v>
      </c>
      <c r="K925" s="38" t="n">
        <f aca="false">Sens!$J$921*y_cash</f>
        <v>2.10589651022864</v>
      </c>
      <c r="L925" s="38" t="n">
        <f aca="false">Sens!$K$921*y_cash</f>
        <v>2.10589651022864</v>
      </c>
      <c r="M925" s="38" t="n">
        <f aca="false">Sens!$L$921*y_cash</f>
        <v>2.10589651022864</v>
      </c>
    </row>
    <row r="926" customFormat="false" ht="17.15" hidden="false" customHeight="false" outlineLevel="0" collapsed="false">
      <c r="A926" s="46" t="s">
        <v>756</v>
      </c>
      <c r="B926" s="13" t="s">
        <v>73</v>
      </c>
      <c r="C926" s="13"/>
      <c r="D926" s="13"/>
      <c r="E926" s="13"/>
      <c r="F926" s="13"/>
      <c r="G926" s="47" t="n">
        <f aca="false">SUM(Sens!$G$915:$K$915)</f>
        <v>-337.297426868479</v>
      </c>
      <c r="H926" s="13"/>
      <c r="I926" s="13"/>
      <c r="J926" s="13"/>
      <c r="K926" s="13"/>
      <c r="L926" s="13"/>
      <c r="M926" s="13"/>
      <c r="N926" s="13"/>
      <c r="O926" s="13"/>
    </row>
    <row r="927" customFormat="false" ht="17.15" hidden="false" customHeight="false" outlineLevel="0" collapsed="false">
      <c r="A927" s="0" t="s">
        <v>723</v>
      </c>
      <c r="B927" s="0" t="s">
        <v>73</v>
      </c>
      <c r="G927" s="38" t="n">
        <f aca="false">SUM(Sens!$G$920:$K$920)</f>
        <v>230.668426868479</v>
      </c>
    </row>
    <row r="930" customFormat="false" ht="19.4" hidden="false" customHeight="false" outlineLevel="0" collapsed="false">
      <c r="A930" s="31" t="s">
        <v>1062</v>
      </c>
    </row>
    <row r="931" customFormat="false" ht="17.15" hidden="false" customHeight="false" outlineLevel="0" collapsed="false">
      <c r="A931" s="6" t="s">
        <v>16</v>
      </c>
      <c r="B931" s="6" t="s">
        <v>17</v>
      </c>
      <c r="C931" s="20" t="s">
        <v>457</v>
      </c>
      <c r="D931" s="20" t="s">
        <v>458</v>
      </c>
      <c r="E931" s="20" t="s">
        <v>540</v>
      </c>
      <c r="F931" s="20" t="s">
        <v>541</v>
      </c>
      <c r="G931" s="20" t="s">
        <v>542</v>
      </c>
      <c r="H931" s="20" t="s">
        <v>543</v>
      </c>
      <c r="I931" s="20" t="s">
        <v>544</v>
      </c>
      <c r="J931" s="20" t="s">
        <v>545</v>
      </c>
      <c r="K931" s="20" t="s">
        <v>546</v>
      </c>
      <c r="L931" s="20" t="s">
        <v>547</v>
      </c>
      <c r="M931" s="20" t="s">
        <v>548</v>
      </c>
      <c r="N931" s="20" t="s">
        <v>549</v>
      </c>
      <c r="O931" s="20" t="s">
        <v>550</v>
      </c>
      <c r="P931" s="6" t="s">
        <v>23</v>
      </c>
      <c r="R931" s="20" t="n">
        <v>2023</v>
      </c>
      <c r="S931" s="20" t="n">
        <v>2024</v>
      </c>
      <c r="T931" s="20" t="n">
        <v>2025</v>
      </c>
      <c r="U931" s="20" t="n">
        <v>2026</v>
      </c>
      <c r="V931" s="20" t="n">
        <v>2027</v>
      </c>
      <c r="W931" s="20" t="n">
        <v>2028</v>
      </c>
      <c r="X931" s="20" t="n">
        <v>2029</v>
      </c>
      <c r="Y931" s="20" t="n">
        <v>2030</v>
      </c>
      <c r="Z931" s="20" t="n">
        <v>2031</v>
      </c>
      <c r="AA931" s="20" t="n">
        <v>2032</v>
      </c>
    </row>
    <row r="932" customFormat="false" ht="17.15" hidden="false" customHeight="false" outlineLevel="0" collapsed="false">
      <c r="A932" s="1" t="s">
        <v>851</v>
      </c>
    </row>
    <row r="933" customFormat="false" ht="17.15" hidden="false" customHeight="false" outlineLevel="0" collapsed="false">
      <c r="A933" s="0" t="s">
        <v>852</v>
      </c>
      <c r="B933" s="0" t="s">
        <v>73</v>
      </c>
      <c r="H933" s="38" t="n">
        <f aca="false">Sens!$H$869*(1-tax)</f>
        <v>106.383294029637</v>
      </c>
      <c r="I933" s="38" t="n">
        <f aca="false">Sens!$I$869*(1-tax)</f>
        <v>116.609383977298</v>
      </c>
      <c r="J933" s="38" t="n">
        <f aca="false">Sens!$J$869*(1-tax)</f>
        <v>124.284603568754</v>
      </c>
      <c r="K933" s="38" t="n">
        <f aca="false">Sens!$K$869*(1-tax)</f>
        <v>128.205444308631</v>
      </c>
      <c r="L933" s="38" t="n">
        <f aca="false">Sens!$L$869*(1-tax)</f>
        <v>133.343838989779</v>
      </c>
      <c r="M933" s="38" t="n">
        <f aca="false">Sens!$M$869*(1-tax)</f>
        <v>137.383101869451</v>
      </c>
    </row>
    <row r="934" customFormat="false" ht="15" hidden="false" customHeight="false" outlineLevel="0" collapsed="false">
      <c r="A934" s="5" t="s">
        <v>853</v>
      </c>
      <c r="B934" s="0" t="s">
        <v>73</v>
      </c>
      <c r="H934" s="38" t="n">
        <f aca="false">Sens!$H$881</f>
        <v>92.3291582786645</v>
      </c>
      <c r="I934" s="38" t="n">
        <f aca="false">Sens!$I$881</f>
        <v>136.27585949629</v>
      </c>
      <c r="J934" s="38" t="n">
        <f aca="false">Sens!$J$881</f>
        <v>180.770898271485</v>
      </c>
      <c r="K934" s="38" t="n">
        <f aca="false">Sens!$K$881</f>
        <v>224.90245268011</v>
      </c>
      <c r="L934" s="38" t="n">
        <f aca="false">Sens!$L$881</f>
        <v>267.671193373097</v>
      </c>
      <c r="M934" s="38" t="n">
        <f aca="false">Sens!$M$881</f>
        <v>313.589620097225</v>
      </c>
    </row>
    <row r="935" customFormat="false" ht="15" hidden="false" customHeight="false" outlineLevel="0" collapsed="false">
      <c r="A935" s="5" t="s">
        <v>854</v>
      </c>
      <c r="B935" s="0" t="s">
        <v>73</v>
      </c>
      <c r="H935" s="38" t="n">
        <f aca="false">Sens!$H$910</f>
        <v>344.060575482938</v>
      </c>
      <c r="I935" s="38" t="n">
        <f aca="false">Sens!$I$910</f>
        <v>362.149954555545</v>
      </c>
      <c r="J935" s="38" t="n">
        <f aca="false">Sens!$J$910</f>
        <v>378.030127483757</v>
      </c>
      <c r="K935" s="38" t="n">
        <f aca="false">Sens!$K$910</f>
        <v>392.092404088415</v>
      </c>
      <c r="L935" s="38" t="n">
        <f aca="false">Sens!$L$910</f>
        <v>448.582213788497</v>
      </c>
      <c r="M935" s="38" t="n">
        <f aca="false">Sens!$M$910</f>
        <v>536.901787946775</v>
      </c>
    </row>
    <row r="936" customFormat="false" ht="15" hidden="false" customHeight="false" outlineLevel="0" collapsed="false">
      <c r="A936" s="5" t="s">
        <v>855</v>
      </c>
      <c r="B936" s="0" t="s">
        <v>73</v>
      </c>
      <c r="H936" s="38" t="n">
        <f aca="false">Sens!$H$911</f>
        <v>1.6</v>
      </c>
      <c r="I936" s="38" t="n">
        <f aca="false">Sens!$I$911</f>
        <v>1.6</v>
      </c>
      <c r="J936" s="38" t="n">
        <f aca="false">Sens!$J$911</f>
        <v>1.6</v>
      </c>
      <c r="K936" s="38" t="n">
        <f aca="false">Sens!$K$911</f>
        <v>1.6</v>
      </c>
      <c r="L936" s="38" t="n">
        <f aca="false">Sens!$L$911</f>
        <v>1.6</v>
      </c>
      <c r="M936" s="38" t="n">
        <f aca="false">Sens!$M$911</f>
        <v>1.6</v>
      </c>
    </row>
    <row r="937" customFormat="false" ht="15" hidden="false" customHeight="false" outlineLevel="0" collapsed="false">
      <c r="A937" s="5" t="s">
        <v>856</v>
      </c>
      <c r="B937" s="0" t="s">
        <v>73</v>
      </c>
      <c r="H937" s="38" t="n">
        <f aca="false">Sens!$H$905</f>
        <v>11.6369707537667</v>
      </c>
      <c r="I937" s="38" t="n">
        <f aca="false">Sens!$I$905</f>
        <v>13.3082502961262</v>
      </c>
      <c r="J937" s="38" t="n">
        <f aca="false">Sens!$J$905</f>
        <v>14.8747965344332</v>
      </c>
      <c r="K937" s="38" t="n">
        <f aca="false">Sens!$K$905</f>
        <v>16.2687901804328</v>
      </c>
      <c r="L937" s="38" t="n">
        <f aca="false">Sens!$L$905</f>
        <v>17.7280727627002</v>
      </c>
      <c r="M937" s="38" t="n">
        <f aca="false">Sens!$M$905</f>
        <v>19.2574690270319</v>
      </c>
    </row>
    <row r="938" customFormat="false" ht="17.15" hidden="false" customHeight="false" outlineLevel="0" collapsed="false">
      <c r="A938" s="1" t="s">
        <v>857</v>
      </c>
      <c r="B938" s="8" t="s">
        <v>73</v>
      </c>
      <c r="H938" s="38" t="n">
        <f aca="false">Sens!$H$933+Sens!$H$934-Sens!$H$935-Sens!$H$936+Sens!$H$937</f>
        <v>-135.31115242087</v>
      </c>
      <c r="I938" s="38" t="n">
        <f aca="false">Sens!$I$933+Sens!$I$934-Sens!$I$935-Sens!$I$936+Sens!$I$937</f>
        <v>-97.5564607858306</v>
      </c>
      <c r="J938" s="38" t="n">
        <f aca="false">Sens!$J$933+Sens!$J$934-Sens!$J$935-Sens!$J$936+Sens!$J$937</f>
        <v>-59.699829109084</v>
      </c>
      <c r="K938" s="38" t="n">
        <f aca="false">Sens!$K$933+Sens!$K$934-Sens!$K$935-Sens!$K$936+Sens!$K$937</f>
        <v>-24.3157169192416</v>
      </c>
      <c r="L938" s="38" t="n">
        <f aca="false">Sens!$L$933+Sens!$L$934-Sens!$L$935-Sens!$L$936+Sens!$L$937</f>
        <v>-31.4391086629208</v>
      </c>
      <c r="M938" s="38" t="n">
        <f aca="false">Sens!$M$933+Sens!$M$934-Sens!$M$935-Sens!$M$936+Sens!$M$937</f>
        <v>-68.2715969530678</v>
      </c>
    </row>
    <row r="939" customFormat="false" ht="15" hidden="false" customHeight="false" outlineLevel="0" collapsed="false">
      <c r="A939" s="5" t="s">
        <v>858</v>
      </c>
      <c r="B939" s="0" t="s">
        <v>57</v>
      </c>
      <c r="H939" s="51" t="n">
        <f aca="false">1/(1+wacc)^(2027-2026-0.5)</f>
        <v>0.942858177653364</v>
      </c>
      <c r="I939" s="51" t="n">
        <f aca="false">1/(1+wacc)^(2028-2026-0.5)</f>
        <v>0.838183517758688</v>
      </c>
      <c r="J939" s="51" t="n">
        <f aca="false">1/(1+wacc)^(2029-2026-0.5)</f>
        <v>0.745129677074952</v>
      </c>
      <c r="K939" s="51" t="n">
        <f aca="false">1/(1+wacc)^(2030-2026-0.5)</f>
        <v>0.662406530186232</v>
      </c>
      <c r="L939" s="51" t="n">
        <f aca="false">1/(1+wacc)^(2031-2026-0.5)</f>
        <v>0.588867179409399</v>
      </c>
      <c r="M939" s="51" t="n">
        <f aca="false">1/(1+wacc)^(2032-2026-0.5)</f>
        <v>0.52349205387225</v>
      </c>
    </row>
    <row r="940" customFormat="false" ht="15" hidden="false" customHeight="false" outlineLevel="0" collapsed="false">
      <c r="A940" s="5" t="s">
        <v>859</v>
      </c>
      <c r="B940" s="0" t="s">
        <v>73</v>
      </c>
      <c r="H940" s="38" t="n">
        <f aca="false">Sens!$H$938*Sens!$H$939</f>
        <v>-127.579226587718</v>
      </c>
      <c r="I940" s="38" t="n">
        <f aca="false">Sens!$I$938*Sens!$I$939</f>
        <v>-81.770217481555</v>
      </c>
      <c r="J940" s="38" t="n">
        <f aca="false">Sens!$J$938*Sens!$J$939</f>
        <v>-44.4841143854816</v>
      </c>
      <c r="K940" s="38" t="n">
        <f aca="false">Sens!$K$938*Sens!$K$939</f>
        <v>-16.1068896734655</v>
      </c>
      <c r="L940" s="38" t="n">
        <f aca="false">Sens!$L$938*Sens!$L$939</f>
        <v>-18.5134592414798</v>
      </c>
      <c r="M940" s="38" t="n">
        <f aca="false">Sens!$M$938*Sens!$M$939</f>
        <v>-35.7396385101</v>
      </c>
    </row>
    <row r="941" customFormat="false" ht="15" hidden="false" customHeight="false" outlineLevel="0" collapsed="false">
      <c r="A941" s="5" t="s">
        <v>860</v>
      </c>
      <c r="B941" s="0" t="s">
        <v>73</v>
      </c>
      <c r="C941" s="38" t="n">
        <f aca="false">SUM(Sens!$H$940:$M$940)</f>
        <v>-324.1935458798</v>
      </c>
    </row>
    <row r="942" customFormat="false" ht="17.15" hidden="false" customHeight="false" outlineLevel="0" collapsed="false">
      <c r="A942" s="5" t="s">
        <v>861</v>
      </c>
      <c r="B942" s="0" t="s">
        <v>73</v>
      </c>
      <c r="C942" s="38" t="n">
        <f aca="false">Sens!$M$933*(1+tg)*(1-tg/ronic)/(wacc-tg)</f>
        <v>1133.09963722877</v>
      </c>
    </row>
    <row r="943" customFormat="false" ht="15" hidden="false" customHeight="false" outlineLevel="0" collapsed="false">
      <c r="A943" s="5" t="s">
        <v>862</v>
      </c>
      <c r="B943" s="0" t="s">
        <v>73</v>
      </c>
      <c r="C943" s="38" t="n">
        <f aca="false">Sens!$C$942/(1+wacc)^6</f>
        <v>559.273918352917</v>
      </c>
    </row>
    <row r="944" customFormat="false" ht="17.15" hidden="false" customHeight="false" outlineLevel="0" collapsed="false">
      <c r="A944" s="5" t="s">
        <v>863</v>
      </c>
      <c r="B944" s="0" t="s">
        <v>73</v>
      </c>
      <c r="C944" s="38" t="n">
        <f aca="false">Sens!$C$941+Sens!$C$943</f>
        <v>235.080372473117</v>
      </c>
    </row>
    <row r="945" customFormat="false" ht="17.15" hidden="false" customHeight="false" outlineLevel="0" collapsed="false">
      <c r="A945" s="5" t="s">
        <v>864</v>
      </c>
      <c r="B945" s="0" t="s">
        <v>52</v>
      </c>
      <c r="C945" s="12" t="n">
        <f aca="false">Sens!$C$943/Sens!$C$944</f>
        <v>2.37907534546243</v>
      </c>
    </row>
    <row r="946" customFormat="false" ht="17.15" hidden="false" customHeight="false" outlineLevel="0" collapsed="false">
      <c r="A946" s="5" t="s">
        <v>865</v>
      </c>
      <c r="B946" s="0" t="s">
        <v>73</v>
      </c>
      <c r="C946" s="38" t="n">
        <f aca="false">Sens!$G$923</f>
        <v>98.9178069984334</v>
      </c>
    </row>
    <row r="947" customFormat="false" ht="17.15" hidden="false" customHeight="false" outlineLevel="0" collapsed="false">
      <c r="A947" s="5" t="s">
        <v>866</v>
      </c>
      <c r="B947" s="0" t="s">
        <v>73</v>
      </c>
      <c r="C947" s="38" t="n">
        <f aca="false">(ant_val*ant_sh+oai_val*oai_sh)*(1-liq_disc)</f>
        <v>178.944</v>
      </c>
    </row>
    <row r="948" customFormat="false" ht="15" hidden="false" customHeight="false" outlineLevel="0" collapsed="false">
      <c r="A948" s="5" t="s">
        <v>867</v>
      </c>
      <c r="B948" s="0" t="s">
        <v>73</v>
      </c>
      <c r="C948" s="38" t="n">
        <f aca="false">Sens!$C$944-Sens!$C$946+Sens!$C$947</f>
        <v>315.106565474683</v>
      </c>
    </row>
    <row r="949" customFormat="false" ht="17.15" hidden="false" customHeight="false" outlineLevel="0" collapsed="false">
      <c r="A949" s="5" t="s">
        <v>868</v>
      </c>
      <c r="B949" s="0" t="s">
        <v>27</v>
      </c>
      <c r="C949" s="30" t="n">
        <f aca="false">Sens!$C$948/sh_val</f>
        <v>28.5673250530024</v>
      </c>
    </row>
    <row r="950" customFormat="false" ht="17.15" hidden="false" customHeight="false" outlineLevel="0" collapsed="false">
      <c r="A950" s="1" t="s">
        <v>869</v>
      </c>
      <c r="B950" s="8" t="s">
        <v>27</v>
      </c>
      <c r="C950" s="30" t="n">
        <f aca="false">Sens!$C$949*(1+ke)^tp_yf</f>
        <v>31.5510370448399</v>
      </c>
    </row>
    <row r="951" customFormat="false" ht="17.15" hidden="false" customHeight="false" outlineLevel="0" collapsed="false">
      <c r="A951" s="3" t="s">
        <v>870</v>
      </c>
    </row>
    <row r="952" customFormat="false" ht="17.15" hidden="false" customHeight="false" outlineLevel="0" collapsed="false">
      <c r="A952" s="5" t="s">
        <v>871</v>
      </c>
      <c r="B952" s="0" t="s">
        <v>73</v>
      </c>
      <c r="C952" s="38" t="n">
        <f aca="false">0.25*Sens!$H$882+0.75*Sens!$I$882</f>
        <v>57.5541093268329</v>
      </c>
    </row>
    <row r="953" customFormat="false" ht="15" hidden="false" customHeight="false" outlineLevel="0" collapsed="false">
      <c r="A953" s="5" t="s">
        <v>872</v>
      </c>
      <c r="B953" s="0" t="s">
        <v>57</v>
      </c>
      <c r="C953" s="30" t="n">
        <f aca="false">m_ads*m_x</f>
        <v>9.11</v>
      </c>
    </row>
    <row r="954" customFormat="false" ht="17.15" hidden="false" customHeight="false" outlineLevel="0" collapsed="false">
      <c r="A954" s="5" t="s">
        <v>873</v>
      </c>
      <c r="B954" s="0" t="s">
        <v>73</v>
      </c>
      <c r="C954" s="38" t="n">
        <f aca="false">Sens!$C$952*Sens!$C$953</f>
        <v>524.317935967448</v>
      </c>
    </row>
    <row r="955" customFormat="false" ht="17.15" hidden="false" customHeight="false" outlineLevel="0" collapsed="false">
      <c r="A955" s="5" t="s">
        <v>874</v>
      </c>
      <c r="B955" s="0" t="s">
        <v>73</v>
      </c>
      <c r="C955" s="38" t="n">
        <f aca="false">0.25*Sens!$H$883+0.75*Sens!$I$883</f>
        <v>27.1685476051077</v>
      </c>
    </row>
    <row r="956" customFormat="false" ht="15" hidden="false" customHeight="false" outlineLevel="0" collapsed="false">
      <c r="A956" s="5" t="s">
        <v>875</v>
      </c>
      <c r="B956" s="0" t="s">
        <v>57</v>
      </c>
      <c r="C956" s="30" t="n">
        <f aca="false">m_retail*m_x</f>
        <v>17.72</v>
      </c>
    </row>
    <row r="957" customFormat="false" ht="17.15" hidden="false" customHeight="false" outlineLevel="0" collapsed="false">
      <c r="A957" s="5" t="s">
        <v>876</v>
      </c>
      <c r="B957" s="0" t="s">
        <v>73</v>
      </c>
      <c r="C957" s="38" t="n">
        <f aca="false">Sens!$C$955*Sens!$C$956</f>
        <v>481.426663562509</v>
      </c>
    </row>
    <row r="958" customFormat="false" ht="17.15" hidden="false" customHeight="false" outlineLevel="0" collapsed="false">
      <c r="A958" s="0" t="s">
        <v>877</v>
      </c>
      <c r="B958" s="0" t="s">
        <v>73</v>
      </c>
      <c r="C958" s="38" t="n">
        <f aca="false">0.25*Sens!$H$884+0.75*Sens!$I$884</f>
        <v>106.280864133182</v>
      </c>
    </row>
    <row r="959" customFormat="false" ht="17.15" hidden="false" customHeight="false" outlineLevel="0" collapsed="false">
      <c r="A959" s="0" t="s">
        <v>878</v>
      </c>
      <c r="B959" s="0" t="s">
        <v>57</v>
      </c>
      <c r="C959" s="30" t="n">
        <f aca="false">m_cloud*m_x</f>
        <v>13.82</v>
      </c>
    </row>
    <row r="960" customFormat="false" ht="17.15" hidden="false" customHeight="false" outlineLevel="0" collapsed="false">
      <c r="A960" s="0" t="s">
        <v>879</v>
      </c>
      <c r="B960" s="0" t="s">
        <v>73</v>
      </c>
      <c r="C960" s="38" t="n">
        <f aca="false">Sens!$C$958*Sens!$C$959</f>
        <v>1468.80154232058</v>
      </c>
    </row>
    <row r="961" customFormat="false" ht="17.15" hidden="false" customHeight="false" outlineLevel="0" collapsed="false">
      <c r="A961" s="0" t="s">
        <v>880</v>
      </c>
      <c r="B961" s="0" t="s">
        <v>73</v>
      </c>
      <c r="C961" s="38" t="n">
        <f aca="false">0.25*Sens!$H$885+0.75*Sens!$I$885</f>
        <v>72.2947701247864</v>
      </c>
    </row>
    <row r="962" customFormat="false" ht="17.15" hidden="false" customHeight="false" outlineLevel="0" collapsed="false">
      <c r="A962" s="0" t="s">
        <v>881</v>
      </c>
      <c r="B962" s="0" t="s">
        <v>57</v>
      </c>
      <c r="C962" s="30" t="n">
        <f aca="false">m_ai</f>
        <v>6</v>
      </c>
    </row>
    <row r="963" customFormat="false" ht="17.15" hidden="false" customHeight="false" outlineLevel="0" collapsed="false">
      <c r="A963" s="0" t="s">
        <v>882</v>
      </c>
      <c r="B963" s="0" t="s">
        <v>73</v>
      </c>
      <c r="C963" s="38" t="n">
        <f aca="false">Sens!$C$961*Sens!$C$962</f>
        <v>433.768620748718</v>
      </c>
    </row>
    <row r="964" customFormat="false" ht="17.15" hidden="false" customHeight="false" outlineLevel="0" collapsed="false">
      <c r="A964" s="5" t="s">
        <v>883</v>
      </c>
      <c r="B964" s="0" t="s">
        <v>73</v>
      </c>
      <c r="C964" s="38" t="n">
        <f aca="false">Sens!$C$954+Sens!$C$957+Sens!$C$960+Sens!$C$963</f>
        <v>2908.31476259926</v>
      </c>
    </row>
    <row r="965" customFormat="false" ht="17.15" hidden="false" customHeight="false" outlineLevel="0" collapsed="false">
      <c r="A965" s="5" t="s">
        <v>884</v>
      </c>
      <c r="B965" s="0" t="s">
        <v>73</v>
      </c>
      <c r="C965" s="38" t="n">
        <f aca="false">Sens!$H$923</f>
        <v>213.982425927788</v>
      </c>
    </row>
    <row r="966" customFormat="false" ht="15" hidden="false" customHeight="false" outlineLevel="0" collapsed="false">
      <c r="A966" s="5" t="s">
        <v>885</v>
      </c>
      <c r="B966" s="0" t="s">
        <v>73</v>
      </c>
      <c r="C966" s="38" t="n">
        <f aca="false">Sens!$C$964-Sens!$C$965+Sens!$C$947</f>
        <v>2873.27633667147</v>
      </c>
    </row>
    <row r="967" customFormat="false" ht="15" hidden="false" customHeight="false" outlineLevel="0" collapsed="false">
      <c r="A967" s="3" t="s">
        <v>886</v>
      </c>
      <c r="B967" s="8" t="s">
        <v>27</v>
      </c>
      <c r="C967" s="30" t="n">
        <f aca="false">Sens!$C$966/sh_val</f>
        <v>260.4890791569</v>
      </c>
    </row>
    <row r="968" customFormat="false" ht="17.15" hidden="false" customHeight="false" outlineLevel="0" collapsed="false">
      <c r="A968" s="46" t="s">
        <v>887</v>
      </c>
      <c r="B968" s="13" t="s">
        <v>27</v>
      </c>
      <c r="C968" s="43" t="n">
        <f aca="false">w_dcf*Sens!$C$950+(1-w_dcf)*Sens!$C$967</f>
        <v>146.02005810087</v>
      </c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</row>
    <row r="969" customFormat="false" ht="17.15" hidden="false" customHeight="false" outlineLevel="0" collapsed="false">
      <c r="A969" s="5" t="s">
        <v>888</v>
      </c>
      <c r="B969" s="0" t="s">
        <v>27</v>
      </c>
      <c r="C969" s="30" t="n">
        <f aca="false">0.45*Sens!$C$950+0.55*Sens!$C$967</f>
        <v>157.466960206473</v>
      </c>
    </row>
    <row r="972" customFormat="false" ht="19.4" hidden="false" customHeight="false" outlineLevel="0" collapsed="false">
      <c r="A972" s="31" t="s">
        <v>1063</v>
      </c>
    </row>
    <row r="973" customFormat="false" ht="17.15" hidden="false" customHeight="false" outlineLevel="0" collapsed="false">
      <c r="A973" s="6" t="s">
        <v>16</v>
      </c>
      <c r="B973" s="6" t="s">
        <v>17</v>
      </c>
      <c r="C973" s="20" t="s">
        <v>457</v>
      </c>
      <c r="D973" s="20" t="s">
        <v>458</v>
      </c>
      <c r="E973" s="20" t="s">
        <v>540</v>
      </c>
      <c r="F973" s="20" t="s">
        <v>541</v>
      </c>
      <c r="G973" s="20" t="s">
        <v>542</v>
      </c>
      <c r="H973" s="20" t="s">
        <v>543</v>
      </c>
      <c r="I973" s="20" t="s">
        <v>544</v>
      </c>
      <c r="J973" s="20" t="s">
        <v>545</v>
      </c>
      <c r="K973" s="20" t="s">
        <v>546</v>
      </c>
      <c r="L973" s="20" t="s">
        <v>547</v>
      </c>
      <c r="M973" s="20" t="s">
        <v>548</v>
      </c>
      <c r="N973" s="20" t="s">
        <v>549</v>
      </c>
      <c r="O973" s="20" t="s">
        <v>550</v>
      </c>
      <c r="P973" s="6" t="s">
        <v>23</v>
      </c>
      <c r="R973" s="20" t="n">
        <v>2023</v>
      </c>
      <c r="S973" s="20" t="n">
        <v>2024</v>
      </c>
      <c r="T973" s="20" t="n">
        <v>2025</v>
      </c>
      <c r="U973" s="20" t="n">
        <v>2026</v>
      </c>
      <c r="V973" s="20" t="n">
        <v>2027</v>
      </c>
      <c r="W973" s="20" t="n">
        <v>2028</v>
      </c>
      <c r="X973" s="20" t="n">
        <v>2029</v>
      </c>
      <c r="Y973" s="20" t="n">
        <v>2030</v>
      </c>
      <c r="Z973" s="20" t="n">
        <v>2031</v>
      </c>
      <c r="AA973" s="20" t="n">
        <v>2032</v>
      </c>
    </row>
    <row r="974" customFormat="false" ht="17.15" hidden="false" customHeight="false" outlineLevel="0" collapsed="false">
      <c r="A974" s="1" t="s">
        <v>620</v>
      </c>
    </row>
    <row r="975" customFormat="false" ht="17.15" hidden="false" customHeight="false" outlineLevel="0" collapsed="false">
      <c r="A975" s="0" t="s">
        <v>479</v>
      </c>
      <c r="B975" s="0" t="s">
        <v>73</v>
      </c>
      <c r="C975" s="38" t="n">
        <f aca="false">Q!$D$10</f>
        <v>247.029</v>
      </c>
      <c r="D975" s="38" t="n">
        <f aca="false">Q!$E$10</f>
        <v>269.287</v>
      </c>
      <c r="E975" s="38" t="n">
        <f aca="false">Q!$P$10</f>
        <v>134.686</v>
      </c>
      <c r="F975" s="38" t="n">
        <f aca="false">Sens!$O$975*(1+Sens!$F$976)-pd_amt*Q!$O$10/(Q!$O$10+Q!$O$12)</f>
        <v>160.728085930082</v>
      </c>
      <c r="G975" s="38" t="n">
        <f aca="false">Sens!$E$975+Sens!$F$975</f>
        <v>295.414085930082</v>
      </c>
      <c r="H975" s="38" t="n">
        <f aca="false">Sens!$G$975*(1+Sens!$H$976)</f>
        <v>320.828163943375</v>
      </c>
      <c r="I975" s="38" t="n">
        <f aca="false">Sens!$H$975*(1+Sens!$I$976)</f>
        <v>344.575578072228</v>
      </c>
      <c r="J975" s="38" t="n">
        <f aca="false">Sens!$I$975*(1+Sens!$J$976)</f>
        <v>365.942555779681</v>
      </c>
      <c r="K975" s="38" t="n">
        <f aca="false">Sens!$J$975*(1+Sens!$K$976)</f>
        <v>384.239683568665</v>
      </c>
      <c r="L975" s="38" t="n">
        <f aca="false">Sens!$K$975*(1+Sens!$L$976)</f>
        <v>403.451667747098</v>
      </c>
      <c r="M975" s="38" t="n">
        <f aca="false">Sens!$L$975*(1+Sens!$M$976)</f>
        <v>423.624251134453</v>
      </c>
      <c r="N975" s="38" t="n">
        <f aca="false">Q!$N$10</f>
        <v>118.892</v>
      </c>
      <c r="O975" s="38" t="n">
        <f aca="false">Q!$O$10</f>
        <v>150.395</v>
      </c>
      <c r="P975" s="8" t="s">
        <v>621</v>
      </c>
    </row>
    <row r="976" customFormat="false" ht="17.15" hidden="false" customHeight="false" outlineLevel="0" collapsed="false">
      <c r="A976" s="0" t="s">
        <v>622</v>
      </c>
      <c r="B976" s="0" t="s">
        <v>52</v>
      </c>
      <c r="E976" s="12" t="n">
        <f aca="false">Sens!$E$975/Sens!$N$975-1</f>
        <v>0.132843252699929</v>
      </c>
      <c r="F976" s="12" t="n">
        <f aca="false">Sens!$O$975/(Q!$F$10+Q!$G$10)-1</f>
        <v>0.0980382135842941</v>
      </c>
      <c r="G976" s="12" t="n">
        <f aca="false">Sens!$G$975/Sens!$D$975-1</f>
        <v>0.0970231980380869</v>
      </c>
      <c r="H976" s="12" t="n">
        <f aca="false">Sens!$F$976+(g_os-Sens!$F$976)*1/4</f>
        <v>0.0860286601882206</v>
      </c>
      <c r="I976" s="12" t="n">
        <f aca="false">Sens!$F$976+(g_os-Sens!$F$976)*2/4</f>
        <v>0.074019106792147</v>
      </c>
      <c r="J976" s="12" t="n">
        <f aca="false">Sens!$F$976+(g_os-Sens!$F$976)*3/4</f>
        <v>0.0620095533960735</v>
      </c>
      <c r="K976" s="12" t="n">
        <f aca="false">Sens!$F$976+(g_os-Sens!$F$976)*4/4</f>
        <v>0.05</v>
      </c>
      <c r="L976" s="12" t="n">
        <f aca="false">g_os</f>
        <v>0.05</v>
      </c>
      <c r="M976" s="12" t="n">
        <f aca="false">g_os</f>
        <v>0.05</v>
      </c>
      <c r="P976" s="8" t="s">
        <v>623</v>
      </c>
    </row>
    <row r="977" customFormat="false" ht="17.15" hidden="false" customHeight="false" outlineLevel="0" collapsed="false">
      <c r="A977" s="0" t="s">
        <v>480</v>
      </c>
      <c r="B977" s="0" t="s">
        <v>73</v>
      </c>
      <c r="C977" s="38" t="n">
        <f aca="false">Q!$D$11</f>
        <v>21.215</v>
      </c>
      <c r="D977" s="38" t="n">
        <f aca="false">Q!$E$11</f>
        <v>22.561</v>
      </c>
      <c r="E977" s="38" t="n">
        <f aca="false">Q!$P$11</f>
        <v>11.579</v>
      </c>
      <c r="F977" s="38" t="n">
        <f aca="false">Sens!$O$977*(1+Sens!$F$978)</f>
        <v>12.0952613121125</v>
      </c>
      <c r="G977" s="38" t="n">
        <f aca="false">Sens!$E$977+Sens!$F$977</f>
        <v>23.6742613121125</v>
      </c>
      <c r="H977" s="38" t="n">
        <f aca="false">Sens!$G$977*(1+Sens!$H$978)</f>
        <v>24.8803243963206</v>
      </c>
      <c r="I977" s="38" t="n">
        <f aca="false">Sens!$H$977*(1+Sens!$I$978)</f>
        <v>25.9741308664154</v>
      </c>
      <c r="J977" s="38" t="n">
        <f aca="false">Sens!$I$977*(1+Sens!$J$978)</f>
        <v>26.9346894124267</v>
      </c>
      <c r="K977" s="38" t="n">
        <f aca="false">Sens!$J$977*(1+Sens!$K$978)</f>
        <v>27.7427300947995</v>
      </c>
      <c r="L977" s="38" t="n">
        <f aca="false">Sens!$K$977*(1+Sens!$L$978)</f>
        <v>28.5750119976435</v>
      </c>
      <c r="M977" s="38" t="n">
        <f aca="false">Sens!$L$977*(1+Sens!$M$978)</f>
        <v>29.4322623575728</v>
      </c>
      <c r="N977" s="38" t="n">
        <f aca="false">Q!$N$11</f>
        <v>11.128</v>
      </c>
      <c r="O977" s="38" t="n">
        <f aca="false">Q!$O$11</f>
        <v>11.433</v>
      </c>
      <c r="P977" s="8" t="s">
        <v>621</v>
      </c>
    </row>
    <row r="978" customFormat="false" ht="17.15" hidden="false" customHeight="false" outlineLevel="0" collapsed="false">
      <c r="A978" s="0" t="s">
        <v>624</v>
      </c>
      <c r="B978" s="0" t="s">
        <v>52</v>
      </c>
      <c r="E978" s="12" t="n">
        <f aca="false">Sens!$E$977/Sens!$N$977-1</f>
        <v>0.0405283968368082</v>
      </c>
      <c r="F978" s="12" t="n">
        <f aca="false">Sens!$O$977/(Q!$F$11+Q!$G$11)-1</f>
        <v>0.0579254187100955</v>
      </c>
      <c r="G978" s="12" t="n">
        <f aca="false">Sens!$G$977/Sens!$D$977-1</f>
        <v>0.0493445021103904</v>
      </c>
      <c r="H978" s="12" t="n">
        <f aca="false">Sens!$F$978+(g_ps-Sens!$F$978)*1/4</f>
        <v>0.0509440640325716</v>
      </c>
      <c r="I978" s="12" t="n">
        <f aca="false">Sens!$F$978+(g_ps-Sens!$F$978)*2/4</f>
        <v>0.0439627093550477</v>
      </c>
      <c r="J978" s="12" t="n">
        <f aca="false">Sens!$F$978+(g_ps-Sens!$F$978)*3/4</f>
        <v>0.0369813546775239</v>
      </c>
      <c r="K978" s="12" t="n">
        <f aca="false">Sens!$F$978+(g_ps-Sens!$F$978)*4/4</f>
        <v>0.03</v>
      </c>
      <c r="L978" s="12" t="n">
        <f aca="false">g_ps</f>
        <v>0.03</v>
      </c>
      <c r="M978" s="12" t="n">
        <f aca="false">g_ps</f>
        <v>0.03</v>
      </c>
      <c r="P978" s="8" t="s">
        <v>625</v>
      </c>
    </row>
    <row r="979" customFormat="false" ht="17.15" hidden="false" customHeight="false" outlineLevel="0" collapsed="false">
      <c r="A979" s="0" t="s">
        <v>481</v>
      </c>
      <c r="B979" s="0" t="s">
        <v>73</v>
      </c>
      <c r="C979" s="38" t="n">
        <f aca="false">Q!$D$12</f>
        <v>156.146</v>
      </c>
      <c r="D979" s="38" t="n">
        <f aca="false">Q!$E$12</f>
        <v>172.162</v>
      </c>
      <c r="E979" s="38" t="n">
        <f aca="false">Q!$P$12</f>
        <v>88.358</v>
      </c>
      <c r="F979" s="38" t="n">
        <f aca="false">Sens!$O$979*(1+Sens!$F$980)-pd_amt*Q!$O$12/(Q!$O$10+Q!$O$12)</f>
        <v>103.62028337149</v>
      </c>
      <c r="G979" s="38" t="n">
        <f aca="false">Sens!$E$979+Sens!$F$979</f>
        <v>191.97828337149</v>
      </c>
      <c r="H979" s="38" t="n">
        <f aca="false">Sens!$G$979*(1+Sens!$H$980)</f>
        <v>212.128608444755</v>
      </c>
      <c r="I979" s="38" t="n">
        <f aca="false">Sens!$H$979*(1+Sens!$I$980)</f>
        <v>231.92183134134</v>
      </c>
      <c r="J979" s="38" t="n">
        <f aca="false">Sens!$I$979*(1+Sens!$J$980)</f>
        <v>250.859136487863</v>
      </c>
      <c r="K979" s="38" t="n">
        <f aca="false">Sens!$J$979*(1+Sens!$K$980)</f>
        <v>268.419276042014</v>
      </c>
      <c r="L979" s="38" t="n">
        <f aca="false">Sens!$K$979*(1+Sens!$L$980)</f>
        <v>287.208625364954</v>
      </c>
      <c r="M979" s="38" t="n">
        <f aca="false">Sens!$L$979*(1+Sens!$M$980)</f>
        <v>307.313229140501</v>
      </c>
      <c r="N979" s="38" t="n">
        <f aca="false">Q!$N$12</f>
        <v>76.86</v>
      </c>
      <c r="O979" s="38" t="n">
        <f aca="false">Q!$O$12</f>
        <v>95.302</v>
      </c>
      <c r="P979" s="8" t="s">
        <v>621</v>
      </c>
    </row>
    <row r="980" customFormat="false" ht="17.15" hidden="false" customHeight="false" outlineLevel="0" collapsed="false">
      <c r="A980" s="0" t="s">
        <v>626</v>
      </c>
      <c r="B980" s="0" t="s">
        <v>52</v>
      </c>
      <c r="E980" s="12" t="n">
        <f aca="false">Sens!$E$979/Sens!$N$979-1</f>
        <v>0.1495966692688</v>
      </c>
      <c r="F980" s="12" t="n">
        <f aca="false">Sens!$O$979/(Q!$F$12+Q!$G$12)-1</f>
        <v>0.11661530890813</v>
      </c>
      <c r="G980" s="12" t="n">
        <f aca="false">Sens!$G$979/Sens!$D$979-1</f>
        <v>0.115102539303041</v>
      </c>
      <c r="H980" s="12" t="n">
        <f aca="false">Sens!$F$980+(g_sp-Sens!$F$980)*1/4</f>
        <v>0.104961481681098</v>
      </c>
      <c r="I980" s="12" t="n">
        <f aca="false">Sens!$F$980+(g_sp-Sens!$F$980)*2/4</f>
        <v>0.0933076544540651</v>
      </c>
      <c r="J980" s="12" t="n">
        <f aca="false">Sens!$F$980+(g_sp-Sens!$F$980)*3/4</f>
        <v>0.0816538272270325</v>
      </c>
      <c r="K980" s="12" t="n">
        <f aca="false">Sens!$F$980+(g_sp-Sens!$F$980)*4/4</f>
        <v>0.07</v>
      </c>
      <c r="L980" s="12" t="n">
        <f aca="false">g_sp</f>
        <v>0.07</v>
      </c>
      <c r="M980" s="12" t="n">
        <f aca="false">g_sp</f>
        <v>0.07</v>
      </c>
      <c r="P980" s="8" t="s">
        <v>627</v>
      </c>
    </row>
    <row r="981" customFormat="false" ht="17.15" hidden="false" customHeight="false" outlineLevel="0" collapsed="false">
      <c r="A981" s="0" t="s">
        <v>482</v>
      </c>
      <c r="B981" s="0" t="s">
        <v>73</v>
      </c>
      <c r="C981" s="38" t="n">
        <f aca="false">Q!$D$13</f>
        <v>56.214</v>
      </c>
      <c r="D981" s="38" t="n">
        <f aca="false">Q!$E$13</f>
        <v>68.635</v>
      </c>
      <c r="E981" s="38" t="n">
        <f aca="false">Q!$P$13</f>
        <v>37.052</v>
      </c>
      <c r="F981" s="38" t="n">
        <f aca="false">Sens!$O$981*(1+Sens!$F$982)</f>
        <v>48.1533381827382</v>
      </c>
      <c r="G981" s="38" t="n">
        <f aca="false">Sens!$E$981+Sens!$F$981</f>
        <v>85.2053381827382</v>
      </c>
      <c r="H981" s="38" t="n">
        <f aca="false">Sens!$G$981*(1+Sens!$H$982)</f>
        <v>102.29336185894</v>
      </c>
      <c r="I981" s="38" t="n">
        <f aca="false">Sens!$H$981*(1+Sens!$I$982)</f>
        <v>119.379837585241</v>
      </c>
      <c r="J981" s="38" t="n">
        <f aca="false">Sens!$I$981*(1+Sens!$J$982)</f>
        <v>135.319079048844</v>
      </c>
      <c r="K981" s="38" t="n">
        <f aca="false">Sens!$J$981*(1+Sens!$K$982)</f>
        <v>148.850986953729</v>
      </c>
      <c r="L981" s="38" t="n">
        <f aca="false">Sens!$K$981*(1+Sens!$L$982)</f>
        <v>163.736085649102</v>
      </c>
      <c r="M981" s="38" t="n">
        <f aca="false">Sens!$L$981*(1+Sens!$M$982)</f>
        <v>180.109694214012</v>
      </c>
      <c r="N981" s="38" t="n">
        <f aca="false">Q!$N$13</f>
        <v>29.615</v>
      </c>
      <c r="O981" s="38" t="n">
        <f aca="false">Q!$O$13</f>
        <v>39.02</v>
      </c>
      <c r="P981" s="8" t="s">
        <v>621</v>
      </c>
    </row>
    <row r="982" customFormat="false" ht="17.15" hidden="false" customHeight="false" outlineLevel="0" collapsed="false">
      <c r="A982" s="0" t="s">
        <v>628</v>
      </c>
      <c r="B982" s="0" t="s">
        <v>52</v>
      </c>
      <c r="E982" s="12" t="n">
        <f aca="false">Sens!$E$981/Sens!$N$981-1</f>
        <v>0.25112274185379</v>
      </c>
      <c r="F982" s="12" t="n">
        <f aca="false">Sens!$O$981/(Q!$F$13+Q!$G$13)-1</f>
        <v>0.234068123596572</v>
      </c>
      <c r="G982" s="12" t="n">
        <f aca="false">Sens!$G$981/Sens!$D$981-1</f>
        <v>0.241426942270536</v>
      </c>
      <c r="H982" s="12" t="n">
        <f aca="false">Sens!$F$982+(g_ad-Sens!$F$982)*1/4</f>
        <v>0.200551092697429</v>
      </c>
      <c r="I982" s="12" t="n">
        <f aca="false">Sens!$F$982+(g_ad-Sens!$F$982)*2/4</f>
        <v>0.167034061798286</v>
      </c>
      <c r="J982" s="12" t="n">
        <f aca="false">Sens!$F$982+(g_ad-Sens!$F$982)*3/4</f>
        <v>0.133517030899143</v>
      </c>
      <c r="K982" s="12" t="n">
        <f aca="false">Sens!$F$982+(g_ad-Sens!$F$982)*4/4</f>
        <v>0.1</v>
      </c>
      <c r="L982" s="12" t="n">
        <f aca="false">g_ad</f>
        <v>0.1</v>
      </c>
      <c r="M982" s="12" t="n">
        <f aca="false">g_ad</f>
        <v>0.1</v>
      </c>
      <c r="P982" s="8" t="s">
        <v>629</v>
      </c>
    </row>
    <row r="983" customFormat="false" ht="17.15" hidden="false" customHeight="false" outlineLevel="0" collapsed="false">
      <c r="A983" s="0" t="s">
        <v>483</v>
      </c>
      <c r="B983" s="0" t="s">
        <v>73</v>
      </c>
      <c r="C983" s="38" t="n">
        <f aca="false">Q!$D$14</f>
        <v>44.374</v>
      </c>
      <c r="D983" s="38" t="n">
        <f aca="false">Q!$E$14</f>
        <v>49.619</v>
      </c>
      <c r="E983" s="38" t="n">
        <f aca="false">Q!$P$14</f>
        <v>27.157</v>
      </c>
      <c r="F983" s="38" t="n">
        <f aca="false">Sens!$O$983*(1+Sens!$F$984)</f>
        <v>28.9776360923374</v>
      </c>
      <c r="G983" s="38" t="n">
        <f aca="false">Sens!$E$983+Sens!$F$983</f>
        <v>56.1346360923374</v>
      </c>
      <c r="H983" s="38" t="n">
        <f aca="false">Sens!$G$983*(1+Sens!$H$984)</f>
        <v>62.4937078946075</v>
      </c>
      <c r="I983" s="38" t="n">
        <f aca="false">Sens!$H$983*(1+Sens!$I$984)</f>
        <v>68.6715233062498</v>
      </c>
      <c r="J983" s="38" t="n">
        <f aca="false">Sens!$I$983*(1+Sens!$J$984)</f>
        <v>74.4692882949818</v>
      </c>
      <c r="K983" s="38" t="n">
        <f aca="false">Sens!$J$983*(1+Sens!$K$984)</f>
        <v>79.6821384756306</v>
      </c>
      <c r="L983" s="38" t="n">
        <f aca="false">Sens!$K$983*(1+Sens!$L$984)</f>
        <v>85.2598881689247</v>
      </c>
      <c r="M983" s="38" t="n">
        <f aca="false">Sens!$L$983*(1+Sens!$M$984)</f>
        <v>91.2280803407494</v>
      </c>
      <c r="N983" s="38" t="n">
        <f aca="false">Q!$N$14</f>
        <v>23.923</v>
      </c>
      <c r="O983" s="38" t="n">
        <f aca="false">Q!$O$14</f>
        <v>25.696</v>
      </c>
      <c r="P983" s="8" t="s">
        <v>621</v>
      </c>
    </row>
    <row r="984" customFormat="false" ht="17.15" hidden="false" customHeight="false" outlineLevel="0" collapsed="false">
      <c r="A984" s="0" t="s">
        <v>630</v>
      </c>
      <c r="B984" s="0" t="s">
        <v>52</v>
      </c>
      <c r="E984" s="12" t="n">
        <f aca="false">Sens!$E$983/Sens!$N$983-1</f>
        <v>0.135183714417088</v>
      </c>
      <c r="F984" s="12" t="n">
        <f aca="false">Sens!$O$983/(Q!$F$14+Q!$G$14)-1</f>
        <v>0.127709997366804</v>
      </c>
      <c r="G984" s="12" t="n">
        <f aca="false">Sens!$G$983/Sens!$D$983-1</f>
        <v>0.131313329416905</v>
      </c>
      <c r="H984" s="12" t="n">
        <f aca="false">Sens!$F$984+(g_sub-Sens!$F$984)*1/4</f>
        <v>0.113282498025103</v>
      </c>
      <c r="I984" s="12" t="n">
        <f aca="false">Sens!$F$984+(g_sub-Sens!$F$984)*2/4</f>
        <v>0.0988549986834021</v>
      </c>
      <c r="J984" s="12" t="n">
        <f aca="false">Sens!$F$984+(g_sub-Sens!$F$984)*3/4</f>
        <v>0.084427499341701</v>
      </c>
      <c r="K984" s="12" t="n">
        <f aca="false">Sens!$F$984+(g_sub-Sens!$F$984)*4/4</f>
        <v>0.07</v>
      </c>
      <c r="L984" s="12" t="n">
        <f aca="false">g_sub</f>
        <v>0.07</v>
      </c>
      <c r="M984" s="12" t="n">
        <f aca="false">g_sub</f>
        <v>0.07</v>
      </c>
      <c r="P984" s="8" t="s">
        <v>631</v>
      </c>
    </row>
    <row r="985" customFormat="false" ht="17.15" hidden="false" customHeight="false" outlineLevel="0" collapsed="false">
      <c r="A985" s="0" t="s">
        <v>484</v>
      </c>
      <c r="B985" s="0" t="s">
        <v>73</v>
      </c>
      <c r="C985" s="38" t="n">
        <f aca="false">Q!$D$15</f>
        <v>5.425</v>
      </c>
      <c r="D985" s="38" t="n">
        <f aca="false">Q!$E$15</f>
        <v>5.935</v>
      </c>
      <c r="E985" s="38" t="n">
        <f aca="false">Q!$P$15</f>
        <v>3.474</v>
      </c>
      <c r="F985" s="38" t="n">
        <f aca="false">Sens!$O$985*(1+Sens!$F$986)</f>
        <v>3.36182431966931</v>
      </c>
      <c r="G985" s="38" t="n">
        <f aca="false">Sens!$E$985+Sens!$F$985</f>
        <v>6.83582431966931</v>
      </c>
      <c r="H985" s="38" t="n">
        <f aca="false">Sens!$G$985*(1+Sens!$H$986)</f>
        <v>7.31157108370141</v>
      </c>
      <c r="I985" s="38" t="n">
        <f aca="false">Sens!$H$985*(1+Sens!$I$986)</f>
        <v>7.77266852639815</v>
      </c>
      <c r="J985" s="38" t="n">
        <f aca="false">Sens!$I$985*(1+Sens!$J$986)</f>
        <v>8.2120733019884</v>
      </c>
      <c r="K985" s="38" t="n">
        <f aca="false">Sens!$J$985*(1+Sens!$K$986)</f>
        <v>8.62267696708783</v>
      </c>
      <c r="L985" s="38" t="n">
        <f aca="false">Sens!$K$985*(1+Sens!$L$986)</f>
        <v>9.05381081544222</v>
      </c>
      <c r="M985" s="38" t="n">
        <f aca="false">Sens!$L$985*(1+Sens!$M$986)</f>
        <v>9.50650135621433</v>
      </c>
      <c r="N985" s="38" t="n">
        <f aca="false">Q!$N$15</f>
        <v>2.811</v>
      </c>
      <c r="O985" s="38" t="n">
        <f aca="false">Q!$O$15</f>
        <v>3.124</v>
      </c>
      <c r="P985" s="8" t="s">
        <v>621</v>
      </c>
    </row>
    <row r="986" customFormat="false" ht="17.15" hidden="false" customHeight="false" outlineLevel="0" collapsed="false">
      <c r="A986" s="0" t="s">
        <v>632</v>
      </c>
      <c r="B986" s="0" t="s">
        <v>52</v>
      </c>
      <c r="E986" s="12" t="n">
        <f aca="false">Sens!$E$985/Sens!$N$985-1</f>
        <v>0.235859124866596</v>
      </c>
      <c r="F986" s="12" t="n">
        <f aca="false">Sens!$O$985/(Q!$F$15+Q!$G$15)-1</f>
        <v>0.0761281433000345</v>
      </c>
      <c r="G986" s="12" t="n">
        <f aca="false">Sens!$G$985/Sens!$D$985-1</f>
        <v>0.151781688234087</v>
      </c>
      <c r="H986" s="12" t="n">
        <f aca="false">Sens!$F$986+(g_ot-Sens!$F$986)*1/4</f>
        <v>0.0695961074750259</v>
      </c>
      <c r="I986" s="12" t="n">
        <f aca="false">Sens!$F$986+(g_ot-Sens!$F$986)*2/4</f>
        <v>0.0630640716500172</v>
      </c>
      <c r="J986" s="12" t="n">
        <f aca="false">Sens!$F$986+(g_ot-Sens!$F$986)*3/4</f>
        <v>0.0565320358250086</v>
      </c>
      <c r="K986" s="12" t="n">
        <f aca="false">Sens!$F$986+(g_ot-Sens!$F$986)*4/4</f>
        <v>0.05</v>
      </c>
      <c r="L986" s="12" t="n">
        <f aca="false">g_ot</f>
        <v>0.05</v>
      </c>
      <c r="M986" s="12" t="n">
        <f aca="false">g_ot</f>
        <v>0.05</v>
      </c>
      <c r="P986" s="8" t="s">
        <v>633</v>
      </c>
    </row>
    <row r="987" customFormat="false" ht="17.15" hidden="false" customHeight="false" outlineLevel="0" collapsed="false">
      <c r="A987" s="3" t="s">
        <v>634</v>
      </c>
      <c r="B987" s="8" t="s">
        <v>73</v>
      </c>
      <c r="C987" s="38" t="n">
        <f aca="false">Sens!$C$975+Sens!$C$977+Sens!$C$979+Sens!$C$981+Sens!$C$983+Sens!$C$985</f>
        <v>530.403</v>
      </c>
      <c r="D987" s="38" t="n">
        <f aca="false">Sens!$D$975+Sens!$D$977+Sens!$D$979+Sens!$D$981+Sens!$D$983+Sens!$D$985</f>
        <v>588.199</v>
      </c>
      <c r="E987" s="38" t="n">
        <f aca="false">Sens!$E$975+Sens!$E$977+Sens!$E$979+Sens!$E$981+Sens!$E$983+Sens!$E$985</f>
        <v>302.306</v>
      </c>
      <c r="F987" s="38" t="n">
        <f aca="false">Sens!$F$975+Sens!$F$977+Sens!$F$979+Sens!$F$981+Sens!$F$983+Sens!$F$985</f>
        <v>356.93642920843</v>
      </c>
      <c r="G987" s="38" t="n">
        <f aca="false">Sens!$G$975+Sens!$G$977+Sens!$G$979+Sens!$G$981+Sens!$G$983+Sens!$G$985</f>
        <v>659.24242920843</v>
      </c>
      <c r="H987" s="38" t="n">
        <f aca="false">Sens!$H$975+Sens!$H$977+Sens!$H$979+Sens!$H$981+Sens!$H$983+Sens!$H$985</f>
        <v>729.935737621701</v>
      </c>
      <c r="I987" s="38" t="n">
        <f aca="false">Sens!$I$975+Sens!$I$977+Sens!$I$979+Sens!$I$981+Sens!$I$983+Sens!$I$985</f>
        <v>798.295569697873</v>
      </c>
      <c r="J987" s="38" t="n">
        <f aca="false">Sens!$J$975+Sens!$J$977+Sens!$J$979+Sens!$J$981+Sens!$J$983+Sens!$J$985</f>
        <v>861.736822325785</v>
      </c>
      <c r="K987" s="38" t="n">
        <f aca="false">Sens!$K$975+Sens!$K$977+Sens!$K$979+Sens!$K$981+Sens!$K$983+Sens!$K$985</f>
        <v>917.557492101925</v>
      </c>
      <c r="L987" s="38" t="n">
        <f aca="false">Sens!$L$975+Sens!$L$977+Sens!$L$979+Sens!$L$981+Sens!$L$983+Sens!$L$985</f>
        <v>977.285089743165</v>
      </c>
      <c r="M987" s="38" t="n">
        <f aca="false">Sens!$M$975+Sens!$M$977+Sens!$M$979+Sens!$M$981+Sens!$M$983+Sens!$M$985</f>
        <v>1041.2140185435</v>
      </c>
      <c r="N987" s="38" t="n">
        <f aca="false">Sens!$N$975+Sens!$N$977+Sens!$N$979+Sens!$N$981+Sens!$N$983+Sens!$N$985</f>
        <v>263.229</v>
      </c>
      <c r="O987" s="38" t="n">
        <f aca="false">Sens!$O$975+Sens!$O$977+Sens!$O$979+Sens!$O$981+Sens!$O$983+Sens!$O$985</f>
        <v>324.97</v>
      </c>
    </row>
    <row r="988" customFormat="false" ht="17.15" hidden="false" customHeight="false" outlineLevel="0" collapsed="false">
      <c r="A988" s="5" t="s">
        <v>635</v>
      </c>
      <c r="B988" s="0" t="s">
        <v>52</v>
      </c>
      <c r="C988" s="12" t="n">
        <f aca="false">Q!$D$5/(Q!$D$5+Q!$D$6)</f>
        <v>0.730570905519011</v>
      </c>
      <c r="D988" s="12" t="n">
        <f aca="false">Q!$E$5/(Q!$E$5+Q!$E$6)</f>
        <v>0.724763217890544</v>
      </c>
      <c r="E988" s="12" t="n">
        <f aca="false">Q!$P$5/(Q!$P$5+Q!$P$6)</f>
        <v>0.728797972914861</v>
      </c>
      <c r="F988" s="12" t="n">
        <f aca="false">Sens!$O$988</f>
        <v>0.718066283041511</v>
      </c>
      <c r="G988" s="12" t="n">
        <f aca="false">Sens!$G$989/Sens!$G$987</f>
        <v>0.722987468473627</v>
      </c>
      <c r="H988" s="12" t="n">
        <f aca="false">Sens!$G$988</f>
        <v>0.722987468473627</v>
      </c>
      <c r="I988" s="12" t="n">
        <f aca="false">Sens!$G$988</f>
        <v>0.722987468473627</v>
      </c>
      <c r="J988" s="12" t="n">
        <f aca="false">Sens!$G$988</f>
        <v>0.722987468473627</v>
      </c>
      <c r="K988" s="12" t="n">
        <f aca="false">Sens!$G$988</f>
        <v>0.722987468473627</v>
      </c>
      <c r="L988" s="12" t="n">
        <f aca="false">Sens!$G$988</f>
        <v>0.722987468473627</v>
      </c>
      <c r="M988" s="12" t="n">
        <f aca="false">Sens!$G$988</f>
        <v>0.722987468473627</v>
      </c>
      <c r="N988" s="12" t="n">
        <f aca="false">Q!$N$5/(Q!$N$5+Q!$N$6)</f>
        <v>0.733030935041352</v>
      </c>
      <c r="O988" s="12" t="n">
        <f aca="false">Q!$O$5/(Q!$O$5+Q!$O$6)</f>
        <v>0.718066283041511</v>
      </c>
      <c r="P988" s="8" t="s">
        <v>636</v>
      </c>
    </row>
    <row r="989" customFormat="false" ht="17.15" hidden="false" customHeight="false" outlineLevel="0" collapsed="false">
      <c r="A989" s="1" t="s">
        <v>472</v>
      </c>
      <c r="B989" s="8" t="s">
        <v>73</v>
      </c>
      <c r="C989" s="38" t="n">
        <f aca="false">Q!$D$5</f>
        <v>387.497</v>
      </c>
      <c r="D989" s="38" t="n">
        <f aca="false">Q!$E$5</f>
        <v>426.305</v>
      </c>
      <c r="E989" s="38" t="n">
        <f aca="false">Q!$P$5</f>
        <v>220.32</v>
      </c>
      <c r="F989" s="38" t="n">
        <f aca="false">Sens!$F$987*Sens!$F$988</f>
        <v>256.304015003807</v>
      </c>
      <c r="G989" s="38" t="n">
        <f aca="false">Sens!$E$989+Sens!$F$989</f>
        <v>476.624015003807</v>
      </c>
      <c r="H989" s="38" t="n">
        <f aca="false">Sens!$H$987*Sens!$H$988</f>
        <v>527.734391091543</v>
      </c>
      <c r="I989" s="38" t="n">
        <f aca="false">Sens!$I$987*Sens!$I$988</f>
        <v>577.157693029577</v>
      </c>
      <c r="J989" s="38" t="n">
        <f aca="false">Sens!$J$987*Sens!$J$988</f>
        <v>623.024923663827</v>
      </c>
      <c r="K989" s="38" t="n">
        <f aca="false">Sens!$K$987*Sens!$K$988</f>
        <v>663.382568393781</v>
      </c>
      <c r="L989" s="38" t="n">
        <f aca="false">Sens!$L$987*Sens!$L$988</f>
        <v>706.564873010432</v>
      </c>
      <c r="M989" s="38" t="n">
        <f aca="false">Sens!$M$987*Sens!$M$988</f>
        <v>752.784687406019</v>
      </c>
      <c r="N989" s="38" t="n">
        <f aca="false">Q!$N$5</f>
        <v>192.955</v>
      </c>
      <c r="O989" s="38" t="n">
        <f aca="false">Q!$O$5</f>
        <v>233.35</v>
      </c>
      <c r="P989" s="5" t="s">
        <v>637</v>
      </c>
    </row>
    <row r="990" customFormat="false" ht="17.15" hidden="false" customHeight="false" outlineLevel="0" collapsed="false">
      <c r="A990" s="1" t="s">
        <v>475</v>
      </c>
      <c r="B990" s="8" t="s">
        <v>73</v>
      </c>
      <c r="C990" s="38" t="n">
        <f aca="false">Q!$D$6</f>
        <v>142.906</v>
      </c>
      <c r="D990" s="38" t="n">
        <f aca="false">Q!$E$6</f>
        <v>161.894</v>
      </c>
      <c r="E990" s="38" t="n">
        <f aca="false">Q!$P$6</f>
        <v>81.986</v>
      </c>
      <c r="F990" s="38" t="n">
        <f aca="false">Sens!$F$987*(1-Sens!$F$988)</f>
        <v>100.632414204623</v>
      </c>
      <c r="G990" s="38" t="n">
        <f aca="false">Sens!$E$990+Sens!$F$990</f>
        <v>182.618414204623</v>
      </c>
      <c r="H990" s="38" t="n">
        <f aca="false">Sens!$H$987*(1-Sens!$H$988)</f>
        <v>202.201346530158</v>
      </c>
      <c r="I990" s="38" t="n">
        <f aca="false">Sens!$I$987*(1-Sens!$I$988)</f>
        <v>221.137876668296</v>
      </c>
      <c r="J990" s="38" t="n">
        <f aca="false">Sens!$J$987*(1-Sens!$J$988)</f>
        <v>238.711898661958</v>
      </c>
      <c r="K990" s="38" t="n">
        <f aca="false">Sens!$K$987*(1-Sens!$K$988)</f>
        <v>254.174923708144</v>
      </c>
      <c r="L990" s="38" t="n">
        <f aca="false">Sens!$L$987*(1-Sens!$L$988)</f>
        <v>270.720216732733</v>
      </c>
      <c r="M990" s="38" t="n">
        <f aca="false">Sens!$M$987*(1-Sens!$M$988)</f>
        <v>288.429331137484</v>
      </c>
      <c r="N990" s="38" t="n">
        <f aca="false">Q!$N$6</f>
        <v>70.274</v>
      </c>
      <c r="O990" s="38" t="n">
        <f aca="false">Q!$O$6</f>
        <v>91.62</v>
      </c>
      <c r="P990" s="5" t="s">
        <v>638</v>
      </c>
    </row>
    <row r="991" customFormat="false" ht="17.15" hidden="false" customHeight="false" outlineLevel="0" collapsed="false">
      <c r="A991" s="5" t="s">
        <v>639</v>
      </c>
      <c r="B991" s="0" t="s">
        <v>73</v>
      </c>
      <c r="C991" s="38" t="n">
        <f aca="false">Sens!$C$981*Sens!$C$988</f>
        <v>41.0683128828457</v>
      </c>
      <c r="D991" s="38" t="n">
        <f aca="false">Sens!$D$981*Sens!$D$988</f>
        <v>49.7441234599175</v>
      </c>
      <c r="E991" s="38" t="n">
        <f aca="false">Sens!$E$981*Sens!$E$988</f>
        <v>27.0034224924414</v>
      </c>
      <c r="F991" s="38" t="n">
        <f aca="false">Sens!$F$981*Sens!$F$988</f>
        <v>34.5772885649197</v>
      </c>
      <c r="G991" s="38" t="n">
        <f aca="false">Sens!$G$981*Sens!$G$988</f>
        <v>61.6023917531772</v>
      </c>
      <c r="H991" s="38" t="n">
        <f aca="false">Sens!$H$981*Sens!$H$988</f>
        <v>73.9568187320519</v>
      </c>
      <c r="I991" s="38" t="n">
        <f aca="false">Sens!$I$981*Sens!$I$988</f>
        <v>86.3101265625461</v>
      </c>
      <c r="J991" s="38" t="n">
        <f aca="false">Sens!$J$981*Sens!$J$988</f>
        <v>97.8339983977065</v>
      </c>
      <c r="K991" s="38" t="n">
        <f aca="false">Sens!$K$981*Sens!$K$988</f>
        <v>107.617398237477</v>
      </c>
      <c r="L991" s="38" t="n">
        <f aca="false">Sens!$L$981*Sens!$L$988</f>
        <v>118.379138061225</v>
      </c>
      <c r="M991" s="38" t="n">
        <f aca="false">Sens!$M$981*Sens!$M$988</f>
        <v>130.217051867347</v>
      </c>
      <c r="N991" s="38" t="n">
        <f aca="false">Sens!$N$981*Sens!$N$988</f>
        <v>21.7087111412496</v>
      </c>
      <c r="O991" s="38" t="n">
        <f aca="false">Sens!$O$981*Sens!$O$988</f>
        <v>28.0189463642798</v>
      </c>
      <c r="P991" s="5" t="s">
        <v>640</v>
      </c>
    </row>
    <row r="992" customFormat="false" ht="15" hidden="false" customHeight="false" outlineLevel="0" collapsed="false">
      <c r="A992" s="5" t="s">
        <v>641</v>
      </c>
      <c r="B992" s="0" t="s">
        <v>73</v>
      </c>
      <c r="C992" s="38" t="n">
        <f aca="false">Sens!$C$981-Sens!$C$991</f>
        <v>15.1456871171543</v>
      </c>
      <c r="D992" s="38" t="n">
        <f aca="false">Sens!$D$981-Sens!$D$991</f>
        <v>18.8908765400825</v>
      </c>
      <c r="E992" s="38" t="n">
        <f aca="false">Sens!$E$981-Sens!$E$991</f>
        <v>10.0485775075586</v>
      </c>
      <c r="F992" s="38" t="n">
        <f aca="false">Sens!$F$981-Sens!$F$991</f>
        <v>13.5760496178185</v>
      </c>
      <c r="G992" s="38" t="n">
        <f aca="false">Sens!$G$981-Sens!$G$991</f>
        <v>23.6029464295611</v>
      </c>
      <c r="H992" s="38" t="n">
        <f aca="false">Sens!$H$981-Sens!$H$991</f>
        <v>28.3365431268884</v>
      </c>
      <c r="I992" s="38" t="n">
        <f aca="false">Sens!$I$981-Sens!$I$991</f>
        <v>33.0697110226949</v>
      </c>
      <c r="J992" s="38" t="n">
        <f aca="false">Sens!$J$981-Sens!$J$991</f>
        <v>37.4850806511378</v>
      </c>
      <c r="K992" s="38" t="n">
        <f aca="false">Sens!$K$981-Sens!$K$991</f>
        <v>41.2335887162515</v>
      </c>
      <c r="L992" s="38" t="n">
        <f aca="false">Sens!$L$981-Sens!$L$991</f>
        <v>45.3569475878767</v>
      </c>
      <c r="M992" s="38" t="n">
        <f aca="false">Sens!$M$981-Sens!$M$991</f>
        <v>49.8926423466644</v>
      </c>
      <c r="N992" s="38" t="n">
        <f aca="false">Sens!$N$981-Sens!$N$991</f>
        <v>7.90628885875037</v>
      </c>
      <c r="O992" s="38" t="n">
        <f aca="false">Sens!$O$981-Sens!$O$991</f>
        <v>11.0010536357202</v>
      </c>
    </row>
    <row r="993" customFormat="false" ht="19.4" hidden="false" customHeight="false" outlineLevel="0" collapsed="false">
      <c r="A993" s="31" t="s">
        <v>1064</v>
      </c>
    </row>
    <row r="994" customFormat="false" ht="17.15" hidden="false" customHeight="false" outlineLevel="0" collapsed="false">
      <c r="A994" s="6" t="s">
        <v>16</v>
      </c>
      <c r="B994" s="6" t="s">
        <v>17</v>
      </c>
      <c r="C994" s="20" t="s">
        <v>457</v>
      </c>
      <c r="D994" s="20" t="s">
        <v>458</v>
      </c>
      <c r="E994" s="20" t="s">
        <v>540</v>
      </c>
      <c r="F994" s="20" t="s">
        <v>541</v>
      </c>
      <c r="G994" s="20" t="s">
        <v>542</v>
      </c>
      <c r="H994" s="20" t="s">
        <v>543</v>
      </c>
      <c r="I994" s="20" t="s">
        <v>544</v>
      </c>
      <c r="J994" s="20" t="s">
        <v>545</v>
      </c>
      <c r="K994" s="20" t="s">
        <v>546</v>
      </c>
      <c r="L994" s="20" t="s">
        <v>547</v>
      </c>
      <c r="M994" s="20" t="s">
        <v>548</v>
      </c>
      <c r="N994" s="20" t="s">
        <v>549</v>
      </c>
      <c r="O994" s="20" t="s">
        <v>550</v>
      </c>
      <c r="P994" s="6" t="s">
        <v>23</v>
      </c>
      <c r="R994" s="20" t="n">
        <v>2023</v>
      </c>
      <c r="S994" s="20" t="n">
        <v>2024</v>
      </c>
      <c r="T994" s="20" t="n">
        <v>2025</v>
      </c>
      <c r="U994" s="20" t="n">
        <v>2026</v>
      </c>
      <c r="V994" s="20" t="n">
        <v>2027</v>
      </c>
      <c r="W994" s="20" t="n">
        <v>2028</v>
      </c>
      <c r="X994" s="20" t="n">
        <v>2029</v>
      </c>
      <c r="Y994" s="20" t="n">
        <v>2030</v>
      </c>
      <c r="Z994" s="20" t="n">
        <v>2031</v>
      </c>
      <c r="AA994" s="20" t="n">
        <v>2032</v>
      </c>
    </row>
    <row r="995" customFormat="false" ht="17.15" hidden="false" customHeight="false" outlineLevel="0" collapsed="false">
      <c r="A995" s="1" t="s">
        <v>551</v>
      </c>
    </row>
    <row r="996" customFormat="false" ht="17.15" hidden="false" customHeight="false" outlineLevel="0" collapsed="false">
      <c r="A996" s="14" t="s">
        <v>552</v>
      </c>
      <c r="B996" s="13" t="s">
        <v>108</v>
      </c>
      <c r="C996" s="32" t="n">
        <f aca="false">mw_ye24</f>
        <v>360</v>
      </c>
      <c r="D996" s="32" t="n">
        <f aca="false">mw_ye25</f>
        <v>1440</v>
      </c>
      <c r="E996" s="32" t="n">
        <f aca="false">mw_open</f>
        <v>2080</v>
      </c>
      <c r="F996" s="32" t="n">
        <f aca="false">Sens!$E$996+pace_B*0.5</f>
        <v>3897.15</v>
      </c>
      <c r="G996" s="32" t="n">
        <f aca="false">Sens!$F$996</f>
        <v>3897.15</v>
      </c>
      <c r="H996" s="32" t="n">
        <f aca="false">Sens!$G$996+pace_B</f>
        <v>7531.45</v>
      </c>
      <c r="I996" s="32" t="n">
        <f aca="false">Sens!$H$996+pace_B</f>
        <v>11165.75</v>
      </c>
      <c r="J996" s="32" t="n">
        <f aca="false">Sens!$I$996+pace_B</f>
        <v>14800.05</v>
      </c>
      <c r="K996" s="32" t="n">
        <f aca="false">Sens!$J$996+pace_B</f>
        <v>18434.35</v>
      </c>
      <c r="L996" s="32" t="n">
        <f aca="false">Sens!$K$996+pace_B</f>
        <v>22068.65</v>
      </c>
      <c r="M996" s="32" t="n">
        <f aca="false">Sens!$L$996+pace_B</f>
        <v>25702.95</v>
      </c>
      <c r="N996" s="32" t="n">
        <f aca="false">(mw_ye24+mw_ye25)/2</f>
        <v>900</v>
      </c>
      <c r="O996" s="32" t="n">
        <f aca="false">mw_ye25</f>
        <v>1440</v>
      </c>
      <c r="P996" s="5" t="s">
        <v>553</v>
      </c>
    </row>
    <row r="997" customFormat="false" ht="17.15" hidden="false" customHeight="false" outlineLevel="0" collapsed="false">
      <c r="A997" s="5" t="s">
        <v>554</v>
      </c>
      <c r="B997" s="0" t="s">
        <v>108</v>
      </c>
      <c r="C997" s="33" t="n">
        <f aca="false">(mw_ye23+mw_ye24)/2</f>
        <v>240</v>
      </c>
      <c r="D997" s="33" t="n">
        <f aca="false">(Sens!$C$996+Sens!$D$996)/2</f>
        <v>900</v>
      </c>
      <c r="E997" s="33" t="n">
        <f aca="false">(Sens!$D$996+Sens!$E$996)/2</f>
        <v>1760</v>
      </c>
      <c r="F997" s="33" t="n">
        <f aca="false">(Sens!$E$996+Sens!$F$996)/2</f>
        <v>2988.575</v>
      </c>
      <c r="G997" s="33" t="n">
        <f aca="false">(Sens!$E$997+Sens!$F$997)/2</f>
        <v>2374.2875</v>
      </c>
      <c r="H997" s="33" t="n">
        <f aca="false">(Sens!$G$996+Sens!$H$996)/2</f>
        <v>5714.3</v>
      </c>
      <c r="I997" s="33" t="n">
        <f aca="false">(Sens!$H$996+Sens!$I$996)/2</f>
        <v>9348.6</v>
      </c>
      <c r="J997" s="33" t="n">
        <f aca="false">(Sens!$I$996+Sens!$J$996)/2</f>
        <v>12982.9</v>
      </c>
      <c r="K997" s="33" t="n">
        <f aca="false">(Sens!$J$996+Sens!$K$996)/2</f>
        <v>16617.2</v>
      </c>
      <c r="L997" s="33" t="n">
        <f aca="false">(Sens!$K$996+Sens!$L$996)/2</f>
        <v>20251.5</v>
      </c>
      <c r="M997" s="33" t="n">
        <f aca="false">(Sens!$L$996+Sens!$M$996)/2</f>
        <v>23885.8</v>
      </c>
      <c r="N997" s="33" t="n">
        <f aca="false">(Sens!$C$996+Sens!$N$996)/2</f>
        <v>630</v>
      </c>
      <c r="O997" s="33" t="n">
        <f aca="false">(Sens!$N$996+Sens!$O$996)/2</f>
        <v>1170</v>
      </c>
    </row>
    <row r="998" customFormat="false" ht="15" hidden="false" customHeight="false" outlineLevel="0" collapsed="false">
      <c r="A998" s="5" t="s">
        <v>555</v>
      </c>
      <c r="B998" s="5" t="s">
        <v>102</v>
      </c>
      <c r="C998" s="34" t="n">
        <v>1</v>
      </c>
      <c r="D998" s="34" t="n">
        <v>1</v>
      </c>
      <c r="E998" s="34" t="n">
        <v>0.5</v>
      </c>
      <c r="F998" s="34" t="n">
        <v>0.5</v>
      </c>
      <c r="G998" s="34" t="n">
        <v>1</v>
      </c>
      <c r="H998" s="34" t="n">
        <v>1</v>
      </c>
      <c r="I998" s="34" t="n">
        <v>1</v>
      </c>
      <c r="J998" s="34" t="n">
        <v>1</v>
      </c>
      <c r="K998" s="34" t="n">
        <v>1</v>
      </c>
      <c r="L998" s="34" t="n">
        <v>1</v>
      </c>
      <c r="M998" s="34" t="n">
        <v>1</v>
      </c>
      <c r="N998" s="34" t="n">
        <v>0.5</v>
      </c>
      <c r="O998" s="34" t="n">
        <v>0.5</v>
      </c>
    </row>
    <row r="999" customFormat="false" ht="17.15" hidden="false" customHeight="false" outlineLevel="0" collapsed="false">
      <c r="A999" s="5" t="s">
        <v>556</v>
      </c>
      <c r="B999" s="0" t="s">
        <v>108</v>
      </c>
      <c r="C999" s="33" t="n">
        <f aca="false">Sens!$C$996-mw_ye23</f>
        <v>240</v>
      </c>
      <c r="D999" s="33" t="n">
        <f aca="false">Sens!$D$996-Sens!$C$996</f>
        <v>1080</v>
      </c>
      <c r="E999" s="33" t="n">
        <f aca="false">Sens!$E$996-Sens!$D$996</f>
        <v>640</v>
      </c>
      <c r="F999" s="33" t="n">
        <f aca="false">Sens!$F$996-Sens!$E$996</f>
        <v>1817.15</v>
      </c>
      <c r="G999" s="33" t="n">
        <f aca="false">Sens!$E$999+Sens!$F$999</f>
        <v>2457.15</v>
      </c>
      <c r="H999" s="33" t="n">
        <f aca="false">Sens!$H$996-Sens!$G$996</f>
        <v>3634.3</v>
      </c>
      <c r="I999" s="33" t="n">
        <f aca="false">Sens!$I$996-Sens!$H$996</f>
        <v>3634.3</v>
      </c>
      <c r="J999" s="33" t="n">
        <f aca="false">Sens!$J$996-Sens!$I$996</f>
        <v>3634.3</v>
      </c>
      <c r="K999" s="33" t="n">
        <f aca="false">Sens!$K$996-Sens!$J$996</f>
        <v>3634.3</v>
      </c>
      <c r="L999" s="33" t="n">
        <f aca="false">Sens!$L$996-Sens!$K$996</f>
        <v>3634.3</v>
      </c>
      <c r="M999" s="33" t="n">
        <f aca="false">Sens!$M$996-Sens!$L$996</f>
        <v>3634.3</v>
      </c>
      <c r="N999" s="33" t="n">
        <f aca="false">Sens!$N$996-Sens!$C$996</f>
        <v>540</v>
      </c>
      <c r="O999" s="33" t="n">
        <f aca="false">Sens!$O$996-Sens!$N$996</f>
        <v>540</v>
      </c>
    </row>
    <row r="1000" customFormat="false" ht="17.15" hidden="false" customHeight="false" outlineLevel="0" collapsed="false">
      <c r="A1000" s="5" t="s">
        <v>557</v>
      </c>
      <c r="B1000" s="0" t="s">
        <v>108</v>
      </c>
      <c r="C1000" s="33" t="n">
        <f aca="false">Sens!$C$999/ext_sh_hi</f>
        <v>240</v>
      </c>
      <c r="D1000" s="33" t="n">
        <f aca="false">Sens!$D$999/ext_sh_hi</f>
        <v>1080</v>
      </c>
      <c r="E1000" s="33" t="n">
        <f aca="false">Sens!$E$999/ext_sh_hi</f>
        <v>640</v>
      </c>
      <c r="F1000" s="33" t="n">
        <f aca="false">Sens!$F$999/ext_sh_hi</f>
        <v>1817.15</v>
      </c>
      <c r="G1000" s="33" t="n">
        <f aca="false">Sens!$G$999/ext_sh_hi</f>
        <v>2457.15</v>
      </c>
      <c r="H1000" s="33" t="n">
        <f aca="false">Sens!$H$999/ext_sh_hi</f>
        <v>3634.3</v>
      </c>
      <c r="I1000" s="33" t="n">
        <f aca="false">Sens!$I$999/ext_sh_hi</f>
        <v>3634.3</v>
      </c>
      <c r="J1000" s="33" t="n">
        <f aca="false">Sens!$J$999/ext_sh_hi</f>
        <v>3634.3</v>
      </c>
      <c r="K1000" s="33" t="n">
        <f aca="false">Sens!$K$999/ext_sh_hi</f>
        <v>3634.3</v>
      </c>
      <c r="L1000" s="33" t="n">
        <f aca="false">Sens!$L$999/ext_sh_hi</f>
        <v>3634.3</v>
      </c>
      <c r="M1000" s="33" t="n">
        <f aca="false">Sens!$M$999/ext_sh_hi</f>
        <v>3634.3</v>
      </c>
      <c r="N1000" s="33" t="n">
        <f aca="false">Sens!$N$999/ext_sh_hi</f>
        <v>540</v>
      </c>
      <c r="O1000" s="33" t="n">
        <f aca="false">Sens!$O$999/ext_sh_hi</f>
        <v>540</v>
      </c>
      <c r="P1000" s="8" t="s">
        <v>558</v>
      </c>
      <c r="R1000" s="33" t="n">
        <f aca="false">mw_ye23/ext_sh_hi</f>
        <v>120</v>
      </c>
      <c r="S1000" s="33" t="n">
        <f aca="false">Sens!$C$1000</f>
        <v>240</v>
      </c>
      <c r="T1000" s="33" t="n">
        <f aca="false">Sens!$D$1000</f>
        <v>1080</v>
      </c>
      <c r="U1000" s="33" t="n">
        <f aca="false">Sens!$G$1000</f>
        <v>2457.15</v>
      </c>
      <c r="V1000" s="33" t="n">
        <f aca="false">Sens!$H$1000</f>
        <v>3634.3</v>
      </c>
      <c r="W1000" s="33" t="n">
        <f aca="false">Sens!$I$1000</f>
        <v>3634.3</v>
      </c>
      <c r="X1000" s="33" t="n">
        <f aca="false">Sens!$J$1000</f>
        <v>3634.3</v>
      </c>
      <c r="Y1000" s="33" t="n">
        <f aca="false">Sens!$K$1000</f>
        <v>3634.3</v>
      </c>
      <c r="Z1000" s="33" t="n">
        <f aca="false">Sens!$L$1000</f>
        <v>3634.3</v>
      </c>
      <c r="AA1000" s="33" t="n">
        <f aca="false">Sens!$M$1000</f>
        <v>3634.3</v>
      </c>
    </row>
    <row r="1001" customFormat="false" ht="17.15" hidden="false" customHeight="false" outlineLevel="0" collapsed="false">
      <c r="A1001" s="1" t="s">
        <v>559</v>
      </c>
    </row>
    <row r="1002" customFormat="false" ht="17.15" hidden="false" customHeight="false" outlineLevel="0" collapsed="false">
      <c r="A1002" s="0" t="s">
        <v>560</v>
      </c>
      <c r="B1002" s="0" t="s">
        <v>52</v>
      </c>
      <c r="F1002" s="35" t="n">
        <f aca="false">na_vr26</f>
        <v>0</v>
      </c>
      <c r="G1002" s="35" t="n">
        <f aca="false">na_vr26</f>
        <v>0</v>
      </c>
      <c r="H1002" s="35" t="n">
        <f aca="false">na_vr27</f>
        <v>0.5</v>
      </c>
      <c r="I1002" s="35" t="n">
        <f aca="false">na_vr28</f>
        <v>1</v>
      </c>
      <c r="J1002" s="35" t="n">
        <f aca="false">na_vr28</f>
        <v>1</v>
      </c>
      <c r="K1002" s="35" t="n">
        <f aca="false">na_vr28</f>
        <v>1</v>
      </c>
      <c r="L1002" s="35" t="n">
        <f aca="false">na_vr28</f>
        <v>1</v>
      </c>
      <c r="M1002" s="35" t="n">
        <f aca="false">na_vr28</f>
        <v>1</v>
      </c>
    </row>
    <row r="1003" customFormat="false" ht="17.15" hidden="false" customHeight="false" outlineLevel="0" collapsed="false">
      <c r="A1003" s="5" t="s">
        <v>561</v>
      </c>
      <c r="B1003" s="0" t="s">
        <v>151</v>
      </c>
      <c r="F1003" s="36" t="n">
        <f aca="false">cust_sh*tk_he_gb300*cf_chip+(1-cust_sh)*((1-Sens!$F$1002)*tk_he_gb300+Sens!$F$1002*tk_he_vr200)</f>
        <v>10.8864110021101</v>
      </c>
      <c r="G1003" s="36" t="n">
        <f aca="false">cust_sh*tk_he_gb300*cf_chip+(1-cust_sh)*((1-Sens!$G$1002)*tk_he_gb300+Sens!$G$1002*tk_he_vr200)</f>
        <v>10.8864110021101</v>
      </c>
      <c r="H1003" s="36" t="n">
        <f aca="false">cust_sh*tk_he_gb300*cf_chip+(1-cust_sh)*((1-Sens!$H$1002)*tk_he_gb300+Sens!$H$1002*tk_he_vr200)</f>
        <v>11.2211760027286</v>
      </c>
      <c r="I1003" s="36" t="n">
        <f aca="false">cust_sh*tk_he_gb300*cf_chip+(1-cust_sh)*((1-Sens!$I$1002)*tk_he_gb300+Sens!$I$1002*tk_he_vr200)</f>
        <v>11.5559410033471</v>
      </c>
      <c r="J1003" s="36" t="n">
        <f aca="false">cust_sh*tk_he_gb300*cf_chip+(1-cust_sh)*((1-Sens!$J$1002)*tk_he_gb300+Sens!$J$1002*tk_he_vr200)</f>
        <v>11.5559410033471</v>
      </c>
      <c r="K1003" s="36" t="n">
        <f aca="false">cust_sh*tk_he_gb300*cf_chip+(1-cust_sh)*((1-Sens!$K$1002)*tk_he_gb300+Sens!$K$1002*tk_he_vr200)</f>
        <v>11.5559410033471</v>
      </c>
      <c r="L1003" s="36" t="n">
        <f aca="false">cust_sh*tk_he_gb300*cf_chip+(1-cust_sh)*((1-Sens!$L$1002)*tk_he_gb300+Sens!$L$1002*tk_he_vr200)</f>
        <v>11.5559410033471</v>
      </c>
      <c r="M1003" s="36" t="n">
        <f aca="false">cust_sh*tk_he_gb300*cf_chip+(1-cust_sh)*((1-Sens!$M$1002)*tk_he_gb300+Sens!$M$1002*tk_he_vr200)</f>
        <v>11.5559410033471</v>
      </c>
    </row>
    <row r="1004" customFormat="false" ht="17.15" hidden="false" customHeight="false" outlineLevel="0" collapsed="false">
      <c r="A1004" s="5" t="s">
        <v>562</v>
      </c>
      <c r="B1004" s="0" t="s">
        <v>151</v>
      </c>
      <c r="F1004" s="36" t="n">
        <f aca="false">cust_sh*tk_ox_gb300+(1-cust_sh)*((1-Sens!$F$1002)*tk_ox_gb300+Sens!$F$1002*tk_ox_vr200)</f>
        <v>1.98263481314457</v>
      </c>
      <c r="G1004" s="36" t="n">
        <f aca="false">cust_sh*tk_ox_gb300+(1-cust_sh)*((1-Sens!$G$1002)*tk_ox_gb300+Sens!$G$1002*tk_ox_vr200)</f>
        <v>1.98263481314457</v>
      </c>
      <c r="H1004" s="36" t="n">
        <f aca="false">cust_sh*tk_ox_gb300+(1-cust_sh)*((1-Sens!$H$1002)*tk_ox_gb300+Sens!$H$1002*tk_ox_vr200)</f>
        <v>2.01034999693694</v>
      </c>
      <c r="I1004" s="36" t="n">
        <f aca="false">cust_sh*tk_ox_gb300+(1-cust_sh)*((1-Sens!$I$1002)*tk_ox_gb300+Sens!$I$1002*tk_ox_vr200)</f>
        <v>2.0380651807293</v>
      </c>
      <c r="J1004" s="36" t="n">
        <f aca="false">cust_sh*tk_ox_gb300+(1-cust_sh)*((1-Sens!$J$1002)*tk_ox_gb300+Sens!$J$1002*tk_ox_vr200)</f>
        <v>2.0380651807293</v>
      </c>
      <c r="K1004" s="36" t="n">
        <f aca="false">cust_sh*tk_ox_gb300+(1-cust_sh)*((1-Sens!$K$1002)*tk_ox_gb300+Sens!$K$1002*tk_ox_vr200)</f>
        <v>2.0380651807293</v>
      </c>
      <c r="L1004" s="36" t="n">
        <f aca="false">cust_sh*tk_ox_gb300+(1-cust_sh)*((1-Sens!$L$1002)*tk_ox_gb300+Sens!$L$1002*tk_ox_vr200)</f>
        <v>2.0380651807293</v>
      </c>
      <c r="M1004" s="36" t="n">
        <f aca="false">cust_sh*tk_ox_gb300+(1-cust_sh)*((1-Sens!$M$1002)*tk_ox_gb300+Sens!$M$1002*tk_ox_vr200)</f>
        <v>2.0380651807293</v>
      </c>
    </row>
    <row r="1005" customFormat="false" ht="17.15" hidden="false" customHeight="false" outlineLevel="0" collapsed="false">
      <c r="A1005" s="5" t="s">
        <v>563</v>
      </c>
      <c r="B1005" s="0" t="s">
        <v>170</v>
      </c>
      <c r="F1005" s="36" t="n">
        <f aca="false">cust_sh*tk_cx_gb300*cf_cx+(1-cust_sh)*((1-Sens!$F$1002)*tk_cx_gb300+Sens!$F$1002*tk_cx_vr200)</f>
        <v>32.237224</v>
      </c>
      <c r="G1005" s="36" t="n">
        <f aca="false">cust_sh*tk_cx_gb300*cf_cx+(1-cust_sh)*((1-Sens!$G$1002)*tk_cx_gb300+Sens!$G$1002*tk_cx_vr200)</f>
        <v>32.237224</v>
      </c>
      <c r="H1005" s="36" t="n">
        <f aca="false">cust_sh*tk_cx_gb300*cf_cx+(1-cust_sh)*((1-Sens!$H$1002)*tk_cx_gb300+Sens!$H$1002*tk_cx_vr200)</f>
        <v>33.574506</v>
      </c>
      <c r="I1005" s="36" t="n">
        <f aca="false">cust_sh*tk_cx_gb300*cf_cx+(1-cust_sh)*((1-Sens!$I$1002)*tk_cx_gb300+Sens!$I$1002*tk_cx_vr200)</f>
        <v>34.911788</v>
      </c>
      <c r="J1005" s="36" t="n">
        <f aca="false">cust_sh*tk_cx_gb300*cf_cx+(1-cust_sh)*((1-Sens!$J$1002)*tk_cx_gb300+Sens!$J$1002*tk_cx_vr200)</f>
        <v>34.911788</v>
      </c>
      <c r="K1005" s="36" t="n">
        <f aca="false">cust_sh*tk_cx_gb300*cf_cx+(1-cust_sh)*((1-Sens!$K$1002)*tk_cx_gb300+Sens!$K$1002*tk_cx_vr200)</f>
        <v>34.911788</v>
      </c>
      <c r="L1005" s="36" t="n">
        <f aca="false">cust_sh*tk_cx_gb300*cf_cx+(1-cust_sh)*((1-Sens!$L$1002)*tk_cx_gb300+Sens!$L$1002*tk_cx_vr200)</f>
        <v>34.911788</v>
      </c>
      <c r="M1005" s="36" t="n">
        <f aca="false">cust_sh*tk_cx_gb300*cf_cx+(1-cust_sh)*((1-Sens!$M$1002)*tk_cx_gb300+Sens!$M$1002*tk_cx_vr200)</f>
        <v>34.911788</v>
      </c>
    </row>
    <row r="1006" customFormat="false" ht="17.15" hidden="false" customHeight="false" outlineLevel="0" collapsed="false">
      <c r="A1006" s="5" t="s">
        <v>564</v>
      </c>
      <c r="B1006" s="0" t="s">
        <v>108</v>
      </c>
      <c r="F1006" s="33" t="n">
        <f aca="false">Sens!$F$996-mw_open</f>
        <v>1817.15</v>
      </c>
      <c r="G1006" s="33" t="n">
        <f aca="false">Sens!$F$1006</f>
        <v>1817.15</v>
      </c>
      <c r="H1006" s="33" t="n">
        <f aca="false">Sens!$H$996-mw_open</f>
        <v>5451.45</v>
      </c>
      <c r="I1006" s="33" t="n">
        <f aca="false">Sens!$I$996-mw_open</f>
        <v>9085.75</v>
      </c>
      <c r="J1006" s="33" t="n">
        <f aca="false">Sens!$J$996-mw_open</f>
        <v>12720.05</v>
      </c>
      <c r="K1006" s="33" t="n">
        <f aca="false">Sens!$K$996-mw_open</f>
        <v>16354.35</v>
      </c>
      <c r="L1006" s="33" t="n">
        <f aca="false">Sens!$L$996-mw_open</f>
        <v>19988.65</v>
      </c>
      <c r="M1006" s="33" t="n">
        <f aca="false">Sens!$M$996-mw_open</f>
        <v>23622.95</v>
      </c>
    </row>
    <row r="1007" customFormat="false" ht="17.15" hidden="false" customHeight="false" outlineLevel="0" collapsed="false">
      <c r="A1007" s="0" t="s">
        <v>565</v>
      </c>
      <c r="B1007" s="0" t="s">
        <v>566</v>
      </c>
      <c r="F1007" s="33" t="n">
        <f aca="false">Sens!$F$999*Sens!$F$1003</f>
        <v>19782.2417524844</v>
      </c>
      <c r="G1007" s="33" t="n">
        <f aca="false">Sens!$F$1007</f>
        <v>19782.2417524844</v>
      </c>
      <c r="H1007" s="33" t="n">
        <f aca="false">Sens!$G$1007+Sens!$H$999*Sens!$H$1003</f>
        <v>60563.3616992009</v>
      </c>
      <c r="I1007" s="33" t="n">
        <f aca="false">Sens!$H$1007+Sens!$I$999*Sens!$I$1003</f>
        <v>102561.118087665</v>
      </c>
      <c r="J1007" s="33" t="n">
        <f aca="false">Sens!$I$1007+Sens!$J$999*Sens!$J$1003</f>
        <v>144558.87447613</v>
      </c>
      <c r="K1007" s="33" t="n">
        <f aca="false">Sens!$J$1007+Sens!$K$999*Sens!$K$1003</f>
        <v>186556.630864594</v>
      </c>
      <c r="L1007" s="33" t="n">
        <f aca="false">Sens!$K$1007+Sens!$L$999*Sens!$L$1003</f>
        <v>228554.387253058</v>
      </c>
      <c r="M1007" s="33" t="n">
        <f aca="false">Sens!$L$1007+Sens!$M$999*Sens!$M$1003</f>
        <v>270552.143641523</v>
      </c>
    </row>
    <row r="1008" customFormat="false" ht="17.15" hidden="false" customHeight="false" outlineLevel="0" collapsed="false">
      <c r="A1008" s="0" t="s">
        <v>567</v>
      </c>
      <c r="B1008" s="0" t="s">
        <v>566</v>
      </c>
      <c r="F1008" s="33" t="n">
        <f aca="false">Sens!$F$999*Sens!$F$1004</f>
        <v>3602.74485070566</v>
      </c>
      <c r="G1008" s="33" t="n">
        <f aca="false">Sens!$F$1008</f>
        <v>3602.74485070566</v>
      </c>
      <c r="H1008" s="33" t="n">
        <f aca="false">Sens!$G$1008+Sens!$H$999*Sens!$H$1004</f>
        <v>10908.9598445736</v>
      </c>
      <c r="I1008" s="33" t="n">
        <f aca="false">Sens!$H$1008+Sens!$I$999*Sens!$I$1004</f>
        <v>18315.9001308981</v>
      </c>
      <c r="J1008" s="33" t="n">
        <f aca="false">Sens!$I$1008+Sens!$J$999*Sens!$J$1004</f>
        <v>25722.8404172225</v>
      </c>
      <c r="K1008" s="33" t="n">
        <f aca="false">Sens!$J$1008+Sens!$K$999*Sens!$K$1004</f>
        <v>33129.780703547</v>
      </c>
      <c r="L1008" s="33" t="n">
        <f aca="false">Sens!$K$1008+Sens!$L$999*Sens!$L$1004</f>
        <v>40536.7209898715</v>
      </c>
      <c r="M1008" s="33" t="n">
        <f aca="false">Sens!$L$1008+Sens!$M$999*Sens!$M$1004</f>
        <v>47943.661276196</v>
      </c>
    </row>
    <row r="1009" customFormat="false" ht="17.15" hidden="false" customHeight="false" outlineLevel="0" collapsed="false">
      <c r="A1009" s="5" t="s">
        <v>568</v>
      </c>
      <c r="B1009" s="0" t="s">
        <v>151</v>
      </c>
      <c r="F1009" s="36" t="n">
        <f aca="false">IF(Sens!$F$1006&gt;0,Sens!$F$1007/Sens!$F$1006,Sens!$F$1003)</f>
        <v>10.8864110021101</v>
      </c>
      <c r="G1009" s="36" t="n">
        <f aca="false">IF(Sens!$G$1006&gt;0,Sens!$G$1007/Sens!$G$1006,Sens!$G$1003)</f>
        <v>10.8864110021101</v>
      </c>
      <c r="H1009" s="36" t="n">
        <f aca="false">IF(Sens!$H$1006&gt;0,Sens!$H$1007/Sens!$H$1006,Sens!$H$1003)</f>
        <v>11.1095876691891</v>
      </c>
      <c r="I1009" s="36" t="n">
        <f aca="false">IF(Sens!$I$1006&gt;0,Sens!$I$1007/Sens!$I$1006,Sens!$I$1003)</f>
        <v>11.2881290028523</v>
      </c>
      <c r="J1009" s="36" t="n">
        <f aca="false">IF(Sens!$J$1006&gt;0,Sens!$J$1007/Sens!$J$1006,Sens!$J$1003)</f>
        <v>11.3646467172794</v>
      </c>
      <c r="K1009" s="36" t="n">
        <f aca="false">IF(Sens!$K$1006&gt;0,Sens!$K$1007/Sens!$K$1006,Sens!$K$1003)</f>
        <v>11.4071565586278</v>
      </c>
      <c r="L1009" s="36" t="n">
        <f aca="false">IF(Sens!$L$1006&gt;0,Sens!$L$1007/Sens!$L$1006,Sens!$L$1003)</f>
        <v>11.4342082758495</v>
      </c>
      <c r="M1009" s="36" t="n">
        <f aca="false">IF(Sens!$M$1006&gt;0,Sens!$M$1007/Sens!$M$1006,Sens!$M$1003)</f>
        <v>11.4529363877722</v>
      </c>
    </row>
    <row r="1010" customFormat="false" ht="17.15" hidden="false" customHeight="false" outlineLevel="0" collapsed="false">
      <c r="A1010" s="5" t="s">
        <v>569</v>
      </c>
      <c r="B1010" s="0" t="s">
        <v>151</v>
      </c>
      <c r="F1010" s="36" t="n">
        <f aca="false">IF(Sens!$F$1006&gt;0,Sens!$F$1008/Sens!$F$1006,Sens!$F$1004)</f>
        <v>1.98263481314457</v>
      </c>
      <c r="G1010" s="36" t="n">
        <f aca="false">IF(Sens!$G$1006&gt;0,Sens!$G$1008/Sens!$G$1006,Sens!$G$1004)</f>
        <v>1.98263481314457</v>
      </c>
      <c r="H1010" s="36" t="n">
        <f aca="false">IF(Sens!$H$1006&gt;0,Sens!$H$1008/Sens!$H$1006,Sens!$H$1004)</f>
        <v>2.00111160233948</v>
      </c>
      <c r="I1010" s="36" t="n">
        <f aca="false">IF(Sens!$I$1006&gt;0,Sens!$I$1008/Sens!$I$1006,Sens!$I$1004)</f>
        <v>2.01589303369541</v>
      </c>
      <c r="J1010" s="36" t="n">
        <f aca="false">IF(Sens!$J$1006&gt;0,Sens!$J$1008/Sens!$J$1006,Sens!$J$1004)</f>
        <v>2.02222793284795</v>
      </c>
      <c r="K1010" s="36" t="n">
        <f aca="false">IF(Sens!$K$1006&gt;0,Sens!$K$1008/Sens!$K$1006,Sens!$K$1004)</f>
        <v>2.02574732126603</v>
      </c>
      <c r="L1010" s="36" t="n">
        <f aca="false">IF(Sens!$L$1006&gt;0,Sens!$L$1008/Sens!$L$1006,Sens!$L$1004)</f>
        <v>2.02798693207753</v>
      </c>
      <c r="M1010" s="36" t="n">
        <f aca="false">IF(Sens!$M$1006&gt;0,Sens!$M$1008/Sens!$M$1006,Sens!$M$1004)</f>
        <v>2.02953743187011</v>
      </c>
    </row>
    <row r="1011" customFormat="false" ht="17.15" hidden="false" customHeight="false" outlineLevel="0" collapsed="false">
      <c r="A1011" s="14" t="s">
        <v>570</v>
      </c>
      <c r="B1011" s="13" t="s">
        <v>151</v>
      </c>
      <c r="C1011" s="13"/>
      <c r="D1011" s="13"/>
      <c r="E1011" s="13"/>
      <c r="F1011" s="37" t="n">
        <f aca="false">Sens!$F$1009*k_B</f>
        <v>10.7987645808025</v>
      </c>
      <c r="G1011" s="37" t="n">
        <f aca="false">Sens!$G$1009*k_B</f>
        <v>10.7987645808025</v>
      </c>
      <c r="H1011" s="37" t="n">
        <f aca="false">Sens!$H$1009*k_B</f>
        <v>11.0201444540452</v>
      </c>
      <c r="I1011" s="37" t="n">
        <f aca="false">Sens!$I$1009*k_B</f>
        <v>11.1972483526393</v>
      </c>
      <c r="J1011" s="37" t="n">
        <f aca="false">Sens!$J$1009*k_B</f>
        <v>11.2731500234653</v>
      </c>
      <c r="K1011" s="37" t="n">
        <f aca="false">Sens!$K$1009*k_B</f>
        <v>11.3153176183687</v>
      </c>
      <c r="L1011" s="37" t="n">
        <f aca="false">Sens!$L$1009*k_B</f>
        <v>11.3421515423981</v>
      </c>
      <c r="M1011" s="37" t="n">
        <f aca="false">Sens!$M$1009*k_B</f>
        <v>11.3607288744184</v>
      </c>
      <c r="N1011" s="13"/>
      <c r="O1011" s="13"/>
      <c r="P1011" s="5" t="s">
        <v>571</v>
      </c>
    </row>
    <row r="1012" customFormat="false" ht="17.15" hidden="false" customHeight="false" outlineLevel="0" collapsed="false">
      <c r="A1012" s="5" t="s">
        <v>572</v>
      </c>
      <c r="B1012" s="0" t="s">
        <v>108</v>
      </c>
      <c r="F1012" s="33" t="n">
        <f aca="false">Sens!$F$1006/2</f>
        <v>908.575</v>
      </c>
      <c r="H1012" s="33" t="n">
        <f aca="false">(Sens!$G$1006+Sens!$H$1006)/2</f>
        <v>3634.3</v>
      </c>
      <c r="I1012" s="33" t="n">
        <f aca="false">(Sens!$H$1006+Sens!$I$1006)/2</f>
        <v>7268.6</v>
      </c>
      <c r="J1012" s="33" t="n">
        <f aca="false">(Sens!$I$1006+Sens!$J$1006)/2</f>
        <v>10902.9</v>
      </c>
      <c r="K1012" s="33" t="n">
        <f aca="false">(Sens!$J$1006+Sens!$K$1006)/2</f>
        <v>14537.2</v>
      </c>
      <c r="L1012" s="33" t="n">
        <f aca="false">(Sens!$K$1006+Sens!$L$1006)/2</f>
        <v>18171.5</v>
      </c>
      <c r="M1012" s="33" t="n">
        <f aca="false">(Sens!$L$1006+Sens!$M$1006)/2</f>
        <v>21805.8</v>
      </c>
    </row>
    <row r="1013" customFormat="false" ht="17.15" hidden="false" customHeight="false" outlineLevel="0" collapsed="false">
      <c r="A1013" s="1" t="s">
        <v>573</v>
      </c>
    </row>
    <row r="1014" customFormat="false" ht="17.15" hidden="false" customHeight="false" outlineLevel="0" collapsed="false">
      <c r="A1014" s="1" t="s">
        <v>574</v>
      </c>
      <c r="B1014" s="8" t="s">
        <v>73</v>
      </c>
      <c r="C1014" s="38" t="n">
        <f aca="false">Sens!$C$997*rpm_open*Sens!$C$998/1000</f>
        <v>2.32100535697364</v>
      </c>
      <c r="D1014" s="38" t="n">
        <f aca="false">Sens!$D$997*rpm_open*Sens!$D$998/1000</f>
        <v>8.70377008865116</v>
      </c>
      <c r="E1014" s="38" t="n">
        <f aca="false">Sens!$E$997*rpm_open*Sens!$E$998/1000</f>
        <v>8.51035297557002</v>
      </c>
      <c r="F1014" s="38" t="n">
        <f aca="false">(mw_open*rpm_open+Sens!$F$1012*Sens!$F$1011)*Sens!$F$998/1000</f>
        <v>14.9634336447205</v>
      </c>
      <c r="G1014" s="38" t="n">
        <f aca="false">Sens!$E$1014+Sens!$F$1014</f>
        <v>23.4737866202905</v>
      </c>
      <c r="H1014" s="38" t="n">
        <f aca="false">(mw_open*rpm_open+Sens!$H$1012*Sens!$H$1011)/1000</f>
        <v>60.1658907497746</v>
      </c>
      <c r="I1014" s="38" t="n">
        <f aca="false">(mw_open*rpm_open+Sens!$I$1012*Sens!$I$1011)/1000</f>
        <v>101.503699136432</v>
      </c>
      <c r="J1014" s="38" t="n">
        <f aca="false">(mw_open*rpm_open+Sens!$J$1012*Sens!$J$1011)/1000</f>
        <v>143.025407151278</v>
      </c>
      <c r="K1014" s="38" t="n">
        <f aca="false">(mw_open*rpm_open+Sens!$K$1012*Sens!$K$1011)/1000</f>
        <v>184.608415042187</v>
      </c>
      <c r="L1014" s="38" t="n">
        <f aca="false">(mw_open*rpm_open+Sens!$L$1012*Sens!$L$1011)/1000</f>
        <v>226.219286513125</v>
      </c>
      <c r="M1014" s="38" t="n">
        <f aca="false">(mw_open*rpm_open+Sens!$M$1012*Sens!$M$1011)/1000</f>
        <v>267.845161450232</v>
      </c>
      <c r="N1014" s="38" t="n">
        <f aca="false">Sens!$N$997*rpm_open*Sens!$N$998/1000</f>
        <v>3.04631953102791</v>
      </c>
      <c r="O1014" s="38" t="n">
        <f aca="false">Sens!$O$997*rpm_open*Sens!$O$998/1000</f>
        <v>5.65745055762326</v>
      </c>
      <c r="P1014" s="5" t="s">
        <v>575</v>
      </c>
    </row>
    <row r="1015" customFormat="false" ht="17.15" hidden="false" customHeight="false" outlineLevel="0" collapsed="false">
      <c r="A1015" s="5" t="s">
        <v>576</v>
      </c>
      <c r="B1015" s="0" t="s">
        <v>151</v>
      </c>
      <c r="C1015" s="36" t="n">
        <f aca="false">Sens!$C$1014*1000/(Sens!$C$997*Sens!$C$998)</f>
        <v>9.67085565405685</v>
      </c>
      <c r="D1015" s="36" t="n">
        <f aca="false">Sens!$D$1014*1000/(Sens!$D$997*Sens!$D$998)</f>
        <v>9.67085565405685</v>
      </c>
      <c r="E1015" s="36" t="n">
        <f aca="false">Sens!$E$1014*1000/(Sens!$E$997*Sens!$E$998)</f>
        <v>9.67085565405685</v>
      </c>
      <c r="F1015" s="36" t="n">
        <f aca="false">Sens!$F$1014*1000/(Sens!$F$997*Sens!$F$998)</f>
        <v>10.0137581588017</v>
      </c>
      <c r="G1015" s="36" t="n">
        <f aca="false">Sens!$G$1014*1000/(Sens!$G$997*Sens!$G$998)</f>
        <v>9.88666562928478</v>
      </c>
      <c r="H1015" s="36" t="n">
        <f aca="false">Sens!$H$1014*1000/(Sens!$H$997*Sens!$H$998)</f>
        <v>10.5290045586992</v>
      </c>
      <c r="I1015" s="36" t="n">
        <f aca="false">Sens!$I$1014*1000/(Sens!$I$997*Sens!$I$998)</f>
        <v>10.8576363451674</v>
      </c>
      <c r="J1015" s="36" t="n">
        <f aca="false">Sens!$J$1014*1000/(Sens!$J$997*Sens!$J$998)</f>
        <v>11.0164452588619</v>
      </c>
      <c r="K1015" s="36" t="n">
        <f aca="false">Sens!$K$1014*1000/(Sens!$K$997*Sens!$K$998)</f>
        <v>11.1094778327388</v>
      </c>
      <c r="L1015" s="36" t="n">
        <f aca="false">Sens!$L$1014*1000/(Sens!$L$997*Sens!$L$998)</f>
        <v>11.1704953466718</v>
      </c>
      <c r="M1015" s="36" t="n">
        <f aca="false">Sens!$M$1014*1000/(Sens!$M$997*Sens!$M$998)</f>
        <v>11.2135729785158</v>
      </c>
      <c r="N1015" s="36" t="n">
        <f aca="false">Sens!$N$1014*1000/(Sens!$N$997*Sens!$N$998)</f>
        <v>9.67085565405685</v>
      </c>
      <c r="O1015" s="36" t="n">
        <f aca="false">Sens!$O$1014*1000/(Sens!$O$997*Sens!$O$998)</f>
        <v>9.67085565405685</v>
      </c>
    </row>
    <row r="1016" customFormat="false" ht="17.15" hidden="false" customHeight="false" outlineLevel="0" collapsed="false">
      <c r="A1016" s="0" t="s">
        <v>577</v>
      </c>
      <c r="B1016" s="0" t="s">
        <v>73</v>
      </c>
      <c r="C1016" s="38" t="n">
        <f aca="false">Sens!$C$997/ext_sh_hi*(ox_open+rent_mw)*Sens!$C$998/1000</f>
        <v>0.514055368540026</v>
      </c>
      <c r="D1016" s="38" t="n">
        <f aca="false">Sens!$D$997/ext_sh_hi*(ox_open+rent_mw)*Sens!$D$998/1000</f>
        <v>1.9277076320251</v>
      </c>
      <c r="E1016" s="38" t="n">
        <f aca="false">Sens!$E$997/ext_sh_hi*(ox_open+rent_mw)*Sens!$E$998/1000</f>
        <v>1.88486968464676</v>
      </c>
      <c r="F1016" s="38" t="n">
        <f aca="false">((mw_open*ox_open+Sens!$F$1012*Sens!$F$1010)/ext_sh_hi+Sens!$F$997/ext_sh_hi*rent_mw)*Sens!$F$998/1000</f>
        <v>3.24337592884986</v>
      </c>
      <c r="G1016" s="38" t="n">
        <f aca="false">Sens!$E$1016+Sens!$F$1016</f>
        <v>5.12824561349662</v>
      </c>
      <c r="H1016" s="38" t="n">
        <f aca="false">((mw_open*ox_open+Sens!$H$1012*Sens!$H$1010)/ext_sh_hi+Sens!$H$997/ext_sh_hi*rent_mw)*Sens!$H$998/1000</f>
        <v>12.6487180437293</v>
      </c>
      <c r="I1016" s="38" t="n">
        <f aca="false">((mw_open*ox_open+Sens!$I$1012*Sens!$I$1010)/ext_sh_hi+Sens!$I$997/ext_sh_hi*rent_mw)*Sens!$I$998/1000</f>
        <v>20.9497298720653</v>
      </c>
      <c r="J1016" s="38" t="n">
        <f aca="false">((mw_open*ox_open+Sens!$J$1012*Sens!$J$1010)/ext_sh_hi+Sens!$J$997/ext_sh_hi*rent_mw)*Sens!$J$998/1000</f>
        <v>29.2660903163948</v>
      </c>
      <c r="K1016" s="38" t="n">
        <f aca="false">((mw_open*ox_open+Sens!$K$1012*Sens!$K$1010)/ext_sh_hi+Sens!$K$997/ext_sh_hi*rent_mw)*Sens!$K$998/1000</f>
        <v>37.5875669660554</v>
      </c>
      <c r="L1016" s="38" t="n">
        <f aca="false">((mw_open*ox_open+Sens!$L$1012*Sens!$L$1010)/ext_sh_hi+Sens!$L$997/ext_sh_hi*rent_mw)*Sens!$L$998/1000</f>
        <v>45.9113691635937</v>
      </c>
      <c r="M1016" s="38" t="n">
        <f aca="false">((mw_open*ox_open+Sens!$M$1012*Sens!$M$1010)/ext_sh_hi+Sens!$M$997/ext_sh_hi*rent_mw)*Sens!$M$998/1000</f>
        <v>54.2364235792201</v>
      </c>
      <c r="N1016" s="38" t="n">
        <f aca="false">Sens!$N$997/ext_sh_hi*(ox_open+rent_mw)*Sens!$N$998/1000</f>
        <v>0.674697671208784</v>
      </c>
      <c r="O1016" s="38" t="n">
        <f aca="false">Sens!$O$997/ext_sh_hi*(ox_open+rent_mw)*Sens!$O$998/1000</f>
        <v>1.25300996081631</v>
      </c>
    </row>
    <row r="1017" customFormat="false" ht="17.15" hidden="false" customHeight="false" outlineLevel="0" collapsed="false">
      <c r="A1017" s="0" t="s">
        <v>578</v>
      </c>
      <c r="B1017" s="0" t="s">
        <v>73</v>
      </c>
      <c r="C1017" s="38" t="n">
        <f aca="false">Q!$D$7</f>
        <v>107.556</v>
      </c>
      <c r="D1017" s="38" t="n">
        <f aca="false">Q!$E$7</f>
        <v>128.725</v>
      </c>
      <c r="E1017" s="38" t="n">
        <f aca="false">Q!$P$7</f>
        <v>79.819</v>
      </c>
      <c r="N1017" s="38" t="n">
        <f aca="false">Q!$N$7</f>
        <v>60.14</v>
      </c>
      <c r="O1017" s="38" t="n">
        <f aca="false">Q!$O$7</f>
        <v>68.585</v>
      </c>
    </row>
    <row r="1018" customFormat="false" ht="17.15" hidden="false" customHeight="false" outlineLevel="0" collapsed="false">
      <c r="A1018" s="1" t="s">
        <v>579</v>
      </c>
      <c r="B1018" s="8" t="s">
        <v>73</v>
      </c>
      <c r="C1018" s="38" t="n">
        <f aca="false">Sens!$C$1017-Sens!$C$1014</f>
        <v>105.234994643026</v>
      </c>
      <c r="D1018" s="38" t="n">
        <f aca="false">Sens!$D$1017-Sens!$D$1014</f>
        <v>120.021229911349</v>
      </c>
      <c r="E1018" s="38" t="n">
        <f aca="false">Sens!$E$1017-Sens!$E$1014</f>
        <v>71.30864702443</v>
      </c>
      <c r="F1018" s="38" t="n">
        <f aca="false">Sens!$O$1018*(1+Sens!$F$1019)</f>
        <v>78.5950104186653</v>
      </c>
      <c r="G1018" s="38" t="n">
        <f aca="false">Sens!$E$1018+Sens!$F$1018</f>
        <v>149.903657443095</v>
      </c>
      <c r="H1018" s="38" t="n">
        <f aca="false">Sens!$G$1018*(1+Sens!$H$1019)</f>
        <v>180.893560768142</v>
      </c>
      <c r="I1018" s="38" t="n">
        <f aca="false">Sens!$H$1018*(1+Sens!$I$1019)</f>
        <v>210.64839721501</v>
      </c>
      <c r="J1018" s="38" t="n">
        <f aca="false">Sens!$I$1018*(1+Sens!$J$1019)</f>
        <v>236.398909446495</v>
      </c>
      <c r="K1018" s="38" t="n">
        <f aca="false">Sens!$J$1018*(1+Sens!$K$1019)</f>
        <v>255.310822202215</v>
      </c>
      <c r="L1018" s="38" t="n">
        <f aca="false">Sens!$K$1018*(1+Sens!$L$1019)</f>
        <v>275.735687978392</v>
      </c>
      <c r="M1018" s="38" t="n">
        <f aca="false">Sens!$L$1018*(1+Sens!$M$1019)</f>
        <v>297.794543016663</v>
      </c>
      <c r="N1018" s="38" t="n">
        <f aca="false">Sens!$N$1017-Sens!$N$1014</f>
        <v>57.0936804689721</v>
      </c>
      <c r="O1018" s="38" t="n">
        <f aca="false">Sens!$O$1017-Sens!$O$1014</f>
        <v>62.9275494423768</v>
      </c>
      <c r="P1018" s="5" t="s">
        <v>580</v>
      </c>
    </row>
    <row r="1019" customFormat="false" ht="17.15" hidden="false" customHeight="false" outlineLevel="0" collapsed="false">
      <c r="A1019" s="0" t="s">
        <v>581</v>
      </c>
      <c r="B1019" s="0" t="s">
        <v>52</v>
      </c>
      <c r="E1019" s="12" t="n">
        <f aca="false">Sens!$E$1018/Sens!$N$1018-1</f>
        <v>0.248976181579029</v>
      </c>
      <c r="F1019" s="12" t="n">
        <f aca="false">Sens!$E$1019</f>
        <v>0.248976181579029</v>
      </c>
      <c r="G1019" s="12" t="n">
        <f aca="false">Sens!$G$1018/Sens!$D$1018-1</f>
        <v>0.248976181579029</v>
      </c>
      <c r="H1019" s="12" t="n">
        <f aca="false">Sens!$E$1019+(g_awso_lt-Sens!$E$1019)*1/4</f>
        <v>0.206732136184272</v>
      </c>
      <c r="I1019" s="12" t="n">
        <f aca="false">Sens!$E$1019+(g_awso_lt-Sens!$E$1019)*2/4</f>
        <v>0.164488090789515</v>
      </c>
      <c r="J1019" s="12" t="n">
        <f aca="false">Sens!$E$1019+(g_awso_lt-Sens!$E$1019)*3/4</f>
        <v>0.122244045394757</v>
      </c>
      <c r="K1019" s="12" t="n">
        <f aca="false">Sens!$E$1019+(g_awso_lt-Sens!$E$1019)*4/4</f>
        <v>0.08</v>
      </c>
      <c r="L1019" s="12" t="n">
        <f aca="false">g_awso_lt</f>
        <v>0.08</v>
      </c>
      <c r="M1019" s="12" t="n">
        <f aca="false">g_awso_lt</f>
        <v>0.08</v>
      </c>
      <c r="P1019" s="8" t="s">
        <v>582</v>
      </c>
    </row>
    <row r="1020" customFormat="false" ht="17.15" hidden="false" customHeight="false" outlineLevel="0" collapsed="false">
      <c r="A1020" s="1" t="s">
        <v>583</v>
      </c>
    </row>
    <row r="1021" customFormat="false" ht="17.15" hidden="false" customHeight="false" outlineLevel="0" collapsed="false">
      <c r="A1021" s="0" t="s">
        <v>584</v>
      </c>
      <c r="B1021" s="0" t="s">
        <v>73</v>
      </c>
      <c r="F1021" s="38" t="n">
        <f aca="false">cx_rt*Sens!$F$987+cx_awso*Sens!$F$1018</f>
        <v>36.8045765066526</v>
      </c>
    </row>
    <row r="1022" customFormat="false" ht="17.15" hidden="false" customHeight="false" outlineLevel="0" collapsed="false">
      <c r="A1022" s="0" t="s">
        <v>585</v>
      </c>
      <c r="B1022" s="0" t="s">
        <v>52</v>
      </c>
      <c r="C1022" s="12" t="n">
        <f aca="false">tk_cx_h100/(tk_cx_h100+tk_fac*(1-colo_sh))</f>
        <v>0.730756458006641</v>
      </c>
      <c r="D1022" s="12" t="n">
        <f aca="false">tk_cx_h100/(tk_cx_h100+tk_fac*(1-colo_sh))</f>
        <v>0.730756458006641</v>
      </c>
      <c r="E1022" s="12" t="n">
        <f aca="false">Sens!$F$1022</f>
        <v>0.760792334328868</v>
      </c>
      <c r="F1022" s="12" t="n">
        <f aca="false">Sens!$F$1005/(Sens!$F$1005+tk_fac*(1-colo_sh))</f>
        <v>0.760792334328868</v>
      </c>
      <c r="G1022" s="12" t="n">
        <f aca="false">Sens!$G$1005/(Sens!$G$1005+tk_fac*(1-colo_sh))</f>
        <v>0.760792334328868</v>
      </c>
      <c r="H1022" s="12" t="n">
        <f aca="false">Sens!$H$1005/(Sens!$H$1005+tk_fac*(1-colo_sh))</f>
        <v>0.768110668862996</v>
      </c>
      <c r="I1022" s="12" t="n">
        <f aca="false">Sens!$I$1005/(Sens!$I$1005+tk_fac*(1-colo_sh))</f>
        <v>0.77499450139483</v>
      </c>
      <c r="J1022" s="12" t="n">
        <f aca="false">Sens!$J$1005/(Sens!$J$1005+tk_fac*(1-colo_sh))</f>
        <v>0.77499450139483</v>
      </c>
      <c r="K1022" s="12" t="n">
        <f aca="false">Sens!$K$1005/(Sens!$K$1005+tk_fac*(1-colo_sh))</f>
        <v>0.77499450139483</v>
      </c>
      <c r="L1022" s="12" t="n">
        <f aca="false">Sens!$L$1005/(Sens!$L$1005+tk_fac*(1-colo_sh))</f>
        <v>0.77499450139483</v>
      </c>
      <c r="M1022" s="12" t="n">
        <f aca="false">Sens!$M$1005/(Sens!$M$1005+tk_fac*(1-colo_sh))</f>
        <v>0.77499450139483</v>
      </c>
    </row>
    <row r="1023" customFormat="false" ht="17.15" hidden="false" customHeight="false" outlineLevel="0" collapsed="false">
      <c r="A1023" s="1" t="s">
        <v>586</v>
      </c>
      <c r="B1023" s="8" t="s">
        <v>73</v>
      </c>
      <c r="C1023" s="38" t="n">
        <f aca="false">Q!$D$46-cx_rt*Q!$D$16-cx_awso*Sens!$C$1018</f>
        <v>25.2781053077374</v>
      </c>
      <c r="D1023" s="38" t="n">
        <f aca="false">Q!$E$46-cx_rt*Q!$E$16-cx_awso*Sens!$D$1018</f>
        <v>69.5686316310026</v>
      </c>
      <c r="E1023" s="38" t="n">
        <f aca="false">Q!$P$46-cx_rt*Q!$P$16-cx_awso*Sens!$E$1018</f>
        <v>64.1899206485108</v>
      </c>
      <c r="F1023" s="38" t="n">
        <f aca="false">MAX(Sens!$F$1000*(Sens!$F$1005+tk_fac*(1-colo_sh))/1000,capex_g26-Q!$P$46-Sens!$F$1021)</f>
        <v>86.8854234933474</v>
      </c>
      <c r="G1023" s="38" t="n">
        <f aca="false">Sens!$E$1023+Sens!$F$1023</f>
        <v>151.075344141858</v>
      </c>
      <c r="H1023" s="38" t="n">
        <f aca="false">Sens!$H$1000*(Sens!$H$1005+tk_fac*(1-colo_sh))/1000+Sens!$H$1024</f>
        <v>158.8570919558</v>
      </c>
      <c r="I1023" s="38" t="n">
        <f aca="false">Sens!$I$1000*(Sens!$I$1005+tk_fac*(1-colo_sh))/1000+Sens!$I$1024</f>
        <v>163.7171759284</v>
      </c>
      <c r="J1023" s="38" t="n">
        <f aca="false">Sens!$J$1000*(Sens!$J$1005+tk_fac*(1-colo_sh))/1000+Sens!$J$1024</f>
        <v>167.9065904884</v>
      </c>
      <c r="K1023" s="38" t="n">
        <f aca="false">Sens!$K$1000*(Sens!$K$1005+tk_fac*(1-colo_sh))/1000+Sens!$K$1024</f>
        <v>172.0960050484</v>
      </c>
      <c r="L1023" s="38" t="n">
        <f aca="false">Sens!$L$1000*(Sens!$L$1005+tk_fac*(1-colo_sh))/1000+Sens!$L$1024</f>
        <v>201.4219069684</v>
      </c>
      <c r="M1023" s="38" t="n">
        <f aca="false">Sens!$M$1000*(Sens!$M$1005+tk_fac*(1-colo_sh))/1000+Sens!$M$1024</f>
        <v>249.5006758126</v>
      </c>
      <c r="P1023" s="5" t="s">
        <v>587</v>
      </c>
      <c r="R1023" s="38" t="n">
        <f aca="false">Q!$C$46-cx_rt*Q!$C$16-cx_awso*(Q!$C$7-mw_ye23/2*rpm_open/1000)</f>
        <v>1.50429979529945</v>
      </c>
      <c r="S1023" s="38" t="n">
        <f aca="false">Sens!$C$1023</f>
        <v>25.2781053077374</v>
      </c>
      <c r="T1023" s="38" t="n">
        <f aca="false">Sens!$D$1023</f>
        <v>69.5686316310026</v>
      </c>
      <c r="U1023" s="38" t="n">
        <f aca="false">Sens!$G$1023</f>
        <v>151.075344141858</v>
      </c>
      <c r="V1023" s="38" t="n">
        <f aca="false">Sens!$H$1023</f>
        <v>158.8570919558</v>
      </c>
      <c r="W1023" s="38" t="n">
        <f aca="false">Sens!$I$1023</f>
        <v>163.7171759284</v>
      </c>
      <c r="X1023" s="38" t="n">
        <f aca="false">Sens!$J$1023</f>
        <v>167.9065904884</v>
      </c>
      <c r="Y1023" s="38" t="n">
        <f aca="false">Sens!$K$1023</f>
        <v>172.0960050484</v>
      </c>
      <c r="Z1023" s="38" t="n">
        <f aca="false">Sens!$L$1023</f>
        <v>201.4219069684</v>
      </c>
      <c r="AA1023" s="38" t="n">
        <f aca="false">Sens!$M$1023</f>
        <v>249.5006758126</v>
      </c>
    </row>
    <row r="1024" customFormat="false" ht="17.15" hidden="false" customHeight="false" outlineLevel="0" collapsed="false">
      <c r="A1024" s="0" t="s">
        <v>588</v>
      </c>
      <c r="B1024" s="0" t="s">
        <v>73</v>
      </c>
      <c r="H1024" s="38" t="n">
        <f aca="false">SUMPRODUCT(--(Sens!$R$994:$AA$994=2027-tk_life),Sens!$R$1000:$AA$1000)*Sens!$H$1005/1000</f>
        <v>0</v>
      </c>
      <c r="I1024" s="38" t="n">
        <f aca="false">SUMPRODUCT(--(Sens!$R$994:$AA$994=2028-tk_life),Sens!$R$1000:$AA$1000)*Sens!$I$1005/1000</f>
        <v>0</v>
      </c>
      <c r="J1024" s="38" t="n">
        <f aca="false">SUMPRODUCT(--(Sens!$R$994:$AA$994=2029-tk_life),Sens!$R$1000:$AA$1000)*Sens!$J$1005/1000</f>
        <v>4.18941456</v>
      </c>
      <c r="K1024" s="38" t="n">
        <f aca="false">SUMPRODUCT(--(Sens!$R$994:$AA$994=2030-tk_life),Sens!$R$1000:$AA$1000)*Sens!$K$1005/1000</f>
        <v>8.37882912</v>
      </c>
      <c r="L1024" s="38" t="n">
        <f aca="false">SUMPRODUCT(--(Sens!$R$994:$AA$994=2031-tk_life),Sens!$R$1000:$AA$1000)*Sens!$L$1005/1000</f>
        <v>37.70473104</v>
      </c>
      <c r="M1024" s="38" t="n">
        <f aca="false">SUMPRODUCT(--(Sens!$R$994:$AA$994=2032-tk_life),Sens!$R$1000:$AA$1000)*Sens!$M$1005/1000</f>
        <v>85.7834998842</v>
      </c>
    </row>
    <row r="1025" customFormat="false" ht="17.15" hidden="false" customHeight="false" outlineLevel="0" collapsed="false">
      <c r="A1025" s="5" t="s">
        <v>589</v>
      </c>
      <c r="B1025" s="0" t="s">
        <v>73</v>
      </c>
      <c r="C1025" s="38" t="n">
        <f aca="false">Sens!$C$1023*Sens!$C$1022</f>
        <v>18.472138699801</v>
      </c>
      <c r="D1025" s="38" t="n">
        <f aca="false">Sens!$D$1023*Sens!$D$1022</f>
        <v>50.8377268390402</v>
      </c>
      <c r="E1025" s="38" t="n">
        <f aca="false">Sens!$E$1023*Sens!$E$1022</f>
        <v>48.8351995705653</v>
      </c>
      <c r="F1025" s="38" t="n">
        <f aca="false">Sens!$F$1023*Sens!$F$1022</f>
        <v>66.101764158656</v>
      </c>
      <c r="G1025" s="38" t="n">
        <f aca="false">Sens!$E$1025+Sens!$F$1025</f>
        <v>114.936963729221</v>
      </c>
      <c r="H1025" s="38" t="n">
        <f aca="false">(Sens!$H$1023-Sens!$H$1024)*Sens!$H$1022+Sens!$H$1024</f>
        <v>122.0198271558</v>
      </c>
      <c r="I1025" s="38" t="n">
        <f aca="false">(Sens!$I$1023-Sens!$I$1024)*Sens!$I$1022+Sens!$I$1024</f>
        <v>126.8799111284</v>
      </c>
      <c r="J1025" s="38" t="n">
        <f aca="false">(Sens!$J$1023-Sens!$J$1024)*Sens!$J$1022+Sens!$J$1024</f>
        <v>131.0693256884</v>
      </c>
      <c r="K1025" s="38" t="n">
        <f aca="false">(Sens!$K$1023-Sens!$K$1024)*Sens!$K$1022+Sens!$K$1024</f>
        <v>135.2587402484</v>
      </c>
      <c r="L1025" s="38" t="n">
        <f aca="false">(Sens!$L$1023-Sens!$L$1024)*Sens!$L$1022+Sens!$L$1024</f>
        <v>164.5846421684</v>
      </c>
      <c r="M1025" s="38" t="n">
        <f aca="false">(Sens!$M$1023-Sens!$M$1024)*Sens!$M$1022+Sens!$M$1024</f>
        <v>212.6634110126</v>
      </c>
      <c r="R1025" s="38" t="n">
        <f aca="false">Sens!$R$1023*Sens!$C$1022</f>
        <v>1.09927679019314</v>
      </c>
      <c r="S1025" s="38" t="n">
        <f aca="false">Sens!$C$1025</f>
        <v>18.472138699801</v>
      </c>
      <c r="T1025" s="38" t="n">
        <f aca="false">Sens!$D$1025</f>
        <v>50.8377268390402</v>
      </c>
      <c r="U1025" s="38" t="n">
        <f aca="false">Sens!$G$1025</f>
        <v>114.936963729221</v>
      </c>
      <c r="V1025" s="38" t="n">
        <f aca="false">Sens!$H$1025</f>
        <v>122.0198271558</v>
      </c>
      <c r="W1025" s="38" t="n">
        <f aca="false">Sens!$I$1025</f>
        <v>126.8799111284</v>
      </c>
      <c r="X1025" s="38" t="n">
        <f aca="false">Sens!$J$1025</f>
        <v>131.0693256884</v>
      </c>
      <c r="Y1025" s="38" t="n">
        <f aca="false">Sens!$K$1025</f>
        <v>135.2587402484</v>
      </c>
      <c r="Z1025" s="38" t="n">
        <f aca="false">Sens!$L$1025</f>
        <v>164.5846421684</v>
      </c>
      <c r="AA1025" s="38" t="n">
        <f aca="false">Sens!$M$1025</f>
        <v>212.6634110126</v>
      </c>
    </row>
    <row r="1026" customFormat="false" ht="15" hidden="false" customHeight="false" outlineLevel="0" collapsed="false">
      <c r="A1026" s="5" t="s">
        <v>590</v>
      </c>
      <c r="B1026" s="0" t="s">
        <v>73</v>
      </c>
      <c r="R1026" s="38" t="n">
        <f aca="false">Sens!$R$1023-Sens!$R$1025</f>
        <v>0.405023005106309</v>
      </c>
      <c r="S1026" s="38" t="n">
        <f aca="false">Sens!$S$1023-Sens!$S$1025</f>
        <v>6.80596660793636</v>
      </c>
      <c r="T1026" s="38" t="n">
        <f aca="false">Sens!$T$1023-Sens!$T$1025</f>
        <v>18.7309047919624</v>
      </c>
      <c r="U1026" s="38" t="n">
        <f aca="false">Sens!$U$1023-Sens!$U$1025</f>
        <v>36.1383804126369</v>
      </c>
      <c r="V1026" s="38" t="n">
        <f aca="false">Sens!$V$1023-Sens!$V$1025</f>
        <v>36.8372648</v>
      </c>
      <c r="W1026" s="38" t="n">
        <f aca="false">Sens!$W$1023-Sens!$W$1025</f>
        <v>36.8372648</v>
      </c>
      <c r="X1026" s="38" t="n">
        <f aca="false">Sens!$X$1023-Sens!$X$1025</f>
        <v>36.8372648</v>
      </c>
      <c r="Y1026" s="38" t="n">
        <f aca="false">Sens!$Y$1023-Sens!$Y$1025</f>
        <v>36.8372648</v>
      </c>
      <c r="Z1026" s="38" t="n">
        <f aca="false">Sens!$Z$1023-Sens!$Z$1025</f>
        <v>36.8372648</v>
      </c>
      <c r="AA1026" s="38" t="n">
        <f aca="false">Sens!$AA$1023-Sens!$AA$1025</f>
        <v>36.8372648</v>
      </c>
    </row>
    <row r="1027" customFormat="false" ht="17.15" hidden="false" customHeight="false" outlineLevel="0" collapsed="false">
      <c r="A1027" s="0" t="s">
        <v>591</v>
      </c>
      <c r="B1027" s="0" t="s">
        <v>73</v>
      </c>
      <c r="C1027" s="38" t="n">
        <f aca="false">Sens!$S$1027</f>
        <v>0.183212798365523</v>
      </c>
      <c r="D1027" s="38" t="n">
        <f aca="false">Sens!$T$1027</f>
        <v>3.2619025816657</v>
      </c>
      <c r="E1027" s="38" t="n">
        <f aca="false">Sens!$G$1027/2</f>
        <v>5.86742852741953</v>
      </c>
      <c r="F1027" s="38" t="n">
        <f aca="false">Sens!$G$1027/2</f>
        <v>5.86742852741953</v>
      </c>
      <c r="G1027" s="38" t="n">
        <f aca="false">Sens!$U$1027</f>
        <v>11.7348570548391</v>
      </c>
      <c r="H1027" s="38" t="n">
        <f aca="false">Sens!$V$1027</f>
        <v>30.891017676376</v>
      </c>
      <c r="I1027" s="38" t="n">
        <f aca="false">Sens!$W$1027</f>
        <v>51.227655535676</v>
      </c>
      <c r="J1027" s="38" t="n">
        <f aca="false">Sens!$X$1027</f>
        <v>72.3743073904093</v>
      </c>
      <c r="K1027" s="38" t="n">
        <f aca="false">Sens!$Y$1027</f>
        <v>94.0359822067771</v>
      </c>
      <c r="L1027" s="38" t="n">
        <f aca="false">Sens!$Z$1027</f>
        <v>113.50041579821</v>
      </c>
      <c r="M1027" s="38" t="n">
        <f aca="false">Sens!$AA$1027</f>
        <v>132.45823501977</v>
      </c>
      <c r="N1027" s="38" t="n">
        <f aca="false">Sens!$D$1027/2</f>
        <v>1.63095129083285</v>
      </c>
      <c r="O1027" s="38" t="n">
        <f aca="false">Sens!$D$1027/2</f>
        <v>1.63095129083285</v>
      </c>
      <c r="R1027" s="38" t="n">
        <f aca="false">SUMPRODUCT(--(Sens!$R$994:$AA$994&lt;Sens!R$994),--(Sens!$R$994:$AA$994&gt;=Sens!R$994-tk_life),Sens!$R$1025:$AA$1025)/tk_life</f>
        <v>0</v>
      </c>
      <c r="S1027" s="38" t="n">
        <f aca="false">SUMPRODUCT(--(Sens!$R$994:$AA$994&lt;Sens!S$994),--(Sens!$R$994:$AA$994&gt;=Sens!S$994-tk_life),Sens!$R$1025:$AA$1025)/tk_life</f>
        <v>0.183212798365523</v>
      </c>
      <c r="T1027" s="38" t="n">
        <f aca="false">SUMPRODUCT(--(Sens!$R$994:$AA$994&lt;Sens!T$994),--(Sens!$R$994:$AA$994&gt;=Sens!T$994-tk_life),Sens!$R$1025:$AA$1025)/tk_life</f>
        <v>3.2619025816657</v>
      </c>
      <c r="U1027" s="38" t="n">
        <f aca="false">SUMPRODUCT(--(Sens!$R$994:$AA$994&lt;Sens!U$994),--(Sens!$R$994:$AA$994&gt;=Sens!U$994-tk_life),Sens!$R$1025:$AA$1025)/tk_life</f>
        <v>11.7348570548391</v>
      </c>
      <c r="V1027" s="38" t="n">
        <f aca="false">SUMPRODUCT(--(Sens!$R$994:$AA$994&lt;Sens!V$994),--(Sens!$R$994:$AA$994&gt;=Sens!V$994-tk_life),Sens!$R$1025:$AA$1025)/tk_life</f>
        <v>30.891017676376</v>
      </c>
      <c r="W1027" s="38" t="n">
        <f aca="false">SUMPRODUCT(--(Sens!$R$994:$AA$994&lt;Sens!W$994),--(Sens!$R$994:$AA$994&gt;=Sens!W$994-tk_life),Sens!$R$1025:$AA$1025)/tk_life</f>
        <v>51.227655535676</v>
      </c>
      <c r="X1027" s="38" t="n">
        <f aca="false">SUMPRODUCT(--(Sens!$R$994:$AA$994&lt;Sens!X$994),--(Sens!$R$994:$AA$994&gt;=Sens!X$994-tk_life),Sens!$R$1025:$AA$1025)/tk_life</f>
        <v>72.3743073904093</v>
      </c>
      <c r="Y1027" s="38" t="n">
        <f aca="false">SUMPRODUCT(--(Sens!$R$994:$AA$994&lt;Sens!Y$994),--(Sens!$R$994:$AA$994&gt;=Sens!Y$994-tk_life),Sens!$R$1025:$AA$1025)/tk_life</f>
        <v>94.0359822067771</v>
      </c>
      <c r="Z1027" s="38" t="n">
        <f aca="false">SUMPRODUCT(--(Sens!$R$994:$AA$994&lt;Sens!Z$994),--(Sens!$R$994:$AA$994&gt;=Sens!Z$994-tk_life),Sens!$R$1025:$AA$1025)/tk_life</f>
        <v>113.50041579821</v>
      </c>
      <c r="AA1027" s="38" t="n">
        <f aca="false">SUMPRODUCT(--(Sens!$R$994:$AA$994&lt;Sens!AA$994),--(Sens!$R$994:$AA$994&gt;=Sens!AA$994-tk_life),Sens!$R$1025:$AA$1025)/tk_life</f>
        <v>132.45823501977</v>
      </c>
    </row>
    <row r="1028" customFormat="false" ht="17.15" hidden="false" customHeight="false" outlineLevel="0" collapsed="false">
      <c r="A1028" s="0" t="s">
        <v>592</v>
      </c>
      <c r="B1028" s="0" t="s">
        <v>73</v>
      </c>
      <c r="C1028" s="38" t="n">
        <f aca="false">Sens!$S$1028</f>
        <v>0.0202511502553155</v>
      </c>
      <c r="D1028" s="38" t="n">
        <f aca="false">Sens!$T$1028</f>
        <v>0.360549480652134</v>
      </c>
      <c r="E1028" s="38" t="n">
        <f aca="false">Sens!$G$1028/2</f>
        <v>0.648547360125127</v>
      </c>
      <c r="F1028" s="38" t="n">
        <f aca="false">Sens!$G$1028/2</f>
        <v>0.648547360125127</v>
      </c>
      <c r="G1028" s="38" t="n">
        <f aca="false">Sens!$U$1028</f>
        <v>1.29709472025025</v>
      </c>
      <c r="H1028" s="38" t="n">
        <f aca="false">Sens!$V$1028</f>
        <v>3.1040137408821</v>
      </c>
      <c r="I1028" s="38" t="n">
        <f aca="false">Sens!$W$1028</f>
        <v>4.9458769808821</v>
      </c>
      <c r="J1028" s="38" t="n">
        <f aca="false">Sens!$X$1028</f>
        <v>6.7877402208821</v>
      </c>
      <c r="K1028" s="38" t="n">
        <f aca="false">Sens!$Y$1028</f>
        <v>8.6296034608821</v>
      </c>
      <c r="L1028" s="38" t="n">
        <f aca="false">Sens!$Z$1028</f>
        <v>10.4714667008821</v>
      </c>
      <c r="M1028" s="38" t="n">
        <f aca="false">Sens!$AA$1028</f>
        <v>12.3133299408821</v>
      </c>
      <c r="N1028" s="38" t="n">
        <f aca="false">Sens!$D$1028/2</f>
        <v>0.180274740326067</v>
      </c>
      <c r="O1028" s="38" t="n">
        <f aca="false">Sens!$D$1028/2</f>
        <v>0.180274740326067</v>
      </c>
      <c r="R1028" s="38" t="n">
        <f aca="false">SUMPRODUCT(--(Sens!$R$994:$AA$994&lt;Sens!R$994),Sens!$R$1026:$AA$1026)/fac_life</f>
        <v>0</v>
      </c>
      <c r="S1028" s="38" t="n">
        <f aca="false">SUMPRODUCT(--(Sens!$R$994:$AA$994&lt;Sens!S$994),Sens!$R$1026:$AA$1026)/fac_life</f>
        <v>0.0202511502553155</v>
      </c>
      <c r="T1028" s="38" t="n">
        <f aca="false">SUMPRODUCT(--(Sens!$R$994:$AA$994&lt;Sens!T$994),Sens!$R$1026:$AA$1026)/fac_life</f>
        <v>0.360549480652134</v>
      </c>
      <c r="U1028" s="38" t="n">
        <f aca="false">SUMPRODUCT(--(Sens!$R$994:$AA$994&lt;Sens!U$994),Sens!$R$1026:$AA$1026)/fac_life</f>
        <v>1.29709472025025</v>
      </c>
      <c r="V1028" s="38" t="n">
        <f aca="false">SUMPRODUCT(--(Sens!$R$994:$AA$994&lt;Sens!V$994),Sens!$R$1026:$AA$1026)/fac_life</f>
        <v>3.1040137408821</v>
      </c>
      <c r="W1028" s="38" t="n">
        <f aca="false">SUMPRODUCT(--(Sens!$R$994:$AA$994&lt;Sens!W$994),Sens!$R$1026:$AA$1026)/fac_life</f>
        <v>4.9458769808821</v>
      </c>
      <c r="X1028" s="38" t="n">
        <f aca="false">SUMPRODUCT(--(Sens!$R$994:$AA$994&lt;Sens!X$994),Sens!$R$1026:$AA$1026)/fac_life</f>
        <v>6.7877402208821</v>
      </c>
      <c r="Y1028" s="38" t="n">
        <f aca="false">SUMPRODUCT(--(Sens!$R$994:$AA$994&lt;Sens!Y$994),Sens!$R$1026:$AA$1026)/fac_life</f>
        <v>8.6296034608821</v>
      </c>
      <c r="Z1028" s="38" t="n">
        <f aca="false">SUMPRODUCT(--(Sens!$R$994:$AA$994&lt;Sens!Z$994),Sens!$R$1026:$AA$1026)/fac_life</f>
        <v>10.4714667008821</v>
      </c>
      <c r="AA1028" s="38" t="n">
        <f aca="false">SUMPRODUCT(--(Sens!$R$994:$AA$994&lt;Sens!AA$994),Sens!$R$1026:$AA$1026)/fac_life</f>
        <v>12.3133299408821</v>
      </c>
    </row>
    <row r="1029" customFormat="false" ht="17.15" hidden="false" customHeight="false" outlineLevel="0" collapsed="false">
      <c r="A1029" s="1" t="s">
        <v>593</v>
      </c>
      <c r="B1029" s="8" t="s">
        <v>73</v>
      </c>
      <c r="C1029" s="38" t="n">
        <f aca="false">Sens!$C$1027+Sens!$C$1028</f>
        <v>0.203463948620839</v>
      </c>
      <c r="D1029" s="38" t="n">
        <f aca="false">Sens!$D$1027+Sens!$D$1028</f>
        <v>3.62245206231783</v>
      </c>
      <c r="E1029" s="38" t="n">
        <f aca="false">Sens!$E$1027+Sens!$E$1028</f>
        <v>6.51597588754466</v>
      </c>
      <c r="F1029" s="38" t="n">
        <f aca="false">Sens!$F$1027+Sens!$F$1028</f>
        <v>6.51597588754466</v>
      </c>
      <c r="G1029" s="38" t="n">
        <f aca="false">Sens!$G$1027+Sens!$G$1028</f>
        <v>13.0319517750893</v>
      </c>
      <c r="H1029" s="38" t="n">
        <f aca="false">Sens!$H$1027+Sens!$H$1028</f>
        <v>33.9950314172581</v>
      </c>
      <c r="I1029" s="38" t="n">
        <f aca="false">Sens!$I$1027+Sens!$I$1028</f>
        <v>56.1735325165581</v>
      </c>
      <c r="J1029" s="38" t="n">
        <f aca="false">Sens!$J$1027+Sens!$J$1028</f>
        <v>79.1620476112914</v>
      </c>
      <c r="K1029" s="38" t="n">
        <f aca="false">Sens!$K$1027+Sens!$K$1028</f>
        <v>102.665585667659</v>
      </c>
      <c r="L1029" s="38" t="n">
        <f aca="false">Sens!$L$1027+Sens!$L$1028</f>
        <v>123.971882499092</v>
      </c>
      <c r="M1029" s="38" t="n">
        <f aca="false">Sens!$M$1027+Sens!$M$1028</f>
        <v>144.771564960652</v>
      </c>
      <c r="N1029" s="38" t="n">
        <f aca="false">Sens!$N$1027+Sens!$N$1028</f>
        <v>1.81122603115892</v>
      </c>
      <c r="O1029" s="38" t="n">
        <f aca="false">Sens!$O$1027+Sens!$O$1028</f>
        <v>1.81122603115892</v>
      </c>
      <c r="R1029" s="38" t="n">
        <f aca="false">Sens!$R$1027+Sens!$R$1028</f>
        <v>0</v>
      </c>
      <c r="S1029" s="38" t="n">
        <f aca="false">Sens!$S$1027+Sens!$S$1028</f>
        <v>0.203463948620839</v>
      </c>
      <c r="T1029" s="38" t="n">
        <f aca="false">Sens!$T$1027+Sens!$T$1028</f>
        <v>3.62245206231783</v>
      </c>
      <c r="U1029" s="38" t="n">
        <f aca="false">Sens!$U$1027+Sens!$U$1028</f>
        <v>13.0319517750893</v>
      </c>
      <c r="V1029" s="38" t="n">
        <f aca="false">Sens!$V$1027+Sens!$V$1028</f>
        <v>33.9950314172581</v>
      </c>
      <c r="W1029" s="38" t="n">
        <f aca="false">Sens!$W$1027+Sens!$W$1028</f>
        <v>56.1735325165581</v>
      </c>
      <c r="X1029" s="38" t="n">
        <f aca="false">Sens!$X$1027+Sens!$X$1028</f>
        <v>79.1620476112914</v>
      </c>
      <c r="Y1029" s="38" t="n">
        <f aca="false">Sens!$Y$1027+Sens!$Y$1028</f>
        <v>102.665585667659</v>
      </c>
      <c r="Z1029" s="38" t="n">
        <f aca="false">Sens!$Z$1027+Sens!$Z$1028</f>
        <v>123.971882499092</v>
      </c>
      <c r="AA1029" s="38" t="n">
        <f aca="false">Sens!$AA$1027+Sens!$AA$1028</f>
        <v>144.771564960652</v>
      </c>
    </row>
    <row r="1030" customFormat="false" ht="17.15" hidden="false" customHeight="false" outlineLevel="0" collapsed="false">
      <c r="A1030" s="0" t="s">
        <v>594</v>
      </c>
      <c r="B1030" s="0" t="s">
        <v>73</v>
      </c>
      <c r="C1030" s="38" t="n">
        <f aca="false">Sens!$S$1030</f>
        <v>26.578941154416</v>
      </c>
      <c r="D1030" s="38" t="n">
        <f aca="false">Sens!$T$1030</f>
        <v>92.5251207231008</v>
      </c>
      <c r="G1030" s="38" t="n">
        <f aca="false">Sens!$U$1030</f>
        <v>230.56851308987</v>
      </c>
      <c r="H1030" s="38" t="n">
        <f aca="false">Sens!$V$1030</f>
        <v>355.430573628412</v>
      </c>
      <c r="I1030" s="38" t="n">
        <f aca="false">Sens!$W$1030</f>
        <v>462.974217040254</v>
      </c>
      <c r="J1030" s="38" t="n">
        <f aca="false">Sens!$X$1030</f>
        <v>551.718759917362</v>
      </c>
      <c r="K1030" s="38" t="n">
        <f aca="false">Sens!$Y$1030</f>
        <v>621.149179298103</v>
      </c>
      <c r="L1030" s="38" t="n">
        <f aca="false">Sens!$Z$1030</f>
        <v>698.599203767411</v>
      </c>
      <c r="M1030" s="38" t="n">
        <f aca="false">Sens!$AA$1030</f>
        <v>803.328314619359</v>
      </c>
      <c r="R1030" s="38" t="n">
        <f aca="false">SUM(Sens!$R$1023:$R$1023)-SUM(Sens!$R$1029:$R$1029)</f>
        <v>1.50429979529945</v>
      </c>
      <c r="S1030" s="38" t="n">
        <f aca="false">SUM(Sens!$R$1023:$S$1023)-SUM(Sens!$R$1029:$S$1029)</f>
        <v>26.578941154416</v>
      </c>
      <c r="T1030" s="38" t="n">
        <f aca="false">SUM(Sens!$R$1023:$T$1023)-SUM(Sens!$R$1029:$T$1029)</f>
        <v>92.5251207231008</v>
      </c>
      <c r="U1030" s="38" t="n">
        <f aca="false">SUM(Sens!$R$1023:$U$1023)-SUM(Sens!$R$1029:$U$1029)</f>
        <v>230.56851308987</v>
      </c>
      <c r="V1030" s="38" t="n">
        <f aca="false">SUM(Sens!$R$1023:$V$1023)-SUM(Sens!$R$1029:$V$1029)</f>
        <v>355.430573628412</v>
      </c>
      <c r="W1030" s="38" t="n">
        <f aca="false">SUM(Sens!$R$1023:$W$1023)-SUM(Sens!$R$1029:$W$1029)</f>
        <v>462.974217040254</v>
      </c>
      <c r="X1030" s="38" t="n">
        <f aca="false">SUM(Sens!$R$1023:$X$1023)-SUM(Sens!$R$1029:$X$1029)</f>
        <v>551.718759917362</v>
      </c>
      <c r="Y1030" s="38" t="n">
        <f aca="false">SUM(Sens!$R$1023:$Y$1023)-SUM(Sens!$R$1029:$Y$1029)</f>
        <v>621.149179298103</v>
      </c>
      <c r="Z1030" s="38" t="n">
        <f aca="false">SUM(Sens!$R$1023:$Z$1023)-SUM(Sens!$R$1029:$Z$1029)</f>
        <v>698.599203767411</v>
      </c>
      <c r="AA1030" s="38" t="n">
        <f aca="false">SUM(Sens!$R$1023:$AA$1023)-SUM(Sens!$R$1029:$AA$1029)</f>
        <v>803.328314619359</v>
      </c>
    </row>
    <row r="1031" customFormat="false" ht="17.15" hidden="false" customHeight="false" outlineLevel="0" collapsed="false">
      <c r="A1031" s="1" t="s">
        <v>595</v>
      </c>
    </row>
    <row r="1032" customFormat="false" ht="17.15" hidden="false" customHeight="false" outlineLevel="0" collapsed="false">
      <c r="A1032" s="0" t="s">
        <v>596</v>
      </c>
      <c r="B1032" s="0" t="s">
        <v>73</v>
      </c>
      <c r="C1032" s="38" t="n">
        <f aca="false">Sens!$C$1014-ext_sh_hi*Sens!$C$1016</f>
        <v>1.80694998843362</v>
      </c>
      <c r="D1032" s="38" t="n">
        <f aca="false">Sens!$D$1014-ext_sh_hi*Sens!$D$1016</f>
        <v>6.77606245662606</v>
      </c>
      <c r="E1032" s="38" t="n">
        <f aca="false">Sens!$E$1014-ext_sh_hi*Sens!$E$1016</f>
        <v>6.62548329092326</v>
      </c>
      <c r="F1032" s="38" t="n">
        <f aca="false">Sens!$F$1014-ext_sh_hi*Sens!$F$1016</f>
        <v>11.7200577158706</v>
      </c>
      <c r="G1032" s="38" t="n">
        <f aca="false">Sens!$G$1014-ext_sh_hi*Sens!$G$1016</f>
        <v>18.3455410067939</v>
      </c>
      <c r="H1032" s="38" t="n">
        <f aca="false">Sens!$H$1014-ext_sh_hi*Sens!$H$1016</f>
        <v>47.5171727060453</v>
      </c>
      <c r="I1032" s="38" t="n">
        <f aca="false">Sens!$I$1014-ext_sh_hi*Sens!$I$1016</f>
        <v>80.5539692643667</v>
      </c>
      <c r="J1032" s="38" t="n">
        <f aca="false">Sens!$J$1014-ext_sh_hi*Sens!$J$1016</f>
        <v>113.759316834883</v>
      </c>
      <c r="K1032" s="38" t="n">
        <f aca="false">Sens!$K$1014-ext_sh_hi*Sens!$K$1016</f>
        <v>147.020848076132</v>
      </c>
      <c r="L1032" s="38" t="n">
        <f aca="false">Sens!$L$1014-ext_sh_hi*Sens!$L$1016</f>
        <v>180.307917349531</v>
      </c>
      <c r="M1032" s="38" t="n">
        <f aca="false">Sens!$M$1014-ext_sh_hi*Sens!$M$1016</f>
        <v>213.608737871012</v>
      </c>
      <c r="N1032" s="38" t="n">
        <f aca="false">Sens!$N$1014-ext_sh_hi*Sens!$N$1016</f>
        <v>2.37162185981912</v>
      </c>
      <c r="O1032" s="38" t="n">
        <f aca="false">Sens!$O$1014-ext_sh_hi*Sens!$O$1016</f>
        <v>4.40444059680694</v>
      </c>
    </row>
    <row r="1033" customFormat="false" ht="17.15" hidden="false" customHeight="false" outlineLevel="0" collapsed="false">
      <c r="A1033" s="1" t="s">
        <v>597</v>
      </c>
      <c r="B1033" s="8" t="s">
        <v>73</v>
      </c>
      <c r="C1033" s="38" t="n">
        <f aca="false">Sens!$C$1032-ext_sh_hi*Sens!$C$1029</f>
        <v>1.60348603981278</v>
      </c>
      <c r="D1033" s="38" t="n">
        <f aca="false">Sens!$D$1032-ext_sh_hi*Sens!$D$1029</f>
        <v>3.15361039430823</v>
      </c>
      <c r="E1033" s="38" t="n">
        <f aca="false">Sens!$E$1032-ext_sh_hi*Sens!$E$1029</f>
        <v>0.109507403378603</v>
      </c>
      <c r="F1033" s="38" t="n">
        <f aca="false">Sens!$F$1032-ext_sh_hi*Sens!$F$1029</f>
        <v>5.20408182832593</v>
      </c>
      <c r="G1033" s="38" t="n">
        <f aca="false">Sens!$G$1032-ext_sh_hi*Sens!$G$1029</f>
        <v>5.31358923170454</v>
      </c>
      <c r="H1033" s="38" t="n">
        <f aca="false">Sens!$H$1032-ext_sh_hi*Sens!$H$1029</f>
        <v>13.5221412887873</v>
      </c>
      <c r="I1033" s="38" t="n">
        <f aca="false">Sens!$I$1032-ext_sh_hi*Sens!$I$1029</f>
        <v>24.3804367478086</v>
      </c>
      <c r="J1033" s="38" t="n">
        <f aca="false">Sens!$J$1032-ext_sh_hi*Sens!$J$1029</f>
        <v>34.597269223592</v>
      </c>
      <c r="K1033" s="38" t="n">
        <f aca="false">Sens!$K$1032-ext_sh_hi*Sens!$K$1029</f>
        <v>44.3552624084727</v>
      </c>
      <c r="L1033" s="38" t="n">
        <f aca="false">Sens!$L$1032-ext_sh_hi*Sens!$L$1029</f>
        <v>56.3360348504387</v>
      </c>
      <c r="M1033" s="38" t="n">
        <f aca="false">Sens!$M$1032-ext_sh_hi*Sens!$M$1029</f>
        <v>68.8371729103593</v>
      </c>
      <c r="N1033" s="38" t="n">
        <f aca="false">Sens!$N$1032-ext_sh_hi*Sens!$N$1029</f>
        <v>0.560395828660207</v>
      </c>
      <c r="O1033" s="38" t="n">
        <f aca="false">Sens!$O$1032-ext_sh_hi*Sens!$O$1029</f>
        <v>2.59321456564803</v>
      </c>
    </row>
    <row r="1034" customFormat="false" ht="17.15" hidden="false" customHeight="false" outlineLevel="0" collapsed="false">
      <c r="A1034" s="0" t="s">
        <v>598</v>
      </c>
      <c r="B1034" s="0" t="s">
        <v>52</v>
      </c>
      <c r="C1034" s="12" t="n">
        <f aca="false">Sens!$C$1033/Sens!$C$1014</f>
        <v>0.690858396769735</v>
      </c>
      <c r="D1034" s="12" t="n">
        <f aca="false">Sens!$D$1033/Sens!$D$1014</f>
        <v>0.362326941335482</v>
      </c>
      <c r="E1034" s="12" t="n">
        <f aca="false">Sens!$E$1033/Sens!$E$1014</f>
        <v>0.0128675512864105</v>
      </c>
      <c r="F1034" s="12" t="n">
        <f aca="false">Sens!$F$1033/Sens!$F$1014</f>
        <v>0.347786607799212</v>
      </c>
      <c r="G1034" s="12" t="n">
        <f aca="false">Sens!$G$1033/Sens!$G$1014</f>
        <v>0.226362679258213</v>
      </c>
      <c r="H1034" s="12" t="n">
        <f aca="false">Sens!$H$1033/Sens!$H$1014</f>
        <v>0.224747628935219</v>
      </c>
      <c r="I1034" s="12" t="n">
        <f aca="false">Sens!$I$1033/Sens!$I$1014</f>
        <v>0.2401925935235</v>
      </c>
      <c r="J1034" s="12" t="n">
        <f aca="false">Sens!$J$1033/Sens!$J$1014</f>
        <v>0.2418959673857</v>
      </c>
      <c r="K1034" s="12" t="n">
        <f aca="false">Sens!$K$1033/Sens!$K$1014</f>
        <v>0.240266741894385</v>
      </c>
      <c r="L1034" s="12" t="n">
        <f aca="false">Sens!$L$1033/Sens!$L$1014</f>
        <v>0.24903285532717</v>
      </c>
      <c r="M1034" s="12" t="n">
        <f aca="false">Sens!$M$1033/Sens!$M$1014</f>
        <v>0.257003608120619</v>
      </c>
      <c r="N1034" s="12" t="n">
        <f aca="false">Sens!$N$1033/Sens!$N$1014</f>
        <v>0.183958321821583</v>
      </c>
      <c r="O1034" s="12" t="n">
        <f aca="false">Sens!$O$1033/Sens!$O$1014</f>
        <v>0.458371582612197</v>
      </c>
    </row>
    <row r="1035" customFormat="false" ht="17.15" hidden="false" customHeight="false" outlineLevel="0" collapsed="false">
      <c r="A1035" s="5" t="s">
        <v>599</v>
      </c>
      <c r="B1035" s="0" t="s">
        <v>73</v>
      </c>
      <c r="C1035" s="38" t="n">
        <f aca="false">rd2*(1-ext_sh_hi)/ext_sh_hi*Sens!$C$997*he_open*Sens!$C$998/1000</f>
        <v>0</v>
      </c>
      <c r="D1035" s="38" t="n">
        <f aca="false">rd2*(1-ext_sh_hi)/ext_sh_hi*Sens!$D$997*he_open*Sens!$D$998/1000</f>
        <v>0</v>
      </c>
      <c r="E1035" s="38" t="n">
        <f aca="false">rd2*(1-ext_sh_hi)/ext_sh_hi*Sens!$E$997*he_open*Sens!$E$998/1000</f>
        <v>0</v>
      </c>
      <c r="F1035" s="38" t="n">
        <f aca="false">rd2*(1-ext_sh_hi)/ext_sh_hi*(mw_open*he_open+Sens!$F$1012*Sens!$F$1009)*Sens!$F$998/1000</f>
        <v>0</v>
      </c>
      <c r="G1035" s="38" t="n">
        <f aca="false">Sens!$E$1035+Sens!$F$1035</f>
        <v>0</v>
      </c>
      <c r="H1035" s="38" t="n">
        <f aca="false">rd2*(1-ext_sh_hi)/ext_sh_hi*(mw_open*he_open+Sens!$H$1012*Sens!$H$1009)*Sens!$H$998/1000</f>
        <v>0</v>
      </c>
      <c r="I1035" s="38" t="n">
        <f aca="false">rd2*(1-ext_sh_hi)/ext_sh_hi*(mw_open*he_open+Sens!$I$1012*Sens!$I$1009)*Sens!$I$998/1000</f>
        <v>0</v>
      </c>
      <c r="J1035" s="38" t="n">
        <f aca="false">rd2*(1-ext_sh_hi)/ext_sh_hi*(mw_open*he_open+Sens!$J$1012*Sens!$J$1009)*Sens!$J$998/1000</f>
        <v>0</v>
      </c>
      <c r="K1035" s="38" t="n">
        <f aca="false">rd2*(1-ext_sh_hi)/ext_sh_hi*(mw_open*he_open+Sens!$K$1012*Sens!$K$1009)*Sens!$K$998/1000</f>
        <v>0</v>
      </c>
      <c r="L1035" s="38" t="n">
        <f aca="false">rd2*(1-ext_sh_hi)/ext_sh_hi*(mw_open*he_open+Sens!$L$1012*Sens!$L$1009)*Sens!$L$998/1000</f>
        <v>0</v>
      </c>
      <c r="M1035" s="38" t="n">
        <f aca="false">rd2*(1-ext_sh_hi)/ext_sh_hi*(mw_open*he_open+Sens!$M$1012*Sens!$M$1009)*Sens!$M$998/1000</f>
        <v>0</v>
      </c>
      <c r="N1035" s="38" t="n">
        <f aca="false">rd2*(1-ext_sh_hi)/ext_sh_hi*Sens!$N$997*he_open*Sens!$N$998/1000</f>
        <v>0</v>
      </c>
      <c r="O1035" s="38" t="n">
        <f aca="false">rd2*(1-ext_sh_hi)/ext_sh_hi*Sens!$O$997*he_open*Sens!$O$998/1000</f>
        <v>0</v>
      </c>
      <c r="P1035" s="8" t="s">
        <v>600</v>
      </c>
    </row>
    <row r="1036" customFormat="false" ht="17.15" hidden="false" customHeight="false" outlineLevel="0" collapsed="false">
      <c r="A1036" s="5" t="s">
        <v>601</v>
      </c>
      <c r="B1036" s="0" t="s">
        <v>73</v>
      </c>
      <c r="C1036" s="38" t="n">
        <f aca="false">(1-ext_sh_hi)*(Sens!$C$1016+Sens!$C$1029)-Sens!$C$1035</f>
        <v>0</v>
      </c>
      <c r="D1036" s="38" t="n">
        <f aca="false">(1-ext_sh_hi)*(Sens!$D$1016+Sens!$D$1029)-Sens!$D$1035</f>
        <v>0</v>
      </c>
      <c r="E1036" s="38" t="n">
        <f aca="false">(1-ext_sh_hi)*(Sens!$E$1016+Sens!$E$1029)-Sens!$E$1035</f>
        <v>0</v>
      </c>
      <c r="F1036" s="38" t="n">
        <f aca="false">(1-ext_sh_hi)*(Sens!$F$1016+Sens!$F$1029)-Sens!$F$1035</f>
        <v>0</v>
      </c>
      <c r="G1036" s="38" t="n">
        <f aca="false">(1-ext_sh_hi)*(Sens!$G$1016+Sens!$G$1029)-Sens!$G$1035</f>
        <v>0</v>
      </c>
      <c r="H1036" s="38" t="n">
        <f aca="false">(1-ext_sh_hi)*(Sens!$H$1016+Sens!$H$1029)-Sens!$H$1035</f>
        <v>0</v>
      </c>
      <c r="I1036" s="38" t="n">
        <f aca="false">(1-ext_sh_hi)*(Sens!$I$1016+Sens!$I$1029)-Sens!$I$1035</f>
        <v>0</v>
      </c>
      <c r="J1036" s="38" t="n">
        <f aca="false">(1-ext_sh_hi)*(Sens!$J$1016+Sens!$J$1029)-Sens!$J$1035</f>
        <v>0</v>
      </c>
      <c r="K1036" s="38" t="n">
        <f aca="false">(1-ext_sh_hi)*(Sens!$K$1016+Sens!$K$1029)-Sens!$K$1035</f>
        <v>0</v>
      </c>
      <c r="L1036" s="38" t="n">
        <f aca="false">(1-ext_sh_hi)*(Sens!$L$1016+Sens!$L$1029)-Sens!$L$1035</f>
        <v>0</v>
      </c>
      <c r="M1036" s="38" t="n">
        <f aca="false">(1-ext_sh_hi)*(Sens!$M$1016+Sens!$M$1029)-Sens!$M$1035</f>
        <v>0</v>
      </c>
      <c r="N1036" s="38" t="n">
        <f aca="false">(1-ext_sh_hi)*(Sens!$N$1016+Sens!$N$1029)-Sens!$N$1035</f>
        <v>0</v>
      </c>
      <c r="O1036" s="38" t="n">
        <f aca="false">(1-ext_sh_hi)*(Sens!$O$1016+Sens!$O$1029)-Sens!$O$1035</f>
        <v>0</v>
      </c>
    </row>
    <row r="1037" customFormat="false" ht="17.15" hidden="false" customHeight="false" outlineLevel="0" collapsed="false">
      <c r="A1037" s="0" t="s">
        <v>602</v>
      </c>
      <c r="B1037" s="0" t="s">
        <v>73</v>
      </c>
      <c r="C1037" s="38" t="n">
        <f aca="false">Q!$D$24</f>
        <v>39.834</v>
      </c>
      <c r="D1037" s="38" t="n">
        <f aca="false">Q!$E$24</f>
        <v>45.606</v>
      </c>
      <c r="E1037" s="38" t="n">
        <f aca="false">Q!$P$24</f>
        <v>30.782</v>
      </c>
      <c r="N1037" s="38" t="n">
        <f aca="false">Q!$N$24</f>
        <v>21.707</v>
      </c>
      <c r="O1037" s="38" t="n">
        <f aca="false">Q!$O$24</f>
        <v>23.899</v>
      </c>
    </row>
    <row r="1038" customFormat="false" ht="17.15" hidden="false" customHeight="false" outlineLevel="0" collapsed="false">
      <c r="A1038" s="0" t="s">
        <v>603</v>
      </c>
      <c r="B1038" s="0" t="s">
        <v>73</v>
      </c>
      <c r="C1038" s="38" t="n">
        <f aca="false">Sens!$C$1037-Sens!$C$1033</f>
        <v>38.2305139601872</v>
      </c>
      <c r="D1038" s="38" t="n">
        <f aca="false">Sens!$D$1037-Sens!$D$1033</f>
        <v>42.4523896056918</v>
      </c>
      <c r="E1038" s="38" t="n">
        <f aca="false">Sens!$E$1037-Sens!$E$1033</f>
        <v>30.6724925966214</v>
      </c>
      <c r="F1038" s="38" t="n">
        <f aca="false">Sens!$F$1018*Sens!$F$1039</f>
        <v>30.4331723552582</v>
      </c>
      <c r="G1038" s="38" t="n">
        <f aca="false">Sens!$E$1038+Sens!$F$1038</f>
        <v>61.1056649518796</v>
      </c>
      <c r="H1038" s="38" t="n">
        <f aca="false">Sens!$H$1018*Sens!$H$1039</f>
        <v>70.0447125522084</v>
      </c>
      <c r="I1038" s="38" t="n">
        <f aca="false">Sens!$I$1018*Sens!$I$1039</f>
        <v>81.5662335898215</v>
      </c>
      <c r="J1038" s="38" t="n">
        <f aca="false">Sens!$J$1018*Sens!$J$1039</f>
        <v>91.537219951455</v>
      </c>
      <c r="K1038" s="38" t="n">
        <f aca="false">Sens!$K$1018*Sens!$K$1039</f>
        <v>98.8601975475714</v>
      </c>
      <c r="L1038" s="38" t="n">
        <f aca="false">Sens!$L$1018*Sens!$L$1039</f>
        <v>106.769013351377</v>
      </c>
      <c r="M1038" s="38" t="n">
        <f aca="false">Sens!$M$1018*Sens!$M$1039</f>
        <v>115.310534419487</v>
      </c>
      <c r="N1038" s="38" t="n">
        <f aca="false">Sens!$N$1037-Sens!$N$1033</f>
        <v>21.1466041713398</v>
      </c>
      <c r="O1038" s="38" t="n">
        <f aca="false">Sens!$O$1037-Sens!$O$1033</f>
        <v>21.305785434352</v>
      </c>
      <c r="P1038" s="5" t="s">
        <v>604</v>
      </c>
    </row>
    <row r="1039" customFormat="false" ht="17.15" hidden="false" customHeight="false" outlineLevel="0" collapsed="false">
      <c r="A1039" s="0" t="s">
        <v>605</v>
      </c>
      <c r="B1039" s="0" t="s">
        <v>52</v>
      </c>
      <c r="C1039" s="12" t="n">
        <f aca="false">Sens!$C$1038/Sens!$C$1018</f>
        <v>0.36328708040392</v>
      </c>
      <c r="D1039" s="12" t="n">
        <f aca="false">Sens!$D$1038/Sens!$D$1018</f>
        <v>0.353707336919046</v>
      </c>
      <c r="E1039" s="12" t="n">
        <f aca="false">Sens!$E$1038/Sens!$E$1018</f>
        <v>0.430137071400516</v>
      </c>
      <c r="F1039" s="12" t="n">
        <f aca="false">(Sens!$O$1038+Sens!$E$1038)/(Sens!$O$1018+Sens!$E$1018)</f>
        <v>0.387215068655691</v>
      </c>
      <c r="G1039" s="12" t="n">
        <f aca="false">Sens!$G$1038/Sens!$G$1018</f>
        <v>0.407632915661687</v>
      </c>
      <c r="H1039" s="12" t="n">
        <f aca="false">Sens!$F$1039</f>
        <v>0.387215068655691</v>
      </c>
      <c r="I1039" s="12" t="n">
        <f aca="false">Sens!$F$1039</f>
        <v>0.387215068655691</v>
      </c>
      <c r="J1039" s="12" t="n">
        <f aca="false">Sens!$F$1039</f>
        <v>0.387215068655691</v>
      </c>
      <c r="K1039" s="12" t="n">
        <f aca="false">Sens!$F$1039</f>
        <v>0.387215068655691</v>
      </c>
      <c r="L1039" s="12" t="n">
        <f aca="false">Sens!$F$1039</f>
        <v>0.387215068655691</v>
      </c>
      <c r="M1039" s="12" t="n">
        <f aca="false">Sens!$F$1039</f>
        <v>0.387215068655691</v>
      </c>
      <c r="N1039" s="12" t="n">
        <f aca="false">Sens!$N$1038/Sens!$N$1018</f>
        <v>0.370384322706819</v>
      </c>
      <c r="O1039" s="12" t="n">
        <f aca="false">Sens!$O$1038/Sens!$O$1018</f>
        <v>0.338576436285062</v>
      </c>
      <c r="P1039" s="8" t="s">
        <v>606</v>
      </c>
    </row>
    <row r="1040" customFormat="false" ht="17.15" hidden="false" customHeight="false" outlineLevel="0" collapsed="false">
      <c r="A1040" s="0" t="s">
        <v>607</v>
      </c>
      <c r="B1040" s="0" t="s">
        <v>52</v>
      </c>
      <c r="D1040" s="12" t="n">
        <f aca="false">(Q!$E$31-ext_sh_hi*Sens!$D$1029)/Sens!$D$1018</f>
        <v>0.148536620986555</v>
      </c>
    </row>
    <row r="1041" customFormat="false" ht="17.15" hidden="false" customHeight="false" outlineLevel="0" collapsed="false">
      <c r="A1041" s="0" t="s">
        <v>608</v>
      </c>
      <c r="B1041" s="0" t="s">
        <v>73</v>
      </c>
      <c r="C1041" s="38" t="n">
        <f aca="false">Q!$D$31</f>
        <v>13.32</v>
      </c>
      <c r="D1041" s="38" t="n">
        <f aca="false">Q!$E$31</f>
        <v>21.45</v>
      </c>
      <c r="E1041" s="38" t="n">
        <f aca="false">Q!$P$31</f>
        <v>15.353</v>
      </c>
      <c r="F1041" s="38" t="n">
        <f aca="false">ext_sh_hi*Sens!$F$1029+Sens!$D$1040*Sens!$F$1018</f>
        <v>18.1902131615363</v>
      </c>
      <c r="G1041" s="38" t="n">
        <f aca="false">Sens!$E$1041+Sens!$F$1041</f>
        <v>33.5432131615363</v>
      </c>
      <c r="H1041" s="38" t="n">
        <f aca="false">ext_sh_hi*Sens!$H$1029+Sens!$D$1040*Sens!$H$1018</f>
        <v>60.8643496919838</v>
      </c>
      <c r="I1041" s="38" t="n">
        <f aca="false">ext_sh_hi*Sens!$I$1029+Sens!$D$1040*Sens!$I$1018</f>
        <v>87.4625336551093</v>
      </c>
      <c r="J1041" s="38" t="n">
        <f aca="false">ext_sh_hi*Sens!$J$1029+Sens!$D$1040*Sens!$J$1018</f>
        <v>114.27594282538</v>
      </c>
      <c r="K1041" s="38" t="n">
        <f aca="false">ext_sh_hi*Sens!$K$1029+Sens!$D$1040*Sens!$K$1018</f>
        <v>140.588592498875</v>
      </c>
      <c r="L1041" s="38" t="n">
        <f aca="false">ext_sh_hi*Sens!$L$1029+Sens!$D$1040*Sens!$L$1018</f>
        <v>164.928729876806</v>
      </c>
      <c r="M1041" s="38" t="n">
        <f aca="false">ext_sh_hi*Sens!$M$1029+Sens!$D$1040*Sens!$M$1018</f>
        <v>189.004960128583</v>
      </c>
      <c r="N1041" s="38" t="n">
        <f aca="false">Q!$N$31</f>
        <v>9.234</v>
      </c>
      <c r="O1041" s="38" t="n">
        <f aca="false">Q!$O$31</f>
        <v>12.216</v>
      </c>
    </row>
    <row r="1042" customFormat="false" ht="17.15" hidden="false" customHeight="false" outlineLevel="0" collapsed="false">
      <c r="A1042" s="1" t="s">
        <v>609</v>
      </c>
    </row>
    <row r="1043" customFormat="false" ht="17.15" hidden="false" customHeight="false" outlineLevel="0" collapsed="false">
      <c r="A1043" s="14" t="s">
        <v>610</v>
      </c>
      <c r="B1043" s="13" t="s">
        <v>52</v>
      </c>
      <c r="C1043" s="13"/>
      <c r="D1043" s="13"/>
      <c r="E1043" s="13"/>
      <c r="F1043" s="13"/>
      <c r="G1043" s="16" t="n">
        <f aca="false">Sens!$G$1033*(1-tax)/(ext_sh_hi*(Sens!$D$1030+Sens!$G$1030)/2)</f>
        <v>0.0271824133978603</v>
      </c>
      <c r="H1043" s="16" t="n">
        <f aca="false">Sens!$H$1033*(1-tax)/(ext_sh_hi*(Sens!$G$1030+Sens!$H$1030)/2)</f>
        <v>0.0381396730730498</v>
      </c>
      <c r="I1043" s="16" t="n">
        <f aca="false">Sens!$I$1033*(1-tax)/(ext_sh_hi*(Sens!$H$1030+Sens!$I$1030)/2)</f>
        <v>0.0492381530652197</v>
      </c>
      <c r="J1043" s="16" t="n">
        <f aca="false">Sens!$J$1033*(1-tax)/(ext_sh_hi*(Sens!$I$1030+Sens!$J$1030)/2)</f>
        <v>0.0563554085271428</v>
      </c>
      <c r="K1043" s="16" t="n">
        <f aca="false">Sens!$K$1033*(1-tax)/(ext_sh_hi*(Sens!$J$1030+Sens!$K$1030)/2)</f>
        <v>0.062506398128106</v>
      </c>
      <c r="L1043" s="16" t="n">
        <f aca="false">Sens!$L$1033*(1-tax)/(ext_sh_hi*(Sens!$K$1030+Sens!$L$1030)/2)</f>
        <v>0.0705543139989717</v>
      </c>
      <c r="M1043" s="16" t="n">
        <f aca="false">Sens!$M$1033*(1-tax)/(ext_sh_hi*(Sens!$L$1030+Sens!$M$1030)/2)</f>
        <v>0.0757534623213893</v>
      </c>
      <c r="N1043" s="13"/>
      <c r="O1043" s="13"/>
      <c r="P1043" s="8" t="s">
        <v>611</v>
      </c>
    </row>
    <row r="1044" customFormat="false" ht="17.15" hidden="false" customHeight="false" outlineLevel="0" collapsed="false">
      <c r="A1044" s="5" t="s">
        <v>612</v>
      </c>
      <c r="B1044" s="0" t="s">
        <v>57</v>
      </c>
      <c r="H1044" s="36" t="n">
        <f aca="false">Sens!$H$1014*1000/(mw_open*he_open+Sens!$H$1012*Sens!$H$1009)</f>
        <v>0.991949006767191</v>
      </c>
      <c r="I1044" s="36" t="n">
        <f aca="false">Sens!$I$1014*1000/(mw_open*he_open+Sens!$I$1012*Sens!$I$1009)</f>
        <v>0.991949006767191</v>
      </c>
      <c r="J1044" s="36" t="n">
        <f aca="false">Sens!$J$1014*1000/(mw_open*he_open+Sens!$J$1012*Sens!$J$1009)</f>
        <v>0.991949006767191</v>
      </c>
      <c r="K1044" s="36" t="n">
        <f aca="false">Sens!$K$1014*1000/(mw_open*he_open+Sens!$K$1012*Sens!$K$1009)</f>
        <v>0.991949006767191</v>
      </c>
      <c r="L1044" s="36" t="n">
        <f aca="false">Sens!$L$1014*1000/(mw_open*he_open+Sens!$L$1012*Sens!$L$1009)</f>
        <v>0.991949006767191</v>
      </c>
      <c r="M1044" s="36" t="n">
        <f aca="false">Sens!$M$1014*1000/(mw_open*he_open+Sens!$M$1012*Sens!$M$1009)</f>
        <v>0.991949006767192</v>
      </c>
    </row>
    <row r="1045" customFormat="false" ht="17.15" hidden="false" customHeight="false" outlineLevel="0" collapsed="false">
      <c r="A1045" s="5" t="s">
        <v>613</v>
      </c>
      <c r="B1045" s="0" t="s">
        <v>57</v>
      </c>
      <c r="H1045" s="36" t="n">
        <f aca="false">Sens!$H$1044*(Sens!$H$1014+wacc*ext_sh_hi*(Sens!$G$1030+Sens!$H$1030)/2/(1-tax)-Sens!$H$1033)/Sens!$H$1014</f>
        <v>1.49898910505825</v>
      </c>
      <c r="I1045" s="36" t="n">
        <f aca="false">Sens!$I$1044*(Sens!$I$1014+wacc*ext_sh_hi*(Sens!$H$1030+Sens!$I$1030)/2/(1-tax)-Sens!$I$1033)/Sens!$I$1014</f>
        <v>1.35798610033001</v>
      </c>
      <c r="J1045" s="36" t="n">
        <f aca="false">Sens!$J$1044*(Sens!$J$1014+wacc*ext_sh_hi*(Sens!$I$1030+Sens!$J$1030)/2/(1-tax)-Sens!$J$1033)/Sens!$J$1014</f>
        <v>1.28372276894492</v>
      </c>
      <c r="K1045" s="36" t="n">
        <f aca="false">Sens!$K$1044*(Sens!$K$1014+wacc*ext_sh_hi*(Sens!$J$1030+Sens!$K$1030)/2/(1-tax)-Sens!$K$1033)/Sens!$K$1014</f>
        <v>1.229785493047</v>
      </c>
      <c r="L1045" s="36" t="n">
        <f aca="false">Sens!$L$1044*(Sens!$L$1014+wacc*ext_sh_hi*(Sens!$K$1030+Sens!$L$1030)/2/(1-tax)-Sens!$L$1033)/Sens!$L$1014</f>
        <v>1.18216612481446</v>
      </c>
      <c r="M1045" s="36" t="n">
        <f aca="false">Sens!$M$1044*(Sens!$M$1014+wacc*ext_sh_hi*(Sens!$L$1030+Sens!$M$1030)/2/(1-tax)-Sens!$M$1033)/Sens!$M$1014</f>
        <v>1.15728466094422</v>
      </c>
    </row>
    <row r="1046" customFormat="false" ht="17.15" hidden="false" customHeight="false" outlineLevel="0" collapsed="false">
      <c r="A1046" s="5" t="s">
        <v>614</v>
      </c>
      <c r="B1046" s="0" t="s">
        <v>52</v>
      </c>
      <c r="C1046" s="12" t="n">
        <f aca="false">Sens!$C$1015/tk_pq</f>
        <v>0.195316432429398</v>
      </c>
      <c r="D1046" s="12" t="n">
        <f aca="false">Sens!$D$1015/tk_pq</f>
        <v>0.195316432429398</v>
      </c>
      <c r="E1046" s="12" t="n">
        <f aca="false">Sens!$E$1015/tk_pq</f>
        <v>0.195316432429398</v>
      </c>
      <c r="F1046" s="12" t="n">
        <f aca="false">Sens!$F$1015/tk_pq</f>
        <v>0.202241827274866</v>
      </c>
      <c r="G1046" s="12" t="n">
        <f aca="false">Sens!$G$1015/tk_pq</f>
        <v>0.199675016194063</v>
      </c>
      <c r="H1046" s="12" t="n">
        <f aca="false">Sens!$H$1015/tk_pq</f>
        <v>0.212647947710325</v>
      </c>
      <c r="I1046" s="12" t="n">
        <f aca="false">Sens!$I$1015/tk_pq</f>
        <v>0.219285125475351</v>
      </c>
      <c r="J1046" s="12" t="n">
        <f aca="false">Sens!$J$1015/tk_pq</f>
        <v>0.222492493217189</v>
      </c>
      <c r="K1046" s="12" t="n">
        <f aca="false">Sens!$K$1015/tk_pq</f>
        <v>0.224371415939166</v>
      </c>
      <c r="L1046" s="12" t="n">
        <f aca="false">Sens!$L$1015/tk_pq</f>
        <v>0.225603749825993</v>
      </c>
      <c r="M1046" s="12" t="n">
        <f aca="false">Sens!$M$1015/tk_pq</f>
        <v>0.22647376274628</v>
      </c>
      <c r="N1046" s="12" t="n">
        <f aca="false">Sens!$N$1015/tk_pq</f>
        <v>0.195316432429398</v>
      </c>
      <c r="O1046" s="12" t="n">
        <f aca="false">Sens!$O$1015/tk_pq</f>
        <v>0.195316432429398</v>
      </c>
      <c r="P1046" s="5" t="s">
        <v>615</v>
      </c>
    </row>
    <row r="1049" customFormat="false" ht="17.15" hidden="false" customHeight="false" outlineLevel="0" collapsed="false">
      <c r="A1049" s="1" t="s">
        <v>642</v>
      </c>
    </row>
    <row r="1050" customFormat="false" ht="17.15" hidden="false" customHeight="false" outlineLevel="0" collapsed="false">
      <c r="A1050" s="0" t="s">
        <v>643</v>
      </c>
      <c r="B1050" s="0" t="s">
        <v>73</v>
      </c>
      <c r="C1050" s="38" t="n">
        <f aca="false">Sens!$C$1014</f>
        <v>2.32100535697364</v>
      </c>
      <c r="D1050" s="38" t="n">
        <f aca="false">Sens!$D$1014</f>
        <v>8.70377008865116</v>
      </c>
      <c r="E1050" s="38" t="n">
        <f aca="false">Sens!$E$1014</f>
        <v>8.51035297557002</v>
      </c>
      <c r="F1050" s="38" t="n">
        <f aca="false">Sens!$F$1014</f>
        <v>14.9634336447205</v>
      </c>
      <c r="G1050" s="38" t="n">
        <f aca="false">Sens!$G$1014</f>
        <v>23.4737866202905</v>
      </c>
      <c r="H1050" s="38" t="n">
        <f aca="false">Sens!$H$1014</f>
        <v>60.1658907497746</v>
      </c>
      <c r="I1050" s="38" t="n">
        <f aca="false">Sens!$I$1014</f>
        <v>101.503699136432</v>
      </c>
      <c r="J1050" s="38" t="n">
        <f aca="false">Sens!$J$1014</f>
        <v>143.025407151278</v>
      </c>
      <c r="K1050" s="38" t="n">
        <f aca="false">Sens!$K$1014</f>
        <v>184.608415042187</v>
      </c>
      <c r="L1050" s="38" t="n">
        <f aca="false">Sens!$L$1014</f>
        <v>226.219286513125</v>
      </c>
      <c r="M1050" s="38" t="n">
        <f aca="false">Sens!$M$1014</f>
        <v>267.845161450232</v>
      </c>
      <c r="N1050" s="38" t="n">
        <f aca="false">Sens!$N$1014</f>
        <v>3.04631953102791</v>
      </c>
      <c r="O1050" s="38" t="n">
        <f aca="false">Sens!$O$1014</f>
        <v>5.65745055762326</v>
      </c>
      <c r="P1050" s="8" t="s">
        <v>644</v>
      </c>
    </row>
    <row r="1051" customFormat="false" ht="17.15" hidden="false" customHeight="false" outlineLevel="0" collapsed="false">
      <c r="A1051" s="0" t="s">
        <v>645</v>
      </c>
      <c r="B1051" s="0" t="s">
        <v>73</v>
      </c>
      <c r="C1051" s="38" t="n">
        <f aca="false">Sens!$C$1018</f>
        <v>105.234994643026</v>
      </c>
      <c r="D1051" s="38" t="n">
        <f aca="false">Sens!$D$1018</f>
        <v>120.021229911349</v>
      </c>
      <c r="E1051" s="38" t="n">
        <f aca="false">Sens!$E$1018</f>
        <v>71.30864702443</v>
      </c>
      <c r="F1051" s="38" t="n">
        <f aca="false">Sens!$F$1018</f>
        <v>78.5950104186653</v>
      </c>
      <c r="G1051" s="38" t="n">
        <f aca="false">Sens!$G$1018</f>
        <v>149.903657443095</v>
      </c>
      <c r="H1051" s="38" t="n">
        <f aca="false">Sens!$H$1018</f>
        <v>180.893560768142</v>
      </c>
      <c r="I1051" s="38" t="n">
        <f aca="false">Sens!$I$1018</f>
        <v>210.64839721501</v>
      </c>
      <c r="J1051" s="38" t="n">
        <f aca="false">Sens!$J$1018</f>
        <v>236.398909446495</v>
      </c>
      <c r="K1051" s="38" t="n">
        <f aca="false">Sens!$K$1018</f>
        <v>255.310822202215</v>
      </c>
      <c r="L1051" s="38" t="n">
        <f aca="false">Sens!$L$1018</f>
        <v>275.735687978392</v>
      </c>
      <c r="M1051" s="38" t="n">
        <f aca="false">Sens!$M$1018</f>
        <v>297.794543016663</v>
      </c>
      <c r="N1051" s="38" t="n">
        <f aca="false">Sens!$N$1018</f>
        <v>57.0936804689721</v>
      </c>
      <c r="O1051" s="38" t="n">
        <f aca="false">Sens!$O$1018</f>
        <v>62.9275494423768</v>
      </c>
      <c r="P1051" s="8" t="s">
        <v>644</v>
      </c>
    </row>
    <row r="1052" customFormat="false" ht="17.15" hidden="false" customHeight="false" outlineLevel="0" collapsed="false">
      <c r="A1052" s="1" t="s">
        <v>476</v>
      </c>
      <c r="B1052" s="8" t="s">
        <v>73</v>
      </c>
      <c r="C1052" s="38" t="n">
        <f aca="false">Q!$D$7</f>
        <v>107.556</v>
      </c>
      <c r="D1052" s="38" t="n">
        <f aca="false">Q!$E$7</f>
        <v>128.725</v>
      </c>
      <c r="E1052" s="38" t="n">
        <f aca="false">Q!$P$7</f>
        <v>79.819</v>
      </c>
      <c r="F1052" s="38" t="n">
        <f aca="false">Sens!$F$1050+Sens!$F$1051</f>
        <v>93.5584440633857</v>
      </c>
      <c r="G1052" s="38" t="n">
        <f aca="false">Sens!$G$1050+Sens!$G$1051</f>
        <v>173.377444063386</v>
      </c>
      <c r="H1052" s="38" t="n">
        <f aca="false">Sens!$H$1050+Sens!$H$1051</f>
        <v>241.059451517916</v>
      </c>
      <c r="I1052" s="38" t="n">
        <f aca="false">Sens!$I$1050+Sens!$I$1051</f>
        <v>312.152096351442</v>
      </c>
      <c r="J1052" s="38" t="n">
        <f aca="false">Sens!$J$1050+Sens!$J$1051</f>
        <v>379.424316597773</v>
      </c>
      <c r="K1052" s="38" t="n">
        <f aca="false">Sens!$K$1050+Sens!$K$1051</f>
        <v>439.919237244402</v>
      </c>
      <c r="L1052" s="38" t="n">
        <f aca="false">Sens!$L$1050+Sens!$L$1051</f>
        <v>501.954974491517</v>
      </c>
      <c r="M1052" s="38" t="n">
        <f aca="false">Sens!$M$1050+Sens!$M$1051</f>
        <v>565.639704466895</v>
      </c>
      <c r="N1052" s="38" t="n">
        <f aca="false">Q!$N$7</f>
        <v>60.14</v>
      </c>
      <c r="O1052" s="38" t="n">
        <f aca="false">Q!$O$7</f>
        <v>68.585</v>
      </c>
      <c r="P1052" s="5" t="s">
        <v>646</v>
      </c>
    </row>
    <row r="1053" customFormat="false" ht="15" hidden="false" customHeight="false" outlineLevel="0" collapsed="false">
      <c r="A1053" s="3" t="s">
        <v>647</v>
      </c>
      <c r="B1053" s="8" t="s">
        <v>73</v>
      </c>
      <c r="C1053" s="38" t="n">
        <f aca="false">Q!$D$8</f>
        <v>637.959</v>
      </c>
      <c r="D1053" s="38" t="n">
        <f aca="false">Q!$E$8</f>
        <v>716.924</v>
      </c>
      <c r="E1053" s="38" t="n">
        <f aca="false">Q!$P$8</f>
        <v>382.125</v>
      </c>
      <c r="F1053" s="38" t="n">
        <f aca="false">Sens!$F$987+Sens!$F$1052</f>
        <v>450.494873271816</v>
      </c>
      <c r="G1053" s="38" t="n">
        <f aca="false">Sens!$G$987+Sens!$G$1052</f>
        <v>832.619873271816</v>
      </c>
      <c r="H1053" s="38" t="n">
        <f aca="false">Sens!$H$987+Sens!$H$1052</f>
        <v>970.995189139617</v>
      </c>
      <c r="I1053" s="38" t="n">
        <f aca="false">Sens!$I$987+Sens!$I$1052</f>
        <v>1110.44766604932</v>
      </c>
      <c r="J1053" s="38" t="n">
        <f aca="false">Sens!$J$987+Sens!$J$1052</f>
        <v>1241.16113892356</v>
      </c>
      <c r="K1053" s="38" t="n">
        <f aca="false">Sens!$K$987+Sens!$K$1052</f>
        <v>1357.47672934633</v>
      </c>
      <c r="L1053" s="38" t="n">
        <f aca="false">Sens!$L$987+Sens!$L$1052</f>
        <v>1479.24006423468</v>
      </c>
      <c r="M1053" s="38" t="n">
        <f aca="false">Sens!$M$987+Sens!$M$1052</f>
        <v>1606.8537230104</v>
      </c>
      <c r="N1053" s="38" t="n">
        <f aca="false">Q!$N$8</f>
        <v>323.369</v>
      </c>
      <c r="O1053" s="38" t="n">
        <f aca="false">Q!$O$8</f>
        <v>393.555</v>
      </c>
    </row>
    <row r="1054" customFormat="false" ht="17.15" hidden="false" customHeight="false" outlineLevel="0" collapsed="false">
      <c r="A1054" s="24" t="s">
        <v>655</v>
      </c>
      <c r="B1054" s="25" t="s">
        <v>73</v>
      </c>
      <c r="C1054" s="39" t="n">
        <f aca="false">Sens!$C$987-(Sens!$C$989+Sens!$C$990)</f>
        <v>0</v>
      </c>
      <c r="D1054" s="39" t="n">
        <f aca="false">Sens!$D$987-(Sens!$D$989+Sens!$D$990)</f>
        <v>0</v>
      </c>
      <c r="E1054" s="39" t="n">
        <f aca="false">Sens!$E$987-(Sens!$E$989+Sens!$E$990)</f>
        <v>0</v>
      </c>
      <c r="F1054" s="39" t="n">
        <f aca="false">Sens!$F$987-(Sens!$F$989+Sens!$F$990)</f>
        <v>0</v>
      </c>
      <c r="G1054" s="39" t="n">
        <f aca="false">Sens!$G$987-(Sens!$G$989+Sens!$G$990)</f>
        <v>0</v>
      </c>
      <c r="H1054" s="39" t="n">
        <f aca="false">Sens!$H$987-(Sens!$H$989+Sens!$H$990)</f>
        <v>0</v>
      </c>
      <c r="I1054" s="39" t="n">
        <f aca="false">Sens!$I$987-(Sens!$I$989+Sens!$I$990)</f>
        <v>0</v>
      </c>
      <c r="J1054" s="39" t="n">
        <f aca="false">Sens!$J$987-(Sens!$J$989+Sens!$J$990)</f>
        <v>0</v>
      </c>
      <c r="K1054" s="39" t="n">
        <f aca="false">Sens!$K$987-(Sens!$K$989+Sens!$K$990)</f>
        <v>0</v>
      </c>
      <c r="L1054" s="39" t="n">
        <f aca="false">Sens!$L$987-(Sens!$L$989+Sens!$L$990)</f>
        <v>0</v>
      </c>
      <c r="M1054" s="39" t="n">
        <f aca="false">Sens!$M$987-(Sens!$M$989+Sens!$M$990)</f>
        <v>0</v>
      </c>
      <c r="N1054" s="39" t="n">
        <f aca="false">Sens!$N$987-(Sens!$N$989+Sens!$N$990)</f>
        <v>0</v>
      </c>
      <c r="O1054" s="39" t="n">
        <f aca="false">Sens!$O$987-(Sens!$O$989+Sens!$O$990)</f>
        <v>0</v>
      </c>
    </row>
    <row r="1055" customFormat="false" ht="17.15" hidden="false" customHeight="false" outlineLevel="0" collapsed="false">
      <c r="A1055" s="24" t="s">
        <v>656</v>
      </c>
      <c r="B1055" s="25" t="s">
        <v>73</v>
      </c>
      <c r="C1055" s="39" t="n">
        <f aca="false">Sens!$C$1050+Sens!$C$1051-Sens!$C$1052</f>
        <v>0</v>
      </c>
      <c r="D1055" s="39" t="n">
        <f aca="false">Sens!$D$1050+Sens!$D$1051-Sens!$D$1052</f>
        <v>0</v>
      </c>
      <c r="E1055" s="39" t="n">
        <f aca="false">Sens!$E$1050+Sens!$E$1051-Sens!$E$1052</f>
        <v>0</v>
      </c>
      <c r="F1055" s="39" t="n">
        <f aca="false">Sens!$F$1050+Sens!$F$1051-Sens!$F$1052</f>
        <v>0</v>
      </c>
      <c r="G1055" s="39" t="n">
        <f aca="false">Sens!$G$1050+Sens!$G$1051-Sens!$G$1052</f>
        <v>0</v>
      </c>
      <c r="H1055" s="39" t="n">
        <f aca="false">Sens!$H$1050+Sens!$H$1051-Sens!$H$1052</f>
        <v>0</v>
      </c>
      <c r="I1055" s="39" t="n">
        <f aca="false">Sens!$I$1050+Sens!$I$1051-Sens!$I$1052</f>
        <v>0</v>
      </c>
      <c r="J1055" s="39" t="n">
        <f aca="false">Sens!$J$1050+Sens!$J$1051-Sens!$J$1052</f>
        <v>0</v>
      </c>
      <c r="K1055" s="39" t="n">
        <f aca="false">Sens!$K$1050+Sens!$K$1051-Sens!$K$1052</f>
        <v>0</v>
      </c>
      <c r="L1055" s="39" t="n">
        <f aca="false">Sens!$L$1050+Sens!$L$1051-Sens!$L$1052</f>
        <v>0</v>
      </c>
      <c r="M1055" s="39" t="n">
        <f aca="false">Sens!$M$1050+Sens!$M$1051-Sens!$M$1052</f>
        <v>0</v>
      </c>
      <c r="N1055" s="39" t="n">
        <f aca="false">Sens!$N$1050+Sens!$N$1051-Sens!$N$1052</f>
        <v>0</v>
      </c>
      <c r="O1055" s="39" t="n">
        <f aca="false">Sens!$O$1050+Sens!$O$1051-Sens!$O$1052</f>
        <v>0</v>
      </c>
    </row>
    <row r="1056" customFormat="false" ht="17.15" hidden="false" customHeight="false" outlineLevel="0" collapsed="false">
      <c r="A1056" s="24" t="s">
        <v>657</v>
      </c>
      <c r="B1056" s="25" t="s">
        <v>73</v>
      </c>
      <c r="C1056" s="39" t="n">
        <f aca="false">Sens!$C$989+Sens!$C$990+Sens!$C$1052-Sens!$C$1053</f>
        <v>0</v>
      </c>
      <c r="D1056" s="39" t="n">
        <f aca="false">Sens!$D$989+Sens!$D$990+Sens!$D$1052-Sens!$D$1053</f>
        <v>0</v>
      </c>
      <c r="E1056" s="39" t="n">
        <f aca="false">Sens!$E$989+Sens!$E$990+Sens!$E$1052-Sens!$E$1053</f>
        <v>0</v>
      </c>
      <c r="F1056" s="39" t="n">
        <f aca="false">Sens!$F$989+Sens!$F$990+Sens!$F$1052-Sens!$F$1053</f>
        <v>0</v>
      </c>
      <c r="G1056" s="39" t="n">
        <f aca="false">Sens!$G$989+Sens!$G$990+Sens!$G$1052-Sens!$G$1053</f>
        <v>0</v>
      </c>
      <c r="H1056" s="39" t="n">
        <f aca="false">Sens!$H$989+Sens!$H$990+Sens!$H$1052-Sens!$H$1053</f>
        <v>0</v>
      </c>
      <c r="I1056" s="39" t="n">
        <f aca="false">Sens!$I$989+Sens!$I$990+Sens!$I$1052-Sens!$I$1053</f>
        <v>0</v>
      </c>
      <c r="J1056" s="39" t="n">
        <f aca="false">Sens!$J$989+Sens!$J$990+Sens!$J$1052-Sens!$J$1053</f>
        <v>0</v>
      </c>
      <c r="K1056" s="39" t="n">
        <f aca="false">Sens!$K$989+Sens!$K$990+Sens!$K$1052-Sens!$K$1053</f>
        <v>0</v>
      </c>
      <c r="L1056" s="39" t="n">
        <f aca="false">Sens!$L$989+Sens!$L$990+Sens!$L$1052-Sens!$L$1053</f>
        <v>0</v>
      </c>
      <c r="M1056" s="39" t="n">
        <f aca="false">Sens!$M$989+Sens!$M$990+Sens!$M$1052-Sens!$M$1053</f>
        <v>0</v>
      </c>
      <c r="N1056" s="39" t="n">
        <f aca="false">Sens!$N$989+Sens!$N$990+Sens!$N$1052-Sens!$N$1053</f>
        <v>0</v>
      </c>
      <c r="O1056" s="39" t="n">
        <f aca="false">Sens!$O$989+Sens!$O$990+Sens!$O$1052-Sens!$O$1053</f>
        <v>0</v>
      </c>
    </row>
    <row r="1057" customFormat="false" ht="15" hidden="false" customHeight="false" outlineLevel="0" collapsed="false">
      <c r="A1057" s="5" t="s">
        <v>651</v>
      </c>
      <c r="B1057" s="0" t="s">
        <v>52</v>
      </c>
      <c r="G1057" s="12" t="n">
        <f aca="false">Sens!$G$1053/Sens!$D$1053-1</f>
        <v>0.161378156222718</v>
      </c>
      <c r="H1057" s="12" t="n">
        <f aca="false">Sens!$H$1053/Sens!$G$1053-1</f>
        <v>0.166192665236357</v>
      </c>
      <c r="I1057" s="12" t="n">
        <f aca="false">Sens!$I$1053/Sens!$H$1053-1</f>
        <v>0.143618092519351</v>
      </c>
      <c r="J1057" s="12" t="n">
        <f aca="false">Sens!$J$1053/Sens!$I$1053-1</f>
        <v>0.117712411733268</v>
      </c>
      <c r="K1057" s="12" t="n">
        <f aca="false">Sens!$K$1053/Sens!$J$1053-1</f>
        <v>0.0937151404237868</v>
      </c>
      <c r="L1057" s="12" t="n">
        <f aca="false">Sens!$L$1053/Sens!$K$1053-1</f>
        <v>0.0896982852494186</v>
      </c>
      <c r="M1057" s="12" t="n">
        <f aca="false">Sens!$M$1053/Sens!$L$1053-1</f>
        <v>0.0862697420528154</v>
      </c>
    </row>
    <row r="1058" customFormat="false" ht="17.15" hidden="false" customHeight="false" outlineLevel="0" collapsed="false">
      <c r="A1058" s="0" t="s">
        <v>652</v>
      </c>
      <c r="B1058" s="0" t="s">
        <v>52</v>
      </c>
      <c r="C1058" s="12" t="n">
        <f aca="false">Sens!$C$1052/Sens!$C$1053</f>
        <v>0.168593906504964</v>
      </c>
      <c r="D1058" s="12" t="n">
        <f aca="false">Sens!$D$1052/Sens!$D$1053</f>
        <v>0.179551807444025</v>
      </c>
      <c r="E1058" s="12" t="n">
        <f aca="false">Sens!$E$1052/Sens!$E$1053</f>
        <v>0.208881910369643</v>
      </c>
      <c r="F1058" s="12" t="n">
        <f aca="false">Sens!$F$1052/Sens!$F$1053</f>
        <v>0.207679264769203</v>
      </c>
      <c r="G1058" s="12" t="n">
        <f aca="false">Sens!$G$1052/Sens!$G$1053</f>
        <v>0.208231210458731</v>
      </c>
      <c r="H1058" s="12" t="n">
        <f aca="false">Sens!$H$1052/Sens!$H$1053</f>
        <v>0.248260191414043</v>
      </c>
      <c r="I1058" s="12" t="n">
        <f aca="false">Sens!$I$1052/Sens!$I$1053</f>
        <v>0.28110473450946</v>
      </c>
      <c r="J1058" s="12" t="n">
        <f aca="false">Sens!$J$1052/Sens!$J$1053</f>
        <v>0.30570109287086</v>
      </c>
      <c r="K1058" s="12" t="n">
        <f aca="false">Sens!$K$1052/Sens!$K$1053</f>
        <v>0.324071291782835</v>
      </c>
      <c r="L1058" s="12" t="n">
        <f aca="false">Sens!$L$1052/Sens!$L$1053</f>
        <v>0.339333003903741</v>
      </c>
      <c r="M1058" s="12" t="n">
        <f aca="false">Sens!$M$1052/Sens!$M$1053</f>
        <v>0.3520169237354</v>
      </c>
      <c r="N1058" s="12" t="n">
        <f aca="false">Sens!$N$1052/Sens!$N$1053</f>
        <v>0.185979484737251</v>
      </c>
      <c r="O1058" s="12" t="n">
        <f aca="false">Sens!$O$1052/Sens!$O$1053</f>
        <v>0.174270432341096</v>
      </c>
    </row>
    <row r="1059" customFormat="false" ht="17.15" hidden="false" customHeight="false" outlineLevel="0" collapsed="false">
      <c r="A1059" s="0" t="s">
        <v>653</v>
      </c>
      <c r="B1059" s="0" t="s">
        <v>52</v>
      </c>
      <c r="C1059" s="12" t="n">
        <f aca="false">Sens!$C$1050/Sens!$C$1052</f>
        <v>0.0215795060896058</v>
      </c>
      <c r="D1059" s="12" t="n">
        <f aca="false">Sens!$D$1050/Sens!$D$1052</f>
        <v>0.0676152269462122</v>
      </c>
      <c r="E1059" s="12" t="n">
        <f aca="false">Sens!$E$1050/Sens!$E$1052</f>
        <v>0.106620641395783</v>
      </c>
      <c r="F1059" s="12" t="n">
        <f aca="false">Sens!$F$1050/Sens!$F$1052</f>
        <v>0.159936751776064</v>
      </c>
      <c r="G1059" s="12" t="n">
        <f aca="false">Sens!$G$1050/Sens!$G$1052</f>
        <v>0.135391237003751</v>
      </c>
      <c r="H1059" s="12" t="n">
        <f aca="false">Sens!$H$1050/Sens!$H$1052</f>
        <v>0.249589428545194</v>
      </c>
      <c r="I1059" s="12" t="n">
        <f aca="false">Sens!$I$1050/Sens!$I$1052</f>
        <v>0.325173850577483</v>
      </c>
      <c r="J1059" s="12" t="n">
        <f aca="false">Sens!$J$1050/Sens!$J$1052</f>
        <v>0.376953718817392</v>
      </c>
      <c r="K1059" s="12" t="n">
        <f aca="false">Sens!$K$1050/Sens!$K$1052</f>
        <v>0.419641605578676</v>
      </c>
      <c r="L1059" s="12" t="n">
        <f aca="false">Sens!$L$1050/Sens!$L$1052</f>
        <v>0.450676451094615</v>
      </c>
      <c r="M1059" s="12" t="n">
        <f aca="false">Sens!$M$1050/Sens!$M$1052</f>
        <v>0.473526096798086</v>
      </c>
      <c r="N1059" s="12" t="n">
        <f aca="false">Sens!$N$1050/Sens!$N$1052</f>
        <v>0.0506537999838362</v>
      </c>
      <c r="O1059" s="12" t="n">
        <f aca="false">Sens!$O$1050/Sens!$O$1052</f>
        <v>0.0824881615167056</v>
      </c>
    </row>
    <row r="1062" customFormat="false" ht="19.4" hidden="false" customHeight="false" outlineLevel="0" collapsed="false">
      <c r="A1062" s="31" t="s">
        <v>1065</v>
      </c>
    </row>
    <row r="1063" customFormat="false" ht="17.15" hidden="false" customHeight="false" outlineLevel="0" collapsed="false">
      <c r="A1063" s="6" t="s">
        <v>16</v>
      </c>
      <c r="B1063" s="6" t="s">
        <v>17</v>
      </c>
      <c r="C1063" s="20" t="s">
        <v>457</v>
      </c>
      <c r="D1063" s="20" t="s">
        <v>458</v>
      </c>
      <c r="E1063" s="20" t="s">
        <v>540</v>
      </c>
      <c r="F1063" s="20" t="s">
        <v>541</v>
      </c>
      <c r="G1063" s="20" t="s">
        <v>542</v>
      </c>
      <c r="H1063" s="20" t="s">
        <v>543</v>
      </c>
      <c r="I1063" s="20" t="s">
        <v>544</v>
      </c>
      <c r="J1063" s="20" t="s">
        <v>545</v>
      </c>
      <c r="K1063" s="20" t="s">
        <v>546</v>
      </c>
      <c r="L1063" s="20" t="s">
        <v>547</v>
      </c>
      <c r="M1063" s="20" t="s">
        <v>548</v>
      </c>
      <c r="N1063" s="20" t="s">
        <v>549</v>
      </c>
      <c r="O1063" s="20" t="s">
        <v>550</v>
      </c>
      <c r="P1063" s="6" t="s">
        <v>23</v>
      </c>
      <c r="R1063" s="20" t="n">
        <v>2023</v>
      </c>
      <c r="S1063" s="20" t="n">
        <v>2024</v>
      </c>
      <c r="T1063" s="20" t="n">
        <v>2025</v>
      </c>
      <c r="U1063" s="20" t="n">
        <v>2026</v>
      </c>
      <c r="V1063" s="20" t="n">
        <v>2027</v>
      </c>
      <c r="W1063" s="20" t="n">
        <v>2028</v>
      </c>
      <c r="X1063" s="20" t="n">
        <v>2029</v>
      </c>
      <c r="Y1063" s="20" t="n">
        <v>2030</v>
      </c>
      <c r="Z1063" s="20" t="n">
        <v>2031</v>
      </c>
      <c r="AA1063" s="20" t="n">
        <v>2032</v>
      </c>
    </row>
    <row r="1064" customFormat="false" ht="17.15" hidden="false" customHeight="false" outlineLevel="0" collapsed="false">
      <c r="A1064" s="1" t="s">
        <v>668</v>
      </c>
    </row>
    <row r="1065" customFormat="false" ht="15" hidden="false" customHeight="false" outlineLevel="0" collapsed="false">
      <c r="A1065" s="0" t="s">
        <v>479</v>
      </c>
      <c r="B1065" s="0" t="s">
        <v>73</v>
      </c>
      <c r="C1065" s="38" t="n">
        <f aca="false">Sens!$C$975</f>
        <v>247.029</v>
      </c>
      <c r="D1065" s="38" t="n">
        <f aca="false">Sens!$D$975</f>
        <v>269.287</v>
      </c>
      <c r="E1065" s="38" t="n">
        <f aca="false">Sens!$E$975</f>
        <v>134.686</v>
      </c>
      <c r="F1065" s="38" t="n">
        <f aca="false">Sens!$F$975</f>
        <v>160.728085930082</v>
      </c>
      <c r="G1065" s="38" t="n">
        <f aca="false">Sens!$G$975</f>
        <v>295.414085930082</v>
      </c>
      <c r="H1065" s="38" t="n">
        <f aca="false">Sens!$H$975</f>
        <v>320.828163943375</v>
      </c>
      <c r="I1065" s="38" t="n">
        <f aca="false">Sens!$I$975</f>
        <v>344.575578072228</v>
      </c>
      <c r="J1065" s="38" t="n">
        <f aca="false">Sens!$J$975</f>
        <v>365.942555779681</v>
      </c>
      <c r="K1065" s="38" t="n">
        <f aca="false">Sens!$K$975</f>
        <v>384.239683568665</v>
      </c>
      <c r="L1065" s="38" t="n">
        <f aca="false">Sens!$L$975</f>
        <v>403.451667747098</v>
      </c>
      <c r="M1065" s="38" t="n">
        <f aca="false">Sens!$M$975</f>
        <v>423.624251134453</v>
      </c>
      <c r="N1065" s="38" t="n">
        <f aca="false">Sens!$N$975</f>
        <v>118.892</v>
      </c>
      <c r="O1065" s="38" t="n">
        <f aca="false">Sens!$O$975</f>
        <v>150.395</v>
      </c>
    </row>
    <row r="1066" customFormat="false" ht="15" hidden="false" customHeight="false" outlineLevel="0" collapsed="false">
      <c r="A1066" s="0" t="s">
        <v>480</v>
      </c>
      <c r="B1066" s="0" t="s">
        <v>73</v>
      </c>
      <c r="C1066" s="38" t="n">
        <f aca="false">Sens!$C$977</f>
        <v>21.215</v>
      </c>
      <c r="D1066" s="38" t="n">
        <f aca="false">Sens!$D$977</f>
        <v>22.561</v>
      </c>
      <c r="E1066" s="38" t="n">
        <f aca="false">Sens!$E$977</f>
        <v>11.579</v>
      </c>
      <c r="F1066" s="38" t="n">
        <f aca="false">Sens!$F$977</f>
        <v>12.0952613121125</v>
      </c>
      <c r="G1066" s="38" t="n">
        <f aca="false">Sens!$G$977</f>
        <v>23.6742613121125</v>
      </c>
      <c r="H1066" s="38" t="n">
        <f aca="false">Sens!$H$977</f>
        <v>24.8803243963206</v>
      </c>
      <c r="I1066" s="38" t="n">
        <f aca="false">Sens!$I$977</f>
        <v>25.9741308664154</v>
      </c>
      <c r="J1066" s="38" t="n">
        <f aca="false">Sens!$J$977</f>
        <v>26.9346894124267</v>
      </c>
      <c r="K1066" s="38" t="n">
        <f aca="false">Sens!$K$977</f>
        <v>27.7427300947995</v>
      </c>
      <c r="L1066" s="38" t="n">
        <f aca="false">Sens!$L$977</f>
        <v>28.5750119976435</v>
      </c>
      <c r="M1066" s="38" t="n">
        <f aca="false">Sens!$M$977</f>
        <v>29.4322623575728</v>
      </c>
      <c r="N1066" s="38" t="n">
        <f aca="false">Sens!$N$977</f>
        <v>11.128</v>
      </c>
      <c r="O1066" s="38" t="n">
        <f aca="false">Sens!$O$977</f>
        <v>11.433</v>
      </c>
    </row>
    <row r="1067" customFormat="false" ht="15" hidden="false" customHeight="false" outlineLevel="0" collapsed="false">
      <c r="A1067" s="0" t="s">
        <v>481</v>
      </c>
      <c r="B1067" s="0" t="s">
        <v>73</v>
      </c>
      <c r="C1067" s="38" t="n">
        <f aca="false">Sens!$C$979</f>
        <v>156.146</v>
      </c>
      <c r="D1067" s="38" t="n">
        <f aca="false">Sens!$D$979</f>
        <v>172.162</v>
      </c>
      <c r="E1067" s="38" t="n">
        <f aca="false">Sens!$E$979</f>
        <v>88.358</v>
      </c>
      <c r="F1067" s="38" t="n">
        <f aca="false">Sens!$F$979</f>
        <v>103.62028337149</v>
      </c>
      <c r="G1067" s="38" t="n">
        <f aca="false">Sens!$G$979</f>
        <v>191.97828337149</v>
      </c>
      <c r="H1067" s="38" t="n">
        <f aca="false">Sens!$H$979</f>
        <v>212.128608444755</v>
      </c>
      <c r="I1067" s="38" t="n">
        <f aca="false">Sens!$I$979</f>
        <v>231.92183134134</v>
      </c>
      <c r="J1067" s="38" t="n">
        <f aca="false">Sens!$J$979</f>
        <v>250.859136487863</v>
      </c>
      <c r="K1067" s="38" t="n">
        <f aca="false">Sens!$K$979</f>
        <v>268.419276042014</v>
      </c>
      <c r="L1067" s="38" t="n">
        <f aca="false">Sens!$L$979</f>
        <v>287.208625364954</v>
      </c>
      <c r="M1067" s="38" t="n">
        <f aca="false">Sens!$M$979</f>
        <v>307.313229140501</v>
      </c>
      <c r="N1067" s="38" t="n">
        <f aca="false">Sens!$N$979</f>
        <v>76.86</v>
      </c>
      <c r="O1067" s="38" t="n">
        <f aca="false">Sens!$O$979</f>
        <v>95.302</v>
      </c>
    </row>
    <row r="1068" customFormat="false" ht="15" hidden="false" customHeight="false" outlineLevel="0" collapsed="false">
      <c r="A1068" s="0" t="s">
        <v>482</v>
      </c>
      <c r="B1068" s="0" t="s">
        <v>73</v>
      </c>
      <c r="C1068" s="38" t="n">
        <f aca="false">Sens!$C$981</f>
        <v>56.214</v>
      </c>
      <c r="D1068" s="38" t="n">
        <f aca="false">Sens!$D$981</f>
        <v>68.635</v>
      </c>
      <c r="E1068" s="38" t="n">
        <f aca="false">Sens!$E$981</f>
        <v>37.052</v>
      </c>
      <c r="F1068" s="38" t="n">
        <f aca="false">Sens!$F$981</f>
        <v>48.1533381827382</v>
      </c>
      <c r="G1068" s="38" t="n">
        <f aca="false">Sens!$G$981</f>
        <v>85.2053381827382</v>
      </c>
      <c r="H1068" s="38" t="n">
        <f aca="false">Sens!$H$981</f>
        <v>102.29336185894</v>
      </c>
      <c r="I1068" s="38" t="n">
        <f aca="false">Sens!$I$981</f>
        <v>119.379837585241</v>
      </c>
      <c r="J1068" s="38" t="n">
        <f aca="false">Sens!$J$981</f>
        <v>135.319079048844</v>
      </c>
      <c r="K1068" s="38" t="n">
        <f aca="false">Sens!$K$981</f>
        <v>148.850986953729</v>
      </c>
      <c r="L1068" s="38" t="n">
        <f aca="false">Sens!$L$981</f>
        <v>163.736085649102</v>
      </c>
      <c r="M1068" s="38" t="n">
        <f aca="false">Sens!$M$981</f>
        <v>180.109694214012</v>
      </c>
      <c r="N1068" s="38" t="n">
        <f aca="false">Sens!$N$981</f>
        <v>29.615</v>
      </c>
      <c r="O1068" s="38" t="n">
        <f aca="false">Sens!$O$981</f>
        <v>39.02</v>
      </c>
    </row>
    <row r="1069" customFormat="false" ht="15" hidden="false" customHeight="false" outlineLevel="0" collapsed="false">
      <c r="A1069" s="0" t="s">
        <v>483</v>
      </c>
      <c r="B1069" s="0" t="s">
        <v>73</v>
      </c>
      <c r="C1069" s="38" t="n">
        <f aca="false">Sens!$C$983</f>
        <v>44.374</v>
      </c>
      <c r="D1069" s="38" t="n">
        <f aca="false">Sens!$D$983</f>
        <v>49.619</v>
      </c>
      <c r="E1069" s="38" t="n">
        <f aca="false">Sens!$E$983</f>
        <v>27.157</v>
      </c>
      <c r="F1069" s="38" t="n">
        <f aca="false">Sens!$F$983</f>
        <v>28.9776360923374</v>
      </c>
      <c r="G1069" s="38" t="n">
        <f aca="false">Sens!$G$983</f>
        <v>56.1346360923374</v>
      </c>
      <c r="H1069" s="38" t="n">
        <f aca="false">Sens!$H$983</f>
        <v>62.4937078946075</v>
      </c>
      <c r="I1069" s="38" t="n">
        <f aca="false">Sens!$I$983</f>
        <v>68.6715233062498</v>
      </c>
      <c r="J1069" s="38" t="n">
        <f aca="false">Sens!$J$983</f>
        <v>74.4692882949818</v>
      </c>
      <c r="K1069" s="38" t="n">
        <f aca="false">Sens!$K$983</f>
        <v>79.6821384756306</v>
      </c>
      <c r="L1069" s="38" t="n">
        <f aca="false">Sens!$L$983</f>
        <v>85.2598881689247</v>
      </c>
      <c r="M1069" s="38" t="n">
        <f aca="false">Sens!$M$983</f>
        <v>91.2280803407494</v>
      </c>
      <c r="N1069" s="38" t="n">
        <f aca="false">Sens!$N$983</f>
        <v>23.923</v>
      </c>
      <c r="O1069" s="38" t="n">
        <f aca="false">Sens!$O$983</f>
        <v>25.696</v>
      </c>
    </row>
    <row r="1070" customFormat="false" ht="15" hidden="false" customHeight="false" outlineLevel="0" collapsed="false">
      <c r="A1070" s="0" t="s">
        <v>484</v>
      </c>
      <c r="B1070" s="0" t="s">
        <v>73</v>
      </c>
      <c r="C1070" s="38" t="n">
        <f aca="false">Sens!$C$985</f>
        <v>5.425</v>
      </c>
      <c r="D1070" s="38" t="n">
        <f aca="false">Sens!$D$985</f>
        <v>5.935</v>
      </c>
      <c r="E1070" s="38" t="n">
        <f aca="false">Sens!$E$985</f>
        <v>3.474</v>
      </c>
      <c r="F1070" s="38" t="n">
        <f aca="false">Sens!$F$985</f>
        <v>3.36182431966931</v>
      </c>
      <c r="G1070" s="38" t="n">
        <f aca="false">Sens!$G$985</f>
        <v>6.83582431966931</v>
      </c>
      <c r="H1070" s="38" t="n">
        <f aca="false">Sens!$H$985</f>
        <v>7.31157108370141</v>
      </c>
      <c r="I1070" s="38" t="n">
        <f aca="false">Sens!$I$985</f>
        <v>7.77266852639815</v>
      </c>
      <c r="J1070" s="38" t="n">
        <f aca="false">Sens!$J$985</f>
        <v>8.2120733019884</v>
      </c>
      <c r="K1070" s="38" t="n">
        <f aca="false">Sens!$K$985</f>
        <v>8.62267696708783</v>
      </c>
      <c r="L1070" s="38" t="n">
        <f aca="false">Sens!$L$985</f>
        <v>9.05381081544222</v>
      </c>
      <c r="M1070" s="38" t="n">
        <f aca="false">Sens!$M$985</f>
        <v>9.50650135621433</v>
      </c>
      <c r="N1070" s="38" t="n">
        <f aca="false">Sens!$N$985</f>
        <v>2.811</v>
      </c>
      <c r="O1070" s="38" t="n">
        <f aca="false">Sens!$O$985</f>
        <v>3.124</v>
      </c>
    </row>
    <row r="1071" customFormat="false" ht="17.15" hidden="false" customHeight="false" outlineLevel="0" collapsed="false">
      <c r="A1071" s="0" t="s">
        <v>669</v>
      </c>
      <c r="B1071" s="0" t="s">
        <v>73</v>
      </c>
      <c r="C1071" s="38" t="n">
        <f aca="false">Sens!$C$1052</f>
        <v>107.556</v>
      </c>
      <c r="D1071" s="38" t="n">
        <f aca="false">Sens!$D$1052</f>
        <v>128.725</v>
      </c>
      <c r="E1071" s="38" t="n">
        <f aca="false">Sens!$E$1052</f>
        <v>79.819</v>
      </c>
      <c r="F1071" s="38" t="n">
        <f aca="false">Sens!$F$1052</f>
        <v>93.5584440633857</v>
      </c>
      <c r="G1071" s="38" t="n">
        <f aca="false">Sens!$G$1052</f>
        <v>173.377444063386</v>
      </c>
      <c r="H1071" s="38" t="n">
        <f aca="false">Sens!$H$1052</f>
        <v>241.059451517916</v>
      </c>
      <c r="I1071" s="38" t="n">
        <f aca="false">Sens!$I$1052</f>
        <v>312.152096351442</v>
      </c>
      <c r="J1071" s="38" t="n">
        <f aca="false">Sens!$J$1052</f>
        <v>379.424316597773</v>
      </c>
      <c r="K1071" s="38" t="n">
        <f aca="false">Sens!$K$1052</f>
        <v>439.919237244402</v>
      </c>
      <c r="L1071" s="38" t="n">
        <f aca="false">Sens!$L$1052</f>
        <v>501.954974491517</v>
      </c>
      <c r="M1071" s="38" t="n">
        <f aca="false">Sens!$M$1052</f>
        <v>565.639704466895</v>
      </c>
      <c r="N1071" s="38" t="n">
        <f aca="false">Sens!$N$1052</f>
        <v>60.14</v>
      </c>
      <c r="O1071" s="38" t="n">
        <f aca="false">Sens!$O$1052</f>
        <v>68.585</v>
      </c>
    </row>
    <row r="1072" customFormat="false" ht="15" hidden="false" customHeight="false" outlineLevel="0" collapsed="false">
      <c r="A1072" s="1" t="s">
        <v>472</v>
      </c>
      <c r="B1072" s="8" t="s">
        <v>73</v>
      </c>
      <c r="C1072" s="38" t="n">
        <f aca="false">Sens!$C$989</f>
        <v>387.497</v>
      </c>
      <c r="D1072" s="38" t="n">
        <f aca="false">Sens!$D$989</f>
        <v>426.305</v>
      </c>
      <c r="E1072" s="38" t="n">
        <f aca="false">Sens!$E$989</f>
        <v>220.32</v>
      </c>
      <c r="F1072" s="38" t="n">
        <f aca="false">Sens!$F$989</f>
        <v>256.304015003807</v>
      </c>
      <c r="G1072" s="38" t="n">
        <f aca="false">Sens!$G$989</f>
        <v>476.624015003807</v>
      </c>
      <c r="H1072" s="38" t="n">
        <f aca="false">Sens!$H$989</f>
        <v>527.734391091543</v>
      </c>
      <c r="I1072" s="38" t="n">
        <f aca="false">Sens!$I$989</f>
        <v>577.157693029577</v>
      </c>
      <c r="J1072" s="38" t="n">
        <f aca="false">Sens!$J$989</f>
        <v>623.024923663827</v>
      </c>
      <c r="K1072" s="38" t="n">
        <f aca="false">Sens!$K$989</f>
        <v>663.382568393781</v>
      </c>
      <c r="L1072" s="38" t="n">
        <f aca="false">Sens!$L$989</f>
        <v>706.564873010432</v>
      </c>
      <c r="M1072" s="38" t="n">
        <f aca="false">Sens!$M$989</f>
        <v>752.784687406019</v>
      </c>
      <c r="N1072" s="38" t="n">
        <f aca="false">Sens!$N$989</f>
        <v>192.955</v>
      </c>
      <c r="O1072" s="38" t="n">
        <f aca="false">Sens!$O$989</f>
        <v>233.35</v>
      </c>
    </row>
    <row r="1073" customFormat="false" ht="15" hidden="false" customHeight="false" outlineLevel="0" collapsed="false">
      <c r="A1073" s="1" t="s">
        <v>475</v>
      </c>
      <c r="B1073" s="8" t="s">
        <v>73</v>
      </c>
      <c r="C1073" s="38" t="n">
        <f aca="false">Sens!$C$990</f>
        <v>142.906</v>
      </c>
      <c r="D1073" s="38" t="n">
        <f aca="false">Sens!$D$990</f>
        <v>161.894</v>
      </c>
      <c r="E1073" s="38" t="n">
        <f aca="false">Sens!$E$990</f>
        <v>81.986</v>
      </c>
      <c r="F1073" s="38" t="n">
        <f aca="false">Sens!$F$990</f>
        <v>100.632414204623</v>
      </c>
      <c r="G1073" s="38" t="n">
        <f aca="false">Sens!$G$990</f>
        <v>182.618414204623</v>
      </c>
      <c r="H1073" s="38" t="n">
        <f aca="false">Sens!$H$990</f>
        <v>202.201346530158</v>
      </c>
      <c r="I1073" s="38" t="n">
        <f aca="false">Sens!$I$990</f>
        <v>221.137876668296</v>
      </c>
      <c r="J1073" s="38" t="n">
        <f aca="false">Sens!$J$990</f>
        <v>238.711898661958</v>
      </c>
      <c r="K1073" s="38" t="n">
        <f aca="false">Sens!$K$990</f>
        <v>254.174923708144</v>
      </c>
      <c r="L1073" s="38" t="n">
        <f aca="false">Sens!$L$990</f>
        <v>270.720216732733</v>
      </c>
      <c r="M1073" s="38" t="n">
        <f aca="false">Sens!$M$990</f>
        <v>288.429331137484</v>
      </c>
      <c r="N1073" s="38" t="n">
        <f aca="false">Sens!$N$990</f>
        <v>70.274</v>
      </c>
      <c r="O1073" s="38" t="n">
        <f aca="false">Sens!$O$990</f>
        <v>91.62</v>
      </c>
    </row>
    <row r="1074" customFormat="false" ht="15" hidden="false" customHeight="false" outlineLevel="0" collapsed="false">
      <c r="A1074" s="1" t="s">
        <v>476</v>
      </c>
      <c r="B1074" s="8" t="s">
        <v>73</v>
      </c>
      <c r="C1074" s="38" t="n">
        <f aca="false">Sens!$C$1052</f>
        <v>107.556</v>
      </c>
      <c r="D1074" s="38" t="n">
        <f aca="false">Sens!$D$1052</f>
        <v>128.725</v>
      </c>
      <c r="E1074" s="38" t="n">
        <f aca="false">Sens!$E$1052</f>
        <v>79.819</v>
      </c>
      <c r="F1074" s="38" t="n">
        <f aca="false">Sens!$F$1052</f>
        <v>93.5584440633857</v>
      </c>
      <c r="G1074" s="38" t="n">
        <f aca="false">Sens!$G$1052</f>
        <v>173.377444063386</v>
      </c>
      <c r="H1074" s="38" t="n">
        <f aca="false">Sens!$H$1052</f>
        <v>241.059451517916</v>
      </c>
      <c r="I1074" s="38" t="n">
        <f aca="false">Sens!$I$1052</f>
        <v>312.152096351442</v>
      </c>
      <c r="J1074" s="38" t="n">
        <f aca="false">Sens!$J$1052</f>
        <v>379.424316597773</v>
      </c>
      <c r="K1074" s="38" t="n">
        <f aca="false">Sens!$K$1052</f>
        <v>439.919237244402</v>
      </c>
      <c r="L1074" s="38" t="n">
        <f aca="false">Sens!$L$1052</f>
        <v>501.954974491517</v>
      </c>
      <c r="M1074" s="38" t="n">
        <f aca="false">Sens!$M$1052</f>
        <v>565.639704466895</v>
      </c>
      <c r="N1074" s="38" t="n">
        <f aca="false">Sens!$N$1052</f>
        <v>60.14</v>
      </c>
      <c r="O1074" s="38" t="n">
        <f aca="false">Sens!$O$1052</f>
        <v>68.585</v>
      </c>
    </row>
    <row r="1075" customFormat="false" ht="17.15" hidden="false" customHeight="false" outlineLevel="0" collapsed="false">
      <c r="A1075" s="0" t="s">
        <v>643</v>
      </c>
      <c r="B1075" s="0" t="s">
        <v>73</v>
      </c>
      <c r="C1075" s="38" t="n">
        <f aca="false">Sens!$C$1050</f>
        <v>2.32100535697364</v>
      </c>
      <c r="D1075" s="38" t="n">
        <f aca="false">Sens!$D$1050</f>
        <v>8.70377008865116</v>
      </c>
      <c r="E1075" s="38" t="n">
        <f aca="false">Sens!$E$1050</f>
        <v>8.51035297557002</v>
      </c>
      <c r="F1075" s="38" t="n">
        <f aca="false">Sens!$F$1050</f>
        <v>14.9634336447205</v>
      </c>
      <c r="G1075" s="38" t="n">
        <f aca="false">Sens!$G$1050</f>
        <v>23.4737866202905</v>
      </c>
      <c r="H1075" s="38" t="n">
        <f aca="false">Sens!$H$1050</f>
        <v>60.1658907497746</v>
      </c>
      <c r="I1075" s="38" t="n">
        <f aca="false">Sens!$I$1050</f>
        <v>101.503699136432</v>
      </c>
      <c r="J1075" s="38" t="n">
        <f aca="false">Sens!$J$1050</f>
        <v>143.025407151278</v>
      </c>
      <c r="K1075" s="38" t="n">
        <f aca="false">Sens!$K$1050</f>
        <v>184.608415042187</v>
      </c>
      <c r="L1075" s="38" t="n">
        <f aca="false">Sens!$L$1050</f>
        <v>226.219286513125</v>
      </c>
      <c r="M1075" s="38" t="n">
        <f aca="false">Sens!$M$1050</f>
        <v>267.845161450232</v>
      </c>
      <c r="N1075" s="38" t="n">
        <f aca="false">Sens!$N$1050</f>
        <v>3.04631953102791</v>
      </c>
      <c r="O1075" s="38" t="n">
        <f aca="false">Sens!$O$1050</f>
        <v>5.65745055762326</v>
      </c>
    </row>
    <row r="1076" customFormat="false" ht="17.15" hidden="false" customHeight="false" outlineLevel="0" collapsed="false">
      <c r="A1076" s="0" t="s">
        <v>645</v>
      </c>
      <c r="B1076" s="0" t="s">
        <v>73</v>
      </c>
      <c r="C1076" s="38" t="n">
        <f aca="false">Sens!$C$1051</f>
        <v>105.234994643026</v>
      </c>
      <c r="D1076" s="38" t="n">
        <f aca="false">Sens!$D$1051</f>
        <v>120.021229911349</v>
      </c>
      <c r="E1076" s="38" t="n">
        <f aca="false">Sens!$E$1051</f>
        <v>71.30864702443</v>
      </c>
      <c r="F1076" s="38" t="n">
        <f aca="false">Sens!$F$1051</f>
        <v>78.5950104186653</v>
      </c>
      <c r="G1076" s="38" t="n">
        <f aca="false">Sens!$G$1051</f>
        <v>149.903657443095</v>
      </c>
      <c r="H1076" s="38" t="n">
        <f aca="false">Sens!$H$1051</f>
        <v>180.893560768142</v>
      </c>
      <c r="I1076" s="38" t="n">
        <f aca="false">Sens!$I$1051</f>
        <v>210.64839721501</v>
      </c>
      <c r="J1076" s="38" t="n">
        <f aca="false">Sens!$J$1051</f>
        <v>236.398909446495</v>
      </c>
      <c r="K1076" s="38" t="n">
        <f aca="false">Sens!$K$1051</f>
        <v>255.310822202215</v>
      </c>
      <c r="L1076" s="38" t="n">
        <f aca="false">Sens!$L$1051</f>
        <v>275.735687978392</v>
      </c>
      <c r="M1076" s="38" t="n">
        <f aca="false">Sens!$M$1051</f>
        <v>297.794543016663</v>
      </c>
      <c r="N1076" s="38" t="n">
        <f aca="false">Sens!$N$1051</f>
        <v>57.0936804689721</v>
      </c>
      <c r="O1076" s="38" t="n">
        <f aca="false">Sens!$O$1051</f>
        <v>62.9275494423768</v>
      </c>
    </row>
    <row r="1077" customFormat="false" ht="15" hidden="false" customHeight="false" outlineLevel="0" collapsed="false">
      <c r="A1077" s="3" t="s">
        <v>477</v>
      </c>
      <c r="B1077" s="8" t="s">
        <v>73</v>
      </c>
      <c r="C1077" s="38" t="n">
        <f aca="false">Sens!$C$1053</f>
        <v>637.959</v>
      </c>
      <c r="D1077" s="38" t="n">
        <f aca="false">Sens!$D$1053</f>
        <v>716.924</v>
      </c>
      <c r="E1077" s="38" t="n">
        <f aca="false">Sens!$E$1053</f>
        <v>382.125</v>
      </c>
      <c r="F1077" s="38" t="n">
        <f aca="false">Sens!$F$1053</f>
        <v>450.494873271816</v>
      </c>
      <c r="G1077" s="38" t="n">
        <f aca="false">Sens!$G$1053</f>
        <v>832.619873271816</v>
      </c>
      <c r="H1077" s="38" t="n">
        <f aca="false">Sens!$H$1053</f>
        <v>970.995189139617</v>
      </c>
      <c r="I1077" s="38" t="n">
        <f aca="false">Sens!$I$1053</f>
        <v>1110.44766604932</v>
      </c>
      <c r="J1077" s="38" t="n">
        <f aca="false">Sens!$J$1053</f>
        <v>1241.16113892356</v>
      </c>
      <c r="K1077" s="38" t="n">
        <f aca="false">Sens!$K$1053</f>
        <v>1357.47672934633</v>
      </c>
      <c r="L1077" s="38" t="n">
        <f aca="false">Sens!$L$1053</f>
        <v>1479.24006423468</v>
      </c>
      <c r="M1077" s="38" t="n">
        <f aca="false">Sens!$M$1053</f>
        <v>1606.8537230104</v>
      </c>
      <c r="N1077" s="38" t="n">
        <f aca="false">Sens!$N$1053</f>
        <v>323.369</v>
      </c>
      <c r="O1077" s="38" t="n">
        <f aca="false">Sens!$O$1053</f>
        <v>393.555</v>
      </c>
    </row>
    <row r="1078" customFormat="false" ht="17.15" hidden="false" customHeight="false" outlineLevel="0" collapsed="false">
      <c r="A1078" s="24" t="s">
        <v>655</v>
      </c>
      <c r="B1078" s="25" t="s">
        <v>73</v>
      </c>
      <c r="C1078" s="39" t="n">
        <f aca="false">Sens!$C$1065+Sens!$C$1066+Sens!$C$1067+Sens!$C$1068+Sens!$C$1069+Sens!$C$1070-(Sens!$C$1072+Sens!$C$1073)</f>
        <v>0</v>
      </c>
      <c r="D1078" s="39" t="n">
        <f aca="false">Sens!$D$1065+Sens!$D$1066+Sens!$D$1067+Sens!$D$1068+Sens!$D$1069+Sens!$D$1070-(Sens!$D$1072+Sens!$D$1073)</f>
        <v>0</v>
      </c>
      <c r="E1078" s="39" t="n">
        <f aca="false">Sens!$E$1065+Sens!$E$1066+Sens!$E$1067+Sens!$E$1068+Sens!$E$1069+Sens!$E$1070-(Sens!$E$1072+Sens!$E$1073)</f>
        <v>0</v>
      </c>
      <c r="F1078" s="39" t="n">
        <f aca="false">Sens!$F$1065+Sens!$F$1066+Sens!$F$1067+Sens!$F$1068+Sens!$F$1069+Sens!$F$1070-(Sens!$F$1072+Sens!$F$1073)</f>
        <v>0</v>
      </c>
      <c r="G1078" s="39" t="n">
        <f aca="false">Sens!$G$1065+Sens!$G$1066+Sens!$G$1067+Sens!$G$1068+Sens!$G$1069+Sens!$G$1070-(Sens!$G$1072+Sens!$G$1073)</f>
        <v>0</v>
      </c>
      <c r="H1078" s="39" t="n">
        <f aca="false">Sens!$H$1065+Sens!$H$1066+Sens!$H$1067+Sens!$H$1068+Sens!$H$1069+Sens!$H$1070-(Sens!$H$1072+Sens!$H$1073)</f>
        <v>0</v>
      </c>
      <c r="I1078" s="39" t="n">
        <f aca="false">Sens!$I$1065+Sens!$I$1066+Sens!$I$1067+Sens!$I$1068+Sens!$I$1069+Sens!$I$1070-(Sens!$I$1072+Sens!$I$1073)</f>
        <v>0</v>
      </c>
      <c r="J1078" s="39" t="n">
        <f aca="false">Sens!$J$1065+Sens!$J$1066+Sens!$J$1067+Sens!$J$1068+Sens!$J$1069+Sens!$J$1070-(Sens!$J$1072+Sens!$J$1073)</f>
        <v>0</v>
      </c>
      <c r="K1078" s="39" t="n">
        <f aca="false">Sens!$K$1065+Sens!$K$1066+Sens!$K$1067+Sens!$K$1068+Sens!$K$1069+Sens!$K$1070-(Sens!$K$1072+Sens!$K$1073)</f>
        <v>0</v>
      </c>
      <c r="L1078" s="39" t="n">
        <f aca="false">Sens!$L$1065+Sens!$L$1066+Sens!$L$1067+Sens!$L$1068+Sens!$L$1069+Sens!$L$1070-(Sens!$L$1072+Sens!$L$1073)</f>
        <v>0</v>
      </c>
      <c r="M1078" s="39" t="n">
        <f aca="false">Sens!$M$1065+Sens!$M$1066+Sens!$M$1067+Sens!$M$1068+Sens!$M$1069+Sens!$M$1070-(Sens!$M$1072+Sens!$M$1073)</f>
        <v>0</v>
      </c>
      <c r="N1078" s="39" t="n">
        <f aca="false">Sens!$N$1065+Sens!$N$1066+Sens!$N$1067+Sens!$N$1068+Sens!$N$1069+Sens!$N$1070-(Sens!$N$1072+Sens!$N$1073)</f>
        <v>0</v>
      </c>
      <c r="O1078" s="39" t="n">
        <f aca="false">Sens!$O$1065+Sens!$O$1066+Sens!$O$1067+Sens!$O$1068+Sens!$O$1069+Sens!$O$1070-(Sens!$O$1072+Sens!$O$1073)</f>
        <v>0</v>
      </c>
    </row>
    <row r="1079" customFormat="false" ht="17.15" hidden="false" customHeight="false" outlineLevel="0" collapsed="false">
      <c r="A1079" s="24" t="s">
        <v>656</v>
      </c>
      <c r="B1079" s="25" t="s">
        <v>73</v>
      </c>
      <c r="C1079" s="39" t="n">
        <f aca="false">Sens!$C$1075+Sens!$C$1076-Sens!$C$1074</f>
        <v>0</v>
      </c>
      <c r="D1079" s="39" t="n">
        <f aca="false">Sens!$D$1075+Sens!$D$1076-Sens!$D$1074</f>
        <v>0</v>
      </c>
      <c r="E1079" s="39" t="n">
        <f aca="false">Sens!$E$1075+Sens!$E$1076-Sens!$E$1074</f>
        <v>0</v>
      </c>
      <c r="F1079" s="39" t="n">
        <f aca="false">Sens!$F$1075+Sens!$F$1076-Sens!$F$1074</f>
        <v>0</v>
      </c>
      <c r="G1079" s="39" t="n">
        <f aca="false">Sens!$G$1075+Sens!$G$1076-Sens!$G$1074</f>
        <v>0</v>
      </c>
      <c r="H1079" s="39" t="n">
        <f aca="false">Sens!$H$1075+Sens!$H$1076-Sens!$H$1074</f>
        <v>0</v>
      </c>
      <c r="I1079" s="39" t="n">
        <f aca="false">Sens!$I$1075+Sens!$I$1076-Sens!$I$1074</f>
        <v>0</v>
      </c>
      <c r="J1079" s="39" t="n">
        <f aca="false">Sens!$J$1075+Sens!$J$1076-Sens!$J$1074</f>
        <v>0</v>
      </c>
      <c r="K1079" s="39" t="n">
        <f aca="false">Sens!$K$1075+Sens!$K$1076-Sens!$K$1074</f>
        <v>0</v>
      </c>
      <c r="L1079" s="39" t="n">
        <f aca="false">Sens!$L$1075+Sens!$L$1076-Sens!$L$1074</f>
        <v>0</v>
      </c>
      <c r="M1079" s="39" t="n">
        <f aca="false">Sens!$M$1075+Sens!$M$1076-Sens!$M$1074</f>
        <v>0</v>
      </c>
      <c r="N1079" s="39" t="n">
        <f aca="false">Sens!$N$1075+Sens!$N$1076-Sens!$N$1074</f>
        <v>0</v>
      </c>
      <c r="O1079" s="39" t="n">
        <f aca="false">Sens!$O$1075+Sens!$O$1076-Sens!$O$1074</f>
        <v>0</v>
      </c>
    </row>
    <row r="1080" customFormat="false" ht="17.15" hidden="false" customHeight="false" outlineLevel="0" collapsed="false">
      <c r="A1080" s="24" t="s">
        <v>710</v>
      </c>
      <c r="B1080" s="25" t="s">
        <v>73</v>
      </c>
      <c r="C1080" s="39" t="n">
        <f aca="false">Sens!$C$1065+Sens!$C$1066+Sens!$C$1067+Sens!$C$1068+Sens!$C$1069+Sens!$C$1070+Sens!$C$1071-Sens!$C$1077</f>
        <v>0</v>
      </c>
      <c r="D1080" s="39" t="n">
        <f aca="false">Sens!$D$1065+Sens!$D$1066+Sens!$D$1067+Sens!$D$1068+Sens!$D$1069+Sens!$D$1070+Sens!$D$1071-Sens!$D$1077</f>
        <v>0</v>
      </c>
      <c r="E1080" s="39" t="n">
        <f aca="false">Sens!$E$1065+Sens!$E$1066+Sens!$E$1067+Sens!$E$1068+Sens!$E$1069+Sens!$E$1070+Sens!$E$1071-Sens!$E$1077</f>
        <v>0</v>
      </c>
      <c r="F1080" s="39" t="n">
        <f aca="false">Sens!$F$1065+Sens!$F$1066+Sens!$F$1067+Sens!$F$1068+Sens!$F$1069+Sens!$F$1070+Sens!$F$1071-Sens!$F$1077</f>
        <v>0</v>
      </c>
      <c r="G1080" s="39" t="n">
        <f aca="false">Sens!$G$1065+Sens!$G$1066+Sens!$G$1067+Sens!$G$1068+Sens!$G$1069+Sens!$G$1070+Sens!$G$1071-Sens!$G$1077</f>
        <v>0</v>
      </c>
      <c r="H1080" s="39" t="n">
        <f aca="false">Sens!$H$1065+Sens!$H$1066+Sens!$H$1067+Sens!$H$1068+Sens!$H$1069+Sens!$H$1070+Sens!$H$1071-Sens!$H$1077</f>
        <v>0</v>
      </c>
      <c r="I1080" s="39" t="n">
        <f aca="false">Sens!$I$1065+Sens!$I$1066+Sens!$I$1067+Sens!$I$1068+Sens!$I$1069+Sens!$I$1070+Sens!$I$1071-Sens!$I$1077</f>
        <v>0</v>
      </c>
      <c r="J1080" s="39" t="n">
        <f aca="false">Sens!$J$1065+Sens!$J$1066+Sens!$J$1067+Sens!$J$1068+Sens!$J$1069+Sens!$J$1070+Sens!$J$1071-Sens!$J$1077</f>
        <v>0</v>
      </c>
      <c r="K1080" s="39" t="n">
        <f aca="false">Sens!$K$1065+Sens!$K$1066+Sens!$K$1067+Sens!$K$1068+Sens!$K$1069+Sens!$K$1070+Sens!$K$1071-Sens!$K$1077</f>
        <v>0</v>
      </c>
      <c r="L1080" s="39" t="n">
        <f aca="false">Sens!$L$1065+Sens!$L$1066+Sens!$L$1067+Sens!$L$1068+Sens!$L$1069+Sens!$L$1070+Sens!$L$1071-Sens!$L$1077</f>
        <v>0</v>
      </c>
      <c r="M1080" s="39" t="n">
        <f aca="false">Sens!$M$1065+Sens!$M$1066+Sens!$M$1067+Sens!$M$1068+Sens!$M$1069+Sens!$M$1070+Sens!$M$1071-Sens!$M$1077</f>
        <v>0</v>
      </c>
      <c r="N1080" s="39" t="n">
        <f aca="false">Sens!$N$1065+Sens!$N$1066+Sens!$N$1067+Sens!$N$1068+Sens!$N$1069+Sens!$N$1070+Sens!$N$1071-Sens!$N$1077</f>
        <v>0</v>
      </c>
      <c r="O1080" s="39" t="n">
        <f aca="false">Sens!$O$1065+Sens!$O$1066+Sens!$O$1067+Sens!$O$1068+Sens!$O$1069+Sens!$O$1070+Sens!$O$1071-Sens!$O$1077</f>
        <v>0</v>
      </c>
    </row>
    <row r="1081" customFormat="false" ht="17.15" hidden="false" customHeight="false" outlineLevel="0" collapsed="false">
      <c r="A1081" s="24" t="s">
        <v>657</v>
      </c>
      <c r="B1081" s="25" t="s">
        <v>73</v>
      </c>
      <c r="C1081" s="39" t="n">
        <f aca="false">Sens!$C$1072+Sens!$C$1073+Sens!$C$1074-Sens!$C$1077</f>
        <v>0</v>
      </c>
      <c r="D1081" s="39" t="n">
        <f aca="false">Sens!$D$1072+Sens!$D$1073+Sens!$D$1074-Sens!$D$1077</f>
        <v>0</v>
      </c>
      <c r="E1081" s="39" t="n">
        <f aca="false">Sens!$E$1072+Sens!$E$1073+Sens!$E$1074-Sens!$E$1077</f>
        <v>0</v>
      </c>
      <c r="F1081" s="39" t="n">
        <f aca="false">Sens!$F$1072+Sens!$F$1073+Sens!$F$1074-Sens!$F$1077</f>
        <v>0</v>
      </c>
      <c r="G1081" s="39" t="n">
        <f aca="false">Sens!$G$1072+Sens!$G$1073+Sens!$G$1074-Sens!$G$1077</f>
        <v>0</v>
      </c>
      <c r="H1081" s="39" t="n">
        <f aca="false">Sens!$H$1072+Sens!$H$1073+Sens!$H$1074-Sens!$H$1077</f>
        <v>0</v>
      </c>
      <c r="I1081" s="39" t="n">
        <f aca="false">Sens!$I$1072+Sens!$I$1073+Sens!$I$1074-Sens!$I$1077</f>
        <v>0</v>
      </c>
      <c r="J1081" s="39" t="n">
        <f aca="false">Sens!$J$1072+Sens!$J$1073+Sens!$J$1074-Sens!$J$1077</f>
        <v>0</v>
      </c>
      <c r="K1081" s="39" t="n">
        <f aca="false">Sens!$K$1072+Sens!$K$1073+Sens!$K$1074-Sens!$K$1077</f>
        <v>0</v>
      </c>
      <c r="L1081" s="39" t="n">
        <f aca="false">Sens!$L$1072+Sens!$L$1073+Sens!$L$1074-Sens!$L$1077</f>
        <v>0</v>
      </c>
      <c r="M1081" s="39" t="n">
        <f aca="false">Sens!$M$1072+Sens!$M$1073+Sens!$M$1074-Sens!$M$1077</f>
        <v>0</v>
      </c>
      <c r="N1081" s="39" t="n">
        <f aca="false">Sens!$N$1072+Sens!$N$1073+Sens!$N$1074-Sens!$N$1077</f>
        <v>0</v>
      </c>
      <c r="O1081" s="39" t="n">
        <f aca="false">Sens!$O$1072+Sens!$O$1073+Sens!$O$1074-Sens!$O$1077</f>
        <v>0</v>
      </c>
    </row>
    <row r="1082" customFormat="false" ht="17.15" hidden="false" customHeight="false" outlineLevel="0" collapsed="false">
      <c r="A1082" s="1" t="s">
        <v>671</v>
      </c>
    </row>
    <row r="1083" customFormat="false" ht="17.15" hidden="false" customHeight="false" outlineLevel="0" collapsed="false">
      <c r="A1083" s="0" t="s">
        <v>672</v>
      </c>
      <c r="B1083" s="0" t="s">
        <v>73</v>
      </c>
      <c r="C1083" s="38" t="n">
        <f aca="false">Sens!$C$991*m_ad</f>
        <v>20.5341564414228</v>
      </c>
      <c r="D1083" s="38" t="n">
        <f aca="false">Sens!$D$991*m_ad</f>
        <v>24.8720617299587</v>
      </c>
      <c r="E1083" s="38" t="n">
        <f aca="false">Sens!$E$991*m_ad</f>
        <v>13.5017112462207</v>
      </c>
      <c r="F1083" s="38" t="n">
        <f aca="false">Sens!$F$991*m_ad</f>
        <v>17.2886442824599</v>
      </c>
      <c r="G1083" s="38" t="n">
        <f aca="false">Sens!$G$991*m_ad</f>
        <v>30.8011958765886</v>
      </c>
      <c r="H1083" s="38" t="n">
        <f aca="false">Sens!$H$991*m_ad</f>
        <v>36.978409366026</v>
      </c>
      <c r="I1083" s="38" t="n">
        <f aca="false">Sens!$I$991*m_ad</f>
        <v>43.155063281273</v>
      </c>
      <c r="J1083" s="38" t="n">
        <f aca="false">Sens!$J$991*m_ad</f>
        <v>48.9169991988532</v>
      </c>
      <c r="K1083" s="38" t="n">
        <f aca="false">Sens!$K$991*m_ad</f>
        <v>53.8086991187386</v>
      </c>
      <c r="L1083" s="38" t="n">
        <f aca="false">Sens!$L$991*m_ad</f>
        <v>59.1895690306124</v>
      </c>
      <c r="M1083" s="38" t="n">
        <f aca="false">Sens!$M$991*m_ad</f>
        <v>65.1085259336737</v>
      </c>
      <c r="N1083" s="38" t="n">
        <f aca="false">Sens!$N$991*m_ad</f>
        <v>10.8543555706248</v>
      </c>
      <c r="O1083" s="38" t="n">
        <f aca="false">Sens!$O$991*m_ad</f>
        <v>14.0094731821399</v>
      </c>
    </row>
    <row r="1084" customFormat="false" ht="17.15" hidden="false" customHeight="false" outlineLevel="0" collapsed="false">
      <c r="A1084" s="0" t="s">
        <v>673</v>
      </c>
      <c r="B1084" s="0" t="s">
        <v>73</v>
      </c>
      <c r="C1084" s="38" t="n">
        <f aca="false">Sens!$C$989-Sens!$C$991</f>
        <v>346.428687117154</v>
      </c>
      <c r="D1084" s="38" t="n">
        <f aca="false">Sens!$D$989-Sens!$D$991</f>
        <v>376.560876540083</v>
      </c>
      <c r="E1084" s="38" t="n">
        <f aca="false">Sens!$E$989-Sens!$E$991</f>
        <v>193.316577507559</v>
      </c>
      <c r="F1084" s="38" t="n">
        <f aca="false">Sens!$F$989-Sens!$F$991</f>
        <v>221.726726438887</v>
      </c>
      <c r="G1084" s="38" t="n">
        <f aca="false">Sens!$G$989-Sens!$G$991</f>
        <v>415.02162325063</v>
      </c>
      <c r="H1084" s="38" t="n">
        <f aca="false">Sens!$H$989-Sens!$H$991</f>
        <v>453.777572359491</v>
      </c>
      <c r="I1084" s="38" t="n">
        <f aca="false">Sens!$I$989-Sens!$I$991</f>
        <v>490.847566467031</v>
      </c>
      <c r="J1084" s="38" t="n">
        <f aca="false">Sens!$J$989-Sens!$J$991</f>
        <v>525.190925266121</v>
      </c>
      <c r="K1084" s="38" t="n">
        <f aca="false">Sens!$K$989-Sens!$K$991</f>
        <v>555.765170156304</v>
      </c>
      <c r="L1084" s="38" t="n">
        <f aca="false">Sens!$L$989-Sens!$L$991</f>
        <v>588.185734949207</v>
      </c>
      <c r="M1084" s="38" t="n">
        <f aca="false">Sens!$M$989-Sens!$M$991</f>
        <v>622.567635538672</v>
      </c>
      <c r="N1084" s="38" t="n">
        <f aca="false">Sens!$N$989-Sens!$N$991</f>
        <v>171.24628885875</v>
      </c>
      <c r="O1084" s="38" t="n">
        <f aca="false">Sens!$O$989-Sens!$O$991</f>
        <v>205.33105363572</v>
      </c>
    </row>
    <row r="1085" customFormat="false" ht="17.15" hidden="false" customHeight="false" outlineLevel="0" collapsed="false">
      <c r="A1085" s="0" t="s">
        <v>674</v>
      </c>
      <c r="B1085" s="0" t="s">
        <v>73</v>
      </c>
      <c r="C1085" s="38" t="n">
        <f aca="false">Sens!$C$1036*Sens!$C$988</f>
        <v>0</v>
      </c>
      <c r="D1085" s="38" t="n">
        <f aca="false">Sens!$D$1036*Sens!$D$988</f>
        <v>0</v>
      </c>
      <c r="E1085" s="38" t="n">
        <f aca="false">Sens!$E$1036*Sens!$E$988</f>
        <v>0</v>
      </c>
      <c r="F1085" s="38" t="n">
        <f aca="false">Sens!$F$1036*Sens!$F$988</f>
        <v>0</v>
      </c>
      <c r="G1085" s="38" t="n">
        <f aca="false">Sens!$G$1036*Sens!$G$988</f>
        <v>0</v>
      </c>
      <c r="H1085" s="38" t="n">
        <f aca="false">Sens!$H$1036*Sens!$H$988</f>
        <v>0</v>
      </c>
      <c r="I1085" s="38" t="n">
        <f aca="false">Sens!$I$1036*Sens!$I$988</f>
        <v>0</v>
      </c>
      <c r="J1085" s="38" t="n">
        <f aca="false">Sens!$J$1036*Sens!$J$988</f>
        <v>0</v>
      </c>
      <c r="K1085" s="38" t="n">
        <f aca="false">Sens!$K$1036*Sens!$K$988</f>
        <v>0</v>
      </c>
      <c r="L1085" s="38" t="n">
        <f aca="false">Sens!$L$1036*Sens!$L$988</f>
        <v>0</v>
      </c>
      <c r="M1085" s="38" t="n">
        <f aca="false">Sens!$M$1036*Sens!$M$988</f>
        <v>0</v>
      </c>
      <c r="N1085" s="38" t="n">
        <f aca="false">Sens!$N$1036*Sens!$N$988</f>
        <v>0</v>
      </c>
      <c r="O1085" s="38" t="n">
        <f aca="false">Sens!$O$1036*Sens!$O$988</f>
        <v>0</v>
      </c>
    </row>
    <row r="1086" customFormat="false" ht="17.15" hidden="false" customHeight="false" outlineLevel="0" collapsed="false">
      <c r="A1086" s="0" t="s">
        <v>675</v>
      </c>
      <c r="B1086" s="0" t="s">
        <v>52</v>
      </c>
      <c r="C1086" s="28" t="n">
        <f aca="false">(Sens!$C$1087-Sens!$C$1083+Sens!$C$1085)/Sens!$C$1084</f>
        <v>0.0127958328031826</v>
      </c>
      <c r="D1086" s="28" t="n">
        <f aca="false">(Sens!$D$1087-Sens!$D$1083+Sens!$D$1085)/Sens!$D$1084</f>
        <v>0.0126060314965726</v>
      </c>
      <c r="E1086" s="28" t="n">
        <f aca="false">(Sens!$E$1087-Sens!$E$1083+Sens!$E$1085)/Sens!$E$1084</f>
        <v>0.0201135815868003</v>
      </c>
      <c r="F1086" s="28" t="n">
        <f aca="false">Sens!$O$1086+(Sens!$E$1086-Sens!$N$1086)</f>
        <v>0.0164587930208895</v>
      </c>
      <c r="G1086" s="28" t="n">
        <f aca="false">(Sens!$G$1087-Sens!$G$1083+Sens!$G$1085)/Sens!$G$1084</f>
        <v>0.018135929025999</v>
      </c>
      <c r="H1086" s="28" t="n">
        <f aca="false">Sens!$G$1086+step_na</f>
        <v>0.021135929025999</v>
      </c>
      <c r="I1086" s="28" t="n">
        <f aca="false">Sens!$H$1086+step_na</f>
        <v>0.024135929025999</v>
      </c>
      <c r="J1086" s="28" t="n">
        <f aca="false">Sens!$I$1086+step_na</f>
        <v>0.027135929025999</v>
      </c>
      <c r="K1086" s="28" t="n">
        <f aca="false">Sens!$J$1086+step_na</f>
        <v>0.030135929025999</v>
      </c>
      <c r="L1086" s="28" t="n">
        <f aca="false">Sens!$K$1086</f>
        <v>0.030135929025999</v>
      </c>
      <c r="M1086" s="28" t="n">
        <f aca="false">Sens!$L$1086</f>
        <v>0.030135929025999</v>
      </c>
      <c r="N1086" s="28" t="n">
        <f aca="false">(Sens!$N$1087-Sens!$N$1083+Sens!$N$1085)/Sens!$N$1084</f>
        <v>0.0146201383169259</v>
      </c>
      <c r="O1086" s="28" t="n">
        <f aca="false">(Sens!$O$1087-Sens!$O$1083+Sens!$O$1085)/Sens!$O$1084</f>
        <v>0.0109653497510151</v>
      </c>
      <c r="P1086" s="8" t="s">
        <v>676</v>
      </c>
    </row>
    <row r="1087" customFormat="false" ht="17.15" hidden="false" customHeight="false" outlineLevel="0" collapsed="false">
      <c r="A1087" s="1" t="s">
        <v>677</v>
      </c>
      <c r="B1087" s="8" t="s">
        <v>73</v>
      </c>
      <c r="C1087" s="38" t="n">
        <f aca="false">Q!$D$22</f>
        <v>24.967</v>
      </c>
      <c r="D1087" s="38" t="n">
        <f aca="false">Q!$E$22</f>
        <v>29.619</v>
      </c>
      <c r="E1087" s="38" t="n">
        <f aca="false">Q!$P$22</f>
        <v>17.39</v>
      </c>
      <c r="F1087" s="38" t="n">
        <f aca="false">Sens!$F$1083+Sens!$F$1084*Sens!$F$1086-Sens!$F$1085</f>
        <v>20.9379985801169</v>
      </c>
      <c r="G1087" s="38" t="n">
        <f aca="false">Sens!$E$1087+Sens!$F$1087</f>
        <v>38.3279985801169</v>
      </c>
      <c r="H1087" s="38" t="n">
        <f aca="false">Sens!$H$1083+Sens!$H$1084*Sens!$H$1086-Sens!$H$1085</f>
        <v>46.5694199290063</v>
      </c>
      <c r="I1087" s="38" t="n">
        <f aca="false">Sens!$I$1083+Sens!$I$1084*Sens!$I$1086-Sens!$I$1085</f>
        <v>55.0021253081056</v>
      </c>
      <c r="J1087" s="38" t="n">
        <f aca="false">Sens!$J$1083+Sens!$J$1084*Sens!$J$1086-Sens!$J$1085</f>
        <v>63.1685428719734</v>
      </c>
      <c r="K1087" s="38" t="n">
        <f aca="false">Sens!$K$1083+Sens!$K$1084*Sens!$K$1086-Sens!$K$1085</f>
        <v>70.5571988416912</v>
      </c>
      <c r="L1087" s="38" t="n">
        <f aca="false">Sens!$L$1083+Sens!$L$1084*Sens!$L$1086-Sens!$L$1085</f>
        <v>76.9150925931468</v>
      </c>
      <c r="M1087" s="38" t="n">
        <f aca="false">Sens!$M$1083+Sens!$M$1084*Sens!$M$1086-Sens!$M$1085</f>
        <v>83.8701800121511</v>
      </c>
      <c r="N1087" s="38" t="n">
        <f aca="false">Q!$N$22</f>
        <v>13.358</v>
      </c>
      <c r="O1087" s="38" t="n">
        <f aca="false">Q!$O$22</f>
        <v>16.261</v>
      </c>
    </row>
    <row r="1088" customFormat="false" ht="17.15" hidden="false" customHeight="false" outlineLevel="0" collapsed="false">
      <c r="A1088" s="0" t="s">
        <v>678</v>
      </c>
      <c r="B1088" s="0" t="s">
        <v>73</v>
      </c>
      <c r="C1088" s="38" t="n">
        <f aca="false">Sens!$C$992*m_ad</f>
        <v>7.57284355857716</v>
      </c>
      <c r="D1088" s="38" t="n">
        <f aca="false">Sens!$D$992*m_ad</f>
        <v>9.44543827004127</v>
      </c>
      <c r="E1088" s="38" t="n">
        <f aca="false">Sens!$E$992*m_ad</f>
        <v>5.02428875377928</v>
      </c>
      <c r="F1088" s="38" t="n">
        <f aca="false">Sens!$F$992*m_ad</f>
        <v>6.78802480890925</v>
      </c>
      <c r="G1088" s="38" t="n">
        <f aca="false">Sens!$G$992*m_ad</f>
        <v>11.8014732147805</v>
      </c>
      <c r="H1088" s="38" t="n">
        <f aca="false">Sens!$H$992*m_ad</f>
        <v>14.1682715634442</v>
      </c>
      <c r="I1088" s="38" t="n">
        <f aca="false">Sens!$I$992*m_ad</f>
        <v>16.5348555113474</v>
      </c>
      <c r="J1088" s="38" t="n">
        <f aca="false">Sens!$J$992*m_ad</f>
        <v>18.7425403255689</v>
      </c>
      <c r="K1088" s="38" t="n">
        <f aca="false">Sens!$K$992*m_ad</f>
        <v>20.6167943581258</v>
      </c>
      <c r="L1088" s="38" t="n">
        <f aca="false">Sens!$L$992*m_ad</f>
        <v>22.6784737939383</v>
      </c>
      <c r="M1088" s="38" t="n">
        <f aca="false">Sens!$M$992*m_ad</f>
        <v>24.9463211733322</v>
      </c>
      <c r="N1088" s="38" t="n">
        <f aca="false">Sens!$N$992*m_ad</f>
        <v>3.95314442937518</v>
      </c>
      <c r="O1088" s="38" t="n">
        <f aca="false">Sens!$O$992*m_ad</f>
        <v>5.50052681786011</v>
      </c>
    </row>
    <row r="1089" customFormat="false" ht="17.15" hidden="false" customHeight="false" outlineLevel="0" collapsed="false">
      <c r="A1089" s="0" t="s">
        <v>679</v>
      </c>
      <c r="B1089" s="0" t="s">
        <v>73</v>
      </c>
      <c r="C1089" s="38" t="n">
        <f aca="false">Sens!$C$990-Sens!$C$992</f>
        <v>127.760312882846</v>
      </c>
      <c r="D1089" s="38" t="n">
        <f aca="false">Sens!$D$990-Sens!$D$992</f>
        <v>143.003123459917</v>
      </c>
      <c r="E1089" s="38" t="n">
        <f aca="false">Sens!$E$990-Sens!$E$992</f>
        <v>71.9374224924414</v>
      </c>
      <c r="F1089" s="38" t="n">
        <f aca="false">Sens!$F$990-Sens!$F$992</f>
        <v>87.0563645868046</v>
      </c>
      <c r="G1089" s="38" t="n">
        <f aca="false">Sens!$G$990-Sens!$G$992</f>
        <v>159.015467775062</v>
      </c>
      <c r="H1089" s="38" t="n">
        <f aca="false">Sens!$H$990-Sens!$H$992</f>
        <v>173.864803403269</v>
      </c>
      <c r="I1089" s="38" t="n">
        <f aca="false">Sens!$I$990-Sens!$I$992</f>
        <v>188.068165645601</v>
      </c>
      <c r="J1089" s="38" t="n">
        <f aca="false">Sens!$J$990-Sens!$J$992</f>
        <v>201.22681801082</v>
      </c>
      <c r="K1089" s="38" t="n">
        <f aca="false">Sens!$K$990-Sens!$K$992</f>
        <v>212.941334991893</v>
      </c>
      <c r="L1089" s="38" t="n">
        <f aca="false">Sens!$L$990-Sens!$L$992</f>
        <v>225.363269144856</v>
      </c>
      <c r="M1089" s="38" t="n">
        <f aca="false">Sens!$M$990-Sens!$M$992</f>
        <v>238.536688790819</v>
      </c>
      <c r="N1089" s="38" t="n">
        <f aca="false">Sens!$N$990-Sens!$N$992</f>
        <v>62.3677111412496</v>
      </c>
      <c r="O1089" s="38" t="n">
        <f aca="false">Sens!$O$990-Sens!$O$992</f>
        <v>80.6189463642798</v>
      </c>
    </row>
    <row r="1090" customFormat="false" ht="17.15" hidden="false" customHeight="false" outlineLevel="0" collapsed="false">
      <c r="A1090" s="0" t="s">
        <v>680</v>
      </c>
      <c r="B1090" s="0" t="s">
        <v>73</v>
      </c>
      <c r="C1090" s="38" t="n">
        <f aca="false">Sens!$C$1036*(1-Sens!$C$988)</f>
        <v>0</v>
      </c>
      <c r="D1090" s="38" t="n">
        <f aca="false">Sens!$D$1036*(1-Sens!$D$988)</f>
        <v>0</v>
      </c>
      <c r="E1090" s="38" t="n">
        <f aca="false">Sens!$E$1036*(1-Sens!$E$988)</f>
        <v>0</v>
      </c>
      <c r="F1090" s="38" t="n">
        <f aca="false">Sens!$F$1036*(1-Sens!$F$988)</f>
        <v>0</v>
      </c>
      <c r="G1090" s="38" t="n">
        <f aca="false">Sens!$G$1036*(1-Sens!$G$988)</f>
        <v>0</v>
      </c>
      <c r="H1090" s="38" t="n">
        <f aca="false">Sens!$H$1036*(1-Sens!$H$988)</f>
        <v>0</v>
      </c>
      <c r="I1090" s="38" t="n">
        <f aca="false">Sens!$I$1036*(1-Sens!$I$988)</f>
        <v>0</v>
      </c>
      <c r="J1090" s="38" t="n">
        <f aca="false">Sens!$J$1036*(1-Sens!$J$988)</f>
        <v>0</v>
      </c>
      <c r="K1090" s="38" t="n">
        <f aca="false">Sens!$K$1036*(1-Sens!$K$988)</f>
        <v>0</v>
      </c>
      <c r="L1090" s="38" t="n">
        <f aca="false">Sens!$L$1036*(1-Sens!$L$988)</f>
        <v>0</v>
      </c>
      <c r="M1090" s="38" t="n">
        <f aca="false">Sens!$M$1036*(1-Sens!$M$988)</f>
        <v>0</v>
      </c>
      <c r="N1090" s="38" t="n">
        <f aca="false">Sens!$N$1036*(1-Sens!$N$988)</f>
        <v>0</v>
      </c>
      <c r="O1090" s="38" t="n">
        <f aca="false">Sens!$O$1036*(1-Sens!$O$988)</f>
        <v>0</v>
      </c>
    </row>
    <row r="1091" customFormat="false" ht="17.15" hidden="false" customHeight="false" outlineLevel="0" collapsed="false">
      <c r="A1091" s="0" t="s">
        <v>681</v>
      </c>
      <c r="B1091" s="0" t="s">
        <v>52</v>
      </c>
      <c r="C1091" s="28" t="n">
        <f aca="false">(Sens!$C$1092-Sens!$C$1088+Sens!$C$1090)/Sens!$C$1089</f>
        <v>-0.0295932553174328</v>
      </c>
      <c r="D1091" s="28" t="n">
        <f aca="false">(Sens!$D$1092-Sens!$D$1088+Sens!$D$1090)/Sens!$D$1089</f>
        <v>-0.0328345154737642</v>
      </c>
      <c r="E1091" s="28" t="n">
        <f aca="false">(Sens!$E$1092-Sens!$E$1088+Sens!$E$1090)/Sens!$E$1089</f>
        <v>-0.0261795417256875</v>
      </c>
      <c r="F1091" s="28" t="n">
        <f aca="false">Sens!$O$1091+(Sens!$E$1091-Sens!$N$1091)</f>
        <v>-0.0435123710750293</v>
      </c>
      <c r="G1091" s="28" t="n">
        <f aca="false">(Sens!$G$1092-Sens!$G$1088+Sens!$G$1090)/Sens!$G$1089</f>
        <v>-0.0355970228897637</v>
      </c>
      <c r="H1091" s="28" t="n">
        <f aca="false">Sens!$G$1091+step_in</f>
        <v>-0.0355970228897637</v>
      </c>
      <c r="I1091" s="28" t="n">
        <f aca="false">Sens!$H$1091+step_in</f>
        <v>-0.0355970228897637</v>
      </c>
      <c r="J1091" s="28" t="n">
        <f aca="false">Sens!$I$1091+step_in</f>
        <v>-0.0355970228897637</v>
      </c>
      <c r="K1091" s="28" t="n">
        <f aca="false">Sens!$J$1091+step_in</f>
        <v>-0.0355970228897637</v>
      </c>
      <c r="L1091" s="28" t="n">
        <f aca="false">Sens!$K$1091</f>
        <v>-0.0355970228897637</v>
      </c>
      <c r="M1091" s="28" t="n">
        <f aca="false">Sens!$L$1091</f>
        <v>-0.0355970228897637</v>
      </c>
      <c r="N1091" s="28" t="n">
        <f aca="false">(Sens!$N$1092-Sens!$N$1088+Sens!$N$1090)/Sens!$N$1089</f>
        <v>-0.0231232540522295</v>
      </c>
      <c r="O1091" s="28" t="n">
        <f aca="false">(Sens!$O$1092-Sens!$O$1088+Sens!$O$1090)/Sens!$O$1089</f>
        <v>-0.0404560834015714</v>
      </c>
      <c r="P1091" s="8" t="s">
        <v>676</v>
      </c>
    </row>
    <row r="1092" customFormat="false" ht="17.15" hidden="false" customHeight="false" outlineLevel="0" collapsed="false">
      <c r="A1092" s="1" t="s">
        <v>682</v>
      </c>
      <c r="B1092" s="8" t="s">
        <v>73</v>
      </c>
      <c r="C1092" s="38" t="n">
        <f aca="false">Q!$D$23</f>
        <v>3.792</v>
      </c>
      <c r="D1092" s="38" t="n">
        <f aca="false">Q!$E$23</f>
        <v>4.75</v>
      </c>
      <c r="E1092" s="38" t="n">
        <f aca="false">Q!$P$23</f>
        <v>3.141</v>
      </c>
      <c r="F1092" s="38" t="n">
        <f aca="false">Sens!$F$1088+Sens!$F$1089*Sens!$F$1091-Sens!$F$1090</f>
        <v>2.99999596856517</v>
      </c>
      <c r="G1092" s="38" t="n">
        <f aca="false">Sens!$E$1092+Sens!$F$1092</f>
        <v>6.14099596856517</v>
      </c>
      <c r="H1092" s="38" t="n">
        <f aca="false">Sens!$H$1088+Sens!$H$1089*Sens!$H$1091-Sens!$H$1090</f>
        <v>7.97920217697376</v>
      </c>
      <c r="I1092" s="38" t="n">
        <f aca="false">Sens!$I$1088+Sens!$I$1089*Sens!$I$1091-Sens!$I$1090</f>
        <v>9.8401887140251</v>
      </c>
      <c r="J1092" s="38" t="n">
        <f aca="false">Sens!$J$1088+Sens!$J$1089*Sens!$J$1091-Sens!$J$1090</f>
        <v>11.5794646788034</v>
      </c>
      <c r="K1092" s="38" t="n">
        <f aca="false">Sens!$K$1088+Sens!$K$1089*Sens!$K$1091-Sens!$K$1090</f>
        <v>13.0367167822425</v>
      </c>
      <c r="L1092" s="38" t="n">
        <f aca="false">Sens!$L$1088+Sens!$L$1089*Sens!$L$1091-Sens!$L$1090</f>
        <v>14.6562123436769</v>
      </c>
      <c r="M1092" s="38" t="n">
        <f aca="false">Sens!$M$1088+Sens!$M$1089*Sens!$M$1091-Sens!$M$1090</f>
        <v>16.4551252023969</v>
      </c>
      <c r="N1092" s="38" t="n">
        <f aca="false">Q!$N$23</f>
        <v>2.511</v>
      </c>
      <c r="O1092" s="38" t="n">
        <f aca="false">Q!$O$23</f>
        <v>2.239</v>
      </c>
    </row>
    <row r="1093" customFormat="false" ht="17.15" hidden="false" customHeight="false" outlineLevel="0" collapsed="false">
      <c r="A1093" s="0" t="s">
        <v>683</v>
      </c>
      <c r="B1093" s="0" t="s">
        <v>73</v>
      </c>
      <c r="C1093" s="38" t="n">
        <f aca="false">Sens!$C$1033</f>
        <v>1.60348603981278</v>
      </c>
      <c r="D1093" s="38" t="n">
        <f aca="false">Sens!$D$1033</f>
        <v>3.15361039430823</v>
      </c>
      <c r="E1093" s="38" t="n">
        <f aca="false">Sens!$E$1033</f>
        <v>0.109507403378603</v>
      </c>
      <c r="F1093" s="38" t="n">
        <f aca="false">Sens!$F$1033</f>
        <v>5.20408182832593</v>
      </c>
      <c r="G1093" s="38" t="n">
        <f aca="false">Sens!$G$1033</f>
        <v>5.31358923170454</v>
      </c>
      <c r="H1093" s="38" t="n">
        <f aca="false">Sens!$H$1033</f>
        <v>13.5221412887873</v>
      </c>
      <c r="I1093" s="38" t="n">
        <f aca="false">Sens!$I$1033</f>
        <v>24.3804367478086</v>
      </c>
      <c r="J1093" s="38" t="n">
        <f aca="false">Sens!$J$1033</f>
        <v>34.597269223592</v>
      </c>
      <c r="K1093" s="38" t="n">
        <f aca="false">Sens!$K$1033</f>
        <v>44.3552624084727</v>
      </c>
      <c r="L1093" s="38" t="n">
        <f aca="false">Sens!$L$1033</f>
        <v>56.3360348504387</v>
      </c>
      <c r="M1093" s="38" t="n">
        <f aca="false">Sens!$M$1033</f>
        <v>68.8371729103593</v>
      </c>
      <c r="N1093" s="38" t="n">
        <f aca="false">Sens!$N$1033</f>
        <v>0.560395828660207</v>
      </c>
      <c r="O1093" s="38" t="n">
        <f aca="false">Sens!$O$1033</f>
        <v>2.59321456564803</v>
      </c>
    </row>
    <row r="1094" customFormat="false" ht="17.15" hidden="false" customHeight="false" outlineLevel="0" collapsed="false">
      <c r="A1094" s="0" t="s">
        <v>603</v>
      </c>
      <c r="B1094" s="0" t="s">
        <v>73</v>
      </c>
      <c r="C1094" s="38" t="n">
        <f aca="false">Sens!$C$1038</f>
        <v>38.2305139601872</v>
      </c>
      <c r="D1094" s="38" t="n">
        <f aca="false">Sens!$D$1038</f>
        <v>42.4523896056918</v>
      </c>
      <c r="E1094" s="38" t="n">
        <f aca="false">Sens!$E$1038</f>
        <v>30.6724925966214</v>
      </c>
      <c r="F1094" s="38" t="n">
        <f aca="false">Sens!$F$1038</f>
        <v>30.4331723552582</v>
      </c>
      <c r="G1094" s="38" t="n">
        <f aca="false">Sens!$G$1038</f>
        <v>61.1056649518796</v>
      </c>
      <c r="H1094" s="38" t="n">
        <f aca="false">Sens!$H$1038</f>
        <v>70.0447125522084</v>
      </c>
      <c r="I1094" s="38" t="n">
        <f aca="false">Sens!$I$1038</f>
        <v>81.5662335898215</v>
      </c>
      <c r="J1094" s="38" t="n">
        <f aca="false">Sens!$J$1038</f>
        <v>91.537219951455</v>
      </c>
      <c r="K1094" s="38" t="n">
        <f aca="false">Sens!$K$1038</f>
        <v>98.8601975475714</v>
      </c>
      <c r="L1094" s="38" t="n">
        <f aca="false">Sens!$L$1038</f>
        <v>106.769013351377</v>
      </c>
      <c r="M1094" s="38" t="n">
        <f aca="false">Sens!$M$1038</f>
        <v>115.310534419487</v>
      </c>
      <c r="N1094" s="38" t="n">
        <f aca="false">Sens!$N$1038</f>
        <v>21.1466041713398</v>
      </c>
      <c r="O1094" s="38" t="n">
        <f aca="false">Sens!$O$1038</f>
        <v>21.305785434352</v>
      </c>
    </row>
    <row r="1095" customFormat="false" ht="17.15" hidden="false" customHeight="false" outlineLevel="0" collapsed="false">
      <c r="A1095" s="1" t="s">
        <v>684</v>
      </c>
      <c r="B1095" s="8" t="s">
        <v>73</v>
      </c>
      <c r="C1095" s="38" t="n">
        <f aca="false">Q!$D$24</f>
        <v>39.834</v>
      </c>
      <c r="D1095" s="38" t="n">
        <f aca="false">Q!$E$24</f>
        <v>45.606</v>
      </c>
      <c r="E1095" s="38" t="n">
        <f aca="false">Q!$P$24</f>
        <v>30.782</v>
      </c>
      <c r="F1095" s="38" t="n">
        <f aca="false">Sens!$F$1093+Sens!$F$1094</f>
        <v>35.6372541835842</v>
      </c>
      <c r="G1095" s="38" t="n">
        <f aca="false">Sens!$G$1093+Sens!$G$1094</f>
        <v>66.4192541835841</v>
      </c>
      <c r="H1095" s="38" t="n">
        <f aca="false">Sens!$H$1093+Sens!$H$1094</f>
        <v>83.5668538409956</v>
      </c>
      <c r="I1095" s="38" t="n">
        <f aca="false">Sens!$I$1093+Sens!$I$1094</f>
        <v>105.94667033763</v>
      </c>
      <c r="J1095" s="38" t="n">
        <f aca="false">Sens!$J$1093+Sens!$J$1094</f>
        <v>126.134489175047</v>
      </c>
      <c r="K1095" s="38" t="n">
        <f aca="false">Sens!$K$1093+Sens!$K$1094</f>
        <v>143.215459956044</v>
      </c>
      <c r="L1095" s="38" t="n">
        <f aca="false">Sens!$L$1093+Sens!$L$1094</f>
        <v>163.105048201816</v>
      </c>
      <c r="M1095" s="38" t="n">
        <f aca="false">Sens!$M$1093+Sens!$M$1094</f>
        <v>184.147707329847</v>
      </c>
      <c r="N1095" s="38" t="n">
        <f aca="false">Q!$N$24</f>
        <v>21.707</v>
      </c>
      <c r="O1095" s="38" t="n">
        <f aca="false">Q!$O$24</f>
        <v>23.899</v>
      </c>
    </row>
    <row r="1096" customFormat="false" ht="17.15" hidden="false" customHeight="false" outlineLevel="0" collapsed="false">
      <c r="A1096" s="5" t="s">
        <v>685</v>
      </c>
      <c r="B1096" s="0" t="s">
        <v>73</v>
      </c>
      <c r="C1096" s="38" t="n">
        <f aca="false">Q!$D$26</f>
        <v>0</v>
      </c>
      <c r="D1096" s="38" t="n">
        <f aca="false">Q!$E$26</f>
        <v>0</v>
      </c>
      <c r="E1096" s="38" t="n">
        <f aca="false">Q!$P$26</f>
        <v>0</v>
      </c>
      <c r="F1096" s="41" t="n">
        <v>0</v>
      </c>
      <c r="G1096" s="38" t="n">
        <f aca="false">Sens!$E$1096+Sens!$F$1096</f>
        <v>0</v>
      </c>
      <c r="H1096" s="41" t="n">
        <v>0</v>
      </c>
      <c r="I1096" s="41" t="n">
        <v>0</v>
      </c>
      <c r="J1096" s="41" t="n">
        <v>0</v>
      </c>
      <c r="K1096" s="41" t="n">
        <v>0</v>
      </c>
      <c r="L1096" s="41" t="n">
        <v>0</v>
      </c>
      <c r="M1096" s="41" t="n">
        <v>0</v>
      </c>
      <c r="N1096" s="38" t="n">
        <f aca="false">Q!$N$26</f>
        <v>0</v>
      </c>
      <c r="O1096" s="38" t="n">
        <f aca="false">Q!$O$26</f>
        <v>0</v>
      </c>
    </row>
    <row r="1097" customFormat="false" ht="15" hidden="false" customHeight="false" outlineLevel="0" collapsed="false">
      <c r="A1097" s="3" t="s">
        <v>494</v>
      </c>
      <c r="B1097" s="8" t="s">
        <v>73</v>
      </c>
      <c r="C1097" s="38" t="n">
        <f aca="false">Q!$D$25</f>
        <v>68.593</v>
      </c>
      <c r="D1097" s="38" t="n">
        <f aca="false">Q!$E$25</f>
        <v>79.975</v>
      </c>
      <c r="E1097" s="38" t="n">
        <f aca="false">Q!$P$25</f>
        <v>51.313</v>
      </c>
      <c r="F1097" s="38" t="n">
        <f aca="false">Sens!$F$1087+Sens!$F$1092+Sens!$F$1095+Sens!$F$1096</f>
        <v>59.5752487322662</v>
      </c>
      <c r="G1097" s="38" t="n">
        <f aca="false">Sens!$G$1087+Sens!$G$1092+Sens!$G$1095+Sens!$G$1096</f>
        <v>110.888248732266</v>
      </c>
      <c r="H1097" s="38" t="n">
        <f aca="false">Sens!$H$1087+Sens!$H$1092+Sens!$H$1095+Sens!$H$1096</f>
        <v>138.115475946976</v>
      </c>
      <c r="I1097" s="38" t="n">
        <f aca="false">Sens!$I$1087+Sens!$I$1092+Sens!$I$1095+Sens!$I$1096</f>
        <v>170.788984359761</v>
      </c>
      <c r="J1097" s="38" t="n">
        <f aca="false">Sens!$J$1087+Sens!$J$1092+Sens!$J$1095+Sens!$J$1096</f>
        <v>200.882496725824</v>
      </c>
      <c r="K1097" s="38" t="n">
        <f aca="false">Sens!$K$1087+Sens!$K$1092+Sens!$K$1095+Sens!$K$1096</f>
        <v>226.809375579978</v>
      </c>
      <c r="L1097" s="38" t="n">
        <f aca="false">Sens!$L$1087+Sens!$L$1092+Sens!$L$1095+Sens!$L$1096</f>
        <v>254.67635313864</v>
      </c>
      <c r="M1097" s="38" t="n">
        <f aca="false">Sens!$M$1087+Sens!$M$1092+Sens!$M$1095+Sens!$M$1096</f>
        <v>284.473012544395</v>
      </c>
      <c r="N1097" s="38" t="n">
        <f aca="false">Q!$N$25</f>
        <v>37.576</v>
      </c>
      <c r="O1097" s="38" t="n">
        <f aca="false">Q!$O$25</f>
        <v>42.399</v>
      </c>
    </row>
    <row r="1098" customFormat="false" ht="17.15" hidden="false" customHeight="false" outlineLevel="0" collapsed="false">
      <c r="A1098" s="24" t="s">
        <v>711</v>
      </c>
      <c r="B1098" s="25" t="s">
        <v>73</v>
      </c>
      <c r="C1098" s="39" t="n">
        <f aca="false">Sens!$C$1087+Sens!$C$1092+Sens!$C$1095+Sens!$C$1096-Sens!$C$1097</f>
        <v>0</v>
      </c>
      <c r="D1098" s="39" t="n">
        <f aca="false">Sens!$D$1087+Sens!$D$1092+Sens!$D$1095+Sens!$D$1096-Sens!$D$1097</f>
        <v>0</v>
      </c>
      <c r="E1098" s="39" t="n">
        <f aca="false">Sens!$E$1087+Sens!$E$1092+Sens!$E$1095+Sens!$E$1096-Sens!$E$1097</f>
        <v>0</v>
      </c>
      <c r="F1098" s="39" t="n">
        <f aca="false">Sens!$F$1087+Sens!$F$1092+Sens!$F$1095+Sens!$F$1096-Sens!$F$1097</f>
        <v>0</v>
      </c>
      <c r="G1098" s="39" t="n">
        <f aca="false">Sens!$G$1087+Sens!$G$1092+Sens!$G$1095+Sens!$G$1096-Sens!$G$1097</f>
        <v>0</v>
      </c>
      <c r="H1098" s="39" t="n">
        <f aca="false">Sens!$H$1087+Sens!$H$1092+Sens!$H$1095+Sens!$H$1096-Sens!$H$1097</f>
        <v>0</v>
      </c>
      <c r="I1098" s="39" t="n">
        <f aca="false">Sens!$I$1087+Sens!$I$1092+Sens!$I$1095+Sens!$I$1096-Sens!$I$1097</f>
        <v>0</v>
      </c>
      <c r="J1098" s="39" t="n">
        <f aca="false">Sens!$J$1087+Sens!$J$1092+Sens!$J$1095+Sens!$J$1096-Sens!$J$1097</f>
        <v>0</v>
      </c>
      <c r="K1098" s="39" t="n">
        <f aca="false">Sens!$K$1087+Sens!$K$1092+Sens!$K$1095+Sens!$K$1096-Sens!$K$1097</f>
        <v>0</v>
      </c>
      <c r="L1098" s="39" t="n">
        <f aca="false">Sens!$L$1087+Sens!$L$1092+Sens!$L$1095+Sens!$L$1096-Sens!$L$1097</f>
        <v>0</v>
      </c>
      <c r="M1098" s="39" t="n">
        <f aca="false">Sens!$M$1087+Sens!$M$1092+Sens!$M$1095+Sens!$M$1096-Sens!$M$1097</f>
        <v>0</v>
      </c>
      <c r="N1098" s="39" t="n">
        <f aca="false">Sens!$N$1087+Sens!$N$1092+Sens!$N$1095+Sens!$N$1096-Sens!$N$1097</f>
        <v>0</v>
      </c>
      <c r="O1098" s="39" t="n">
        <f aca="false">Sens!$O$1087+Sens!$O$1092+Sens!$O$1095+Sens!$O$1096-Sens!$O$1097</f>
        <v>0</v>
      </c>
    </row>
    <row r="1099" customFormat="false" ht="17.15" hidden="false" customHeight="false" outlineLevel="0" collapsed="false">
      <c r="A1099" s="0" t="s">
        <v>687</v>
      </c>
      <c r="B1099" s="0" t="s">
        <v>52</v>
      </c>
      <c r="C1099" s="12" t="n">
        <f aca="false">Sens!$C$1087/Sens!$C$1072</f>
        <v>0.0644314665661928</v>
      </c>
      <c r="D1099" s="12" t="n">
        <f aca="false">Sens!$D$1087/Sens!$D$1072</f>
        <v>0.0694784250712518</v>
      </c>
      <c r="E1099" s="12" t="n">
        <f aca="false">Sens!$E$1087/Sens!$E$1072</f>
        <v>0.0789306463326071</v>
      </c>
      <c r="F1099" s="12" t="n">
        <f aca="false">Sens!$F$1087/Sens!$F$1072</f>
        <v>0.0816920428648217</v>
      </c>
      <c r="G1099" s="12" t="n">
        <f aca="false">Sens!$G$1087/Sens!$G$1072</f>
        <v>0.0804155841367136</v>
      </c>
      <c r="H1099" s="12" t="n">
        <f aca="false">Sens!$H$1087/Sens!$H$1072</f>
        <v>0.0882440498764617</v>
      </c>
      <c r="I1099" s="12" t="n">
        <f aca="false">Sens!$I$1087/Sens!$I$1072</f>
        <v>0.0952982624547413</v>
      </c>
      <c r="J1099" s="12" t="n">
        <f aca="false">Sens!$J$1087/Sens!$J$1072</f>
        <v>0.101390073611338</v>
      </c>
      <c r="K1099" s="12" t="n">
        <f aca="false">Sens!$K$1087/Sens!$K$1072</f>
        <v>0.106359742030196</v>
      </c>
      <c r="L1099" s="12" t="n">
        <f aca="false">Sens!$L$1087/Sens!$L$1072</f>
        <v>0.108857792866829</v>
      </c>
      <c r="M1099" s="12" t="n">
        <f aca="false">Sens!$M$1087/Sens!$M$1072</f>
        <v>0.111413238626246</v>
      </c>
      <c r="N1099" s="12" t="n">
        <f aca="false">Sens!$N$1087/Sens!$N$1072</f>
        <v>0.069228576611127</v>
      </c>
      <c r="O1099" s="12" t="n">
        <f aca="false">Sens!$O$1087/Sens!$O$1072</f>
        <v>0.069685022498393</v>
      </c>
    </row>
    <row r="1100" customFormat="false" ht="17.15" hidden="false" customHeight="false" outlineLevel="0" collapsed="false">
      <c r="A1100" s="0" t="s">
        <v>688</v>
      </c>
      <c r="B1100" s="0" t="s">
        <v>52</v>
      </c>
      <c r="C1100" s="12" t="n">
        <f aca="false">Sens!$C$1092/Sens!$C$1073</f>
        <v>0.026534925055631</v>
      </c>
      <c r="D1100" s="12" t="n">
        <f aca="false">Sens!$D$1092/Sens!$D$1073</f>
        <v>0.0293401855535103</v>
      </c>
      <c r="E1100" s="12" t="n">
        <f aca="false">Sens!$E$1092/Sens!$E$1073</f>
        <v>0.03831141902276</v>
      </c>
      <c r="F1100" s="12" t="n">
        <f aca="false">Sens!$F$1092/Sens!$F$1073</f>
        <v>0.029811427980502</v>
      </c>
      <c r="G1100" s="12" t="n">
        <f aca="false">Sens!$G$1092/Sens!$G$1073</f>
        <v>0.0336274739615481</v>
      </c>
      <c r="H1100" s="12" t="n">
        <f aca="false">Sens!$H$1092/Sens!$H$1073</f>
        <v>0.0394616668677015</v>
      </c>
      <c r="I1100" s="12" t="n">
        <f aca="false">Sens!$I$1092/Sens!$I$1073</f>
        <v>0.0444979795513966</v>
      </c>
      <c r="J1100" s="12" t="n">
        <f aca="false">Sens!$J$1092/Sens!$J$1073</f>
        <v>0.0485081168710453</v>
      </c>
      <c r="K1100" s="12" t="n">
        <f aca="false">Sens!$K$1092/Sens!$K$1073</f>
        <v>0.0512903341999696</v>
      </c>
      <c r="L1100" s="12" t="n">
        <f aca="false">Sens!$L$1092/Sens!$L$1073</f>
        <v>0.0541378568640338</v>
      </c>
      <c r="M1100" s="12" t="n">
        <f aca="false">Sens!$M$1092/Sens!$M$1073</f>
        <v>0.0570508038745664</v>
      </c>
      <c r="N1100" s="12" t="n">
        <f aca="false">Sens!$N$1092/Sens!$N$1073</f>
        <v>0.0357315650169337</v>
      </c>
      <c r="O1100" s="12" t="n">
        <f aca="false">Sens!$O$1092/Sens!$O$1073</f>
        <v>0.0244378956559703</v>
      </c>
    </row>
    <row r="1101" customFormat="false" ht="17.15" hidden="false" customHeight="false" outlineLevel="0" collapsed="false">
      <c r="A1101" s="13" t="s">
        <v>689</v>
      </c>
      <c r="B1101" s="13" t="s">
        <v>52</v>
      </c>
      <c r="C1101" s="16" t="n">
        <f aca="false">Sens!$C$1095/Sens!$C$1074</f>
        <v>0.370355907620217</v>
      </c>
      <c r="D1101" s="16" t="n">
        <f aca="false">Sens!$D$1095/Sens!$D$1074</f>
        <v>0.35429015342785</v>
      </c>
      <c r="E1101" s="16" t="n">
        <f aca="false">Sens!$E$1095/Sens!$E$1074</f>
        <v>0.385647527531039</v>
      </c>
      <c r="F1101" s="16" t="n">
        <f aca="false">Sens!$F$1095/Sens!$F$1074</f>
        <v>0.380909008698776</v>
      </c>
      <c r="G1101" s="16" t="n">
        <f aca="false">Sens!$G$1095/Sens!$G$1074</f>
        <v>0.383090514123058</v>
      </c>
      <c r="H1101" s="16" t="n">
        <f aca="false">Sens!$H$1095/Sens!$H$1074</f>
        <v>0.346664913218658</v>
      </c>
      <c r="I1101" s="16" t="n">
        <f aca="false">Sens!$I$1095/Sens!$I$1074</f>
        <v>0.339407204295524</v>
      </c>
      <c r="J1101" s="16" t="n">
        <f aca="false">Sens!$J$1095/Sens!$J$1074</f>
        <v>0.332436493016767</v>
      </c>
      <c r="K1101" s="16" t="n">
        <f aca="false">Sens!$K$1095/Sens!$K$1074</f>
        <v>0.325549436876477</v>
      </c>
      <c r="L1101" s="16" t="n">
        <f aca="false">Sens!$L$1095/Sens!$L$1074</f>
        <v>0.324939599148394</v>
      </c>
      <c r="M1101" s="16" t="n">
        <f aca="false">Sens!$M$1095/Sens!$M$1074</f>
        <v>0.32555654399014</v>
      </c>
      <c r="N1101" s="16" t="n">
        <f aca="false">Sens!$N$1095/Sens!$N$1074</f>
        <v>0.360941137346192</v>
      </c>
      <c r="O1101" s="16" t="n">
        <f aca="false">Sens!$O$1095/Sens!$O$1074</f>
        <v>0.348458117664212</v>
      </c>
    </row>
    <row r="1102" customFormat="false" ht="17.15" hidden="false" customHeight="false" outlineLevel="0" collapsed="false">
      <c r="A1102" s="0" t="s">
        <v>690</v>
      </c>
      <c r="B1102" s="0" t="s">
        <v>52</v>
      </c>
      <c r="C1102" s="12" t="n">
        <f aca="false">Sens!$C$1093/Sens!$C$1075</f>
        <v>0.690858396769735</v>
      </c>
      <c r="D1102" s="12" t="n">
        <f aca="false">Sens!$D$1093/Sens!$D$1075</f>
        <v>0.362326941335482</v>
      </c>
      <c r="E1102" s="12" t="n">
        <f aca="false">Sens!$E$1093/Sens!$E$1075</f>
        <v>0.0128675512864105</v>
      </c>
      <c r="F1102" s="12" t="n">
        <f aca="false">Sens!$F$1093/Sens!$F$1075</f>
        <v>0.347786607799212</v>
      </c>
      <c r="G1102" s="12" t="n">
        <f aca="false">Sens!$G$1093/Sens!$G$1075</f>
        <v>0.226362679258213</v>
      </c>
      <c r="H1102" s="12" t="n">
        <f aca="false">Sens!$H$1093/Sens!$H$1075</f>
        <v>0.224747628935219</v>
      </c>
      <c r="I1102" s="12" t="n">
        <f aca="false">Sens!$I$1093/Sens!$I$1075</f>
        <v>0.2401925935235</v>
      </c>
      <c r="J1102" s="12" t="n">
        <f aca="false">Sens!$J$1093/Sens!$J$1075</f>
        <v>0.2418959673857</v>
      </c>
      <c r="K1102" s="12" t="n">
        <f aca="false">Sens!$K$1093/Sens!$K$1075</f>
        <v>0.240266741894385</v>
      </c>
      <c r="L1102" s="12" t="n">
        <f aca="false">Sens!$L$1093/Sens!$L$1075</f>
        <v>0.24903285532717</v>
      </c>
      <c r="M1102" s="12" t="n">
        <f aca="false">Sens!$M$1093/Sens!$M$1075</f>
        <v>0.257003608120619</v>
      </c>
      <c r="N1102" s="12" t="n">
        <f aca="false">Sens!$N$1093/Sens!$N$1075</f>
        <v>0.183958321821583</v>
      </c>
      <c r="O1102" s="12" t="n">
        <f aca="false">Sens!$O$1093/Sens!$O$1075</f>
        <v>0.458371582612197</v>
      </c>
    </row>
    <row r="1103" customFormat="false" ht="15" hidden="false" customHeight="false" outlineLevel="0" collapsed="false">
      <c r="A1103" s="5" t="s">
        <v>691</v>
      </c>
      <c r="B1103" s="0" t="s">
        <v>52</v>
      </c>
      <c r="C1103" s="12" t="n">
        <f aca="false">Sens!$C$1097/Sens!$C$1077</f>
        <v>0.107519448742004</v>
      </c>
      <c r="D1103" s="12" t="n">
        <f aca="false">Sens!$D$1097/Sens!$D$1077</f>
        <v>0.111552967957552</v>
      </c>
      <c r="E1103" s="12" t="n">
        <f aca="false">Sens!$E$1097/Sens!$E$1077</f>
        <v>0.13428328426562</v>
      </c>
      <c r="F1103" s="12" t="n">
        <f aca="false">Sens!$F$1097/Sens!$F$1077</f>
        <v>0.132244010458073</v>
      </c>
      <c r="G1103" s="12" t="n">
        <f aca="false">Sens!$G$1097/Sens!$G$1077</f>
        <v>0.133179920744056</v>
      </c>
      <c r="H1103" s="12" t="n">
        <f aca="false">Sens!$H$1097/Sens!$H$1077</f>
        <v>0.142241153706804</v>
      </c>
      <c r="I1103" s="12" t="n">
        <f aca="false">Sens!$I$1097/Sens!$I$1077</f>
        <v>0.15380192113635</v>
      </c>
      <c r="J1103" s="12" t="n">
        <f aca="false">Sens!$J$1097/Sens!$J$1077</f>
        <v>0.161850456339655</v>
      </c>
      <c r="K1103" s="12" t="n">
        <f aca="false">Sens!$K$1097/Sens!$K$1077</f>
        <v>0.167081593869528</v>
      </c>
      <c r="L1103" s="12" t="n">
        <f aca="false">Sens!$L$1097/Sens!$L$1077</f>
        <v>0.172167019604355</v>
      </c>
      <c r="M1103" s="12" t="n">
        <f aca="false">Sens!$M$1097/Sens!$M$1077</f>
        <v>0.177037280040303</v>
      </c>
      <c r="N1103" s="12" t="n">
        <f aca="false">Sens!$N$1097/Sens!$N$1077</f>
        <v>0.116201614873411</v>
      </c>
      <c r="O1103" s="12" t="n">
        <f aca="false">Sens!$O$1097/Sens!$O$1077</f>
        <v>0.107733353660861</v>
      </c>
    </row>
    <row r="1104" customFormat="false" ht="17.15" hidden="false" customHeight="false" outlineLevel="0" collapsed="false">
      <c r="A1104" s="1" t="s">
        <v>692</v>
      </c>
    </row>
    <row r="1105" customFormat="false" ht="17.15" hidden="false" customHeight="false" outlineLevel="0" collapsed="false">
      <c r="A1105" s="5" t="s">
        <v>693</v>
      </c>
      <c r="B1105" s="0" t="s">
        <v>52</v>
      </c>
      <c r="D1105" s="28" t="n">
        <f aca="false">(Q!$E$29+Q!$E$30-(1-ext_sh_hi)*Sens!$D$1029)/Sens!$D$987</f>
        <v>0.0346991409369958</v>
      </c>
    </row>
    <row r="1106" customFormat="false" ht="17.15" hidden="false" customHeight="false" outlineLevel="0" collapsed="false">
      <c r="A1106" s="0" t="s">
        <v>498</v>
      </c>
      <c r="B1106" s="0" t="s">
        <v>73</v>
      </c>
      <c r="C1106" s="38" t="n">
        <f aca="false">Q!$D$29</f>
        <v>14.285</v>
      </c>
      <c r="D1106" s="38" t="n">
        <f aca="false">Q!$E$29</f>
        <v>15.503</v>
      </c>
      <c r="E1106" s="38" t="n">
        <f aca="false">Q!$P$29</f>
        <v>8.78</v>
      </c>
      <c r="F1106" s="38" t="n">
        <f aca="false">(Sens!$D$1105*Sens!$F$987+(1-ext_sh_hi)*Sens!$F$1029)*Sens!$F$988</f>
        <v>8.89352913933498</v>
      </c>
      <c r="G1106" s="38" t="n">
        <f aca="false">Sens!$E$1106+Sens!$F$1106</f>
        <v>17.673529139335</v>
      </c>
      <c r="H1106" s="38" t="n">
        <f aca="false">(Sens!$D$1105*Sens!$H$987+(1-ext_sh_hi)*Sens!$H$1029)*Sens!$H$988</f>
        <v>18.3119300137851</v>
      </c>
      <c r="I1106" s="38" t="n">
        <f aca="false">(Sens!$D$1105*Sens!$I$987+(1-ext_sh_hi)*Sens!$I$1029)*Sens!$I$988</f>
        <v>20.0268761333047</v>
      </c>
      <c r="J1106" s="38" t="n">
        <f aca="false">(Sens!$D$1105*Sens!$J$987+(1-ext_sh_hi)*Sens!$J$1029)*Sens!$J$988</f>
        <v>21.6184296334722</v>
      </c>
      <c r="K1106" s="38" t="n">
        <f aca="false">(Sens!$D$1105*Sens!$K$987+(1-ext_sh_hi)*Sens!$K$1029)*Sens!$K$988</f>
        <v>23.0188052358421</v>
      </c>
      <c r="L1106" s="38" t="n">
        <f aca="false">(Sens!$D$1105*Sens!$L$987+(1-ext_sh_hi)*Sens!$L$1029)*Sens!$L$988</f>
        <v>24.5171941097195</v>
      </c>
      <c r="M1106" s="38" t="n">
        <f aca="false">(Sens!$D$1105*Sens!$M$987+(1-ext_sh_hi)*Sens!$M$1029)*Sens!$M$988</f>
        <v>26.1209819635138</v>
      </c>
      <c r="N1106" s="38" t="n">
        <f aca="false">Q!$N$29</f>
        <v>7.272</v>
      </c>
      <c r="O1106" s="38" t="n">
        <f aca="false">Q!$O$29</f>
        <v>8.231</v>
      </c>
    </row>
    <row r="1107" customFormat="false" ht="17.15" hidden="false" customHeight="false" outlineLevel="0" collapsed="false">
      <c r="A1107" s="0" t="s">
        <v>500</v>
      </c>
      <c r="B1107" s="0" t="s">
        <v>73</v>
      </c>
      <c r="C1107" s="38" t="n">
        <f aca="false">Q!$D$30</f>
        <v>4.462</v>
      </c>
      <c r="D1107" s="38" t="n">
        <f aca="false">Q!$E$30</f>
        <v>4.907</v>
      </c>
      <c r="E1107" s="38" t="n">
        <f aca="false">Q!$P$30</f>
        <v>2.57</v>
      </c>
      <c r="F1107" s="38" t="n">
        <f aca="false">(Sens!$D$1105*Sens!$F$987+(1-ext_sh_hi)*Sens!$F$1029)*(1-Sens!$F$988)</f>
        <v>3.49185832331636</v>
      </c>
      <c r="G1107" s="38" t="n">
        <f aca="false">Sens!$E$1107+Sens!$F$1107</f>
        <v>6.06185832331636</v>
      </c>
      <c r="H1107" s="38" t="n">
        <f aca="false">(Sens!$D$1105*Sens!$H$987+(1-ext_sh_hi)*Sens!$H$1029)*(1-Sens!$H$988)</f>
        <v>7.01621302090028</v>
      </c>
      <c r="I1107" s="38" t="n">
        <f aca="false">(Sens!$D$1105*Sens!$I$987+(1-ext_sh_hi)*Sens!$I$1029)*(1-Sens!$I$988)</f>
        <v>7.6732943490212</v>
      </c>
      <c r="J1107" s="38" t="n">
        <f aca="false">(Sens!$D$1105*Sens!$J$987+(1-ext_sh_hi)*Sens!$J$1029)*(1-Sens!$J$988)</f>
        <v>8.28309781500915</v>
      </c>
      <c r="K1107" s="38" t="n">
        <f aca="false">(Sens!$D$1105*Sens!$K$987+(1-ext_sh_hi)*Sens!$K$1029)*(1-Sens!$K$988)</f>
        <v>8.81965150039906</v>
      </c>
      <c r="L1107" s="38" t="n">
        <f aca="false">(Sens!$D$1105*Sens!$L$987+(1-ext_sh_hi)*Sens!$L$1029)*(1-Sens!$L$988)</f>
        <v>9.39375895490315</v>
      </c>
      <c r="M1107" s="38" t="n">
        <f aca="false">(Sens!$D$1105*Sens!$M$987+(1-ext_sh_hi)*Sens!$M$1029)*(1-Sens!$M$988)</f>
        <v>10.008250011503</v>
      </c>
      <c r="N1107" s="38" t="n">
        <f aca="false">Q!$N$30</f>
        <v>2.316</v>
      </c>
      <c r="O1107" s="38" t="n">
        <f aca="false">Q!$O$30</f>
        <v>2.591</v>
      </c>
    </row>
    <row r="1108" customFormat="false" ht="17.15" hidden="false" customHeight="false" outlineLevel="0" collapsed="false">
      <c r="A1108" s="0" t="s">
        <v>501</v>
      </c>
      <c r="B1108" s="0" t="s">
        <v>73</v>
      </c>
      <c r="C1108" s="38" t="n">
        <f aca="false">Sens!$C$1041</f>
        <v>13.32</v>
      </c>
      <c r="D1108" s="38" t="n">
        <f aca="false">Sens!$D$1041</f>
        <v>21.45</v>
      </c>
      <c r="E1108" s="38" t="n">
        <f aca="false">Sens!$E$1041</f>
        <v>15.353</v>
      </c>
      <c r="F1108" s="38" t="n">
        <f aca="false">Sens!$F$1041</f>
        <v>18.1902131615363</v>
      </c>
      <c r="G1108" s="38" t="n">
        <f aca="false">Sens!$G$1041</f>
        <v>33.5432131615363</v>
      </c>
      <c r="H1108" s="38" t="n">
        <f aca="false">Sens!$H$1041</f>
        <v>60.8643496919838</v>
      </c>
      <c r="I1108" s="38" t="n">
        <f aca="false">Sens!$I$1041</f>
        <v>87.4625336551093</v>
      </c>
      <c r="J1108" s="38" t="n">
        <f aca="false">Sens!$J$1041</f>
        <v>114.27594282538</v>
      </c>
      <c r="K1108" s="38" t="n">
        <f aca="false">Sens!$K$1041</f>
        <v>140.588592498875</v>
      </c>
      <c r="L1108" s="38" t="n">
        <f aca="false">Sens!$L$1041</f>
        <v>164.928729876806</v>
      </c>
      <c r="M1108" s="38" t="n">
        <f aca="false">Sens!$M$1041</f>
        <v>189.004960128583</v>
      </c>
      <c r="N1108" s="38" t="n">
        <f aca="false">Sens!$N$1041</f>
        <v>9.234</v>
      </c>
      <c r="O1108" s="38" t="n">
        <f aca="false">Sens!$O$1041</f>
        <v>12.216</v>
      </c>
    </row>
    <row r="1109" customFormat="false" ht="17.15" hidden="false" customHeight="false" outlineLevel="0" collapsed="false">
      <c r="A1109" s="5" t="s">
        <v>694</v>
      </c>
      <c r="B1109" s="0" t="s">
        <v>73</v>
      </c>
      <c r="C1109" s="38" t="n">
        <f aca="false">Sens!$C$1106+Sens!$C$1107+Sens!$C$1108</f>
        <v>32.067</v>
      </c>
      <c r="D1109" s="38" t="n">
        <f aca="false">Sens!$D$1106+Sens!$D$1107+Sens!$D$1108</f>
        <v>41.86</v>
      </c>
      <c r="E1109" s="38" t="n">
        <f aca="false">Sens!$E$1106+Sens!$E$1107+Sens!$E$1108</f>
        <v>26.703</v>
      </c>
      <c r="F1109" s="38" t="n">
        <f aca="false">Sens!$F$1106+Sens!$F$1107+Sens!$F$1108</f>
        <v>30.5756006241876</v>
      </c>
      <c r="G1109" s="38" t="n">
        <f aca="false">Sens!$G$1106+Sens!$G$1107+Sens!$G$1108</f>
        <v>57.2786006241876</v>
      </c>
      <c r="H1109" s="38" t="n">
        <f aca="false">Sens!$H$1106+Sens!$H$1107+Sens!$H$1108</f>
        <v>86.1924927266692</v>
      </c>
      <c r="I1109" s="38" t="n">
        <f aca="false">Sens!$I$1106+Sens!$I$1107+Sens!$I$1108</f>
        <v>115.162704137435</v>
      </c>
      <c r="J1109" s="38" t="n">
        <f aca="false">Sens!$J$1106+Sens!$J$1107+Sens!$J$1108</f>
        <v>144.177470273862</v>
      </c>
      <c r="K1109" s="38" t="n">
        <f aca="false">Sens!$K$1106+Sens!$K$1107+Sens!$K$1108</f>
        <v>172.427049235116</v>
      </c>
      <c r="L1109" s="38" t="n">
        <f aca="false">Sens!$L$1106+Sens!$L$1107+Sens!$L$1108</f>
        <v>198.839682941428</v>
      </c>
      <c r="M1109" s="38" t="n">
        <f aca="false">Sens!$M$1106+Sens!$M$1107+Sens!$M$1108</f>
        <v>225.134192103599</v>
      </c>
      <c r="N1109" s="38" t="n">
        <f aca="false">Sens!$N$1106+Sens!$N$1107+Sens!$N$1108</f>
        <v>18.822</v>
      </c>
      <c r="O1109" s="38" t="n">
        <f aca="false">Sens!$O$1106+Sens!$O$1107+Sens!$O$1108</f>
        <v>23.038</v>
      </c>
    </row>
    <row r="1110" customFormat="false" ht="17.15" hidden="false" customHeight="false" outlineLevel="0" collapsed="false">
      <c r="A1110" s="0" t="s">
        <v>695</v>
      </c>
      <c r="B1110" s="0" t="s">
        <v>73</v>
      </c>
      <c r="C1110" s="38" t="n">
        <f aca="false">Sens!$C$1083+Sens!$C$1088</f>
        <v>28.107</v>
      </c>
      <c r="D1110" s="38" t="n">
        <f aca="false">Sens!$D$1083+Sens!$D$1088</f>
        <v>34.3175</v>
      </c>
      <c r="E1110" s="38" t="n">
        <f aca="false">Sens!$E$1083+Sens!$E$1088</f>
        <v>18.526</v>
      </c>
      <c r="F1110" s="38" t="n">
        <f aca="false">Sens!$F$1083+Sens!$F$1088</f>
        <v>24.0766690913691</v>
      </c>
      <c r="G1110" s="38" t="n">
        <f aca="false">Sens!$G$1083+Sens!$G$1088</f>
        <v>42.6026690913691</v>
      </c>
      <c r="H1110" s="38" t="n">
        <f aca="false">Sens!$H$1083+Sens!$H$1088</f>
        <v>51.1466809294702</v>
      </c>
      <c r="I1110" s="38" t="n">
        <f aca="false">Sens!$I$1083+Sens!$I$1088</f>
        <v>59.6899187926205</v>
      </c>
      <c r="J1110" s="38" t="n">
        <f aca="false">Sens!$J$1083+Sens!$J$1088</f>
        <v>67.6595395244221</v>
      </c>
      <c r="K1110" s="38" t="n">
        <f aca="false">Sens!$K$1083+Sens!$K$1088</f>
        <v>74.4254934768643</v>
      </c>
      <c r="L1110" s="38" t="n">
        <f aca="false">Sens!$L$1083+Sens!$L$1088</f>
        <v>81.8680428245508</v>
      </c>
      <c r="M1110" s="38" t="n">
        <f aca="false">Sens!$M$1083+Sens!$M$1088</f>
        <v>90.0548471070059</v>
      </c>
      <c r="N1110" s="38" t="n">
        <f aca="false">Sens!$N$1083+Sens!$N$1088</f>
        <v>14.8075</v>
      </c>
      <c r="O1110" s="38" t="n">
        <f aca="false">Sens!$O$1083+Sens!$O$1088</f>
        <v>19.51</v>
      </c>
    </row>
    <row r="1111" customFormat="false" ht="17.15" hidden="false" customHeight="false" outlineLevel="0" collapsed="false">
      <c r="A1111" s="0" t="s">
        <v>696</v>
      </c>
      <c r="B1111" s="0" t="s">
        <v>73</v>
      </c>
      <c r="C1111" s="38" t="n">
        <f aca="false">Sens!$C$1087+Sens!$C$1092+Sens!$C$1106+Sens!$C$1107-Sens!$C$1110</f>
        <v>19.399</v>
      </c>
      <c r="D1111" s="38" t="n">
        <f aca="false">Sens!$D$1087+Sens!$D$1092+Sens!$D$1106+Sens!$D$1107-Sens!$D$1110</f>
        <v>20.4615</v>
      </c>
      <c r="E1111" s="38" t="n">
        <f aca="false">Sens!$E$1087+Sens!$E$1092+Sens!$E$1106+Sens!$E$1107-Sens!$E$1110</f>
        <v>13.355</v>
      </c>
      <c r="F1111" s="38" t="n">
        <f aca="false">Sens!$F$1087+Sens!$F$1092+Sens!$F$1106+Sens!$F$1107-Sens!$F$1110</f>
        <v>12.2467129199643</v>
      </c>
      <c r="G1111" s="38" t="n">
        <f aca="false">Sens!$G$1087+Sens!$G$1092+Sens!$G$1106+Sens!$G$1107-Sens!$G$1110</f>
        <v>25.6017129199643</v>
      </c>
      <c r="H1111" s="38" t="n">
        <f aca="false">Sens!$H$1087+Sens!$H$1092+Sens!$H$1106+Sens!$H$1107-Sens!$H$1110</f>
        <v>28.7300842111953</v>
      </c>
      <c r="I1111" s="38" t="n">
        <f aca="false">Sens!$I$1087+Sens!$I$1092+Sens!$I$1106+Sens!$I$1107-Sens!$I$1110</f>
        <v>32.8525657118361</v>
      </c>
      <c r="J1111" s="38" t="n">
        <f aca="false">Sens!$J$1087+Sens!$J$1092+Sens!$J$1106+Sens!$J$1107-Sens!$J$1110</f>
        <v>36.989995474836</v>
      </c>
      <c r="K1111" s="38" t="n">
        <f aca="false">Sens!$K$1087+Sens!$K$1092+Sens!$K$1106+Sens!$K$1107-Sens!$K$1110</f>
        <v>41.0068788833105</v>
      </c>
      <c r="L1111" s="38" t="n">
        <f aca="false">Sens!$L$1087+Sens!$L$1092+Sens!$L$1106+Sens!$L$1107-Sens!$L$1110</f>
        <v>43.6142151768956</v>
      </c>
      <c r="M1111" s="38" t="n">
        <f aca="false">Sens!$M$1087+Sens!$M$1092+Sens!$M$1106+Sens!$M$1107-Sens!$M$1110</f>
        <v>46.399690082559</v>
      </c>
      <c r="N1111" s="38" t="n">
        <f aca="false">Sens!$N$1087+Sens!$N$1092+Sens!$N$1106+Sens!$N$1107-Sens!$N$1110</f>
        <v>10.6495</v>
      </c>
      <c r="O1111" s="38" t="n">
        <f aca="false">Sens!$O$1087+Sens!$O$1092+Sens!$O$1106+Sens!$O$1107-Sens!$O$1110</f>
        <v>9.81200000000001</v>
      </c>
    </row>
    <row r="1112" customFormat="false" ht="17.15" hidden="false" customHeight="false" outlineLevel="0" collapsed="false">
      <c r="A1112" s="0" t="s">
        <v>697</v>
      </c>
      <c r="B1112" s="0" t="s">
        <v>73</v>
      </c>
      <c r="C1112" s="38" t="n">
        <f aca="false">Sens!$C$1094+Sens!$C$1108-ext_sh_hi*Sens!$C$1029</f>
        <v>51.3470500115664</v>
      </c>
      <c r="D1112" s="38" t="n">
        <f aca="false">Sens!$D$1094+Sens!$D$1108-ext_sh_hi*Sens!$D$1029</f>
        <v>60.2799375433739</v>
      </c>
      <c r="E1112" s="38" t="n">
        <f aca="false">Sens!$E$1094+Sens!$E$1108-ext_sh_hi*Sens!$E$1029</f>
        <v>39.5095167090767</v>
      </c>
      <c r="F1112" s="38" t="n">
        <f aca="false">Sens!$F$1094+Sens!$F$1108-ext_sh_hi*Sens!$F$1029</f>
        <v>42.1074096292498</v>
      </c>
      <c r="G1112" s="38" t="n">
        <f aca="false">Sens!$G$1094+Sens!$G$1108-ext_sh_hi*Sens!$G$1029</f>
        <v>81.6169263383266</v>
      </c>
      <c r="H1112" s="38" t="n">
        <f aca="false">Sens!$H$1094+Sens!$H$1108-ext_sh_hi*Sens!$H$1029</f>
        <v>96.9140308269341</v>
      </c>
      <c r="I1112" s="38" t="n">
        <f aca="false">Sens!$I$1094+Sens!$I$1108-ext_sh_hi*Sens!$I$1029</f>
        <v>112.855234728373</v>
      </c>
      <c r="J1112" s="38" t="n">
        <f aca="false">Sens!$J$1094+Sens!$J$1108-ext_sh_hi*Sens!$J$1029</f>
        <v>126.651115165544</v>
      </c>
      <c r="K1112" s="38" t="n">
        <f aca="false">Sens!$K$1094+Sens!$K$1108-ext_sh_hi*Sens!$K$1029</f>
        <v>136.783204378787</v>
      </c>
      <c r="L1112" s="38" t="n">
        <f aca="false">Sens!$L$1094+Sens!$L$1108-ext_sh_hi*Sens!$L$1029</f>
        <v>147.72586072909</v>
      </c>
      <c r="M1112" s="38" t="n">
        <f aca="false">Sens!$M$1094+Sens!$M$1108-ext_sh_hi*Sens!$M$1029</f>
        <v>159.543929587418</v>
      </c>
      <c r="N1112" s="38" t="n">
        <f aca="false">Sens!$N$1094+Sens!$N$1108-ext_sh_hi*Sens!$N$1029</f>
        <v>28.5693781401809</v>
      </c>
      <c r="O1112" s="38" t="n">
        <f aca="false">Sens!$O$1094+Sens!$O$1108-ext_sh_hi*Sens!$O$1029</f>
        <v>31.7105594031931</v>
      </c>
    </row>
    <row r="1113" customFormat="false" ht="17.15" hidden="false" customHeight="false" outlineLevel="0" collapsed="false">
      <c r="A1113" s="0" t="s">
        <v>698</v>
      </c>
      <c r="B1113" s="0" t="s">
        <v>73</v>
      </c>
      <c r="C1113" s="38" t="n">
        <f aca="false">Sens!$C$1032</f>
        <v>1.80694998843362</v>
      </c>
      <c r="D1113" s="38" t="n">
        <f aca="false">Sens!$D$1032</f>
        <v>6.77606245662606</v>
      </c>
      <c r="E1113" s="38" t="n">
        <f aca="false">Sens!$E$1032</f>
        <v>6.62548329092326</v>
      </c>
      <c r="F1113" s="38" t="n">
        <f aca="false">Sens!$F$1032</f>
        <v>11.7200577158706</v>
      </c>
      <c r="G1113" s="38" t="n">
        <f aca="false">Sens!$G$1032</f>
        <v>18.3455410067939</v>
      </c>
      <c r="H1113" s="38" t="n">
        <f aca="false">Sens!$H$1032</f>
        <v>47.5171727060453</v>
      </c>
      <c r="I1113" s="38" t="n">
        <f aca="false">Sens!$I$1032</f>
        <v>80.5539692643667</v>
      </c>
      <c r="J1113" s="38" t="n">
        <f aca="false">Sens!$J$1032</f>
        <v>113.759316834883</v>
      </c>
      <c r="K1113" s="38" t="n">
        <f aca="false">Sens!$K$1032</f>
        <v>147.020848076132</v>
      </c>
      <c r="L1113" s="38" t="n">
        <f aca="false">Sens!$L$1032</f>
        <v>180.307917349531</v>
      </c>
      <c r="M1113" s="38" t="n">
        <f aca="false">Sens!$M$1032</f>
        <v>213.608737871012</v>
      </c>
      <c r="N1113" s="38" t="n">
        <f aca="false">Sens!$N$1032</f>
        <v>2.37162185981912</v>
      </c>
      <c r="O1113" s="38" t="n">
        <f aca="false">Sens!$O$1032</f>
        <v>4.40444059680694</v>
      </c>
    </row>
    <row r="1114" customFormat="false" ht="17.15" hidden="false" customHeight="false" outlineLevel="0" collapsed="false">
      <c r="A1114" s="0" t="s">
        <v>699</v>
      </c>
      <c r="B1114" s="0" t="s">
        <v>73</v>
      </c>
      <c r="C1114" s="38" t="n">
        <f aca="false">Sens!$C$1097+Sens!$C$1109</f>
        <v>100.66</v>
      </c>
      <c r="D1114" s="38" t="n">
        <f aca="false">Sens!$D$1097+Sens!$D$1109</f>
        <v>121.835</v>
      </c>
      <c r="E1114" s="38" t="n">
        <f aca="false">Sens!$E$1097+Sens!$E$1109</f>
        <v>78.016</v>
      </c>
      <c r="F1114" s="38" t="n">
        <f aca="false">Sens!$F$1097+Sens!$F$1109</f>
        <v>90.1508493564538</v>
      </c>
      <c r="G1114" s="38" t="n">
        <f aca="false">Sens!$G$1097+Sens!$G$1109</f>
        <v>168.166849356454</v>
      </c>
      <c r="H1114" s="38" t="n">
        <f aca="false">Sens!$H$1097+Sens!$H$1109</f>
        <v>224.307968673645</v>
      </c>
      <c r="I1114" s="38" t="n">
        <f aca="false">Sens!$I$1097+Sens!$I$1109</f>
        <v>285.951688497196</v>
      </c>
      <c r="J1114" s="38" t="n">
        <f aca="false">Sens!$J$1097+Sens!$J$1109</f>
        <v>345.059966999685</v>
      </c>
      <c r="K1114" s="38" t="n">
        <f aca="false">Sens!$K$1097+Sens!$K$1109</f>
        <v>399.236424815094</v>
      </c>
      <c r="L1114" s="38" t="n">
        <f aca="false">Sens!$L$1097+Sens!$L$1109</f>
        <v>453.516036080068</v>
      </c>
      <c r="M1114" s="38" t="n">
        <f aca="false">Sens!$M$1097+Sens!$M$1109</f>
        <v>509.607204647994</v>
      </c>
      <c r="N1114" s="38" t="n">
        <f aca="false">Sens!$N$1097+Sens!$N$1109</f>
        <v>56.398</v>
      </c>
      <c r="O1114" s="38" t="n">
        <f aca="false">Sens!$O$1097+Sens!$O$1109</f>
        <v>65.437</v>
      </c>
    </row>
    <row r="1115" customFormat="false" ht="17.15" hidden="false" customHeight="false" outlineLevel="0" collapsed="false">
      <c r="A1115" s="1" t="s">
        <v>700</v>
      </c>
    </row>
    <row r="1116" customFormat="false" ht="15" hidden="false" customHeight="false" outlineLevel="0" collapsed="false">
      <c r="A1116" s="5" t="s">
        <v>504</v>
      </c>
      <c r="B1116" s="0" t="s">
        <v>73</v>
      </c>
      <c r="C1116" s="38" t="n">
        <f aca="false">Q!$D$34</f>
        <v>2.406</v>
      </c>
      <c r="D1116" s="38" t="n">
        <f aca="false">Q!$E$34</f>
        <v>2.274</v>
      </c>
      <c r="E1116" s="38" t="n">
        <f aca="false">Q!$P$34</f>
        <v>2.114</v>
      </c>
      <c r="F1116" s="38" t="n">
        <f aca="false">Sens!$F$1152</f>
        <v>3.24888964316061</v>
      </c>
      <c r="G1116" s="38" t="n">
        <f aca="false">Sens!$E$1116+Sens!$F$1116</f>
        <v>5.36288964316061</v>
      </c>
      <c r="H1116" s="38" t="n">
        <f aca="false">Sens!$H$1152</f>
        <v>7.42354178632123</v>
      </c>
      <c r="I1116" s="38" t="n">
        <f aca="false">Sens!$I$1152</f>
        <v>7.42354178632123</v>
      </c>
      <c r="J1116" s="38" t="n">
        <f aca="false">Sens!$J$1152</f>
        <v>7.42354178632123</v>
      </c>
      <c r="K1116" s="38" t="n">
        <f aca="false">Sens!$K$1152</f>
        <v>7.42354178632123</v>
      </c>
      <c r="L1116" s="38" t="n">
        <f aca="false">Sens!$L$1152</f>
        <v>7.42354178632123</v>
      </c>
      <c r="M1116" s="38" t="n">
        <f aca="false">Sens!$M$1152</f>
        <v>7.42354178632123</v>
      </c>
      <c r="N1116" s="38" t="n">
        <f aca="false">Q!$N$34</f>
        <v>1.057</v>
      </c>
      <c r="O1116" s="38" t="n">
        <f aca="false">Q!$O$34</f>
        <v>1.217</v>
      </c>
    </row>
    <row r="1117" customFormat="false" ht="15" hidden="false" customHeight="false" outlineLevel="0" collapsed="false">
      <c r="A1117" s="5" t="s">
        <v>701</v>
      </c>
      <c r="B1117" s="0" t="s">
        <v>73</v>
      </c>
      <c r="F1117" s="38" t="n">
        <f aca="false">Sens!$F$1153</f>
        <v>2.59</v>
      </c>
      <c r="H1117" s="38" t="n">
        <f aca="false">Sens!$H$1153</f>
        <v>4.39189161827253</v>
      </c>
      <c r="I1117" s="38" t="n">
        <f aca="false">Sens!$I$1153</f>
        <v>4.13439182641109</v>
      </c>
      <c r="J1117" s="38" t="n">
        <f aca="false">Sens!$J$1153</f>
        <v>5.81657215410559</v>
      </c>
      <c r="K1117" s="38" t="n">
        <f aca="false">Sens!$K$1153</f>
        <v>9.47866159717561</v>
      </c>
      <c r="L1117" s="38" t="n">
        <f aca="false">Sens!$L$1153</f>
        <v>15.0665181638667</v>
      </c>
      <c r="M1117" s="38" t="n">
        <f aca="false">Sens!$M$1153</f>
        <v>21.5646333209188</v>
      </c>
    </row>
    <row r="1118" customFormat="false" ht="17.15" hidden="false" customHeight="false" outlineLevel="0" collapsed="false">
      <c r="A1118" s="5" t="s">
        <v>702</v>
      </c>
      <c r="B1118" s="0" t="s">
        <v>73</v>
      </c>
      <c r="C1118" s="38" t="n">
        <f aca="false">Q!$D$39</f>
        <v>2.427</v>
      </c>
      <c r="D1118" s="38" t="n">
        <f aca="false">Q!$E$39</f>
        <v>19.61</v>
      </c>
      <c r="E1118" s="38" t="n">
        <f aca="false">Q!$P$39</f>
        <v>71.492</v>
      </c>
      <c r="F1118" s="41" t="n">
        <v>0</v>
      </c>
      <c r="G1118" s="38" t="n">
        <f aca="false">Sens!$E$1118+Sens!$F$1118</f>
        <v>71.492</v>
      </c>
      <c r="H1118" s="41" t="n">
        <v>0</v>
      </c>
      <c r="I1118" s="41" t="n">
        <v>0</v>
      </c>
      <c r="J1118" s="41" t="n">
        <v>0</v>
      </c>
      <c r="K1118" s="41" t="n">
        <v>0</v>
      </c>
      <c r="L1118" s="41" t="n">
        <v>0</v>
      </c>
      <c r="M1118" s="41" t="n">
        <v>0</v>
      </c>
      <c r="N1118" s="38" t="n">
        <f aca="false">Q!$N$39</f>
        <v>6.017</v>
      </c>
      <c r="O1118" s="38" t="n">
        <f aca="false">Q!$O$39</f>
        <v>13.593</v>
      </c>
      <c r="P1118" s="5" t="s">
        <v>703</v>
      </c>
    </row>
    <row r="1119" customFormat="false" ht="15" hidden="false" customHeight="false" outlineLevel="0" collapsed="false">
      <c r="A1119" s="5" t="s">
        <v>507</v>
      </c>
      <c r="B1119" s="0" t="s">
        <v>73</v>
      </c>
      <c r="C1119" s="38" t="n">
        <f aca="false">Q!$D$36</f>
        <v>68.614</v>
      </c>
      <c r="D1119" s="38" t="n">
        <f aca="false">Q!$E$36</f>
        <v>97.311</v>
      </c>
      <c r="E1119" s="38" t="n">
        <f aca="false">Q!$P$36</f>
        <v>120.691</v>
      </c>
      <c r="F1119" s="38" t="n">
        <f aca="false">Sens!$F$1097-Sens!$F$1116+Sens!$F$1117+Sens!$F$1118</f>
        <v>58.9163590891056</v>
      </c>
      <c r="G1119" s="38" t="n">
        <f aca="false">Sens!$E$1119+Sens!$F$1119</f>
        <v>179.607359089106</v>
      </c>
      <c r="H1119" s="38" t="n">
        <f aca="false">Sens!$H$1097-Sens!$H$1116+Sens!$H$1117+Sens!$H$1118</f>
        <v>135.083825778927</v>
      </c>
      <c r="I1119" s="38" t="n">
        <f aca="false">Sens!$I$1097-Sens!$I$1116+Sens!$I$1117+Sens!$I$1118</f>
        <v>167.499834399851</v>
      </c>
      <c r="J1119" s="38" t="n">
        <f aca="false">Sens!$J$1097-Sens!$J$1116+Sens!$J$1117+Sens!$J$1118</f>
        <v>199.275527093608</v>
      </c>
      <c r="K1119" s="38" t="n">
        <f aca="false">Sens!$K$1097-Sens!$K$1116+Sens!$K$1117+Sens!$K$1118</f>
        <v>228.864495390832</v>
      </c>
      <c r="L1119" s="38" t="n">
        <f aca="false">Sens!$L$1097-Sens!$L$1116+Sens!$L$1117+Sens!$L$1118</f>
        <v>262.319329516185</v>
      </c>
      <c r="M1119" s="38" t="n">
        <f aca="false">Sens!$M$1097-Sens!$M$1116+Sens!$M$1117+Sens!$M$1118</f>
        <v>298.614104078992</v>
      </c>
      <c r="N1119" s="38" t="n">
        <f aca="false">Q!$N$36</f>
        <v>42.536</v>
      </c>
      <c r="O1119" s="38" t="n">
        <f aca="false">Q!$O$36</f>
        <v>54.775</v>
      </c>
    </row>
    <row r="1120" customFormat="false" ht="15" hidden="false" customHeight="false" outlineLevel="0" collapsed="false">
      <c r="A1120" s="5" t="s">
        <v>508</v>
      </c>
      <c r="B1120" s="0" t="s">
        <v>73</v>
      </c>
      <c r="C1120" s="38" t="n">
        <f aca="false">Q!$D$37</f>
        <v>9.265</v>
      </c>
      <c r="D1120" s="38" t="n">
        <f aca="false">Q!$E$37</f>
        <v>19.087</v>
      </c>
      <c r="E1120" s="38" t="n">
        <f aca="false">Q!$P$37</f>
        <v>27.759</v>
      </c>
      <c r="F1120" s="38" t="n">
        <f aca="false">Sens!$F$1119*tax</f>
        <v>10.2269683027168</v>
      </c>
      <c r="G1120" s="38" t="n">
        <f aca="false">Sens!$E$1120+Sens!$F$1120</f>
        <v>37.9859683027168</v>
      </c>
      <c r="H1120" s="38" t="n">
        <f aca="false">Sens!$H$1119*tax</f>
        <v>23.4484619519922</v>
      </c>
      <c r="I1120" s="38" t="n">
        <f aca="false">Sens!$I$1119*tax</f>
        <v>29.0753794633983</v>
      </c>
      <c r="J1120" s="38" t="n">
        <f aca="false">Sens!$J$1119*tax</f>
        <v>34.5911480376994</v>
      </c>
      <c r="K1120" s="38" t="n">
        <f aca="false">Sens!$K$1119*tax</f>
        <v>39.7273350927775</v>
      </c>
      <c r="L1120" s="38" t="n">
        <f aca="false">Sens!$L$1119*tax</f>
        <v>45.5345766376119</v>
      </c>
      <c r="M1120" s="38" t="n">
        <f aca="false">Sens!$M$1119*tax</f>
        <v>51.8347878989136</v>
      </c>
      <c r="N1120" s="38" t="n">
        <f aca="false">Q!$N$37</f>
        <v>7.231</v>
      </c>
      <c r="O1120" s="38" t="n">
        <f aca="false">Q!$O$37</f>
        <v>11.856</v>
      </c>
    </row>
    <row r="1121" customFormat="false" ht="15" hidden="false" customHeight="false" outlineLevel="0" collapsed="false">
      <c r="A1121" s="3" t="s">
        <v>509</v>
      </c>
      <c r="B1121" s="8" t="s">
        <v>73</v>
      </c>
      <c r="C1121" s="38" t="n">
        <f aca="false">Q!$D$38</f>
        <v>59.248</v>
      </c>
      <c r="D1121" s="38" t="n">
        <f aca="false">Q!$E$38</f>
        <v>77.67</v>
      </c>
      <c r="E1121" s="38" t="n">
        <f aca="false">Q!$P$38</f>
        <v>92.902</v>
      </c>
      <c r="F1121" s="38" t="n">
        <f aca="false">Sens!$F$1119-Sens!$F$1120</f>
        <v>48.6893907863888</v>
      </c>
      <c r="G1121" s="38" t="n">
        <f aca="false">Sens!$E$1121+Sens!$F$1121</f>
        <v>141.591390786389</v>
      </c>
      <c r="H1121" s="38" t="n">
        <f aca="false">Sens!$H$1119-Sens!$H$1120</f>
        <v>111.635363826935</v>
      </c>
      <c r="I1121" s="38" t="n">
        <f aca="false">Sens!$I$1119-Sens!$I$1120</f>
        <v>138.424454936452</v>
      </c>
      <c r="J1121" s="38" t="n">
        <f aca="false">Sens!$J$1119-Sens!$J$1120</f>
        <v>164.684379055909</v>
      </c>
      <c r="K1121" s="38" t="n">
        <f aca="false">Sens!$K$1119-Sens!$K$1120</f>
        <v>189.137160298055</v>
      </c>
      <c r="L1121" s="38" t="n">
        <f aca="false">Sens!$L$1119-Sens!$L$1120</f>
        <v>216.784752878573</v>
      </c>
      <c r="M1121" s="38" t="n">
        <f aca="false">Sens!$M$1119-Sens!$M$1120</f>
        <v>246.779316180079</v>
      </c>
      <c r="N1121" s="38" t="n">
        <f aca="false">Q!$N$38</f>
        <v>35.291</v>
      </c>
      <c r="O1121" s="38" t="n">
        <f aca="false">Q!$O$38</f>
        <v>42.379</v>
      </c>
    </row>
    <row r="1122" customFormat="false" ht="17.15" hidden="false" customHeight="false" outlineLevel="0" collapsed="false">
      <c r="A1122" s="5" t="s">
        <v>512</v>
      </c>
      <c r="B1122" s="5" t="s">
        <v>33</v>
      </c>
      <c r="C1122" s="22" t="n">
        <f aca="false">Q!$D$41</f>
        <v>10.721</v>
      </c>
      <c r="D1122" s="22" t="n">
        <f aca="false">Q!$E$41</f>
        <v>10.827</v>
      </c>
      <c r="E1122" s="22" t="n">
        <f aca="false">(Q!$L$41+Q!$M$41)/2</f>
        <v>10.8885</v>
      </c>
      <c r="F1122" s="22" t="n">
        <f aca="false">Sens!$G$1122</f>
        <v>10.924806</v>
      </c>
      <c r="G1122" s="22" t="n">
        <f aca="false">Q!$M$41*(1+sh_g*0.25)</f>
        <v>10.924806</v>
      </c>
      <c r="H1122" s="22" t="n">
        <f aca="false">Sens!$G$1122*(1+sh_g)</f>
        <v>11.012204448</v>
      </c>
      <c r="I1122" s="22" t="n">
        <f aca="false">Sens!$H$1122*(1+sh_g)</f>
        <v>11.100302083584</v>
      </c>
      <c r="J1122" s="22" t="n">
        <f aca="false">Sens!$I$1122*(1+sh_g)</f>
        <v>11.1891045002527</v>
      </c>
      <c r="K1122" s="22" t="n">
        <f aca="false">Sens!$J$1122*(1+sh_g)</f>
        <v>11.2786173362547</v>
      </c>
      <c r="L1122" s="22" t="n">
        <f aca="false">Sens!$K$1122*(1+sh_g)</f>
        <v>11.3688462749447</v>
      </c>
      <c r="M1122" s="22" t="n">
        <f aca="false">Sens!$L$1122*(1+sh_g)</f>
        <v>11.4597970451443</v>
      </c>
      <c r="P1122" s="5" t="s">
        <v>704</v>
      </c>
    </row>
    <row r="1123" customFormat="false" ht="17.15" hidden="false" customHeight="false" outlineLevel="0" collapsed="false">
      <c r="A1123" s="42" t="s">
        <v>705</v>
      </c>
      <c r="B1123" s="13" t="s">
        <v>27</v>
      </c>
      <c r="C1123" s="43" t="n">
        <f aca="false">Sens!$C$1121/Sens!$C$1122</f>
        <v>5.52635015390355</v>
      </c>
      <c r="D1123" s="43" t="n">
        <f aca="false">Sens!$D$1121/Sens!$D$1122</f>
        <v>7.1737323358271</v>
      </c>
      <c r="E1123" s="43" t="n">
        <f aca="false">Sens!$E$1121/Sens!$E$1122</f>
        <v>8.53212104513937</v>
      </c>
      <c r="F1123" s="13"/>
      <c r="G1123" s="43" t="n">
        <f aca="false">Sens!$G$1121/Sens!$G$1122</f>
        <v>12.9605405154461</v>
      </c>
      <c r="H1123" s="43" t="n">
        <f aca="false">Sens!$H$1121/Sens!$H$1122</f>
        <v>10.1374220170067</v>
      </c>
      <c r="I1123" s="43" t="n">
        <f aca="false">Sens!$I$1121/Sens!$I$1122</f>
        <v>12.4703322390807</v>
      </c>
      <c r="J1123" s="43" t="n">
        <f aca="false">Sens!$J$1121/Sens!$J$1122</f>
        <v>14.7182805426645</v>
      </c>
      <c r="K1123" s="43" t="n">
        <f aca="false">Sens!$K$1121/Sens!$K$1122</f>
        <v>16.7695343018758</v>
      </c>
      <c r="L1123" s="43" t="n">
        <f aca="false">Sens!$L$1121/Sens!$L$1122</f>
        <v>19.0683159606384</v>
      </c>
      <c r="M1123" s="43" t="n">
        <f aca="false">Sens!$M$1121/Sens!$M$1122</f>
        <v>21.5343531135783</v>
      </c>
      <c r="N1123" s="13"/>
      <c r="O1123" s="13"/>
    </row>
    <row r="1124" customFormat="false" ht="17.15" hidden="false" customHeight="false" outlineLevel="0" collapsed="false">
      <c r="A1124" s="0" t="s">
        <v>706</v>
      </c>
      <c r="B1124" s="0" t="s">
        <v>27</v>
      </c>
      <c r="C1124" s="30" t="n">
        <f aca="false">(Sens!$C$1121-Sens!$C$1118*(1-tax))/Sens!$C$1122</f>
        <v>5.33926775917445</v>
      </c>
      <c r="D1124" s="30" t="n">
        <f aca="false">(Sens!$D$1121-Sens!$D$1118*(1-tax))/Sens!$D$1122</f>
        <v>5.67691812755503</v>
      </c>
      <c r="E1124" s="30" t="n">
        <f aca="false">(Sens!$E$1121-Sens!$E$1118*(1-tax))/Sens!$E$1122</f>
        <v>3.10602057006846</v>
      </c>
      <c r="G1124" s="30" t="n">
        <f aca="false">(Sens!$G$1121-Sens!$G$1118*(1-tax))/Sens!$G$1122</f>
        <v>7.55247239754914</v>
      </c>
      <c r="H1124" s="30" t="n">
        <f aca="false">(Sens!$H$1121-Sens!$H$1118*(1-tax))/Sens!$H$1122</f>
        <v>10.1374220170067</v>
      </c>
      <c r="I1124" s="30" t="n">
        <f aca="false">(Sens!$I$1121-Sens!$I$1118*(1-tax))/Sens!$I$1122</f>
        <v>12.4703322390807</v>
      </c>
      <c r="J1124" s="30" t="n">
        <f aca="false">(Sens!$J$1121-Sens!$J$1118*(1-tax))/Sens!$J$1122</f>
        <v>14.7182805426645</v>
      </c>
      <c r="K1124" s="30" t="n">
        <f aca="false">(Sens!$K$1121-Sens!$K$1118*(1-tax))/Sens!$K$1122</f>
        <v>16.7695343018758</v>
      </c>
      <c r="L1124" s="30" t="n">
        <f aca="false">(Sens!$L$1121-Sens!$L$1118*(1-tax))/Sens!$L$1122</f>
        <v>19.0683159606384</v>
      </c>
      <c r="M1124" s="30" t="n">
        <f aca="false">(Sens!$M$1121-Sens!$M$1118*(1-tax))/Sens!$M$1122</f>
        <v>21.5343531135783</v>
      </c>
      <c r="P1124" s="5" t="s">
        <v>707</v>
      </c>
    </row>
    <row r="1125" customFormat="false" ht="17.15" hidden="false" customHeight="false" outlineLevel="0" collapsed="false">
      <c r="A1125" s="0" t="s">
        <v>708</v>
      </c>
      <c r="B1125" s="0" t="s">
        <v>52</v>
      </c>
      <c r="H1125" s="12" t="n">
        <f aca="false">Sens!$H$1123/Sens!$G$1123-1</f>
        <v>-0.217824132803322</v>
      </c>
      <c r="I1125" s="12" t="n">
        <f aca="false">Sens!$I$1123/Sens!$H$1123-1</f>
        <v>0.230128549266296</v>
      </c>
      <c r="J1125" s="12" t="n">
        <f aca="false">Sens!$J$1123/Sens!$I$1123-1</f>
        <v>0.180263705929097</v>
      </c>
      <c r="K1125" s="12" t="n">
        <f aca="false">Sens!$K$1123/Sens!$J$1123-1</f>
        <v>0.139367757888924</v>
      </c>
      <c r="L1125" s="12" t="n">
        <f aca="false">Sens!$L$1123/Sens!$K$1123-1</f>
        <v>0.137080828684994</v>
      </c>
      <c r="M1125" s="12" t="n">
        <f aca="false">Sens!$M$1123/Sens!$L$1123-1</f>
        <v>0.129326425995374</v>
      </c>
    </row>
    <row r="1128" customFormat="false" ht="19.4" hidden="false" customHeight="false" outlineLevel="0" collapsed="false">
      <c r="A1128" s="31" t="s">
        <v>1066</v>
      </c>
    </row>
    <row r="1129" customFormat="false" ht="17.15" hidden="false" customHeight="false" outlineLevel="0" collapsed="false">
      <c r="A1129" s="6" t="s">
        <v>16</v>
      </c>
      <c r="B1129" s="6" t="s">
        <v>17</v>
      </c>
      <c r="C1129" s="20" t="s">
        <v>457</v>
      </c>
      <c r="D1129" s="20" t="s">
        <v>458</v>
      </c>
      <c r="E1129" s="20" t="s">
        <v>540</v>
      </c>
      <c r="F1129" s="20" t="s">
        <v>541</v>
      </c>
      <c r="G1129" s="20" t="s">
        <v>542</v>
      </c>
      <c r="H1129" s="20" t="s">
        <v>543</v>
      </c>
      <c r="I1129" s="20" t="s">
        <v>544</v>
      </c>
      <c r="J1129" s="20" t="s">
        <v>545</v>
      </c>
      <c r="K1129" s="20" t="s">
        <v>546</v>
      </c>
      <c r="L1129" s="20" t="s">
        <v>547</v>
      </c>
      <c r="M1129" s="20" t="s">
        <v>548</v>
      </c>
      <c r="N1129" s="20" t="s">
        <v>549</v>
      </c>
      <c r="O1129" s="20" t="s">
        <v>550</v>
      </c>
      <c r="P1129" s="6" t="s">
        <v>23</v>
      </c>
      <c r="R1129" s="20" t="n">
        <v>2023</v>
      </c>
      <c r="S1129" s="20" t="n">
        <v>2024</v>
      </c>
      <c r="T1129" s="20" t="n">
        <v>2025</v>
      </c>
      <c r="U1129" s="20" t="n">
        <v>2026</v>
      </c>
      <c r="V1129" s="20" t="n">
        <v>2027</v>
      </c>
      <c r="W1129" s="20" t="n">
        <v>2028</v>
      </c>
      <c r="X1129" s="20" t="n">
        <v>2029</v>
      </c>
      <c r="Y1129" s="20" t="n">
        <v>2030</v>
      </c>
      <c r="Z1129" s="20" t="n">
        <v>2031</v>
      </c>
      <c r="AA1129" s="20" t="n">
        <v>2032</v>
      </c>
    </row>
    <row r="1130" customFormat="false" ht="15" hidden="false" customHeight="false" outlineLevel="0" collapsed="false">
      <c r="A1130" s="5" t="s">
        <v>509</v>
      </c>
      <c r="B1130" s="0" t="s">
        <v>73</v>
      </c>
      <c r="C1130" s="38" t="n">
        <f aca="false">Sens!$C$1121</f>
        <v>59.248</v>
      </c>
      <c r="D1130" s="38" t="n">
        <f aca="false">Sens!$D$1121</f>
        <v>77.67</v>
      </c>
      <c r="E1130" s="38" t="n">
        <f aca="false">Sens!$E$1121</f>
        <v>92.902</v>
      </c>
      <c r="F1130" s="38" t="n">
        <f aca="false">Sens!$F$1121</f>
        <v>48.6893907863888</v>
      </c>
      <c r="G1130" s="38" t="n">
        <f aca="false">Sens!$G$1121</f>
        <v>141.591390786389</v>
      </c>
      <c r="H1130" s="38" t="n">
        <f aca="false">Sens!$H$1121</f>
        <v>111.635363826935</v>
      </c>
      <c r="I1130" s="38" t="n">
        <f aca="false">Sens!$I$1121</f>
        <v>138.424454936452</v>
      </c>
      <c r="J1130" s="38" t="n">
        <f aca="false">Sens!$J$1121</f>
        <v>164.684379055909</v>
      </c>
      <c r="K1130" s="38" t="n">
        <f aca="false">Sens!$K$1121</f>
        <v>189.137160298055</v>
      </c>
      <c r="L1130" s="38" t="n">
        <f aca="false">Sens!$L$1121</f>
        <v>216.784752878573</v>
      </c>
      <c r="M1130" s="38" t="n">
        <f aca="false">Sens!$M$1121</f>
        <v>246.779316180079</v>
      </c>
    </row>
    <row r="1131" customFormat="false" ht="17.15" hidden="false" customHeight="false" outlineLevel="0" collapsed="false">
      <c r="A1131" s="5" t="s">
        <v>730</v>
      </c>
      <c r="B1131" s="0" t="s">
        <v>73</v>
      </c>
      <c r="C1131" s="38" t="n">
        <f aca="false">Sens!$C$1109</f>
        <v>32.067</v>
      </c>
      <c r="D1131" s="38" t="n">
        <f aca="false">Sens!$D$1109</f>
        <v>41.86</v>
      </c>
      <c r="E1131" s="38" t="n">
        <f aca="false">Sens!$E$1109</f>
        <v>26.703</v>
      </c>
      <c r="F1131" s="38" t="n">
        <f aca="false">Sens!$F$1109</f>
        <v>30.5756006241876</v>
      </c>
      <c r="G1131" s="38" t="n">
        <f aca="false">Sens!$G$1109</f>
        <v>57.2786006241876</v>
      </c>
      <c r="H1131" s="38" t="n">
        <f aca="false">Sens!$H$1109</f>
        <v>86.1924927266692</v>
      </c>
      <c r="I1131" s="38" t="n">
        <f aca="false">Sens!$I$1109</f>
        <v>115.162704137435</v>
      </c>
      <c r="J1131" s="38" t="n">
        <f aca="false">Sens!$J$1109</f>
        <v>144.177470273862</v>
      </c>
      <c r="K1131" s="38" t="n">
        <f aca="false">Sens!$K$1109</f>
        <v>172.427049235116</v>
      </c>
      <c r="L1131" s="38" t="n">
        <f aca="false">Sens!$L$1109</f>
        <v>198.839682941428</v>
      </c>
      <c r="M1131" s="38" t="n">
        <f aca="false">Sens!$M$1109</f>
        <v>225.134192103599</v>
      </c>
    </row>
    <row r="1132" customFormat="false" ht="15" hidden="false" customHeight="false" outlineLevel="0" collapsed="false">
      <c r="A1132" s="5" t="s">
        <v>731</v>
      </c>
      <c r="B1132" s="0" t="s">
        <v>73</v>
      </c>
      <c r="C1132" s="38" t="n">
        <f aca="false">Q!$D$48</f>
        <v>22.011</v>
      </c>
      <c r="D1132" s="38" t="n">
        <f aca="false">Q!$E$48</f>
        <v>19.467</v>
      </c>
      <c r="E1132" s="38" t="n">
        <f aca="false">Q!$P$48</f>
        <v>10.07</v>
      </c>
      <c r="F1132" s="38" t="n">
        <f aca="false">sbc_r*Sens!$F$1053</f>
        <v>11.2170714500462</v>
      </c>
      <c r="G1132" s="38" t="n">
        <f aca="false">Sens!$E$1132+Sens!$F$1132</f>
        <v>21.2870714500462</v>
      </c>
      <c r="H1132" s="38" t="n">
        <f aca="false">sbc_r*Sens!$H$1053</f>
        <v>24.1772394325528</v>
      </c>
      <c r="I1132" s="38" t="n">
        <f aca="false">sbc_r*Sens!$I$1053</f>
        <v>27.6495284422397</v>
      </c>
      <c r="J1132" s="38" t="n">
        <f aca="false">sbc_r*Sens!$J$1053</f>
        <v>30.9042211184633</v>
      </c>
      <c r="K1132" s="38" t="n">
        <f aca="false">sbc_r*Sens!$K$1053</f>
        <v>33.8004145402678</v>
      </c>
      <c r="L1132" s="38" t="n">
        <f aca="false">sbc_r*Sens!$L$1053</f>
        <v>36.8322537652494</v>
      </c>
      <c r="M1132" s="38" t="n">
        <f aca="false">sbc_r*Sens!$M$1053</f>
        <v>40.0097627968013</v>
      </c>
    </row>
    <row r="1133" customFormat="false" ht="17.15" hidden="false" customHeight="false" outlineLevel="0" collapsed="false">
      <c r="A1133" s="5" t="s">
        <v>732</v>
      </c>
      <c r="B1133" s="0" t="s">
        <v>73</v>
      </c>
      <c r="C1133" s="38" t="n">
        <f aca="false">Q!$D$44-Sens!$C$1130-Sens!$C$1131-Sens!$C$1132</f>
        <v>2.551</v>
      </c>
      <c r="D1133" s="38" t="n">
        <f aca="false">Q!$E$44-Sens!$D$1130-Sens!$D$1131-Sens!$D$1132</f>
        <v>0.51700000000001</v>
      </c>
      <c r="E1133" s="38" t="n">
        <f aca="false">Q!$P$44-Sens!$E$1130-Sens!$E$1131-Sens!$E$1132</f>
        <v>-58.256</v>
      </c>
      <c r="F1133" s="38" t="n">
        <f aca="false">wc_2h26+oth_r*Sens!$F$1053</f>
        <v>7.34599241893378</v>
      </c>
      <c r="G1133" s="38" t="n">
        <f aca="false">Sens!$E$1133+Sens!$F$1133</f>
        <v>-50.9100075810662</v>
      </c>
      <c r="H1133" s="38" t="n">
        <f aca="false">oth_r*Sens!$H$1053</f>
        <v>11.6369707537667</v>
      </c>
      <c r="I1133" s="38" t="n">
        <f aca="false">oth_r*Sens!$I$1053</f>
        <v>13.3082502961262</v>
      </c>
      <c r="J1133" s="38" t="n">
        <f aca="false">oth_r*Sens!$J$1053</f>
        <v>14.8747965344332</v>
      </c>
      <c r="K1133" s="38" t="n">
        <f aca="false">oth_r*Sens!$K$1053</f>
        <v>16.2687901804328</v>
      </c>
      <c r="L1133" s="38" t="n">
        <f aca="false">oth_r*Sens!$L$1053</f>
        <v>17.7280727627002</v>
      </c>
      <c r="M1133" s="38" t="n">
        <f aca="false">oth_r*Sens!$M$1053</f>
        <v>19.2574690270319</v>
      </c>
      <c r="P1133" s="8" t="s">
        <v>733</v>
      </c>
    </row>
    <row r="1134" customFormat="false" ht="15" hidden="false" customHeight="false" outlineLevel="0" collapsed="false">
      <c r="A1134" s="3" t="s">
        <v>515</v>
      </c>
      <c r="B1134" s="8" t="s">
        <v>73</v>
      </c>
      <c r="C1134" s="38" t="n">
        <f aca="false">Q!$D$44</f>
        <v>115.877</v>
      </c>
      <c r="D1134" s="38" t="n">
        <f aca="false">Q!$E$44</f>
        <v>139.514</v>
      </c>
      <c r="E1134" s="38" t="n">
        <f aca="false">Q!$P$44</f>
        <v>71.419</v>
      </c>
      <c r="F1134" s="38" t="n">
        <f aca="false">Sens!$F$1130+Sens!$F$1131+Sens!$F$1132+Sens!$F$1133</f>
        <v>97.8280552795564</v>
      </c>
      <c r="G1134" s="38" t="n">
        <f aca="false">Sens!$E$1134+Sens!$F$1134</f>
        <v>169.247055279556</v>
      </c>
      <c r="H1134" s="38" t="n">
        <f aca="false">Sens!$H$1130+Sens!$H$1131+Sens!$H$1132+Sens!$H$1133</f>
        <v>233.642066739924</v>
      </c>
      <c r="I1134" s="38" t="n">
        <f aca="false">Sens!$I$1130+Sens!$I$1131+Sens!$I$1132+Sens!$I$1133</f>
        <v>294.544937812253</v>
      </c>
      <c r="J1134" s="38" t="n">
        <f aca="false">Sens!$J$1130+Sens!$J$1131+Sens!$J$1132+Sens!$J$1133</f>
        <v>354.640866982667</v>
      </c>
      <c r="K1134" s="38" t="n">
        <f aca="false">Sens!$K$1130+Sens!$K$1131+Sens!$K$1132+Sens!$K$1133</f>
        <v>411.633414253872</v>
      </c>
      <c r="L1134" s="38" t="n">
        <f aca="false">Sens!$L$1130+Sens!$L$1131+Sens!$L$1132+Sens!$L$1133</f>
        <v>470.184762347951</v>
      </c>
      <c r="M1134" s="38" t="n">
        <f aca="false">Sens!$M$1130+Sens!$M$1131+Sens!$M$1132+Sens!$M$1133</f>
        <v>531.180740107511</v>
      </c>
    </row>
    <row r="1135" customFormat="false" ht="17.15" hidden="false" customHeight="false" outlineLevel="0" collapsed="false">
      <c r="A1135" s="5" t="s">
        <v>734</v>
      </c>
      <c r="B1135" s="0" t="s">
        <v>73</v>
      </c>
      <c r="C1135" s="38" t="n">
        <f aca="false">Sens!$C$1023</f>
        <v>25.2781053077374</v>
      </c>
      <c r="D1135" s="38" t="n">
        <f aca="false">Sens!$D$1023</f>
        <v>69.5686316310026</v>
      </c>
      <c r="E1135" s="38" t="n">
        <f aca="false">Sens!$E$1023</f>
        <v>64.1899206485108</v>
      </c>
      <c r="F1135" s="38" t="n">
        <f aca="false">Sens!$F$1023</f>
        <v>86.8854234933474</v>
      </c>
      <c r="G1135" s="38" t="n">
        <f aca="false">Sens!$G$1023</f>
        <v>151.075344141858</v>
      </c>
      <c r="H1135" s="38" t="n">
        <f aca="false">Sens!$H$1023</f>
        <v>158.8570919558</v>
      </c>
      <c r="I1135" s="38" t="n">
        <f aca="false">Sens!$I$1023</f>
        <v>163.7171759284</v>
      </c>
      <c r="J1135" s="38" t="n">
        <f aca="false">Sens!$J$1023</f>
        <v>167.9065904884</v>
      </c>
      <c r="K1135" s="38" t="n">
        <f aca="false">Sens!$K$1023</f>
        <v>172.0960050484</v>
      </c>
      <c r="L1135" s="38" t="n">
        <f aca="false">Sens!$L$1023</f>
        <v>201.4219069684</v>
      </c>
      <c r="M1135" s="38" t="n">
        <f aca="false">Sens!$M$1023</f>
        <v>249.5006758126</v>
      </c>
    </row>
    <row r="1136" customFormat="false" ht="17.15" hidden="false" customHeight="false" outlineLevel="0" collapsed="false">
      <c r="A1136" s="5" t="s">
        <v>735</v>
      </c>
      <c r="B1136" s="0" t="s">
        <v>73</v>
      </c>
      <c r="C1136" s="38" t="n">
        <f aca="false">cx_awso*Sens!$C$1051</f>
        <v>21.0469989286053</v>
      </c>
      <c r="D1136" s="38" t="n">
        <f aca="false">cx_awso*Sens!$D$1051</f>
        <v>24.0042459822698</v>
      </c>
      <c r="E1136" s="38" t="n">
        <f aca="false">cx_awso*Sens!$E$1051</f>
        <v>14.261729404886</v>
      </c>
      <c r="F1136" s="38" t="n">
        <f aca="false">cx_awso*Sens!$F$1051</f>
        <v>15.7190020837331</v>
      </c>
      <c r="G1136" s="38" t="n">
        <f aca="false">Sens!$E$1136+Sens!$F$1136</f>
        <v>29.9807314886191</v>
      </c>
      <c r="H1136" s="38" t="n">
        <f aca="false">cx_awso*Sens!$H$1051</f>
        <v>36.1787121536283</v>
      </c>
      <c r="I1136" s="38" t="n">
        <f aca="false">cx_awso*Sens!$I$1051</f>
        <v>42.1296794430021</v>
      </c>
      <c r="J1136" s="38" t="n">
        <f aca="false">cx_awso*Sens!$J$1051</f>
        <v>47.279781889299</v>
      </c>
      <c r="K1136" s="38" t="n">
        <f aca="false">cx_awso*Sens!$K$1051</f>
        <v>51.0621644404429</v>
      </c>
      <c r="L1136" s="38" t="n">
        <f aca="false">cx_awso*Sens!$L$1051</f>
        <v>55.1471375956783</v>
      </c>
      <c r="M1136" s="38" t="n">
        <f aca="false">cx_awso*Sens!$M$1051</f>
        <v>59.5589086033326</v>
      </c>
    </row>
    <row r="1137" customFormat="false" ht="17.15" hidden="false" customHeight="false" outlineLevel="0" collapsed="false">
      <c r="A1137" s="5" t="s">
        <v>736</v>
      </c>
      <c r="B1137" s="0" t="s">
        <v>73</v>
      </c>
      <c r="C1137" s="38" t="n">
        <f aca="false">Q!$D$46-Sens!$C$1135-Sens!$C$1136</f>
        <v>31.3328957636573</v>
      </c>
      <c r="D1137" s="38" t="n">
        <f aca="false">Q!$E$46-Sens!$D$1135-Sens!$D$1136</f>
        <v>34.7471223867276</v>
      </c>
      <c r="E1137" s="38" t="n">
        <f aca="false">Q!$P$46-Sens!$E$1135-Sens!$E$1136</f>
        <v>17.8583499466032</v>
      </c>
      <c r="F1137" s="38" t="n">
        <f aca="false">cx_rt*Sens!$F$987</f>
        <v>21.0855744229195</v>
      </c>
      <c r="G1137" s="38" t="n">
        <f aca="false">Sens!$E$1137+Sens!$F$1137</f>
        <v>38.9439243695228</v>
      </c>
      <c r="H1137" s="38" t="n">
        <f aca="false">cx_rt*Sens!$H$987</f>
        <v>43.1200434029767</v>
      </c>
      <c r="I1137" s="38" t="n">
        <f aca="false">cx_rt*Sens!$I$987</f>
        <v>47.1583152318763</v>
      </c>
      <c r="J1137" s="38" t="n">
        <f aca="false">cx_rt*Sens!$J$987</f>
        <v>50.9060281137911</v>
      </c>
      <c r="K1137" s="38" t="n">
        <f aca="false">cx_rt*Sens!$K$987</f>
        <v>54.2035645673053</v>
      </c>
      <c r="L1137" s="38" t="n">
        <f aca="false">cx_rt*Sens!$L$987</f>
        <v>57.7318979121519</v>
      </c>
      <c r="M1137" s="38" t="n">
        <f aca="false">cx_rt*Sens!$M$987</f>
        <v>61.5084196557756</v>
      </c>
    </row>
    <row r="1138" customFormat="false" ht="15" hidden="false" customHeight="false" outlineLevel="0" collapsed="false">
      <c r="A1138" s="3" t="s">
        <v>737</v>
      </c>
      <c r="B1138" s="8" t="s">
        <v>73</v>
      </c>
      <c r="C1138" s="38" t="n">
        <f aca="false">Q!$D$46</f>
        <v>77.658</v>
      </c>
      <c r="D1138" s="38" t="n">
        <f aca="false">Q!$E$46</f>
        <v>128.32</v>
      </c>
      <c r="E1138" s="38" t="n">
        <f aca="false">Q!$P$46</f>
        <v>96.31</v>
      </c>
      <c r="F1138" s="38" t="n">
        <f aca="false">Sens!$F$1135+Sens!$F$1136+Sens!$F$1137</f>
        <v>123.69</v>
      </c>
      <c r="G1138" s="38" t="n">
        <f aca="false">Sens!$E$1138+Sens!$F$1138</f>
        <v>220</v>
      </c>
      <c r="H1138" s="38" t="n">
        <f aca="false">Sens!$H$1135+Sens!$H$1136+Sens!$H$1137</f>
        <v>238.155847512405</v>
      </c>
      <c r="I1138" s="38" t="n">
        <f aca="false">Sens!$I$1135+Sens!$I$1136+Sens!$I$1137</f>
        <v>253.005170603278</v>
      </c>
      <c r="J1138" s="38" t="n">
        <f aca="false">Sens!$J$1135+Sens!$J$1136+Sens!$J$1137</f>
        <v>266.09240049149</v>
      </c>
      <c r="K1138" s="38" t="n">
        <f aca="false">Sens!$K$1135+Sens!$K$1136+Sens!$K$1137</f>
        <v>277.361734056148</v>
      </c>
      <c r="L1138" s="38" t="n">
        <f aca="false">Sens!$L$1135+Sens!$L$1136+Sens!$L$1137</f>
        <v>314.30094247623</v>
      </c>
      <c r="M1138" s="38" t="n">
        <f aca="false">Sens!$M$1135+Sens!$M$1136+Sens!$M$1137</f>
        <v>370.568004071708</v>
      </c>
    </row>
    <row r="1139" customFormat="false" ht="17.15" hidden="false" customHeight="false" outlineLevel="0" collapsed="false">
      <c r="A1139" s="5" t="s">
        <v>523</v>
      </c>
      <c r="B1139" s="0" t="s">
        <v>73</v>
      </c>
      <c r="C1139" s="38" t="n">
        <f aca="false">Q!$D$50</f>
        <v>2.043</v>
      </c>
      <c r="D1139" s="38" t="n">
        <f aca="false">Q!$E$50</f>
        <v>1.557</v>
      </c>
      <c r="E1139" s="38" t="n">
        <f aca="false">lease_pr/2</f>
        <v>0.8</v>
      </c>
      <c r="F1139" s="38" t="n">
        <f aca="false">lease_pr/2</f>
        <v>0.8</v>
      </c>
      <c r="G1139" s="38" t="n">
        <f aca="false">Sens!$E$1139+Sens!$F$1139</f>
        <v>1.6</v>
      </c>
      <c r="H1139" s="38" t="n">
        <f aca="false">lease_pr</f>
        <v>1.6</v>
      </c>
      <c r="I1139" s="38" t="n">
        <f aca="false">lease_pr</f>
        <v>1.6</v>
      </c>
      <c r="J1139" s="38" t="n">
        <f aca="false">lease_pr</f>
        <v>1.6</v>
      </c>
      <c r="K1139" s="38" t="n">
        <f aca="false">lease_pr</f>
        <v>1.6</v>
      </c>
      <c r="L1139" s="38" t="n">
        <f aca="false">lease_pr</f>
        <v>1.6</v>
      </c>
      <c r="M1139" s="38" t="n">
        <f aca="false">lease_pr</f>
        <v>1.6</v>
      </c>
      <c r="P1139" s="8" t="s">
        <v>738</v>
      </c>
    </row>
    <row r="1140" customFormat="false" ht="15" hidden="false" customHeight="false" outlineLevel="0" collapsed="false">
      <c r="A1140" s="46" t="s">
        <v>739</v>
      </c>
      <c r="B1140" s="13" t="s">
        <v>73</v>
      </c>
      <c r="C1140" s="47" t="n">
        <f aca="false">Sens!$C$1134-Sens!$C$1138-Sens!$C$1139</f>
        <v>36.176</v>
      </c>
      <c r="D1140" s="47" t="n">
        <f aca="false">Sens!$D$1134-Sens!$D$1138-Sens!$D$1139</f>
        <v>9.63700000000002</v>
      </c>
      <c r="E1140" s="47" t="n">
        <f aca="false">Sens!$E$1134-Sens!$E$1138-Sens!$E$1139</f>
        <v>-25.691</v>
      </c>
      <c r="F1140" s="47" t="n">
        <f aca="false">Sens!$F$1134-Sens!$F$1138-Sens!$F$1139</f>
        <v>-26.6619447204436</v>
      </c>
      <c r="G1140" s="47" t="n">
        <f aca="false">Sens!$G$1134-Sens!$G$1138-Sens!$G$1139</f>
        <v>-52.3529447204436</v>
      </c>
      <c r="H1140" s="47" t="n">
        <f aca="false">Sens!$H$1134-Sens!$H$1138-Sens!$H$1139</f>
        <v>-6.11378077248162</v>
      </c>
      <c r="I1140" s="47" t="n">
        <f aca="false">Sens!$I$1134-Sens!$I$1138-Sens!$I$1139</f>
        <v>39.939767208975</v>
      </c>
      <c r="J1140" s="47" t="n">
        <f aca="false">Sens!$J$1134-Sens!$J$1138-Sens!$J$1139</f>
        <v>86.9484664911768</v>
      </c>
      <c r="K1140" s="47" t="n">
        <f aca="false">Sens!$K$1134-Sens!$K$1138-Sens!$K$1139</f>
        <v>132.671680197723</v>
      </c>
      <c r="L1140" s="47" t="n">
        <f aca="false">Sens!$L$1134-Sens!$L$1138-Sens!$L$1139</f>
        <v>154.283819871721</v>
      </c>
      <c r="M1140" s="47" t="n">
        <f aca="false">Sens!$M$1134-Sens!$M$1138-Sens!$M$1139</f>
        <v>159.012736035803</v>
      </c>
      <c r="N1140" s="13"/>
      <c r="O1140" s="13"/>
    </row>
    <row r="1141" customFormat="false" ht="17.15" hidden="false" customHeight="false" outlineLevel="0" collapsed="false">
      <c r="A1141" s="5" t="s">
        <v>740</v>
      </c>
      <c r="B1141" s="0" t="s">
        <v>73</v>
      </c>
      <c r="C1141" s="38" t="n">
        <f aca="false">dps*Sens!$C$1122</f>
        <v>0</v>
      </c>
      <c r="D1141" s="38" t="n">
        <f aca="false">dps*Sens!$D$1122</f>
        <v>0</v>
      </c>
      <c r="E1141" s="38" t="n">
        <f aca="false">dps*Sens!$E$1122</f>
        <v>0</v>
      </c>
      <c r="F1141" s="38" t="n">
        <f aca="false">0</f>
        <v>0</v>
      </c>
      <c r="G1141" s="38" t="n">
        <f aca="false">dps*Sens!$G$1122</f>
        <v>0</v>
      </c>
      <c r="H1141" s="38" t="n">
        <f aca="false">dps*Sens!$H$1122</f>
        <v>0</v>
      </c>
      <c r="I1141" s="38" t="n">
        <f aca="false">dps*Sens!$I$1122</f>
        <v>0</v>
      </c>
      <c r="J1141" s="38" t="n">
        <f aca="false">dps*Sens!$J$1122</f>
        <v>0</v>
      </c>
      <c r="K1141" s="38" t="n">
        <f aca="false">dps*Sens!$K$1122</f>
        <v>0</v>
      </c>
      <c r="L1141" s="38" t="n">
        <f aca="false">dps*Sens!$L$1122</f>
        <v>0</v>
      </c>
      <c r="M1141" s="38" t="n">
        <f aca="false">dps*Sens!$M$1122</f>
        <v>0</v>
      </c>
      <c r="P1141" s="8" t="s">
        <v>741</v>
      </c>
    </row>
    <row r="1142" customFormat="false" ht="17.15" hidden="false" customHeight="false" outlineLevel="0" collapsed="false">
      <c r="A1142" s="5" t="s">
        <v>742</v>
      </c>
      <c r="B1142" s="0" t="s">
        <v>73</v>
      </c>
      <c r="C1142" s="38" t="n">
        <f aca="false">0</f>
        <v>0</v>
      </c>
      <c r="D1142" s="38" t="n">
        <f aca="false">0</f>
        <v>0</v>
      </c>
      <c r="E1142" s="38" t="n">
        <f aca="false">0</f>
        <v>0</v>
      </c>
      <c r="F1142" s="38" t="n">
        <f aca="false">0</f>
        <v>0</v>
      </c>
      <c r="G1142" s="38" t="n">
        <f aca="false">0</f>
        <v>0</v>
      </c>
      <c r="H1142" s="38" t="n">
        <f aca="false">0</f>
        <v>0</v>
      </c>
      <c r="I1142" s="38" t="n">
        <f aca="false">0</f>
        <v>0</v>
      </c>
      <c r="J1142" s="38" t="n">
        <f aca="false">0</f>
        <v>0</v>
      </c>
      <c r="K1142" s="38" t="n">
        <f aca="false">0</f>
        <v>0</v>
      </c>
      <c r="L1142" s="38" t="n">
        <f aca="false">0</f>
        <v>0</v>
      </c>
      <c r="M1142" s="38" t="n">
        <f aca="false">0</f>
        <v>0</v>
      </c>
      <c r="P1142" s="8" t="s">
        <v>743</v>
      </c>
    </row>
    <row r="1143" customFormat="false" ht="15" hidden="false" customHeight="false" outlineLevel="0" collapsed="false">
      <c r="A1143" s="3" t="s">
        <v>744</v>
      </c>
      <c r="B1143" s="8" t="s">
        <v>73</v>
      </c>
      <c r="C1143" s="38" t="n">
        <f aca="false">Sens!$C$1140-Sens!$C$1141</f>
        <v>36.176</v>
      </c>
      <c r="D1143" s="38" t="n">
        <f aca="false">Sens!$D$1140-Sens!$D$1141</f>
        <v>9.63700000000002</v>
      </c>
      <c r="E1143" s="38" t="n">
        <f aca="false">Sens!$E$1140-Sens!$E$1141</f>
        <v>-25.691</v>
      </c>
      <c r="F1143" s="38" t="n">
        <f aca="false">Sens!$F$1140-Sens!$F$1141</f>
        <v>-26.6619447204436</v>
      </c>
      <c r="G1143" s="38" t="n">
        <f aca="false">Sens!$G$1140-Sens!$G$1141</f>
        <v>-52.3529447204436</v>
      </c>
      <c r="H1143" s="38" t="n">
        <f aca="false">Sens!$H$1140-Sens!$H$1141</f>
        <v>-6.11378077248162</v>
      </c>
      <c r="I1143" s="38" t="n">
        <f aca="false">Sens!$I$1140-Sens!$I$1141</f>
        <v>39.939767208975</v>
      </c>
      <c r="J1143" s="38" t="n">
        <f aca="false">Sens!$J$1140-Sens!$J$1141</f>
        <v>86.9484664911768</v>
      </c>
      <c r="K1143" s="38" t="n">
        <f aca="false">Sens!$K$1140-Sens!$K$1141</f>
        <v>132.671680197723</v>
      </c>
      <c r="L1143" s="38" t="n">
        <f aca="false">Sens!$L$1140-Sens!$L$1141</f>
        <v>154.283819871721</v>
      </c>
      <c r="M1143" s="38" t="n">
        <f aca="false">Sens!$M$1140-Sens!$M$1141</f>
        <v>159.012736035803</v>
      </c>
    </row>
    <row r="1144" customFormat="false" ht="17.15" hidden="false" customHeight="false" outlineLevel="0" collapsed="false">
      <c r="A1144" s="5" t="s">
        <v>745</v>
      </c>
      <c r="B1144" s="0" t="s">
        <v>73</v>
      </c>
      <c r="E1144" s="38" t="n">
        <f aca="false">Q!$P$53</f>
        <v>39.767</v>
      </c>
      <c r="F1144" s="38" t="n">
        <f aca="false">inv_2h26</f>
        <v>21.3</v>
      </c>
      <c r="G1144" s="38" t="n">
        <f aca="false">Sens!$E$1144+Sens!$F$1144</f>
        <v>61.067</v>
      </c>
      <c r="H1144" s="41" t="n">
        <v>0</v>
      </c>
      <c r="I1144" s="41" t="n">
        <v>0</v>
      </c>
      <c r="J1144" s="41" t="n">
        <v>0</v>
      </c>
      <c r="K1144" s="41" t="n">
        <v>0</v>
      </c>
      <c r="L1144" s="41" t="n">
        <v>0</v>
      </c>
      <c r="M1144" s="41" t="n">
        <v>0</v>
      </c>
    </row>
    <row r="1145" customFormat="false" ht="17.15" hidden="false" customHeight="false" outlineLevel="0" collapsed="false">
      <c r="A1145" s="5" t="s">
        <v>746</v>
      </c>
      <c r="B1145" s="0" t="s">
        <v>73</v>
      </c>
      <c r="F1145" s="38" t="n">
        <f aca="false">iss_2h26</f>
        <v>29.25</v>
      </c>
      <c r="G1145" s="38" t="n">
        <f aca="false">Sens!$F$1145</f>
        <v>29.25</v>
      </c>
      <c r="H1145" s="41" t="n">
        <v>0</v>
      </c>
      <c r="I1145" s="41" t="n">
        <v>0</v>
      </c>
      <c r="J1145" s="41" t="n">
        <v>0</v>
      </c>
      <c r="K1145" s="41" t="n">
        <v>0</v>
      </c>
      <c r="L1145" s="41" t="n">
        <v>0</v>
      </c>
      <c r="M1145" s="41" t="n">
        <v>0</v>
      </c>
    </row>
    <row r="1146" customFormat="false" ht="17.15" hidden="false" customHeight="false" outlineLevel="0" collapsed="false">
      <c r="A1146" s="5" t="s">
        <v>747</v>
      </c>
      <c r="B1146" s="0" t="s">
        <v>73</v>
      </c>
      <c r="F1146" s="38" t="n">
        <f aca="false">cash_q2</f>
        <v>122.988</v>
      </c>
      <c r="G1146" s="38" t="n">
        <f aca="false">cash_q2</f>
        <v>122.988</v>
      </c>
      <c r="H1146" s="38" t="n">
        <f aca="false">Sens!$G$1149</f>
        <v>104.276055279556</v>
      </c>
      <c r="I1146" s="38" t="n">
        <f aca="false">Sens!$H$1149</f>
        <v>98.1622745070748</v>
      </c>
      <c r="J1146" s="38" t="n">
        <f aca="false">Sens!$I$1149</f>
        <v>138.10204171605</v>
      </c>
      <c r="K1146" s="38" t="n">
        <f aca="false">Sens!$J$1149</f>
        <v>225.050508207227</v>
      </c>
      <c r="L1146" s="38" t="n">
        <f aca="false">Sens!$K$1149</f>
        <v>357.72218840495</v>
      </c>
      <c r="M1146" s="38" t="n">
        <f aca="false">Sens!$L$1149</f>
        <v>512.006008276671</v>
      </c>
    </row>
    <row r="1147" customFormat="false" ht="15" hidden="false" customHeight="false" outlineLevel="0" collapsed="false">
      <c r="A1147" s="5" t="s">
        <v>748</v>
      </c>
      <c r="B1147" s="0" t="s">
        <v>73</v>
      </c>
      <c r="F1147" s="38" t="n">
        <f aca="false">Sens!$F$1146+Sens!$F$1143-Sens!$F$1142-Sens!$F$1144+Sens!$F$1145</f>
        <v>104.276055279556</v>
      </c>
      <c r="H1147" s="38" t="n">
        <f aca="false">Sens!$H$1146+Sens!$H$1143-Sens!$H$1142-Sens!$H$1144+Sens!$H$1145</f>
        <v>98.1622745070748</v>
      </c>
      <c r="I1147" s="38" t="n">
        <f aca="false">Sens!$I$1146+Sens!$I$1143-Sens!$I$1142-Sens!$I$1144+Sens!$I$1145</f>
        <v>138.10204171605</v>
      </c>
      <c r="J1147" s="38" t="n">
        <f aca="false">Sens!$J$1146+Sens!$J$1143-Sens!$J$1142-Sens!$J$1144+Sens!$J$1145</f>
        <v>225.050508207227</v>
      </c>
      <c r="K1147" s="38" t="n">
        <f aca="false">Sens!$K$1146+Sens!$K$1143-Sens!$K$1142-Sens!$K$1144+Sens!$K$1145</f>
        <v>357.72218840495</v>
      </c>
      <c r="L1147" s="38" t="n">
        <f aca="false">Sens!$L$1146+Sens!$L$1143-Sens!$L$1142-Sens!$L$1144+Sens!$L$1145</f>
        <v>512.006008276671</v>
      </c>
      <c r="M1147" s="38" t="n">
        <f aca="false">Sens!$M$1146+Sens!$M$1143-Sens!$M$1142-Sens!$M$1144+Sens!$M$1145</f>
        <v>671.018744312474</v>
      </c>
    </row>
    <row r="1148" customFormat="false" ht="17.15" hidden="false" customHeight="false" outlineLevel="0" collapsed="false">
      <c r="A1148" s="5" t="s">
        <v>749</v>
      </c>
      <c r="B1148" s="0" t="s">
        <v>73</v>
      </c>
      <c r="F1148" s="38" t="n">
        <f aca="false">MAX(0,min_cash-Sens!$F$1147)</f>
        <v>0</v>
      </c>
      <c r="G1148" s="38" t="n">
        <f aca="false">Sens!$F$1148</f>
        <v>0</v>
      </c>
      <c r="H1148" s="38" t="n">
        <f aca="false">MAX(0,min_cash-Sens!$H$1147)</f>
        <v>0</v>
      </c>
      <c r="I1148" s="38" t="n">
        <f aca="false">MAX(0,min_cash-Sens!$I$1147)</f>
        <v>0</v>
      </c>
      <c r="J1148" s="38" t="n">
        <f aca="false">MAX(0,min_cash-Sens!$J$1147)</f>
        <v>0</v>
      </c>
      <c r="K1148" s="38" t="n">
        <f aca="false">MAX(0,min_cash-Sens!$K$1147)</f>
        <v>0</v>
      </c>
      <c r="L1148" s="38" t="n">
        <f aca="false">MAX(0,min_cash-Sens!$L$1147)</f>
        <v>0</v>
      </c>
      <c r="M1148" s="38" t="n">
        <f aca="false">MAX(0,min_cash-Sens!$M$1147)</f>
        <v>0</v>
      </c>
      <c r="P1148" s="5" t="s">
        <v>750</v>
      </c>
    </row>
    <row r="1149" customFormat="false" ht="15" hidden="false" customHeight="false" outlineLevel="0" collapsed="false">
      <c r="A1149" s="5" t="s">
        <v>751</v>
      </c>
      <c r="B1149" s="0" t="s">
        <v>73</v>
      </c>
      <c r="D1149" s="38" t="n">
        <f aca="false">Q!$E$61</f>
        <v>123.029</v>
      </c>
      <c r="E1149" s="38" t="n">
        <f aca="false">Q!$M$61</f>
        <v>122.988</v>
      </c>
      <c r="F1149" s="38" t="n">
        <f aca="false">Sens!$F$1147+Sens!$F$1148</f>
        <v>104.276055279556</v>
      </c>
      <c r="G1149" s="38" t="n">
        <f aca="false">Sens!$F$1149</f>
        <v>104.276055279556</v>
      </c>
      <c r="H1149" s="38" t="n">
        <f aca="false">Sens!$H$1147+Sens!$H$1148</f>
        <v>98.1622745070748</v>
      </c>
      <c r="I1149" s="38" t="n">
        <f aca="false">Sens!$I$1147+Sens!$I$1148</f>
        <v>138.10204171605</v>
      </c>
      <c r="J1149" s="38" t="n">
        <f aca="false">Sens!$J$1147+Sens!$J$1148</f>
        <v>225.050508207227</v>
      </c>
      <c r="K1149" s="38" t="n">
        <f aca="false">Sens!$K$1147+Sens!$K$1148</f>
        <v>357.72218840495</v>
      </c>
      <c r="L1149" s="38" t="n">
        <f aca="false">Sens!$L$1147+Sens!$L$1148</f>
        <v>512.006008276671</v>
      </c>
      <c r="M1149" s="38" t="n">
        <f aca="false">Sens!$M$1147+Sens!$M$1148</f>
        <v>671.018744312474</v>
      </c>
    </row>
    <row r="1150" customFormat="false" ht="15" hidden="false" customHeight="false" outlineLevel="0" collapsed="false">
      <c r="A1150" s="5" t="s">
        <v>752</v>
      </c>
      <c r="B1150" s="0" t="s">
        <v>73</v>
      </c>
      <c r="D1150" s="38" t="n">
        <f aca="false">Q!$E$62</f>
        <v>68.836</v>
      </c>
      <c r="E1150" s="38" t="n">
        <f aca="false">Q!$M$62</f>
        <v>132.995</v>
      </c>
      <c r="F1150" s="38" t="n">
        <f aca="false">debt_q2+Sens!$F$1145+Sens!$F$1148</f>
        <v>162.245</v>
      </c>
      <c r="G1150" s="38" t="n">
        <f aca="false">Sens!$F$1150</f>
        <v>162.245</v>
      </c>
      <c r="H1150" s="38" t="n">
        <f aca="false">Sens!$G$1150+Sens!$H$1148</f>
        <v>162.245</v>
      </c>
      <c r="I1150" s="38" t="n">
        <f aca="false">Sens!$H$1150+Sens!$I$1148</f>
        <v>162.245</v>
      </c>
      <c r="J1150" s="38" t="n">
        <f aca="false">Sens!$I$1150+Sens!$J$1148</f>
        <v>162.245</v>
      </c>
      <c r="K1150" s="38" t="n">
        <f aca="false">Sens!$J$1150+Sens!$K$1148</f>
        <v>162.245</v>
      </c>
      <c r="L1150" s="38" t="n">
        <f aca="false">Sens!$K$1150+Sens!$L$1148</f>
        <v>162.245</v>
      </c>
      <c r="M1150" s="38" t="n">
        <f aca="false">Sens!$L$1150+Sens!$M$1148</f>
        <v>162.245</v>
      </c>
    </row>
    <row r="1151" customFormat="false" ht="15" hidden="false" customHeight="false" outlineLevel="0" collapsed="false">
      <c r="A1151" s="5" t="s">
        <v>753</v>
      </c>
      <c r="B1151" s="0" t="s">
        <v>73</v>
      </c>
      <c r="D1151" s="38" t="n">
        <f aca="false">Sens!$D$1150-Sens!$D$1149</f>
        <v>-54.193</v>
      </c>
      <c r="E1151" s="38" t="n">
        <f aca="false">Sens!$E$1150-Sens!$E$1149</f>
        <v>10.007</v>
      </c>
      <c r="F1151" s="38" t="n">
        <f aca="false">Sens!$F$1150-Sens!$F$1149</f>
        <v>57.9689447204436</v>
      </c>
      <c r="G1151" s="38" t="n">
        <f aca="false">Sens!$G$1150-Sens!$G$1149</f>
        <v>57.9689447204436</v>
      </c>
      <c r="H1151" s="38" t="n">
        <f aca="false">Sens!$H$1150-Sens!$H$1149</f>
        <v>64.0827254929252</v>
      </c>
      <c r="I1151" s="38" t="n">
        <f aca="false">Sens!$I$1150-Sens!$I$1149</f>
        <v>24.1429582839502</v>
      </c>
      <c r="J1151" s="38" t="n">
        <f aca="false">Sens!$J$1150-Sens!$J$1149</f>
        <v>-62.8055082072266</v>
      </c>
      <c r="K1151" s="38" t="n">
        <f aca="false">Sens!$K$1150-Sens!$K$1149</f>
        <v>-195.47718840495</v>
      </c>
      <c r="L1151" s="38" t="n">
        <f aca="false">Sens!$L$1150-Sens!$L$1149</f>
        <v>-349.761008276671</v>
      </c>
      <c r="M1151" s="38" t="n">
        <f aca="false">Sens!$M$1150-Sens!$M$1149</f>
        <v>-508.773744312474</v>
      </c>
    </row>
    <row r="1152" customFormat="false" ht="17.15" hidden="false" customHeight="false" outlineLevel="0" collapsed="false">
      <c r="A1152" s="5" t="s">
        <v>754</v>
      </c>
      <c r="B1152" s="0" t="s">
        <v>73</v>
      </c>
      <c r="F1152" s="38" t="n">
        <f aca="false">debt_q2*kd_book*0.5+iss_2h26*kd_new*0.25</f>
        <v>3.24888964316061</v>
      </c>
      <c r="H1152" s="38" t="n">
        <f aca="false">debt_q2*kd_book+(Sens!$G$1150-debt_q2)*kd_new</f>
        <v>7.42354178632123</v>
      </c>
      <c r="I1152" s="38" t="n">
        <f aca="false">debt_q2*kd_book+(Sens!$H$1150-debt_q2)*kd_new</f>
        <v>7.42354178632123</v>
      </c>
      <c r="J1152" s="38" t="n">
        <f aca="false">debt_q2*kd_book+(Sens!$I$1150-debt_q2)*kd_new</f>
        <v>7.42354178632123</v>
      </c>
      <c r="K1152" s="38" t="n">
        <f aca="false">debt_q2*kd_book+(Sens!$J$1150-debt_q2)*kd_new</f>
        <v>7.42354178632123</v>
      </c>
      <c r="L1152" s="38" t="n">
        <f aca="false">debt_q2*kd_book+(Sens!$K$1150-debt_q2)*kd_new</f>
        <v>7.42354178632123</v>
      </c>
      <c r="M1152" s="38" t="n">
        <f aca="false">debt_q2*kd_book+(Sens!$L$1150-debt_q2)*kd_new</f>
        <v>7.42354178632123</v>
      </c>
    </row>
    <row r="1153" customFormat="false" ht="17.15" hidden="false" customHeight="false" outlineLevel="0" collapsed="false">
      <c r="A1153" s="5" t="s">
        <v>755</v>
      </c>
      <c r="B1153" s="0" t="s">
        <v>73</v>
      </c>
      <c r="F1153" s="38" t="n">
        <f aca="false">cash_q2*y_cash*0.5</f>
        <v>2.59</v>
      </c>
      <c r="H1153" s="38" t="n">
        <f aca="false">Sens!$G$1149*y_cash</f>
        <v>4.39189161827253</v>
      </c>
      <c r="I1153" s="38" t="n">
        <f aca="false">Sens!$H$1149*y_cash</f>
        <v>4.13439182641109</v>
      </c>
      <c r="J1153" s="38" t="n">
        <f aca="false">Sens!$I$1149*y_cash</f>
        <v>5.81657215410559</v>
      </c>
      <c r="K1153" s="38" t="n">
        <f aca="false">Sens!$J$1149*y_cash</f>
        <v>9.47866159717561</v>
      </c>
      <c r="L1153" s="38" t="n">
        <f aca="false">Sens!$K$1149*y_cash</f>
        <v>15.0665181638667</v>
      </c>
      <c r="M1153" s="38" t="n">
        <f aca="false">Sens!$L$1149*y_cash</f>
        <v>21.5646333209188</v>
      </c>
    </row>
    <row r="1154" customFormat="false" ht="17.15" hidden="false" customHeight="false" outlineLevel="0" collapsed="false">
      <c r="A1154" s="46" t="s">
        <v>756</v>
      </c>
      <c r="B1154" s="13" t="s">
        <v>73</v>
      </c>
      <c r="C1154" s="13"/>
      <c r="D1154" s="13"/>
      <c r="E1154" s="13"/>
      <c r="F1154" s="13"/>
      <c r="G1154" s="47" t="n">
        <f aca="false">SUM(Sens!$G$1143:$K$1143)</f>
        <v>201.09318840495</v>
      </c>
      <c r="H1154" s="13"/>
      <c r="I1154" s="13"/>
      <c r="J1154" s="13"/>
      <c r="K1154" s="13"/>
      <c r="L1154" s="13"/>
      <c r="M1154" s="13"/>
      <c r="N1154" s="13"/>
      <c r="O1154" s="13"/>
    </row>
    <row r="1155" customFormat="false" ht="17.15" hidden="false" customHeight="false" outlineLevel="0" collapsed="false">
      <c r="A1155" s="0" t="s">
        <v>723</v>
      </c>
      <c r="B1155" s="0" t="s">
        <v>73</v>
      </c>
      <c r="G1155" s="38" t="n">
        <f aca="false">SUM(Sens!$G$1148:$K$1148)</f>
        <v>0</v>
      </c>
    </row>
    <row r="1158" customFormat="false" ht="19.4" hidden="false" customHeight="false" outlineLevel="0" collapsed="false">
      <c r="A1158" s="31" t="s">
        <v>1067</v>
      </c>
    </row>
    <row r="1159" customFormat="false" ht="17.15" hidden="false" customHeight="false" outlineLevel="0" collapsed="false">
      <c r="A1159" s="6" t="s">
        <v>16</v>
      </c>
      <c r="B1159" s="6" t="s">
        <v>17</v>
      </c>
      <c r="C1159" s="20" t="s">
        <v>457</v>
      </c>
      <c r="D1159" s="20" t="s">
        <v>458</v>
      </c>
      <c r="E1159" s="20" t="s">
        <v>540</v>
      </c>
      <c r="F1159" s="20" t="s">
        <v>541</v>
      </c>
      <c r="G1159" s="20" t="s">
        <v>542</v>
      </c>
      <c r="H1159" s="20" t="s">
        <v>543</v>
      </c>
      <c r="I1159" s="20" t="s">
        <v>544</v>
      </c>
      <c r="J1159" s="20" t="s">
        <v>545</v>
      </c>
      <c r="K1159" s="20" t="s">
        <v>546</v>
      </c>
      <c r="L1159" s="20" t="s">
        <v>547</v>
      </c>
      <c r="M1159" s="20" t="s">
        <v>548</v>
      </c>
      <c r="N1159" s="20" t="s">
        <v>549</v>
      </c>
      <c r="O1159" s="20" t="s">
        <v>550</v>
      </c>
      <c r="P1159" s="6" t="s">
        <v>23</v>
      </c>
      <c r="R1159" s="20" t="n">
        <v>2023</v>
      </c>
      <c r="S1159" s="20" t="n">
        <v>2024</v>
      </c>
      <c r="T1159" s="20" t="n">
        <v>2025</v>
      </c>
      <c r="U1159" s="20" t="n">
        <v>2026</v>
      </c>
      <c r="V1159" s="20" t="n">
        <v>2027</v>
      </c>
      <c r="W1159" s="20" t="n">
        <v>2028</v>
      </c>
      <c r="X1159" s="20" t="n">
        <v>2029</v>
      </c>
      <c r="Y1159" s="20" t="n">
        <v>2030</v>
      </c>
      <c r="Z1159" s="20" t="n">
        <v>2031</v>
      </c>
      <c r="AA1159" s="20" t="n">
        <v>2032</v>
      </c>
    </row>
    <row r="1160" customFormat="false" ht="17.15" hidden="false" customHeight="false" outlineLevel="0" collapsed="false">
      <c r="A1160" s="1" t="s">
        <v>851</v>
      </c>
    </row>
    <row r="1161" customFormat="false" ht="17.15" hidden="false" customHeight="false" outlineLevel="0" collapsed="false">
      <c r="A1161" s="0" t="s">
        <v>852</v>
      </c>
      <c r="B1161" s="0" t="s">
        <v>73</v>
      </c>
      <c r="H1161" s="38" t="n">
        <f aca="false">Sens!$H$1097*(1-tax)</f>
        <v>114.140766435682</v>
      </c>
      <c r="I1161" s="38" t="n">
        <f aca="false">Sens!$I$1097*(1-tax)</f>
        <v>141.142659357586</v>
      </c>
      <c r="J1161" s="38" t="n">
        <f aca="false">Sens!$J$1097*(1-tax)</f>
        <v>166.012403625222</v>
      </c>
      <c r="K1161" s="38" t="n">
        <f aca="false">Sens!$K$1097*(1-tax)</f>
        <v>187.438777486717</v>
      </c>
      <c r="L1161" s="38" t="n">
        <f aca="false">Sens!$L$1097*(1-tax)</f>
        <v>210.4684789375</v>
      </c>
      <c r="M1161" s="38" t="n">
        <f aca="false">Sens!$M$1097*(1-tax)</f>
        <v>235.092899325419</v>
      </c>
    </row>
    <row r="1162" customFormat="false" ht="15" hidden="false" customHeight="false" outlineLevel="0" collapsed="false">
      <c r="A1162" s="5" t="s">
        <v>853</v>
      </c>
      <c r="B1162" s="0" t="s">
        <v>73</v>
      </c>
      <c r="H1162" s="38" t="n">
        <f aca="false">Sens!$H$1109</f>
        <v>86.1924927266692</v>
      </c>
      <c r="I1162" s="38" t="n">
        <f aca="false">Sens!$I$1109</f>
        <v>115.162704137435</v>
      </c>
      <c r="J1162" s="38" t="n">
        <f aca="false">Sens!$J$1109</f>
        <v>144.177470273862</v>
      </c>
      <c r="K1162" s="38" t="n">
        <f aca="false">Sens!$K$1109</f>
        <v>172.427049235116</v>
      </c>
      <c r="L1162" s="38" t="n">
        <f aca="false">Sens!$L$1109</f>
        <v>198.839682941428</v>
      </c>
      <c r="M1162" s="38" t="n">
        <f aca="false">Sens!$M$1109</f>
        <v>225.134192103599</v>
      </c>
    </row>
    <row r="1163" customFormat="false" ht="15" hidden="false" customHeight="false" outlineLevel="0" collapsed="false">
      <c r="A1163" s="5" t="s">
        <v>854</v>
      </c>
      <c r="B1163" s="0" t="s">
        <v>73</v>
      </c>
      <c r="H1163" s="38" t="n">
        <f aca="false">Sens!$H$1138</f>
        <v>238.155847512405</v>
      </c>
      <c r="I1163" s="38" t="n">
        <f aca="false">Sens!$I$1138</f>
        <v>253.005170603278</v>
      </c>
      <c r="J1163" s="38" t="n">
        <f aca="false">Sens!$J$1138</f>
        <v>266.09240049149</v>
      </c>
      <c r="K1163" s="38" t="n">
        <f aca="false">Sens!$K$1138</f>
        <v>277.361734056148</v>
      </c>
      <c r="L1163" s="38" t="n">
        <f aca="false">Sens!$L$1138</f>
        <v>314.30094247623</v>
      </c>
      <c r="M1163" s="38" t="n">
        <f aca="false">Sens!$M$1138</f>
        <v>370.568004071708</v>
      </c>
    </row>
    <row r="1164" customFormat="false" ht="15" hidden="false" customHeight="false" outlineLevel="0" collapsed="false">
      <c r="A1164" s="5" t="s">
        <v>855</v>
      </c>
      <c r="B1164" s="0" t="s">
        <v>73</v>
      </c>
      <c r="H1164" s="38" t="n">
        <f aca="false">Sens!$H$1139</f>
        <v>1.6</v>
      </c>
      <c r="I1164" s="38" t="n">
        <f aca="false">Sens!$I$1139</f>
        <v>1.6</v>
      </c>
      <c r="J1164" s="38" t="n">
        <f aca="false">Sens!$J$1139</f>
        <v>1.6</v>
      </c>
      <c r="K1164" s="38" t="n">
        <f aca="false">Sens!$K$1139</f>
        <v>1.6</v>
      </c>
      <c r="L1164" s="38" t="n">
        <f aca="false">Sens!$L$1139</f>
        <v>1.6</v>
      </c>
      <c r="M1164" s="38" t="n">
        <f aca="false">Sens!$M$1139</f>
        <v>1.6</v>
      </c>
    </row>
    <row r="1165" customFormat="false" ht="15" hidden="false" customHeight="false" outlineLevel="0" collapsed="false">
      <c r="A1165" s="5" t="s">
        <v>856</v>
      </c>
      <c r="B1165" s="0" t="s">
        <v>73</v>
      </c>
      <c r="H1165" s="38" t="n">
        <f aca="false">Sens!$H$1133</f>
        <v>11.6369707537667</v>
      </c>
      <c r="I1165" s="38" t="n">
        <f aca="false">Sens!$I$1133</f>
        <v>13.3082502961262</v>
      </c>
      <c r="J1165" s="38" t="n">
        <f aca="false">Sens!$J$1133</f>
        <v>14.8747965344332</v>
      </c>
      <c r="K1165" s="38" t="n">
        <f aca="false">Sens!$K$1133</f>
        <v>16.2687901804328</v>
      </c>
      <c r="L1165" s="38" t="n">
        <f aca="false">Sens!$L$1133</f>
        <v>17.7280727627002</v>
      </c>
      <c r="M1165" s="38" t="n">
        <f aca="false">Sens!$M$1133</f>
        <v>19.2574690270319</v>
      </c>
    </row>
    <row r="1166" customFormat="false" ht="17.15" hidden="false" customHeight="false" outlineLevel="0" collapsed="false">
      <c r="A1166" s="1" t="s">
        <v>857</v>
      </c>
      <c r="B1166" s="8" t="s">
        <v>73</v>
      </c>
      <c r="H1166" s="38" t="n">
        <f aca="false">Sens!$H$1161+Sens!$H$1162-Sens!$H$1163-Sens!$H$1164+Sens!$H$1165</f>
        <v>-27.785617596287</v>
      </c>
      <c r="I1166" s="38" t="n">
        <f aca="false">Sens!$I$1161+Sens!$I$1162-Sens!$I$1163-Sens!$I$1164+Sens!$I$1165</f>
        <v>15.0084431878689</v>
      </c>
      <c r="J1166" s="38" t="n">
        <f aca="false">Sens!$J$1161+Sens!$J$1162-Sens!$J$1163-Sens!$J$1164+Sens!$J$1165</f>
        <v>57.3722699420267</v>
      </c>
      <c r="K1166" s="38" t="n">
        <f aca="false">Sens!$K$1161+Sens!$K$1162-Sens!$K$1163-Sens!$K$1164+Sens!$K$1165</f>
        <v>97.1728828461178</v>
      </c>
      <c r="L1166" s="38" t="n">
        <f aca="false">Sens!$L$1161+Sens!$L$1162-Sens!$L$1163-Sens!$L$1164+Sens!$L$1165</f>
        <v>111.135292165398</v>
      </c>
      <c r="M1166" s="38" t="n">
        <f aca="false">Sens!$M$1161+Sens!$M$1162-Sens!$M$1163-Sens!$M$1164+Sens!$M$1165</f>
        <v>107.316556384342</v>
      </c>
    </row>
    <row r="1167" customFormat="false" ht="15" hidden="false" customHeight="false" outlineLevel="0" collapsed="false">
      <c r="A1167" s="5" t="s">
        <v>858</v>
      </c>
      <c r="B1167" s="0" t="s">
        <v>57</v>
      </c>
      <c r="H1167" s="51" t="n">
        <f aca="false">1/(1+wacc)^(2027-2026-0.5)</f>
        <v>0.942858177653364</v>
      </c>
      <c r="I1167" s="51" t="n">
        <f aca="false">1/(1+wacc)^(2028-2026-0.5)</f>
        <v>0.838183517758688</v>
      </c>
      <c r="J1167" s="51" t="n">
        <f aca="false">1/(1+wacc)^(2029-2026-0.5)</f>
        <v>0.745129677074952</v>
      </c>
      <c r="K1167" s="51" t="n">
        <f aca="false">1/(1+wacc)^(2030-2026-0.5)</f>
        <v>0.662406530186232</v>
      </c>
      <c r="L1167" s="51" t="n">
        <f aca="false">1/(1+wacc)^(2031-2026-0.5)</f>
        <v>0.588867179409399</v>
      </c>
      <c r="M1167" s="51" t="n">
        <f aca="false">1/(1+wacc)^(2032-2026-0.5)</f>
        <v>0.52349205387225</v>
      </c>
    </row>
    <row r="1168" customFormat="false" ht="15" hidden="false" customHeight="false" outlineLevel="0" collapsed="false">
      <c r="A1168" s="5" t="s">
        <v>859</v>
      </c>
      <c r="B1168" s="0" t="s">
        <v>73</v>
      </c>
      <c r="H1168" s="38" t="n">
        <f aca="false">Sens!$H$1166*Sens!$H$1167</f>
        <v>-26.1978967718084</v>
      </c>
      <c r="I1168" s="38" t="n">
        <f aca="false">Sens!$I$1166*Sens!$I$1167</f>
        <v>12.5798297072894</v>
      </c>
      <c r="J1168" s="38" t="n">
        <f aca="false">Sens!$J$1166*Sens!$J$1167</f>
        <v>42.7497809749593</v>
      </c>
      <c r="K1168" s="38" t="n">
        <f aca="false">Sens!$K$1166*Sens!$K$1167</f>
        <v>64.3679521542901</v>
      </c>
      <c r="L1168" s="38" t="n">
        <f aca="false">Sens!$L$1166*Sens!$L$1167</f>
        <v>65.4439260302774</v>
      </c>
      <c r="M1168" s="38" t="n">
        <f aca="false">Sens!$M$1166*Sens!$M$1167</f>
        <v>56.1793645161363</v>
      </c>
    </row>
    <row r="1169" customFormat="false" ht="15" hidden="false" customHeight="false" outlineLevel="0" collapsed="false">
      <c r="A1169" s="5" t="s">
        <v>860</v>
      </c>
      <c r="B1169" s="0" t="s">
        <v>73</v>
      </c>
      <c r="C1169" s="38" t="n">
        <f aca="false">SUM(Sens!$H$1168:$M$1168)</f>
        <v>215.122956611144</v>
      </c>
    </row>
    <row r="1170" customFormat="false" ht="17.15" hidden="false" customHeight="false" outlineLevel="0" collapsed="false">
      <c r="A1170" s="5" t="s">
        <v>861</v>
      </c>
      <c r="B1170" s="0" t="s">
        <v>73</v>
      </c>
      <c r="C1170" s="38" t="n">
        <f aca="false">Sens!$M$1161*(1+tg)*(1-tg/ronic)/(wacc-tg)</f>
        <v>1938.98430968479</v>
      </c>
    </row>
    <row r="1171" customFormat="false" ht="15" hidden="false" customHeight="false" outlineLevel="0" collapsed="false">
      <c r="A1171" s="5" t="s">
        <v>862</v>
      </c>
      <c r="B1171" s="0" t="s">
        <v>73</v>
      </c>
      <c r="C1171" s="38" t="n">
        <f aca="false">Sens!$C$1170/(1+wacc)^6</f>
        <v>957.041478853898</v>
      </c>
    </row>
    <row r="1172" customFormat="false" ht="17.15" hidden="false" customHeight="false" outlineLevel="0" collapsed="false">
      <c r="A1172" s="5" t="s">
        <v>863</v>
      </c>
      <c r="B1172" s="0" t="s">
        <v>73</v>
      </c>
      <c r="C1172" s="38" t="n">
        <f aca="false">Sens!$C$1169+Sens!$C$1171</f>
        <v>1172.16443546504</v>
      </c>
    </row>
    <row r="1173" customFormat="false" ht="17.15" hidden="false" customHeight="false" outlineLevel="0" collapsed="false">
      <c r="A1173" s="5" t="s">
        <v>864</v>
      </c>
      <c r="B1173" s="0" t="s">
        <v>52</v>
      </c>
      <c r="C1173" s="12" t="n">
        <f aca="false">Sens!$C$1171/Sens!$C$1172</f>
        <v>0.816473738579352</v>
      </c>
    </row>
    <row r="1174" customFormat="false" ht="17.15" hidden="false" customHeight="false" outlineLevel="0" collapsed="false">
      <c r="A1174" s="5" t="s">
        <v>865</v>
      </c>
      <c r="B1174" s="0" t="s">
        <v>73</v>
      </c>
      <c r="C1174" s="38" t="n">
        <f aca="false">Sens!$G$1151</f>
        <v>57.9689447204436</v>
      </c>
    </row>
    <row r="1175" customFormat="false" ht="17.15" hidden="false" customHeight="false" outlineLevel="0" collapsed="false">
      <c r="A1175" s="5" t="s">
        <v>866</v>
      </c>
      <c r="B1175" s="0" t="s">
        <v>73</v>
      </c>
      <c r="C1175" s="38" t="n">
        <f aca="false">(ant_val*ant_sh+oai_val*oai_sh)*(1-liq_disc)</f>
        <v>178.944</v>
      </c>
    </row>
    <row r="1176" customFormat="false" ht="15" hidden="false" customHeight="false" outlineLevel="0" collapsed="false">
      <c r="A1176" s="5" t="s">
        <v>867</v>
      </c>
      <c r="B1176" s="0" t="s">
        <v>73</v>
      </c>
      <c r="C1176" s="38" t="n">
        <f aca="false">Sens!$C$1172-Sens!$C$1174+Sens!$C$1175</f>
        <v>1293.1394907446</v>
      </c>
    </row>
    <row r="1177" customFormat="false" ht="17.15" hidden="false" customHeight="false" outlineLevel="0" collapsed="false">
      <c r="A1177" s="5" t="s">
        <v>868</v>
      </c>
      <c r="B1177" s="0" t="s">
        <v>27</v>
      </c>
      <c r="C1177" s="30" t="n">
        <f aca="false">Sens!$C$1176/sh_val</f>
        <v>117.235057020553</v>
      </c>
    </row>
    <row r="1178" customFormat="false" ht="17.15" hidden="false" customHeight="false" outlineLevel="0" collapsed="false">
      <c r="A1178" s="1" t="s">
        <v>869</v>
      </c>
      <c r="B1178" s="8" t="s">
        <v>27</v>
      </c>
      <c r="C1178" s="30" t="n">
        <f aca="false">Sens!$C$1177*(1+ke)^tp_yf</f>
        <v>129.479663221762</v>
      </c>
    </row>
    <row r="1179" customFormat="false" ht="17.15" hidden="false" customHeight="false" outlineLevel="0" collapsed="false">
      <c r="A1179" s="3" t="s">
        <v>870</v>
      </c>
    </row>
    <row r="1180" customFormat="false" ht="17.15" hidden="false" customHeight="false" outlineLevel="0" collapsed="false">
      <c r="A1180" s="5" t="s">
        <v>871</v>
      </c>
      <c r="B1180" s="0" t="s">
        <v>73</v>
      </c>
      <c r="C1180" s="38" t="n">
        <f aca="false">0.25*Sens!$H$1110+0.75*Sens!$I$1110</f>
        <v>57.5541093268329</v>
      </c>
    </row>
    <row r="1181" customFormat="false" ht="15" hidden="false" customHeight="false" outlineLevel="0" collapsed="false">
      <c r="A1181" s="5" t="s">
        <v>872</v>
      </c>
      <c r="B1181" s="0" t="s">
        <v>57</v>
      </c>
      <c r="C1181" s="30" t="n">
        <f aca="false">m_ads*m_x</f>
        <v>9.11</v>
      </c>
    </row>
    <row r="1182" customFormat="false" ht="17.15" hidden="false" customHeight="false" outlineLevel="0" collapsed="false">
      <c r="A1182" s="5" t="s">
        <v>873</v>
      </c>
      <c r="B1182" s="0" t="s">
        <v>73</v>
      </c>
      <c r="C1182" s="38" t="n">
        <f aca="false">Sens!$C$1180*Sens!$C$1181</f>
        <v>524.317935967448</v>
      </c>
    </row>
    <row r="1183" customFormat="false" ht="17.15" hidden="false" customHeight="false" outlineLevel="0" collapsed="false">
      <c r="A1183" s="5" t="s">
        <v>874</v>
      </c>
      <c r="B1183" s="0" t="s">
        <v>73</v>
      </c>
      <c r="C1183" s="38" t="n">
        <f aca="false">0.25*Sens!$H$1111+0.75*Sens!$I$1111</f>
        <v>31.8219453366759</v>
      </c>
    </row>
    <row r="1184" customFormat="false" ht="15" hidden="false" customHeight="false" outlineLevel="0" collapsed="false">
      <c r="A1184" s="5" t="s">
        <v>875</v>
      </c>
      <c r="B1184" s="0" t="s">
        <v>57</v>
      </c>
      <c r="C1184" s="30" t="n">
        <f aca="false">m_retail*m_x</f>
        <v>17.72</v>
      </c>
    </row>
    <row r="1185" customFormat="false" ht="17.15" hidden="false" customHeight="false" outlineLevel="0" collapsed="false">
      <c r="A1185" s="5" t="s">
        <v>876</v>
      </c>
      <c r="B1185" s="0" t="s">
        <v>73</v>
      </c>
      <c r="C1185" s="38" t="n">
        <f aca="false">Sens!$C$1183*Sens!$C$1184</f>
        <v>563.884871365896</v>
      </c>
    </row>
    <row r="1186" customFormat="false" ht="17.15" hidden="false" customHeight="false" outlineLevel="0" collapsed="false">
      <c r="A1186" s="0" t="s">
        <v>877</v>
      </c>
      <c r="B1186" s="0" t="s">
        <v>73</v>
      </c>
      <c r="C1186" s="38" t="n">
        <f aca="false">0.25*Sens!$H$1112+0.75*Sens!$I$1112</f>
        <v>108.869933753013</v>
      </c>
    </row>
    <row r="1187" customFormat="false" ht="17.15" hidden="false" customHeight="false" outlineLevel="0" collapsed="false">
      <c r="A1187" s="0" t="s">
        <v>878</v>
      </c>
      <c r="B1187" s="0" t="s">
        <v>57</v>
      </c>
      <c r="C1187" s="30" t="n">
        <f aca="false">m_cloud*m_x</f>
        <v>13.82</v>
      </c>
    </row>
    <row r="1188" customFormat="false" ht="17.15" hidden="false" customHeight="false" outlineLevel="0" collapsed="false">
      <c r="A1188" s="0" t="s">
        <v>879</v>
      </c>
      <c r="B1188" s="0" t="s">
        <v>73</v>
      </c>
      <c r="C1188" s="38" t="n">
        <f aca="false">Sens!$C$1186*Sens!$C$1187</f>
        <v>1504.58248446664</v>
      </c>
    </row>
    <row r="1189" customFormat="false" ht="17.15" hidden="false" customHeight="false" outlineLevel="0" collapsed="false">
      <c r="A1189" s="0" t="s">
        <v>880</v>
      </c>
      <c r="B1189" s="0" t="s">
        <v>73</v>
      </c>
      <c r="C1189" s="38" t="n">
        <f aca="false">0.25*Sens!$H$1113+0.75*Sens!$I$1113</f>
        <v>72.2947701247864</v>
      </c>
    </row>
    <row r="1190" customFormat="false" ht="17.15" hidden="false" customHeight="false" outlineLevel="0" collapsed="false">
      <c r="A1190" s="0" t="s">
        <v>881</v>
      </c>
      <c r="B1190" s="0" t="s">
        <v>57</v>
      </c>
      <c r="C1190" s="30" t="n">
        <f aca="false">m_ai</f>
        <v>6</v>
      </c>
    </row>
    <row r="1191" customFormat="false" ht="17.15" hidden="false" customHeight="false" outlineLevel="0" collapsed="false">
      <c r="A1191" s="0" t="s">
        <v>882</v>
      </c>
      <c r="B1191" s="0" t="s">
        <v>73</v>
      </c>
      <c r="C1191" s="38" t="n">
        <f aca="false">Sens!$C$1189*Sens!$C$1190</f>
        <v>433.768620748718</v>
      </c>
    </row>
    <row r="1192" customFormat="false" ht="17.15" hidden="false" customHeight="false" outlineLevel="0" collapsed="false">
      <c r="A1192" s="5" t="s">
        <v>883</v>
      </c>
      <c r="B1192" s="0" t="s">
        <v>73</v>
      </c>
      <c r="C1192" s="38" t="n">
        <f aca="false">Sens!$C$1182+Sens!$C$1185+Sens!$C$1188+Sens!$C$1191</f>
        <v>3026.5539125487</v>
      </c>
    </row>
    <row r="1193" customFormat="false" ht="17.15" hidden="false" customHeight="false" outlineLevel="0" collapsed="false">
      <c r="A1193" s="5" t="s">
        <v>884</v>
      </c>
      <c r="B1193" s="0" t="s">
        <v>73</v>
      </c>
      <c r="C1193" s="38" t="n">
        <f aca="false">Sens!$H$1151</f>
        <v>64.0827254929252</v>
      </c>
    </row>
    <row r="1194" customFormat="false" ht="15" hidden="false" customHeight="false" outlineLevel="0" collapsed="false">
      <c r="A1194" s="5" t="s">
        <v>885</v>
      </c>
      <c r="B1194" s="0" t="s">
        <v>73</v>
      </c>
      <c r="C1194" s="38" t="n">
        <f aca="false">Sens!$C$1192-Sens!$C$1193+Sens!$C$1175</f>
        <v>3141.41518705578</v>
      </c>
    </row>
    <row r="1195" customFormat="false" ht="15" hidden="false" customHeight="false" outlineLevel="0" collapsed="false">
      <c r="A1195" s="3" t="s">
        <v>886</v>
      </c>
      <c r="B1195" s="8" t="s">
        <v>27</v>
      </c>
      <c r="C1195" s="30" t="n">
        <f aca="false">Sens!$C$1194/sh_val</f>
        <v>284.798346362196</v>
      </c>
    </row>
    <row r="1196" customFormat="false" ht="17.15" hidden="false" customHeight="false" outlineLevel="0" collapsed="false">
      <c r="A1196" s="46" t="s">
        <v>887</v>
      </c>
      <c r="B1196" s="13" t="s">
        <v>27</v>
      </c>
      <c r="C1196" s="43" t="n">
        <f aca="false">w_dcf*Sens!$C$1178+(1-w_dcf)*Sens!$C$1195</f>
        <v>207.139004791979</v>
      </c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</row>
    <row r="1197" customFormat="false" ht="17.15" hidden="false" customHeight="false" outlineLevel="0" collapsed="false">
      <c r="A1197" s="5" t="s">
        <v>888</v>
      </c>
      <c r="B1197" s="0" t="s">
        <v>27</v>
      </c>
      <c r="C1197" s="30" t="n">
        <f aca="false">0.45*Sens!$C$1178+0.55*Sens!$C$1195</f>
        <v>214.904938949001</v>
      </c>
    </row>
    <row r="1200" customFormat="false" ht="19.4" hidden="false" customHeight="false" outlineLevel="0" collapsed="false">
      <c r="A1200" s="31" t="s">
        <v>1068</v>
      </c>
    </row>
    <row r="1201" customFormat="false" ht="17.15" hidden="false" customHeight="false" outlineLevel="0" collapsed="false">
      <c r="A1201" s="6" t="s">
        <v>16</v>
      </c>
      <c r="B1201" s="6" t="s">
        <v>17</v>
      </c>
      <c r="C1201" s="20" t="s">
        <v>457</v>
      </c>
      <c r="D1201" s="20" t="s">
        <v>458</v>
      </c>
      <c r="E1201" s="20" t="s">
        <v>540</v>
      </c>
      <c r="F1201" s="20" t="s">
        <v>541</v>
      </c>
      <c r="G1201" s="20" t="s">
        <v>542</v>
      </c>
      <c r="H1201" s="20" t="s">
        <v>543</v>
      </c>
      <c r="I1201" s="20" t="s">
        <v>544</v>
      </c>
      <c r="J1201" s="20" t="s">
        <v>545</v>
      </c>
      <c r="K1201" s="20" t="s">
        <v>546</v>
      </c>
      <c r="L1201" s="20" t="s">
        <v>547</v>
      </c>
      <c r="M1201" s="20" t="s">
        <v>548</v>
      </c>
      <c r="N1201" s="20" t="s">
        <v>549</v>
      </c>
      <c r="O1201" s="20" t="s">
        <v>550</v>
      </c>
      <c r="P1201" s="6" t="s">
        <v>23</v>
      </c>
      <c r="R1201" s="20" t="n">
        <v>2023</v>
      </c>
      <c r="S1201" s="20" t="n">
        <v>2024</v>
      </c>
      <c r="T1201" s="20" t="n">
        <v>2025</v>
      </c>
      <c r="U1201" s="20" t="n">
        <v>2026</v>
      </c>
      <c r="V1201" s="20" t="n">
        <v>2027</v>
      </c>
      <c r="W1201" s="20" t="n">
        <v>2028</v>
      </c>
      <c r="X1201" s="20" t="n">
        <v>2029</v>
      </c>
      <c r="Y1201" s="20" t="n">
        <v>2030</v>
      </c>
      <c r="Z1201" s="20" t="n">
        <v>2031</v>
      </c>
      <c r="AA1201" s="20" t="n">
        <v>2032</v>
      </c>
    </row>
    <row r="1202" customFormat="false" ht="17.15" hidden="false" customHeight="false" outlineLevel="0" collapsed="false">
      <c r="A1202" s="1" t="s">
        <v>620</v>
      </c>
    </row>
    <row r="1203" customFormat="false" ht="17.15" hidden="false" customHeight="false" outlineLevel="0" collapsed="false">
      <c r="A1203" s="0" t="s">
        <v>479</v>
      </c>
      <c r="B1203" s="0" t="s">
        <v>73</v>
      </c>
      <c r="C1203" s="38" t="n">
        <f aca="false">Q!$D$10</f>
        <v>247.029</v>
      </c>
      <c r="D1203" s="38" t="n">
        <f aca="false">Q!$E$10</f>
        <v>269.287</v>
      </c>
      <c r="E1203" s="38" t="n">
        <f aca="false">Q!$P$10</f>
        <v>134.686</v>
      </c>
      <c r="F1203" s="38" t="n">
        <f aca="false">Sens!$O$1203*(1+Sens!$F$1204)-pd_amt*Q!$O$10/(Q!$O$10+Q!$O$12)</f>
        <v>160.728085930082</v>
      </c>
      <c r="G1203" s="38" t="n">
        <f aca="false">Sens!$E$1203+Sens!$F$1203</f>
        <v>295.414085930082</v>
      </c>
      <c r="H1203" s="38" t="n">
        <f aca="false">Sens!$G$1203*(1+Sens!$H$1204)</f>
        <v>320.828163943375</v>
      </c>
      <c r="I1203" s="38" t="n">
        <f aca="false">Sens!$H$1203*(1+Sens!$I$1204)</f>
        <v>344.575578072228</v>
      </c>
      <c r="J1203" s="38" t="n">
        <f aca="false">Sens!$I$1203*(1+Sens!$J$1204)</f>
        <v>365.942555779681</v>
      </c>
      <c r="K1203" s="38" t="n">
        <f aca="false">Sens!$J$1203*(1+Sens!$K$1204)</f>
        <v>384.239683568665</v>
      </c>
      <c r="L1203" s="38" t="n">
        <f aca="false">Sens!$K$1203*(1+Sens!$L$1204)</f>
        <v>403.451667747098</v>
      </c>
      <c r="M1203" s="38" t="n">
        <f aca="false">Sens!$L$1203*(1+Sens!$M$1204)</f>
        <v>423.624251134453</v>
      </c>
      <c r="N1203" s="38" t="n">
        <f aca="false">Q!$N$10</f>
        <v>118.892</v>
      </c>
      <c r="O1203" s="38" t="n">
        <f aca="false">Q!$O$10</f>
        <v>150.395</v>
      </c>
      <c r="P1203" s="8" t="s">
        <v>621</v>
      </c>
    </row>
    <row r="1204" customFormat="false" ht="17.15" hidden="false" customHeight="false" outlineLevel="0" collapsed="false">
      <c r="A1204" s="0" t="s">
        <v>622</v>
      </c>
      <c r="B1204" s="0" t="s">
        <v>52</v>
      </c>
      <c r="E1204" s="12" t="n">
        <f aca="false">Sens!$E$1203/Sens!$N$1203-1</f>
        <v>0.132843252699929</v>
      </c>
      <c r="F1204" s="12" t="n">
        <f aca="false">Sens!$O$1203/(Q!$F$10+Q!$G$10)-1</f>
        <v>0.0980382135842941</v>
      </c>
      <c r="G1204" s="12" t="n">
        <f aca="false">Sens!$G$1203/Sens!$D$1203-1</f>
        <v>0.0970231980380869</v>
      </c>
      <c r="H1204" s="12" t="n">
        <f aca="false">Sens!$F$1204+(g_os-Sens!$F$1204)*1/4</f>
        <v>0.0860286601882206</v>
      </c>
      <c r="I1204" s="12" t="n">
        <f aca="false">Sens!$F$1204+(g_os-Sens!$F$1204)*2/4</f>
        <v>0.074019106792147</v>
      </c>
      <c r="J1204" s="12" t="n">
        <f aca="false">Sens!$F$1204+(g_os-Sens!$F$1204)*3/4</f>
        <v>0.0620095533960735</v>
      </c>
      <c r="K1204" s="12" t="n">
        <f aca="false">Sens!$F$1204+(g_os-Sens!$F$1204)*4/4</f>
        <v>0.05</v>
      </c>
      <c r="L1204" s="12" t="n">
        <f aca="false">g_os</f>
        <v>0.05</v>
      </c>
      <c r="M1204" s="12" t="n">
        <f aca="false">g_os</f>
        <v>0.05</v>
      </c>
      <c r="P1204" s="8" t="s">
        <v>623</v>
      </c>
    </row>
    <row r="1205" customFormat="false" ht="17.15" hidden="false" customHeight="false" outlineLevel="0" collapsed="false">
      <c r="A1205" s="0" t="s">
        <v>480</v>
      </c>
      <c r="B1205" s="0" t="s">
        <v>73</v>
      </c>
      <c r="C1205" s="38" t="n">
        <f aca="false">Q!$D$11</f>
        <v>21.215</v>
      </c>
      <c r="D1205" s="38" t="n">
        <f aca="false">Q!$E$11</f>
        <v>22.561</v>
      </c>
      <c r="E1205" s="38" t="n">
        <f aca="false">Q!$P$11</f>
        <v>11.579</v>
      </c>
      <c r="F1205" s="38" t="n">
        <f aca="false">Sens!$O$1205*(1+Sens!$F$1206)</f>
        <v>12.0952613121125</v>
      </c>
      <c r="G1205" s="38" t="n">
        <f aca="false">Sens!$E$1205+Sens!$F$1205</f>
        <v>23.6742613121125</v>
      </c>
      <c r="H1205" s="38" t="n">
        <f aca="false">Sens!$G$1205*(1+Sens!$H$1206)</f>
        <v>24.8803243963206</v>
      </c>
      <c r="I1205" s="38" t="n">
        <f aca="false">Sens!$H$1205*(1+Sens!$I$1206)</f>
        <v>25.9741308664154</v>
      </c>
      <c r="J1205" s="38" t="n">
        <f aca="false">Sens!$I$1205*(1+Sens!$J$1206)</f>
        <v>26.9346894124267</v>
      </c>
      <c r="K1205" s="38" t="n">
        <f aca="false">Sens!$J$1205*(1+Sens!$K$1206)</f>
        <v>27.7427300947995</v>
      </c>
      <c r="L1205" s="38" t="n">
        <f aca="false">Sens!$K$1205*(1+Sens!$L$1206)</f>
        <v>28.5750119976435</v>
      </c>
      <c r="M1205" s="38" t="n">
        <f aca="false">Sens!$L$1205*(1+Sens!$M$1206)</f>
        <v>29.4322623575728</v>
      </c>
      <c r="N1205" s="38" t="n">
        <f aca="false">Q!$N$11</f>
        <v>11.128</v>
      </c>
      <c r="O1205" s="38" t="n">
        <f aca="false">Q!$O$11</f>
        <v>11.433</v>
      </c>
      <c r="P1205" s="8" t="s">
        <v>621</v>
      </c>
    </row>
    <row r="1206" customFormat="false" ht="17.15" hidden="false" customHeight="false" outlineLevel="0" collapsed="false">
      <c r="A1206" s="0" t="s">
        <v>624</v>
      </c>
      <c r="B1206" s="0" t="s">
        <v>52</v>
      </c>
      <c r="E1206" s="12" t="n">
        <f aca="false">Sens!$E$1205/Sens!$N$1205-1</f>
        <v>0.0405283968368082</v>
      </c>
      <c r="F1206" s="12" t="n">
        <f aca="false">Sens!$O$1205/(Q!$F$11+Q!$G$11)-1</f>
        <v>0.0579254187100955</v>
      </c>
      <c r="G1206" s="12" t="n">
        <f aca="false">Sens!$G$1205/Sens!$D$1205-1</f>
        <v>0.0493445021103904</v>
      </c>
      <c r="H1206" s="12" t="n">
        <f aca="false">Sens!$F$1206+(g_ps-Sens!$F$1206)*1/4</f>
        <v>0.0509440640325716</v>
      </c>
      <c r="I1206" s="12" t="n">
        <f aca="false">Sens!$F$1206+(g_ps-Sens!$F$1206)*2/4</f>
        <v>0.0439627093550477</v>
      </c>
      <c r="J1206" s="12" t="n">
        <f aca="false">Sens!$F$1206+(g_ps-Sens!$F$1206)*3/4</f>
        <v>0.0369813546775239</v>
      </c>
      <c r="K1206" s="12" t="n">
        <f aca="false">Sens!$F$1206+(g_ps-Sens!$F$1206)*4/4</f>
        <v>0.03</v>
      </c>
      <c r="L1206" s="12" t="n">
        <f aca="false">g_ps</f>
        <v>0.03</v>
      </c>
      <c r="M1206" s="12" t="n">
        <f aca="false">g_ps</f>
        <v>0.03</v>
      </c>
      <c r="P1206" s="8" t="s">
        <v>625</v>
      </c>
    </row>
    <row r="1207" customFormat="false" ht="17.15" hidden="false" customHeight="false" outlineLevel="0" collapsed="false">
      <c r="A1207" s="0" t="s">
        <v>481</v>
      </c>
      <c r="B1207" s="0" t="s">
        <v>73</v>
      </c>
      <c r="C1207" s="38" t="n">
        <f aca="false">Q!$D$12</f>
        <v>156.146</v>
      </c>
      <c r="D1207" s="38" t="n">
        <f aca="false">Q!$E$12</f>
        <v>172.162</v>
      </c>
      <c r="E1207" s="38" t="n">
        <f aca="false">Q!$P$12</f>
        <v>88.358</v>
      </c>
      <c r="F1207" s="38" t="n">
        <f aca="false">Sens!$O$1207*(1+Sens!$F$1208)-pd_amt*Q!$O$12/(Q!$O$10+Q!$O$12)</f>
        <v>103.62028337149</v>
      </c>
      <c r="G1207" s="38" t="n">
        <f aca="false">Sens!$E$1207+Sens!$F$1207</f>
        <v>191.97828337149</v>
      </c>
      <c r="H1207" s="38" t="n">
        <f aca="false">Sens!$G$1207*(1+Sens!$H$1208)</f>
        <v>212.128608444755</v>
      </c>
      <c r="I1207" s="38" t="n">
        <f aca="false">Sens!$H$1207*(1+Sens!$I$1208)</f>
        <v>231.92183134134</v>
      </c>
      <c r="J1207" s="38" t="n">
        <f aca="false">Sens!$I$1207*(1+Sens!$J$1208)</f>
        <v>250.859136487863</v>
      </c>
      <c r="K1207" s="38" t="n">
        <f aca="false">Sens!$J$1207*(1+Sens!$K$1208)</f>
        <v>268.419276042014</v>
      </c>
      <c r="L1207" s="38" t="n">
        <f aca="false">Sens!$K$1207*(1+Sens!$L$1208)</f>
        <v>287.208625364954</v>
      </c>
      <c r="M1207" s="38" t="n">
        <f aca="false">Sens!$L$1207*(1+Sens!$M$1208)</f>
        <v>307.313229140501</v>
      </c>
      <c r="N1207" s="38" t="n">
        <f aca="false">Q!$N$12</f>
        <v>76.86</v>
      </c>
      <c r="O1207" s="38" t="n">
        <f aca="false">Q!$O$12</f>
        <v>95.302</v>
      </c>
      <c r="P1207" s="8" t="s">
        <v>621</v>
      </c>
    </row>
    <row r="1208" customFormat="false" ht="17.15" hidden="false" customHeight="false" outlineLevel="0" collapsed="false">
      <c r="A1208" s="0" t="s">
        <v>626</v>
      </c>
      <c r="B1208" s="0" t="s">
        <v>52</v>
      </c>
      <c r="E1208" s="12" t="n">
        <f aca="false">Sens!$E$1207/Sens!$N$1207-1</f>
        <v>0.1495966692688</v>
      </c>
      <c r="F1208" s="12" t="n">
        <f aca="false">Sens!$O$1207/(Q!$F$12+Q!$G$12)-1</f>
        <v>0.11661530890813</v>
      </c>
      <c r="G1208" s="12" t="n">
        <f aca="false">Sens!$G$1207/Sens!$D$1207-1</f>
        <v>0.115102539303041</v>
      </c>
      <c r="H1208" s="12" t="n">
        <f aca="false">Sens!$F$1208+(g_sp-Sens!$F$1208)*1/4</f>
        <v>0.104961481681098</v>
      </c>
      <c r="I1208" s="12" t="n">
        <f aca="false">Sens!$F$1208+(g_sp-Sens!$F$1208)*2/4</f>
        <v>0.0933076544540651</v>
      </c>
      <c r="J1208" s="12" t="n">
        <f aca="false">Sens!$F$1208+(g_sp-Sens!$F$1208)*3/4</f>
        <v>0.0816538272270325</v>
      </c>
      <c r="K1208" s="12" t="n">
        <f aca="false">Sens!$F$1208+(g_sp-Sens!$F$1208)*4/4</f>
        <v>0.07</v>
      </c>
      <c r="L1208" s="12" t="n">
        <f aca="false">g_sp</f>
        <v>0.07</v>
      </c>
      <c r="M1208" s="12" t="n">
        <f aca="false">g_sp</f>
        <v>0.07</v>
      </c>
      <c r="P1208" s="8" t="s">
        <v>627</v>
      </c>
    </row>
    <row r="1209" customFormat="false" ht="17.15" hidden="false" customHeight="false" outlineLevel="0" collapsed="false">
      <c r="A1209" s="0" t="s">
        <v>482</v>
      </c>
      <c r="B1209" s="0" t="s">
        <v>73</v>
      </c>
      <c r="C1209" s="38" t="n">
        <f aca="false">Q!$D$13</f>
        <v>56.214</v>
      </c>
      <c r="D1209" s="38" t="n">
        <f aca="false">Q!$E$13</f>
        <v>68.635</v>
      </c>
      <c r="E1209" s="38" t="n">
        <f aca="false">Q!$P$13</f>
        <v>37.052</v>
      </c>
      <c r="F1209" s="38" t="n">
        <f aca="false">Sens!$O$1209*(1+Sens!$F$1210)</f>
        <v>48.1533381827382</v>
      </c>
      <c r="G1209" s="38" t="n">
        <f aca="false">Sens!$E$1209+Sens!$F$1209</f>
        <v>85.2053381827382</v>
      </c>
      <c r="H1209" s="38" t="n">
        <f aca="false">Sens!$G$1209*(1+Sens!$H$1210)</f>
        <v>102.29336185894</v>
      </c>
      <c r="I1209" s="38" t="n">
        <f aca="false">Sens!$H$1209*(1+Sens!$I$1210)</f>
        <v>119.379837585241</v>
      </c>
      <c r="J1209" s="38" t="n">
        <f aca="false">Sens!$I$1209*(1+Sens!$J$1210)</f>
        <v>135.319079048844</v>
      </c>
      <c r="K1209" s="38" t="n">
        <f aca="false">Sens!$J$1209*(1+Sens!$K$1210)</f>
        <v>148.850986953729</v>
      </c>
      <c r="L1209" s="38" t="n">
        <f aca="false">Sens!$K$1209*(1+Sens!$L$1210)</f>
        <v>163.736085649102</v>
      </c>
      <c r="M1209" s="38" t="n">
        <f aca="false">Sens!$L$1209*(1+Sens!$M$1210)</f>
        <v>180.109694214012</v>
      </c>
      <c r="N1209" s="38" t="n">
        <f aca="false">Q!$N$13</f>
        <v>29.615</v>
      </c>
      <c r="O1209" s="38" t="n">
        <f aca="false">Q!$O$13</f>
        <v>39.02</v>
      </c>
      <c r="P1209" s="8" t="s">
        <v>621</v>
      </c>
    </row>
    <row r="1210" customFormat="false" ht="17.15" hidden="false" customHeight="false" outlineLevel="0" collapsed="false">
      <c r="A1210" s="0" t="s">
        <v>628</v>
      </c>
      <c r="B1210" s="0" t="s">
        <v>52</v>
      </c>
      <c r="E1210" s="12" t="n">
        <f aca="false">Sens!$E$1209/Sens!$N$1209-1</f>
        <v>0.25112274185379</v>
      </c>
      <c r="F1210" s="12" t="n">
        <f aca="false">Sens!$O$1209/(Q!$F$13+Q!$G$13)-1</f>
        <v>0.234068123596572</v>
      </c>
      <c r="G1210" s="12" t="n">
        <f aca="false">Sens!$G$1209/Sens!$D$1209-1</f>
        <v>0.241426942270536</v>
      </c>
      <c r="H1210" s="12" t="n">
        <f aca="false">Sens!$F$1210+(g_ad-Sens!$F$1210)*1/4</f>
        <v>0.200551092697429</v>
      </c>
      <c r="I1210" s="12" t="n">
        <f aca="false">Sens!$F$1210+(g_ad-Sens!$F$1210)*2/4</f>
        <v>0.167034061798286</v>
      </c>
      <c r="J1210" s="12" t="n">
        <f aca="false">Sens!$F$1210+(g_ad-Sens!$F$1210)*3/4</f>
        <v>0.133517030899143</v>
      </c>
      <c r="K1210" s="12" t="n">
        <f aca="false">Sens!$F$1210+(g_ad-Sens!$F$1210)*4/4</f>
        <v>0.1</v>
      </c>
      <c r="L1210" s="12" t="n">
        <f aca="false">g_ad</f>
        <v>0.1</v>
      </c>
      <c r="M1210" s="12" t="n">
        <f aca="false">g_ad</f>
        <v>0.1</v>
      </c>
      <c r="P1210" s="8" t="s">
        <v>629</v>
      </c>
    </row>
    <row r="1211" customFormat="false" ht="17.15" hidden="false" customHeight="false" outlineLevel="0" collapsed="false">
      <c r="A1211" s="0" t="s">
        <v>483</v>
      </c>
      <c r="B1211" s="0" t="s">
        <v>73</v>
      </c>
      <c r="C1211" s="38" t="n">
        <f aca="false">Q!$D$14</f>
        <v>44.374</v>
      </c>
      <c r="D1211" s="38" t="n">
        <f aca="false">Q!$E$14</f>
        <v>49.619</v>
      </c>
      <c r="E1211" s="38" t="n">
        <f aca="false">Q!$P$14</f>
        <v>27.157</v>
      </c>
      <c r="F1211" s="38" t="n">
        <f aca="false">Sens!$O$1211*(1+Sens!$F$1212)</f>
        <v>28.9776360923374</v>
      </c>
      <c r="G1211" s="38" t="n">
        <f aca="false">Sens!$E$1211+Sens!$F$1211</f>
        <v>56.1346360923374</v>
      </c>
      <c r="H1211" s="38" t="n">
        <f aca="false">Sens!$G$1211*(1+Sens!$H$1212)</f>
        <v>62.4937078946075</v>
      </c>
      <c r="I1211" s="38" t="n">
        <f aca="false">Sens!$H$1211*(1+Sens!$I$1212)</f>
        <v>68.6715233062498</v>
      </c>
      <c r="J1211" s="38" t="n">
        <f aca="false">Sens!$I$1211*(1+Sens!$J$1212)</f>
        <v>74.4692882949818</v>
      </c>
      <c r="K1211" s="38" t="n">
        <f aca="false">Sens!$J$1211*(1+Sens!$K$1212)</f>
        <v>79.6821384756306</v>
      </c>
      <c r="L1211" s="38" t="n">
        <f aca="false">Sens!$K$1211*(1+Sens!$L$1212)</f>
        <v>85.2598881689247</v>
      </c>
      <c r="M1211" s="38" t="n">
        <f aca="false">Sens!$L$1211*(1+Sens!$M$1212)</f>
        <v>91.2280803407494</v>
      </c>
      <c r="N1211" s="38" t="n">
        <f aca="false">Q!$N$14</f>
        <v>23.923</v>
      </c>
      <c r="O1211" s="38" t="n">
        <f aca="false">Q!$O$14</f>
        <v>25.696</v>
      </c>
      <c r="P1211" s="8" t="s">
        <v>621</v>
      </c>
    </row>
    <row r="1212" customFormat="false" ht="17.15" hidden="false" customHeight="false" outlineLevel="0" collapsed="false">
      <c r="A1212" s="0" t="s">
        <v>630</v>
      </c>
      <c r="B1212" s="0" t="s">
        <v>52</v>
      </c>
      <c r="E1212" s="12" t="n">
        <f aca="false">Sens!$E$1211/Sens!$N$1211-1</f>
        <v>0.135183714417088</v>
      </c>
      <c r="F1212" s="12" t="n">
        <f aca="false">Sens!$O$1211/(Q!$F$14+Q!$G$14)-1</f>
        <v>0.127709997366804</v>
      </c>
      <c r="G1212" s="12" t="n">
        <f aca="false">Sens!$G$1211/Sens!$D$1211-1</f>
        <v>0.131313329416905</v>
      </c>
      <c r="H1212" s="12" t="n">
        <f aca="false">Sens!$F$1212+(g_sub-Sens!$F$1212)*1/4</f>
        <v>0.113282498025103</v>
      </c>
      <c r="I1212" s="12" t="n">
        <f aca="false">Sens!$F$1212+(g_sub-Sens!$F$1212)*2/4</f>
        <v>0.0988549986834021</v>
      </c>
      <c r="J1212" s="12" t="n">
        <f aca="false">Sens!$F$1212+(g_sub-Sens!$F$1212)*3/4</f>
        <v>0.084427499341701</v>
      </c>
      <c r="K1212" s="12" t="n">
        <f aca="false">Sens!$F$1212+(g_sub-Sens!$F$1212)*4/4</f>
        <v>0.07</v>
      </c>
      <c r="L1212" s="12" t="n">
        <f aca="false">g_sub</f>
        <v>0.07</v>
      </c>
      <c r="M1212" s="12" t="n">
        <f aca="false">g_sub</f>
        <v>0.07</v>
      </c>
      <c r="P1212" s="8" t="s">
        <v>631</v>
      </c>
    </row>
    <row r="1213" customFormat="false" ht="17.15" hidden="false" customHeight="false" outlineLevel="0" collapsed="false">
      <c r="A1213" s="0" t="s">
        <v>484</v>
      </c>
      <c r="B1213" s="0" t="s">
        <v>73</v>
      </c>
      <c r="C1213" s="38" t="n">
        <f aca="false">Q!$D$15</f>
        <v>5.425</v>
      </c>
      <c r="D1213" s="38" t="n">
        <f aca="false">Q!$E$15</f>
        <v>5.935</v>
      </c>
      <c r="E1213" s="38" t="n">
        <f aca="false">Q!$P$15</f>
        <v>3.474</v>
      </c>
      <c r="F1213" s="38" t="n">
        <f aca="false">Sens!$O$1213*(1+Sens!$F$1214)</f>
        <v>3.36182431966931</v>
      </c>
      <c r="G1213" s="38" t="n">
        <f aca="false">Sens!$E$1213+Sens!$F$1213</f>
        <v>6.83582431966931</v>
      </c>
      <c r="H1213" s="38" t="n">
        <f aca="false">Sens!$G$1213*(1+Sens!$H$1214)</f>
        <v>7.31157108370141</v>
      </c>
      <c r="I1213" s="38" t="n">
        <f aca="false">Sens!$H$1213*(1+Sens!$I$1214)</f>
        <v>7.77266852639815</v>
      </c>
      <c r="J1213" s="38" t="n">
        <f aca="false">Sens!$I$1213*(1+Sens!$J$1214)</f>
        <v>8.2120733019884</v>
      </c>
      <c r="K1213" s="38" t="n">
        <f aca="false">Sens!$J$1213*(1+Sens!$K$1214)</f>
        <v>8.62267696708783</v>
      </c>
      <c r="L1213" s="38" t="n">
        <f aca="false">Sens!$K$1213*(1+Sens!$L$1214)</f>
        <v>9.05381081544222</v>
      </c>
      <c r="M1213" s="38" t="n">
        <f aca="false">Sens!$L$1213*(1+Sens!$M$1214)</f>
        <v>9.50650135621433</v>
      </c>
      <c r="N1213" s="38" t="n">
        <f aca="false">Q!$N$15</f>
        <v>2.811</v>
      </c>
      <c r="O1213" s="38" t="n">
        <f aca="false">Q!$O$15</f>
        <v>3.124</v>
      </c>
      <c r="P1213" s="8" t="s">
        <v>621</v>
      </c>
    </row>
    <row r="1214" customFormat="false" ht="17.15" hidden="false" customHeight="false" outlineLevel="0" collapsed="false">
      <c r="A1214" s="0" t="s">
        <v>632</v>
      </c>
      <c r="B1214" s="0" t="s">
        <v>52</v>
      </c>
      <c r="E1214" s="12" t="n">
        <f aca="false">Sens!$E$1213/Sens!$N$1213-1</f>
        <v>0.235859124866596</v>
      </c>
      <c r="F1214" s="12" t="n">
        <f aca="false">Sens!$O$1213/(Q!$F$15+Q!$G$15)-1</f>
        <v>0.0761281433000345</v>
      </c>
      <c r="G1214" s="12" t="n">
        <f aca="false">Sens!$G$1213/Sens!$D$1213-1</f>
        <v>0.151781688234087</v>
      </c>
      <c r="H1214" s="12" t="n">
        <f aca="false">Sens!$F$1214+(g_ot-Sens!$F$1214)*1/4</f>
        <v>0.0695961074750259</v>
      </c>
      <c r="I1214" s="12" t="n">
        <f aca="false">Sens!$F$1214+(g_ot-Sens!$F$1214)*2/4</f>
        <v>0.0630640716500172</v>
      </c>
      <c r="J1214" s="12" t="n">
        <f aca="false">Sens!$F$1214+(g_ot-Sens!$F$1214)*3/4</f>
        <v>0.0565320358250086</v>
      </c>
      <c r="K1214" s="12" t="n">
        <f aca="false">Sens!$F$1214+(g_ot-Sens!$F$1214)*4/4</f>
        <v>0.05</v>
      </c>
      <c r="L1214" s="12" t="n">
        <f aca="false">g_ot</f>
        <v>0.05</v>
      </c>
      <c r="M1214" s="12" t="n">
        <f aca="false">g_ot</f>
        <v>0.05</v>
      </c>
      <c r="P1214" s="8" t="s">
        <v>633</v>
      </c>
    </row>
    <row r="1215" customFormat="false" ht="17.15" hidden="false" customHeight="false" outlineLevel="0" collapsed="false">
      <c r="A1215" s="3" t="s">
        <v>634</v>
      </c>
      <c r="B1215" s="8" t="s">
        <v>73</v>
      </c>
      <c r="C1215" s="38" t="n">
        <f aca="false">Sens!$C$1203+Sens!$C$1205+Sens!$C$1207+Sens!$C$1209+Sens!$C$1211+Sens!$C$1213</f>
        <v>530.403</v>
      </c>
      <c r="D1215" s="38" t="n">
        <f aca="false">Sens!$D$1203+Sens!$D$1205+Sens!$D$1207+Sens!$D$1209+Sens!$D$1211+Sens!$D$1213</f>
        <v>588.199</v>
      </c>
      <c r="E1215" s="38" t="n">
        <f aca="false">Sens!$E$1203+Sens!$E$1205+Sens!$E$1207+Sens!$E$1209+Sens!$E$1211+Sens!$E$1213</f>
        <v>302.306</v>
      </c>
      <c r="F1215" s="38" t="n">
        <f aca="false">Sens!$F$1203+Sens!$F$1205+Sens!$F$1207+Sens!$F$1209+Sens!$F$1211+Sens!$F$1213</f>
        <v>356.93642920843</v>
      </c>
      <c r="G1215" s="38" t="n">
        <f aca="false">Sens!$G$1203+Sens!$G$1205+Sens!$G$1207+Sens!$G$1209+Sens!$G$1211+Sens!$G$1213</f>
        <v>659.24242920843</v>
      </c>
      <c r="H1215" s="38" t="n">
        <f aca="false">Sens!$H$1203+Sens!$H$1205+Sens!$H$1207+Sens!$H$1209+Sens!$H$1211+Sens!$H$1213</f>
        <v>729.935737621701</v>
      </c>
      <c r="I1215" s="38" t="n">
        <f aca="false">Sens!$I$1203+Sens!$I$1205+Sens!$I$1207+Sens!$I$1209+Sens!$I$1211+Sens!$I$1213</f>
        <v>798.295569697873</v>
      </c>
      <c r="J1215" s="38" t="n">
        <f aca="false">Sens!$J$1203+Sens!$J$1205+Sens!$J$1207+Sens!$J$1209+Sens!$J$1211+Sens!$J$1213</f>
        <v>861.736822325785</v>
      </c>
      <c r="K1215" s="38" t="n">
        <f aca="false">Sens!$K$1203+Sens!$K$1205+Sens!$K$1207+Sens!$K$1209+Sens!$K$1211+Sens!$K$1213</f>
        <v>917.557492101925</v>
      </c>
      <c r="L1215" s="38" t="n">
        <f aca="false">Sens!$L$1203+Sens!$L$1205+Sens!$L$1207+Sens!$L$1209+Sens!$L$1211+Sens!$L$1213</f>
        <v>977.285089743165</v>
      </c>
      <c r="M1215" s="38" t="n">
        <f aca="false">Sens!$M$1203+Sens!$M$1205+Sens!$M$1207+Sens!$M$1209+Sens!$M$1211+Sens!$M$1213</f>
        <v>1041.2140185435</v>
      </c>
      <c r="N1215" s="38" t="n">
        <f aca="false">Sens!$N$1203+Sens!$N$1205+Sens!$N$1207+Sens!$N$1209+Sens!$N$1211+Sens!$N$1213</f>
        <v>263.229</v>
      </c>
      <c r="O1215" s="38" t="n">
        <f aca="false">Sens!$O$1203+Sens!$O$1205+Sens!$O$1207+Sens!$O$1209+Sens!$O$1211+Sens!$O$1213</f>
        <v>324.97</v>
      </c>
    </row>
    <row r="1216" customFormat="false" ht="17.15" hidden="false" customHeight="false" outlineLevel="0" collapsed="false">
      <c r="A1216" s="5" t="s">
        <v>635</v>
      </c>
      <c r="B1216" s="0" t="s">
        <v>52</v>
      </c>
      <c r="C1216" s="12" t="n">
        <f aca="false">Q!$D$5/(Q!$D$5+Q!$D$6)</f>
        <v>0.730570905519011</v>
      </c>
      <c r="D1216" s="12" t="n">
        <f aca="false">Q!$E$5/(Q!$E$5+Q!$E$6)</f>
        <v>0.724763217890544</v>
      </c>
      <c r="E1216" s="12" t="n">
        <f aca="false">Q!$P$5/(Q!$P$5+Q!$P$6)</f>
        <v>0.728797972914861</v>
      </c>
      <c r="F1216" s="12" t="n">
        <f aca="false">Sens!$O$1216</f>
        <v>0.718066283041511</v>
      </c>
      <c r="G1216" s="12" t="n">
        <f aca="false">Sens!$G$1217/Sens!$G$1215</f>
        <v>0.722987468473627</v>
      </c>
      <c r="H1216" s="12" t="n">
        <f aca="false">Sens!$G$1216</f>
        <v>0.722987468473627</v>
      </c>
      <c r="I1216" s="12" t="n">
        <f aca="false">Sens!$G$1216</f>
        <v>0.722987468473627</v>
      </c>
      <c r="J1216" s="12" t="n">
        <f aca="false">Sens!$G$1216</f>
        <v>0.722987468473627</v>
      </c>
      <c r="K1216" s="12" t="n">
        <f aca="false">Sens!$G$1216</f>
        <v>0.722987468473627</v>
      </c>
      <c r="L1216" s="12" t="n">
        <f aca="false">Sens!$G$1216</f>
        <v>0.722987468473627</v>
      </c>
      <c r="M1216" s="12" t="n">
        <f aca="false">Sens!$G$1216</f>
        <v>0.722987468473627</v>
      </c>
      <c r="N1216" s="12" t="n">
        <f aca="false">Q!$N$5/(Q!$N$5+Q!$N$6)</f>
        <v>0.733030935041352</v>
      </c>
      <c r="O1216" s="12" t="n">
        <f aca="false">Q!$O$5/(Q!$O$5+Q!$O$6)</f>
        <v>0.718066283041511</v>
      </c>
      <c r="P1216" s="8" t="s">
        <v>636</v>
      </c>
    </row>
    <row r="1217" customFormat="false" ht="17.15" hidden="false" customHeight="false" outlineLevel="0" collapsed="false">
      <c r="A1217" s="1" t="s">
        <v>472</v>
      </c>
      <c r="B1217" s="8" t="s">
        <v>73</v>
      </c>
      <c r="C1217" s="38" t="n">
        <f aca="false">Q!$D$5</f>
        <v>387.497</v>
      </c>
      <c r="D1217" s="38" t="n">
        <f aca="false">Q!$E$5</f>
        <v>426.305</v>
      </c>
      <c r="E1217" s="38" t="n">
        <f aca="false">Q!$P$5</f>
        <v>220.32</v>
      </c>
      <c r="F1217" s="38" t="n">
        <f aca="false">Sens!$F$1215*Sens!$F$1216</f>
        <v>256.304015003807</v>
      </c>
      <c r="G1217" s="38" t="n">
        <f aca="false">Sens!$E$1217+Sens!$F$1217</f>
        <v>476.624015003807</v>
      </c>
      <c r="H1217" s="38" t="n">
        <f aca="false">Sens!$H$1215*Sens!$H$1216</f>
        <v>527.734391091543</v>
      </c>
      <c r="I1217" s="38" t="n">
        <f aca="false">Sens!$I$1215*Sens!$I$1216</f>
        <v>577.157693029577</v>
      </c>
      <c r="J1217" s="38" t="n">
        <f aca="false">Sens!$J$1215*Sens!$J$1216</f>
        <v>623.024923663827</v>
      </c>
      <c r="K1217" s="38" t="n">
        <f aca="false">Sens!$K$1215*Sens!$K$1216</f>
        <v>663.382568393781</v>
      </c>
      <c r="L1217" s="38" t="n">
        <f aca="false">Sens!$L$1215*Sens!$L$1216</f>
        <v>706.564873010432</v>
      </c>
      <c r="M1217" s="38" t="n">
        <f aca="false">Sens!$M$1215*Sens!$M$1216</f>
        <v>752.784687406019</v>
      </c>
      <c r="N1217" s="38" t="n">
        <f aca="false">Q!$N$5</f>
        <v>192.955</v>
      </c>
      <c r="O1217" s="38" t="n">
        <f aca="false">Q!$O$5</f>
        <v>233.35</v>
      </c>
      <c r="P1217" s="5" t="s">
        <v>637</v>
      </c>
    </row>
    <row r="1218" customFormat="false" ht="17.15" hidden="false" customHeight="false" outlineLevel="0" collapsed="false">
      <c r="A1218" s="1" t="s">
        <v>475</v>
      </c>
      <c r="B1218" s="8" t="s">
        <v>73</v>
      </c>
      <c r="C1218" s="38" t="n">
        <f aca="false">Q!$D$6</f>
        <v>142.906</v>
      </c>
      <c r="D1218" s="38" t="n">
        <f aca="false">Q!$E$6</f>
        <v>161.894</v>
      </c>
      <c r="E1218" s="38" t="n">
        <f aca="false">Q!$P$6</f>
        <v>81.986</v>
      </c>
      <c r="F1218" s="38" t="n">
        <f aca="false">Sens!$F$1215*(1-Sens!$F$1216)</f>
        <v>100.632414204623</v>
      </c>
      <c r="G1218" s="38" t="n">
        <f aca="false">Sens!$E$1218+Sens!$F$1218</f>
        <v>182.618414204623</v>
      </c>
      <c r="H1218" s="38" t="n">
        <f aca="false">Sens!$H$1215*(1-Sens!$H$1216)</f>
        <v>202.201346530158</v>
      </c>
      <c r="I1218" s="38" t="n">
        <f aca="false">Sens!$I$1215*(1-Sens!$I$1216)</f>
        <v>221.137876668296</v>
      </c>
      <c r="J1218" s="38" t="n">
        <f aca="false">Sens!$J$1215*(1-Sens!$J$1216)</f>
        <v>238.711898661958</v>
      </c>
      <c r="K1218" s="38" t="n">
        <f aca="false">Sens!$K$1215*(1-Sens!$K$1216)</f>
        <v>254.174923708144</v>
      </c>
      <c r="L1218" s="38" t="n">
        <f aca="false">Sens!$L$1215*(1-Sens!$L$1216)</f>
        <v>270.720216732733</v>
      </c>
      <c r="M1218" s="38" t="n">
        <f aca="false">Sens!$M$1215*(1-Sens!$M$1216)</f>
        <v>288.429331137484</v>
      </c>
      <c r="N1218" s="38" t="n">
        <f aca="false">Q!$N$6</f>
        <v>70.274</v>
      </c>
      <c r="O1218" s="38" t="n">
        <f aca="false">Q!$O$6</f>
        <v>91.62</v>
      </c>
      <c r="P1218" s="5" t="s">
        <v>638</v>
      </c>
    </row>
    <row r="1219" customFormat="false" ht="17.15" hidden="false" customHeight="false" outlineLevel="0" collapsed="false">
      <c r="A1219" s="5" t="s">
        <v>639</v>
      </c>
      <c r="B1219" s="0" t="s">
        <v>73</v>
      </c>
      <c r="C1219" s="38" t="n">
        <f aca="false">Sens!$C$1209*Sens!$C$1216</f>
        <v>41.0683128828457</v>
      </c>
      <c r="D1219" s="38" t="n">
        <f aca="false">Sens!$D$1209*Sens!$D$1216</f>
        <v>49.7441234599175</v>
      </c>
      <c r="E1219" s="38" t="n">
        <f aca="false">Sens!$E$1209*Sens!$E$1216</f>
        <v>27.0034224924414</v>
      </c>
      <c r="F1219" s="38" t="n">
        <f aca="false">Sens!$F$1209*Sens!$F$1216</f>
        <v>34.5772885649197</v>
      </c>
      <c r="G1219" s="38" t="n">
        <f aca="false">Sens!$G$1209*Sens!$G$1216</f>
        <v>61.6023917531772</v>
      </c>
      <c r="H1219" s="38" t="n">
        <f aca="false">Sens!$H$1209*Sens!$H$1216</f>
        <v>73.9568187320519</v>
      </c>
      <c r="I1219" s="38" t="n">
        <f aca="false">Sens!$I$1209*Sens!$I$1216</f>
        <v>86.3101265625461</v>
      </c>
      <c r="J1219" s="38" t="n">
        <f aca="false">Sens!$J$1209*Sens!$J$1216</f>
        <v>97.8339983977065</v>
      </c>
      <c r="K1219" s="38" t="n">
        <f aca="false">Sens!$K$1209*Sens!$K$1216</f>
        <v>107.617398237477</v>
      </c>
      <c r="L1219" s="38" t="n">
        <f aca="false">Sens!$L$1209*Sens!$L$1216</f>
        <v>118.379138061225</v>
      </c>
      <c r="M1219" s="38" t="n">
        <f aca="false">Sens!$M$1209*Sens!$M$1216</f>
        <v>130.217051867347</v>
      </c>
      <c r="N1219" s="38" t="n">
        <f aca="false">Sens!$N$1209*Sens!$N$1216</f>
        <v>21.7087111412496</v>
      </c>
      <c r="O1219" s="38" t="n">
        <f aca="false">Sens!$O$1209*Sens!$O$1216</f>
        <v>28.0189463642798</v>
      </c>
      <c r="P1219" s="5" t="s">
        <v>640</v>
      </c>
    </row>
    <row r="1220" customFormat="false" ht="15" hidden="false" customHeight="false" outlineLevel="0" collapsed="false">
      <c r="A1220" s="5" t="s">
        <v>641</v>
      </c>
      <c r="B1220" s="0" t="s">
        <v>73</v>
      </c>
      <c r="C1220" s="38" t="n">
        <f aca="false">Sens!$C$1209-Sens!$C$1219</f>
        <v>15.1456871171543</v>
      </c>
      <c r="D1220" s="38" t="n">
        <f aca="false">Sens!$D$1209-Sens!$D$1219</f>
        <v>18.8908765400825</v>
      </c>
      <c r="E1220" s="38" t="n">
        <f aca="false">Sens!$E$1209-Sens!$E$1219</f>
        <v>10.0485775075586</v>
      </c>
      <c r="F1220" s="38" t="n">
        <f aca="false">Sens!$F$1209-Sens!$F$1219</f>
        <v>13.5760496178185</v>
      </c>
      <c r="G1220" s="38" t="n">
        <f aca="false">Sens!$G$1209-Sens!$G$1219</f>
        <v>23.6029464295611</v>
      </c>
      <c r="H1220" s="38" t="n">
        <f aca="false">Sens!$H$1209-Sens!$H$1219</f>
        <v>28.3365431268884</v>
      </c>
      <c r="I1220" s="38" t="n">
        <f aca="false">Sens!$I$1209-Sens!$I$1219</f>
        <v>33.0697110226949</v>
      </c>
      <c r="J1220" s="38" t="n">
        <f aca="false">Sens!$J$1209-Sens!$J$1219</f>
        <v>37.4850806511378</v>
      </c>
      <c r="K1220" s="38" t="n">
        <f aca="false">Sens!$K$1209-Sens!$K$1219</f>
        <v>41.2335887162515</v>
      </c>
      <c r="L1220" s="38" t="n">
        <f aca="false">Sens!$L$1209-Sens!$L$1219</f>
        <v>45.3569475878767</v>
      </c>
      <c r="M1220" s="38" t="n">
        <f aca="false">Sens!$M$1209-Sens!$M$1219</f>
        <v>49.8926423466644</v>
      </c>
      <c r="N1220" s="38" t="n">
        <f aca="false">Sens!$N$1209-Sens!$N$1219</f>
        <v>7.90628885875037</v>
      </c>
      <c r="O1220" s="38" t="n">
        <f aca="false">Sens!$O$1209-Sens!$O$1219</f>
        <v>11.0010536357202</v>
      </c>
    </row>
    <row r="1221" customFormat="false" ht="19.4" hidden="false" customHeight="false" outlineLevel="0" collapsed="false">
      <c r="A1221" s="31" t="s">
        <v>1069</v>
      </c>
    </row>
    <row r="1222" customFormat="false" ht="17.15" hidden="false" customHeight="false" outlineLevel="0" collapsed="false">
      <c r="A1222" s="6" t="s">
        <v>16</v>
      </c>
      <c r="B1222" s="6" t="s">
        <v>17</v>
      </c>
      <c r="C1222" s="20" t="s">
        <v>457</v>
      </c>
      <c r="D1222" s="20" t="s">
        <v>458</v>
      </c>
      <c r="E1222" s="20" t="s">
        <v>540</v>
      </c>
      <c r="F1222" s="20" t="s">
        <v>541</v>
      </c>
      <c r="G1222" s="20" t="s">
        <v>542</v>
      </c>
      <c r="H1222" s="20" t="s">
        <v>543</v>
      </c>
      <c r="I1222" s="20" t="s">
        <v>544</v>
      </c>
      <c r="J1222" s="20" t="s">
        <v>545</v>
      </c>
      <c r="K1222" s="20" t="s">
        <v>546</v>
      </c>
      <c r="L1222" s="20" t="s">
        <v>547</v>
      </c>
      <c r="M1222" s="20" t="s">
        <v>548</v>
      </c>
      <c r="N1222" s="20" t="s">
        <v>549</v>
      </c>
      <c r="O1222" s="20" t="s">
        <v>550</v>
      </c>
      <c r="P1222" s="6" t="s">
        <v>23</v>
      </c>
      <c r="R1222" s="20" t="n">
        <v>2023</v>
      </c>
      <c r="S1222" s="20" t="n">
        <v>2024</v>
      </c>
      <c r="T1222" s="20" t="n">
        <v>2025</v>
      </c>
      <c r="U1222" s="20" t="n">
        <v>2026</v>
      </c>
      <c r="V1222" s="20" t="n">
        <v>2027</v>
      </c>
      <c r="W1222" s="20" t="n">
        <v>2028</v>
      </c>
      <c r="X1222" s="20" t="n">
        <v>2029</v>
      </c>
      <c r="Y1222" s="20" t="n">
        <v>2030</v>
      </c>
      <c r="Z1222" s="20" t="n">
        <v>2031</v>
      </c>
      <c r="AA1222" s="20" t="n">
        <v>2032</v>
      </c>
    </row>
    <row r="1223" customFormat="false" ht="17.15" hidden="false" customHeight="false" outlineLevel="0" collapsed="false">
      <c r="A1223" s="1" t="s">
        <v>551</v>
      </c>
    </row>
    <row r="1224" customFormat="false" ht="17.15" hidden="false" customHeight="false" outlineLevel="0" collapsed="false">
      <c r="A1224" s="14" t="s">
        <v>552</v>
      </c>
      <c r="B1224" s="13" t="s">
        <v>108</v>
      </c>
      <c r="C1224" s="32" t="n">
        <f aca="false">mw_ye24</f>
        <v>360</v>
      </c>
      <c r="D1224" s="32" t="n">
        <f aca="false">mw_ye25</f>
        <v>1440</v>
      </c>
      <c r="E1224" s="32" t="n">
        <f aca="false">mw_open</f>
        <v>2080</v>
      </c>
      <c r="F1224" s="32" t="n">
        <f aca="false">Sens!$E$1224+(pace_B*0.75)*0.5</f>
        <v>3442.8625</v>
      </c>
      <c r="G1224" s="32" t="n">
        <f aca="false">Sens!$F$1224</f>
        <v>3442.8625</v>
      </c>
      <c r="H1224" s="32" t="n">
        <f aca="false">Sens!$G$1224+(pace_B*0.75)</f>
        <v>6168.5875</v>
      </c>
      <c r="I1224" s="32" t="n">
        <f aca="false">Sens!$H$1224+(pace_B*0.75)</f>
        <v>8894.3125</v>
      </c>
      <c r="J1224" s="32" t="n">
        <f aca="false">Sens!$I$1224+(pace_B*0.75)</f>
        <v>11620.0375</v>
      </c>
      <c r="K1224" s="32" t="n">
        <f aca="false">Sens!$J$1224+(pace_B*0.75)</f>
        <v>14345.7625</v>
      </c>
      <c r="L1224" s="32" t="n">
        <f aca="false">Sens!$K$1224+(pace_B*0.75)</f>
        <v>17071.4875</v>
      </c>
      <c r="M1224" s="32" t="n">
        <f aca="false">Sens!$L$1224+(pace_B*0.75)</f>
        <v>19797.2125</v>
      </c>
      <c r="N1224" s="32" t="n">
        <f aca="false">(mw_ye24+mw_ye25)/2</f>
        <v>900</v>
      </c>
      <c r="O1224" s="32" t="n">
        <f aca="false">mw_ye25</f>
        <v>1440</v>
      </c>
      <c r="P1224" s="5" t="s">
        <v>553</v>
      </c>
    </row>
    <row r="1225" customFormat="false" ht="17.15" hidden="false" customHeight="false" outlineLevel="0" collapsed="false">
      <c r="A1225" s="5" t="s">
        <v>554</v>
      </c>
      <c r="B1225" s="0" t="s">
        <v>108</v>
      </c>
      <c r="C1225" s="33" t="n">
        <f aca="false">(mw_ye23+mw_ye24)/2</f>
        <v>240</v>
      </c>
      <c r="D1225" s="33" t="n">
        <f aca="false">(Sens!$C$1224+Sens!$D$1224)/2</f>
        <v>900</v>
      </c>
      <c r="E1225" s="33" t="n">
        <f aca="false">(Sens!$D$1224+Sens!$E$1224)/2</f>
        <v>1760</v>
      </c>
      <c r="F1225" s="33" t="n">
        <f aca="false">(Sens!$E$1224+Sens!$F$1224)/2</f>
        <v>2761.43125</v>
      </c>
      <c r="G1225" s="33" t="n">
        <f aca="false">(Sens!$E$1225+Sens!$F$1225)/2</f>
        <v>2260.715625</v>
      </c>
      <c r="H1225" s="33" t="n">
        <f aca="false">(Sens!$G$1224+Sens!$H$1224)/2</f>
        <v>4805.725</v>
      </c>
      <c r="I1225" s="33" t="n">
        <f aca="false">(Sens!$H$1224+Sens!$I$1224)/2</f>
        <v>7531.45</v>
      </c>
      <c r="J1225" s="33" t="n">
        <f aca="false">(Sens!$I$1224+Sens!$J$1224)/2</f>
        <v>10257.175</v>
      </c>
      <c r="K1225" s="33" t="n">
        <f aca="false">(Sens!$J$1224+Sens!$K$1224)/2</f>
        <v>12982.9</v>
      </c>
      <c r="L1225" s="33" t="n">
        <f aca="false">(Sens!$K$1224+Sens!$L$1224)/2</f>
        <v>15708.625</v>
      </c>
      <c r="M1225" s="33" t="n">
        <f aca="false">(Sens!$L$1224+Sens!$M$1224)/2</f>
        <v>18434.35</v>
      </c>
      <c r="N1225" s="33" t="n">
        <f aca="false">(Sens!$C$1224+Sens!$N$1224)/2</f>
        <v>630</v>
      </c>
      <c r="O1225" s="33" t="n">
        <f aca="false">(Sens!$N$1224+Sens!$O$1224)/2</f>
        <v>1170</v>
      </c>
    </row>
    <row r="1226" customFormat="false" ht="15" hidden="false" customHeight="false" outlineLevel="0" collapsed="false">
      <c r="A1226" s="5" t="s">
        <v>555</v>
      </c>
      <c r="B1226" s="5" t="s">
        <v>102</v>
      </c>
      <c r="C1226" s="34" t="n">
        <v>1</v>
      </c>
      <c r="D1226" s="34" t="n">
        <v>1</v>
      </c>
      <c r="E1226" s="34" t="n">
        <v>0.5</v>
      </c>
      <c r="F1226" s="34" t="n">
        <v>0.5</v>
      </c>
      <c r="G1226" s="34" t="n">
        <v>1</v>
      </c>
      <c r="H1226" s="34" t="n">
        <v>1</v>
      </c>
      <c r="I1226" s="34" t="n">
        <v>1</v>
      </c>
      <c r="J1226" s="34" t="n">
        <v>1</v>
      </c>
      <c r="K1226" s="34" t="n">
        <v>1</v>
      </c>
      <c r="L1226" s="34" t="n">
        <v>1</v>
      </c>
      <c r="M1226" s="34" t="n">
        <v>1</v>
      </c>
      <c r="N1226" s="34" t="n">
        <v>0.5</v>
      </c>
      <c r="O1226" s="34" t="n">
        <v>0.5</v>
      </c>
    </row>
    <row r="1227" customFormat="false" ht="17.15" hidden="false" customHeight="false" outlineLevel="0" collapsed="false">
      <c r="A1227" s="5" t="s">
        <v>556</v>
      </c>
      <c r="B1227" s="0" t="s">
        <v>108</v>
      </c>
      <c r="C1227" s="33" t="n">
        <f aca="false">Sens!$C$1224-mw_ye23</f>
        <v>240</v>
      </c>
      <c r="D1227" s="33" t="n">
        <f aca="false">Sens!$D$1224-Sens!$C$1224</f>
        <v>1080</v>
      </c>
      <c r="E1227" s="33" t="n">
        <f aca="false">Sens!$E$1224-Sens!$D$1224</f>
        <v>640</v>
      </c>
      <c r="F1227" s="33" t="n">
        <f aca="false">Sens!$F$1224-Sens!$E$1224</f>
        <v>1362.8625</v>
      </c>
      <c r="G1227" s="33" t="n">
        <f aca="false">Sens!$E$1227+Sens!$F$1227</f>
        <v>2002.8625</v>
      </c>
      <c r="H1227" s="33" t="n">
        <f aca="false">Sens!$H$1224-Sens!$G$1224</f>
        <v>2725.725</v>
      </c>
      <c r="I1227" s="33" t="n">
        <f aca="false">Sens!$I$1224-Sens!$H$1224</f>
        <v>2725.725</v>
      </c>
      <c r="J1227" s="33" t="n">
        <f aca="false">Sens!$J$1224-Sens!$I$1224</f>
        <v>2725.725</v>
      </c>
      <c r="K1227" s="33" t="n">
        <f aca="false">Sens!$K$1224-Sens!$J$1224</f>
        <v>2725.725</v>
      </c>
      <c r="L1227" s="33" t="n">
        <f aca="false">Sens!$L$1224-Sens!$K$1224</f>
        <v>2725.725</v>
      </c>
      <c r="M1227" s="33" t="n">
        <f aca="false">Sens!$M$1224-Sens!$L$1224</f>
        <v>2725.725</v>
      </c>
      <c r="N1227" s="33" t="n">
        <f aca="false">Sens!$N$1224-Sens!$C$1224</f>
        <v>540</v>
      </c>
      <c r="O1227" s="33" t="n">
        <f aca="false">Sens!$O$1224-Sens!$N$1224</f>
        <v>540</v>
      </c>
    </row>
    <row r="1228" customFormat="false" ht="17.15" hidden="false" customHeight="false" outlineLevel="0" collapsed="false">
      <c r="A1228" s="5" t="s">
        <v>557</v>
      </c>
      <c r="B1228" s="0" t="s">
        <v>108</v>
      </c>
      <c r="C1228" s="33" t="n">
        <f aca="false">Sens!$C$1227/ext_sh</f>
        <v>300</v>
      </c>
      <c r="D1228" s="33" t="n">
        <f aca="false">Sens!$D$1227/ext_sh</f>
        <v>1350</v>
      </c>
      <c r="E1228" s="33" t="n">
        <f aca="false">Sens!$E$1227/ext_sh</f>
        <v>800</v>
      </c>
      <c r="F1228" s="33" t="n">
        <f aca="false">Sens!$F$1227/ext_sh</f>
        <v>1703.578125</v>
      </c>
      <c r="G1228" s="33" t="n">
        <f aca="false">Sens!$G$1227/ext_sh</f>
        <v>2503.578125</v>
      </c>
      <c r="H1228" s="33" t="n">
        <f aca="false">Sens!$H$1227/ext_sh</f>
        <v>3407.15625</v>
      </c>
      <c r="I1228" s="33" t="n">
        <f aca="false">Sens!$I$1227/ext_sh</f>
        <v>3407.15625</v>
      </c>
      <c r="J1228" s="33" t="n">
        <f aca="false">Sens!$J$1227/ext_sh</f>
        <v>3407.15625</v>
      </c>
      <c r="K1228" s="33" t="n">
        <f aca="false">Sens!$K$1227/ext_sh</f>
        <v>3407.15625</v>
      </c>
      <c r="L1228" s="33" t="n">
        <f aca="false">Sens!$L$1227/ext_sh</f>
        <v>3407.15625</v>
      </c>
      <c r="M1228" s="33" t="n">
        <f aca="false">Sens!$M$1227/ext_sh</f>
        <v>3407.15625</v>
      </c>
      <c r="N1228" s="33" t="n">
        <f aca="false">Sens!$N$1227/ext_sh</f>
        <v>675</v>
      </c>
      <c r="O1228" s="33" t="n">
        <f aca="false">Sens!$O$1227/ext_sh</f>
        <v>675</v>
      </c>
      <c r="P1228" s="8" t="s">
        <v>558</v>
      </c>
      <c r="R1228" s="33" t="n">
        <f aca="false">mw_ye23/ext_sh</f>
        <v>150</v>
      </c>
      <c r="S1228" s="33" t="n">
        <f aca="false">Sens!$C$1228</f>
        <v>300</v>
      </c>
      <c r="T1228" s="33" t="n">
        <f aca="false">Sens!$D$1228</f>
        <v>1350</v>
      </c>
      <c r="U1228" s="33" t="n">
        <f aca="false">Sens!$G$1228</f>
        <v>2503.578125</v>
      </c>
      <c r="V1228" s="33" t="n">
        <f aca="false">Sens!$H$1228</f>
        <v>3407.15625</v>
      </c>
      <c r="W1228" s="33" t="n">
        <f aca="false">Sens!$I$1228</f>
        <v>3407.15625</v>
      </c>
      <c r="X1228" s="33" t="n">
        <f aca="false">Sens!$J$1228</f>
        <v>3407.15625</v>
      </c>
      <c r="Y1228" s="33" t="n">
        <f aca="false">Sens!$K$1228</f>
        <v>3407.15625</v>
      </c>
      <c r="Z1228" s="33" t="n">
        <f aca="false">Sens!$L$1228</f>
        <v>3407.15625</v>
      </c>
      <c r="AA1228" s="33" t="n">
        <f aca="false">Sens!$M$1228</f>
        <v>3407.15625</v>
      </c>
    </row>
    <row r="1229" customFormat="false" ht="17.15" hidden="false" customHeight="false" outlineLevel="0" collapsed="false">
      <c r="A1229" s="1" t="s">
        <v>559</v>
      </c>
    </row>
    <row r="1230" customFormat="false" ht="17.15" hidden="false" customHeight="false" outlineLevel="0" collapsed="false">
      <c r="A1230" s="0" t="s">
        <v>560</v>
      </c>
      <c r="B1230" s="0" t="s">
        <v>52</v>
      </c>
      <c r="F1230" s="35" t="n">
        <f aca="false">na_vr26</f>
        <v>0</v>
      </c>
      <c r="G1230" s="35" t="n">
        <f aca="false">na_vr26</f>
        <v>0</v>
      </c>
      <c r="H1230" s="35" t="n">
        <f aca="false">na_vr27</f>
        <v>0.5</v>
      </c>
      <c r="I1230" s="35" t="n">
        <f aca="false">na_vr28</f>
        <v>1</v>
      </c>
      <c r="J1230" s="35" t="n">
        <f aca="false">na_vr28</f>
        <v>1</v>
      </c>
      <c r="K1230" s="35" t="n">
        <f aca="false">na_vr28</f>
        <v>1</v>
      </c>
      <c r="L1230" s="35" t="n">
        <f aca="false">na_vr28</f>
        <v>1</v>
      </c>
      <c r="M1230" s="35" t="n">
        <f aca="false">na_vr28</f>
        <v>1</v>
      </c>
    </row>
    <row r="1231" customFormat="false" ht="17.15" hidden="false" customHeight="false" outlineLevel="0" collapsed="false">
      <c r="A1231" s="5" t="s">
        <v>561</v>
      </c>
      <c r="B1231" s="0" t="s">
        <v>151</v>
      </c>
      <c r="F1231" s="36" t="n">
        <f aca="false">cust_sh*tk_he_gb300*cf_chip+(1-cust_sh)*((1-Sens!$F$1230)*tk_he_gb300+Sens!$F$1230*tk_he_vr200)</f>
        <v>10.8864110021101</v>
      </c>
      <c r="G1231" s="36" t="n">
        <f aca="false">cust_sh*tk_he_gb300*cf_chip+(1-cust_sh)*((1-Sens!$G$1230)*tk_he_gb300+Sens!$G$1230*tk_he_vr200)</f>
        <v>10.8864110021101</v>
      </c>
      <c r="H1231" s="36" t="n">
        <f aca="false">cust_sh*tk_he_gb300*cf_chip+(1-cust_sh)*((1-Sens!$H$1230)*tk_he_gb300+Sens!$H$1230*tk_he_vr200)</f>
        <v>11.2211760027286</v>
      </c>
      <c r="I1231" s="36" t="n">
        <f aca="false">cust_sh*tk_he_gb300*cf_chip+(1-cust_sh)*((1-Sens!$I$1230)*tk_he_gb300+Sens!$I$1230*tk_he_vr200)</f>
        <v>11.5559410033471</v>
      </c>
      <c r="J1231" s="36" t="n">
        <f aca="false">cust_sh*tk_he_gb300*cf_chip+(1-cust_sh)*((1-Sens!$J$1230)*tk_he_gb300+Sens!$J$1230*tk_he_vr200)</f>
        <v>11.5559410033471</v>
      </c>
      <c r="K1231" s="36" t="n">
        <f aca="false">cust_sh*tk_he_gb300*cf_chip+(1-cust_sh)*((1-Sens!$K$1230)*tk_he_gb300+Sens!$K$1230*tk_he_vr200)</f>
        <v>11.5559410033471</v>
      </c>
      <c r="L1231" s="36" t="n">
        <f aca="false">cust_sh*tk_he_gb300*cf_chip+(1-cust_sh)*((1-Sens!$L$1230)*tk_he_gb300+Sens!$L$1230*tk_he_vr200)</f>
        <v>11.5559410033471</v>
      </c>
      <c r="M1231" s="36" t="n">
        <f aca="false">cust_sh*tk_he_gb300*cf_chip+(1-cust_sh)*((1-Sens!$M$1230)*tk_he_gb300+Sens!$M$1230*tk_he_vr200)</f>
        <v>11.5559410033471</v>
      </c>
    </row>
    <row r="1232" customFormat="false" ht="17.15" hidden="false" customHeight="false" outlineLevel="0" collapsed="false">
      <c r="A1232" s="5" t="s">
        <v>562</v>
      </c>
      <c r="B1232" s="0" t="s">
        <v>151</v>
      </c>
      <c r="F1232" s="36" t="n">
        <f aca="false">cust_sh*tk_ox_gb300+(1-cust_sh)*((1-Sens!$F$1230)*tk_ox_gb300+Sens!$F$1230*tk_ox_vr200)</f>
        <v>1.98263481314457</v>
      </c>
      <c r="G1232" s="36" t="n">
        <f aca="false">cust_sh*tk_ox_gb300+(1-cust_sh)*((1-Sens!$G$1230)*tk_ox_gb300+Sens!$G$1230*tk_ox_vr200)</f>
        <v>1.98263481314457</v>
      </c>
      <c r="H1232" s="36" t="n">
        <f aca="false">cust_sh*tk_ox_gb300+(1-cust_sh)*((1-Sens!$H$1230)*tk_ox_gb300+Sens!$H$1230*tk_ox_vr200)</f>
        <v>2.01034999693694</v>
      </c>
      <c r="I1232" s="36" t="n">
        <f aca="false">cust_sh*tk_ox_gb300+(1-cust_sh)*((1-Sens!$I$1230)*tk_ox_gb300+Sens!$I$1230*tk_ox_vr200)</f>
        <v>2.0380651807293</v>
      </c>
      <c r="J1232" s="36" t="n">
        <f aca="false">cust_sh*tk_ox_gb300+(1-cust_sh)*((1-Sens!$J$1230)*tk_ox_gb300+Sens!$J$1230*tk_ox_vr200)</f>
        <v>2.0380651807293</v>
      </c>
      <c r="K1232" s="36" t="n">
        <f aca="false">cust_sh*tk_ox_gb300+(1-cust_sh)*((1-Sens!$K$1230)*tk_ox_gb300+Sens!$K$1230*tk_ox_vr200)</f>
        <v>2.0380651807293</v>
      </c>
      <c r="L1232" s="36" t="n">
        <f aca="false">cust_sh*tk_ox_gb300+(1-cust_sh)*((1-Sens!$L$1230)*tk_ox_gb300+Sens!$L$1230*tk_ox_vr200)</f>
        <v>2.0380651807293</v>
      </c>
      <c r="M1232" s="36" t="n">
        <f aca="false">cust_sh*tk_ox_gb300+(1-cust_sh)*((1-Sens!$M$1230)*tk_ox_gb300+Sens!$M$1230*tk_ox_vr200)</f>
        <v>2.0380651807293</v>
      </c>
    </row>
    <row r="1233" customFormat="false" ht="17.15" hidden="false" customHeight="false" outlineLevel="0" collapsed="false">
      <c r="A1233" s="5" t="s">
        <v>563</v>
      </c>
      <c r="B1233" s="0" t="s">
        <v>170</v>
      </c>
      <c r="F1233" s="36" t="n">
        <f aca="false">cust_sh*tk_cx_gb300*cf_cx+(1-cust_sh)*((1-Sens!$F$1230)*tk_cx_gb300+Sens!$F$1230*tk_cx_vr200)</f>
        <v>32.237224</v>
      </c>
      <c r="G1233" s="36" t="n">
        <f aca="false">cust_sh*tk_cx_gb300*cf_cx+(1-cust_sh)*((1-Sens!$G$1230)*tk_cx_gb300+Sens!$G$1230*tk_cx_vr200)</f>
        <v>32.237224</v>
      </c>
      <c r="H1233" s="36" t="n">
        <f aca="false">cust_sh*tk_cx_gb300*cf_cx+(1-cust_sh)*((1-Sens!$H$1230)*tk_cx_gb300+Sens!$H$1230*tk_cx_vr200)</f>
        <v>33.574506</v>
      </c>
      <c r="I1233" s="36" t="n">
        <f aca="false">cust_sh*tk_cx_gb300*cf_cx+(1-cust_sh)*((1-Sens!$I$1230)*tk_cx_gb300+Sens!$I$1230*tk_cx_vr200)</f>
        <v>34.911788</v>
      </c>
      <c r="J1233" s="36" t="n">
        <f aca="false">cust_sh*tk_cx_gb300*cf_cx+(1-cust_sh)*((1-Sens!$J$1230)*tk_cx_gb300+Sens!$J$1230*tk_cx_vr200)</f>
        <v>34.911788</v>
      </c>
      <c r="K1233" s="36" t="n">
        <f aca="false">cust_sh*tk_cx_gb300*cf_cx+(1-cust_sh)*((1-Sens!$K$1230)*tk_cx_gb300+Sens!$K$1230*tk_cx_vr200)</f>
        <v>34.911788</v>
      </c>
      <c r="L1233" s="36" t="n">
        <f aca="false">cust_sh*tk_cx_gb300*cf_cx+(1-cust_sh)*((1-Sens!$L$1230)*tk_cx_gb300+Sens!$L$1230*tk_cx_vr200)</f>
        <v>34.911788</v>
      </c>
      <c r="M1233" s="36" t="n">
        <f aca="false">cust_sh*tk_cx_gb300*cf_cx+(1-cust_sh)*((1-Sens!$M$1230)*tk_cx_gb300+Sens!$M$1230*tk_cx_vr200)</f>
        <v>34.911788</v>
      </c>
    </row>
    <row r="1234" customFormat="false" ht="17.15" hidden="false" customHeight="false" outlineLevel="0" collapsed="false">
      <c r="A1234" s="5" t="s">
        <v>564</v>
      </c>
      <c r="B1234" s="0" t="s">
        <v>108</v>
      </c>
      <c r="F1234" s="33" t="n">
        <f aca="false">Sens!$F$1224-mw_open</f>
        <v>1362.8625</v>
      </c>
      <c r="G1234" s="33" t="n">
        <f aca="false">Sens!$F$1234</f>
        <v>1362.8625</v>
      </c>
      <c r="H1234" s="33" t="n">
        <f aca="false">Sens!$H$1224-mw_open</f>
        <v>4088.5875</v>
      </c>
      <c r="I1234" s="33" t="n">
        <f aca="false">Sens!$I$1224-mw_open</f>
        <v>6814.3125</v>
      </c>
      <c r="J1234" s="33" t="n">
        <f aca="false">Sens!$J$1224-mw_open</f>
        <v>9540.0375</v>
      </c>
      <c r="K1234" s="33" t="n">
        <f aca="false">Sens!$K$1224-mw_open</f>
        <v>12265.7625</v>
      </c>
      <c r="L1234" s="33" t="n">
        <f aca="false">Sens!$L$1224-mw_open</f>
        <v>14991.4875</v>
      </c>
      <c r="M1234" s="33" t="n">
        <f aca="false">Sens!$M$1224-mw_open</f>
        <v>17717.2125</v>
      </c>
    </row>
    <row r="1235" customFormat="false" ht="17.15" hidden="false" customHeight="false" outlineLevel="0" collapsed="false">
      <c r="A1235" s="0" t="s">
        <v>565</v>
      </c>
      <c r="B1235" s="0" t="s">
        <v>566</v>
      </c>
      <c r="F1235" s="33" t="n">
        <f aca="false">Sens!$F$1227*Sens!$F$1231</f>
        <v>14836.6813143633</v>
      </c>
      <c r="G1235" s="33" t="n">
        <f aca="false">Sens!$F$1235</f>
        <v>14836.6813143633</v>
      </c>
      <c r="H1235" s="33" t="n">
        <f aca="false">Sens!$G$1235+Sens!$H$1227*Sens!$H$1231</f>
        <v>45422.5212744007</v>
      </c>
      <c r="I1235" s="33" t="n">
        <f aca="false">Sens!$H$1235+Sens!$I$1227*Sens!$I$1231</f>
        <v>76920.838565749</v>
      </c>
      <c r="J1235" s="33" t="n">
        <f aca="false">Sens!$I$1235+Sens!$J$1227*Sens!$J$1231</f>
        <v>108419.155857097</v>
      </c>
      <c r="K1235" s="33" t="n">
        <f aca="false">Sens!$J$1235+Sens!$K$1227*Sens!$K$1231</f>
        <v>139917.473148446</v>
      </c>
      <c r="L1235" s="33" t="n">
        <f aca="false">Sens!$K$1235+Sens!$L$1227*Sens!$L$1231</f>
        <v>171415.790439794</v>
      </c>
      <c r="M1235" s="33" t="n">
        <f aca="false">Sens!$L$1235+Sens!$M$1227*Sens!$M$1231</f>
        <v>202914.107731142</v>
      </c>
    </row>
    <row r="1236" customFormat="false" ht="17.15" hidden="false" customHeight="false" outlineLevel="0" collapsed="false">
      <c r="A1236" s="0" t="s">
        <v>567</v>
      </c>
      <c r="B1236" s="0" t="s">
        <v>566</v>
      </c>
      <c r="F1236" s="33" t="n">
        <f aca="false">Sens!$F$1227*Sens!$F$1232</f>
        <v>2702.05863802924</v>
      </c>
      <c r="G1236" s="33" t="n">
        <f aca="false">Sens!$F$1236</f>
        <v>2702.05863802924</v>
      </c>
      <c r="H1236" s="33" t="n">
        <f aca="false">Sens!$G$1236+Sens!$H$1227*Sens!$H$1232</f>
        <v>8181.71988343017</v>
      </c>
      <c r="I1236" s="33" t="n">
        <f aca="false">Sens!$H$1236+Sens!$I$1227*Sens!$I$1232</f>
        <v>13736.9250981735</v>
      </c>
      <c r="J1236" s="33" t="n">
        <f aca="false">Sens!$I$1236+Sens!$J$1227*Sens!$J$1232</f>
        <v>19292.1303129169</v>
      </c>
      <c r="K1236" s="33" t="n">
        <f aca="false">Sens!$J$1236+Sens!$K$1227*Sens!$K$1232</f>
        <v>24847.3355276603</v>
      </c>
      <c r="L1236" s="33" t="n">
        <f aca="false">Sens!$K$1236+Sens!$L$1227*Sens!$L$1232</f>
        <v>30402.5407424037</v>
      </c>
      <c r="M1236" s="33" t="n">
        <f aca="false">Sens!$L$1236+Sens!$M$1227*Sens!$M$1232</f>
        <v>35957.745957147</v>
      </c>
    </row>
    <row r="1237" customFormat="false" ht="17.15" hidden="false" customHeight="false" outlineLevel="0" collapsed="false">
      <c r="A1237" s="5" t="s">
        <v>568</v>
      </c>
      <c r="B1237" s="0" t="s">
        <v>151</v>
      </c>
      <c r="F1237" s="36" t="n">
        <f aca="false">IF(Sens!$F$1234&gt;0,Sens!$F$1235/Sens!$F$1234,Sens!$F$1231)</f>
        <v>10.8864110021101</v>
      </c>
      <c r="G1237" s="36" t="n">
        <f aca="false">IF(Sens!$G$1234&gt;0,Sens!$G$1235/Sens!$G$1234,Sens!$G$1231)</f>
        <v>10.8864110021101</v>
      </c>
      <c r="H1237" s="36" t="n">
        <f aca="false">IF(Sens!$H$1234&gt;0,Sens!$H$1235/Sens!$H$1234,Sens!$H$1231)</f>
        <v>11.1095876691891</v>
      </c>
      <c r="I1237" s="36" t="n">
        <f aca="false">IF(Sens!$I$1234&gt;0,Sens!$I$1235/Sens!$I$1234,Sens!$I$1231)</f>
        <v>11.2881290028523</v>
      </c>
      <c r="J1237" s="36" t="n">
        <f aca="false">IF(Sens!$J$1234&gt;0,Sens!$J$1235/Sens!$J$1234,Sens!$J$1231)</f>
        <v>11.3646467172794</v>
      </c>
      <c r="K1237" s="36" t="n">
        <f aca="false">IF(Sens!$K$1234&gt;0,Sens!$K$1235/Sens!$K$1234,Sens!$K$1231)</f>
        <v>11.4071565586278</v>
      </c>
      <c r="L1237" s="36" t="n">
        <f aca="false">IF(Sens!$L$1234&gt;0,Sens!$L$1235/Sens!$L$1234,Sens!$L$1231)</f>
        <v>11.4342082758495</v>
      </c>
      <c r="M1237" s="36" t="n">
        <f aca="false">IF(Sens!$M$1234&gt;0,Sens!$M$1235/Sens!$M$1234,Sens!$M$1231)</f>
        <v>11.4529363877722</v>
      </c>
    </row>
    <row r="1238" customFormat="false" ht="17.15" hidden="false" customHeight="false" outlineLevel="0" collapsed="false">
      <c r="A1238" s="5" t="s">
        <v>569</v>
      </c>
      <c r="B1238" s="0" t="s">
        <v>151</v>
      </c>
      <c r="F1238" s="36" t="n">
        <f aca="false">IF(Sens!$F$1234&gt;0,Sens!$F$1236/Sens!$F$1234,Sens!$F$1232)</f>
        <v>1.98263481314457</v>
      </c>
      <c r="G1238" s="36" t="n">
        <f aca="false">IF(Sens!$G$1234&gt;0,Sens!$G$1236/Sens!$G$1234,Sens!$G$1232)</f>
        <v>1.98263481314457</v>
      </c>
      <c r="H1238" s="36" t="n">
        <f aca="false">IF(Sens!$H$1234&gt;0,Sens!$H$1236/Sens!$H$1234,Sens!$H$1232)</f>
        <v>2.00111160233948</v>
      </c>
      <c r="I1238" s="36" t="n">
        <f aca="false">IF(Sens!$I$1234&gt;0,Sens!$I$1236/Sens!$I$1234,Sens!$I$1232)</f>
        <v>2.01589303369541</v>
      </c>
      <c r="J1238" s="36" t="n">
        <f aca="false">IF(Sens!$J$1234&gt;0,Sens!$J$1236/Sens!$J$1234,Sens!$J$1232)</f>
        <v>2.02222793284795</v>
      </c>
      <c r="K1238" s="36" t="n">
        <f aca="false">IF(Sens!$K$1234&gt;0,Sens!$K$1236/Sens!$K$1234,Sens!$K$1232)</f>
        <v>2.02574732126603</v>
      </c>
      <c r="L1238" s="36" t="n">
        <f aca="false">IF(Sens!$L$1234&gt;0,Sens!$L$1236/Sens!$L$1234,Sens!$L$1232)</f>
        <v>2.02798693207753</v>
      </c>
      <c r="M1238" s="36" t="n">
        <f aca="false">IF(Sens!$M$1234&gt;0,Sens!$M$1236/Sens!$M$1234,Sens!$M$1232)</f>
        <v>2.02953743187011</v>
      </c>
    </row>
    <row r="1239" customFormat="false" ht="17.15" hidden="false" customHeight="false" outlineLevel="0" collapsed="false">
      <c r="A1239" s="14" t="s">
        <v>570</v>
      </c>
      <c r="B1239" s="13" t="s">
        <v>151</v>
      </c>
      <c r="C1239" s="13"/>
      <c r="D1239" s="13"/>
      <c r="E1239" s="13"/>
      <c r="F1239" s="37" t="n">
        <f aca="false">Sens!$F$1237*k_B</f>
        <v>10.7987645808025</v>
      </c>
      <c r="G1239" s="37" t="n">
        <f aca="false">Sens!$G$1237*k_B</f>
        <v>10.7987645808025</v>
      </c>
      <c r="H1239" s="37" t="n">
        <f aca="false">Sens!$H$1237*k_B</f>
        <v>11.0201444540452</v>
      </c>
      <c r="I1239" s="37" t="n">
        <f aca="false">Sens!$I$1237*k_B</f>
        <v>11.1972483526393</v>
      </c>
      <c r="J1239" s="37" t="n">
        <f aca="false">Sens!$J$1237*k_B</f>
        <v>11.2731500234653</v>
      </c>
      <c r="K1239" s="37" t="n">
        <f aca="false">Sens!$K$1237*k_B</f>
        <v>11.3153176183687</v>
      </c>
      <c r="L1239" s="37" t="n">
        <f aca="false">Sens!$L$1237*k_B</f>
        <v>11.3421515423981</v>
      </c>
      <c r="M1239" s="37" t="n">
        <f aca="false">Sens!$M$1237*k_B</f>
        <v>11.3607288744184</v>
      </c>
      <c r="N1239" s="13"/>
      <c r="O1239" s="13"/>
      <c r="P1239" s="5" t="s">
        <v>571</v>
      </c>
    </row>
    <row r="1240" customFormat="false" ht="17.15" hidden="false" customHeight="false" outlineLevel="0" collapsed="false">
      <c r="A1240" s="5" t="s">
        <v>572</v>
      </c>
      <c r="B1240" s="0" t="s">
        <v>108</v>
      </c>
      <c r="F1240" s="33" t="n">
        <f aca="false">Sens!$F$1234/2</f>
        <v>681.43125</v>
      </c>
      <c r="H1240" s="33" t="n">
        <f aca="false">(Sens!$G$1234+Sens!$H$1234)/2</f>
        <v>2725.725</v>
      </c>
      <c r="I1240" s="33" t="n">
        <f aca="false">(Sens!$H$1234+Sens!$I$1234)/2</f>
        <v>5451.45</v>
      </c>
      <c r="J1240" s="33" t="n">
        <f aca="false">(Sens!$I$1234+Sens!$J$1234)/2</f>
        <v>8177.175</v>
      </c>
      <c r="K1240" s="33" t="n">
        <f aca="false">(Sens!$J$1234+Sens!$K$1234)/2</f>
        <v>10902.9</v>
      </c>
      <c r="L1240" s="33" t="n">
        <f aca="false">(Sens!$K$1234+Sens!$L$1234)/2</f>
        <v>13628.625</v>
      </c>
      <c r="M1240" s="33" t="n">
        <f aca="false">(Sens!$L$1234+Sens!$M$1234)/2</f>
        <v>16354.35</v>
      </c>
    </row>
    <row r="1241" customFormat="false" ht="17.15" hidden="false" customHeight="false" outlineLevel="0" collapsed="false">
      <c r="A1241" s="1" t="s">
        <v>573</v>
      </c>
    </row>
    <row r="1242" customFormat="false" ht="17.15" hidden="false" customHeight="false" outlineLevel="0" collapsed="false">
      <c r="A1242" s="1" t="s">
        <v>574</v>
      </c>
      <c r="B1242" s="8" t="s">
        <v>73</v>
      </c>
      <c r="C1242" s="38" t="n">
        <f aca="false">Sens!$C$1225*rpm_open*Sens!$C$1226/1000</f>
        <v>2.32100535697364</v>
      </c>
      <c r="D1242" s="38" t="n">
        <f aca="false">Sens!$D$1225*rpm_open*Sens!$D$1226/1000</f>
        <v>8.70377008865116</v>
      </c>
      <c r="E1242" s="38" t="n">
        <f aca="false">Sens!$E$1225*rpm_open*Sens!$E$1226/1000</f>
        <v>8.51035297557002</v>
      </c>
      <c r="F1242" s="38" t="n">
        <f aca="false">(mw_open*rpm_open+Sens!$F$1240*Sens!$F$1239)*Sens!$F$1226/1000</f>
        <v>13.7369977035951</v>
      </c>
      <c r="G1242" s="38" t="n">
        <f aca="false">Sens!$E$1242+Sens!$F$1242</f>
        <v>22.2473506791651</v>
      </c>
      <c r="H1242" s="38" t="n">
        <f aca="false">(mw_open*rpm_open+Sens!$H$1240*Sens!$H$1239)/1000</f>
        <v>50.1532630024405</v>
      </c>
      <c r="I1242" s="38" t="n">
        <f aca="false">(mw_open*rpm_open+Sens!$I$1240*Sens!$I$1239)/1000</f>
        <v>81.1566192924336</v>
      </c>
      <c r="J1242" s="38" t="n">
        <f aca="false">(mw_open*rpm_open+Sens!$J$1240*Sens!$J$1239)/1000</f>
        <v>112.297900303568</v>
      </c>
      <c r="K1242" s="38" t="n">
        <f aca="false">(mw_open*rpm_open+Sens!$K$1240*Sens!$K$1239)/1000</f>
        <v>143.48515622175</v>
      </c>
      <c r="L1242" s="38" t="n">
        <f aca="false">(mw_open*rpm_open+Sens!$L$1240*Sens!$L$1239)/1000</f>
        <v>174.693309824953</v>
      </c>
      <c r="M1242" s="38" t="n">
        <f aca="false">(mw_open*rpm_open+Sens!$M$1240*Sens!$M$1239)/1000</f>
        <v>205.912716027783</v>
      </c>
      <c r="N1242" s="38" t="n">
        <f aca="false">Sens!$N$1225*rpm_open*Sens!$N$1226/1000</f>
        <v>3.04631953102791</v>
      </c>
      <c r="O1242" s="38" t="n">
        <f aca="false">Sens!$O$1225*rpm_open*Sens!$O$1226/1000</f>
        <v>5.65745055762326</v>
      </c>
      <c r="P1242" s="5" t="s">
        <v>575</v>
      </c>
    </row>
    <row r="1243" customFormat="false" ht="17.15" hidden="false" customHeight="false" outlineLevel="0" collapsed="false">
      <c r="A1243" s="5" t="s">
        <v>576</v>
      </c>
      <c r="B1243" s="0" t="s">
        <v>151</v>
      </c>
      <c r="C1243" s="36" t="n">
        <f aca="false">Sens!$C$1242*1000/(Sens!$C$1225*Sens!$C$1226)</f>
        <v>9.67085565405685</v>
      </c>
      <c r="D1243" s="36" t="n">
        <f aca="false">Sens!$D$1242*1000/(Sens!$D$1225*Sens!$D$1226)</f>
        <v>9.67085565405685</v>
      </c>
      <c r="E1243" s="36" t="n">
        <f aca="false">Sens!$E$1242*1000/(Sens!$E$1225*Sens!$E$1226)</f>
        <v>9.67085565405685</v>
      </c>
      <c r="F1243" s="36" t="n">
        <f aca="false">Sens!$F$1242*1000/(Sens!$F$1225*Sens!$F$1226)</f>
        <v>9.94918682374955</v>
      </c>
      <c r="G1243" s="36" t="n">
        <f aca="false">Sens!$G$1242*1000/(Sens!$G$1225*Sens!$G$1226)</f>
        <v>9.84084439154754</v>
      </c>
      <c r="H1243" s="36" t="n">
        <f aca="false">Sens!$H$1242*1000/(Sens!$H$1225*Sens!$H$1226)</f>
        <v>10.4361491767508</v>
      </c>
      <c r="I1243" s="36" t="n">
        <f aca="false">Sens!$I$1242*1000/(Sens!$I$1225*Sens!$I$1226)</f>
        <v>10.7756964850638</v>
      </c>
      <c r="J1243" s="36" t="n">
        <f aca="false">Sens!$J$1242*1000/(Sens!$J$1225*Sens!$J$1226)</f>
        <v>10.9482289522766</v>
      </c>
      <c r="K1243" s="36" t="n">
        <f aca="false">Sens!$K$1242*1000/(Sens!$K$1225*Sens!$K$1226)</f>
        <v>11.0518571522349</v>
      </c>
      <c r="L1243" s="36" t="n">
        <f aca="false">Sens!$L$1242*1000/(Sens!$L$1225*Sens!$L$1226)</f>
        <v>11.1208530234157</v>
      </c>
      <c r="M1243" s="36" t="n">
        <f aca="false">Sens!$M$1242*1000/(Sens!$M$1225*Sens!$M$1226)</f>
        <v>11.1700556855969</v>
      </c>
      <c r="N1243" s="36" t="n">
        <f aca="false">Sens!$N$1242*1000/(Sens!$N$1225*Sens!$N$1226)</f>
        <v>9.67085565405685</v>
      </c>
      <c r="O1243" s="36" t="n">
        <f aca="false">Sens!$O$1242*1000/(Sens!$O$1225*Sens!$O$1226)</f>
        <v>9.67085565405685</v>
      </c>
    </row>
    <row r="1244" customFormat="false" ht="17.15" hidden="false" customHeight="false" outlineLevel="0" collapsed="false">
      <c r="A1244" s="0" t="s">
        <v>577</v>
      </c>
      <c r="B1244" s="0" t="s">
        <v>73</v>
      </c>
      <c r="C1244" s="38" t="n">
        <f aca="false">Sens!$C$1225/ext_sh*(ox_open+rent_mw)*Sens!$C$1226/1000</f>
        <v>0.642569210675032</v>
      </c>
      <c r="D1244" s="38" t="n">
        <f aca="false">Sens!$D$1225/ext_sh*(ox_open+rent_mw)*Sens!$D$1226/1000</f>
        <v>2.40963454003137</v>
      </c>
      <c r="E1244" s="38" t="n">
        <f aca="false">Sens!$E$1225/ext_sh*(ox_open+rent_mw)*Sens!$E$1226/1000</f>
        <v>2.35608710580845</v>
      </c>
      <c r="F1244" s="38" t="n">
        <f aca="false">((mw_open*ox_open+Sens!$F$1240*Sens!$F$1238)/ext_sh+Sens!$F$1225/ext_sh*rent_mw)*Sens!$F$1226/1000</f>
        <v>3.73678157819469</v>
      </c>
      <c r="G1244" s="38" t="n">
        <f aca="false">Sens!$E$1244+Sens!$F$1244</f>
        <v>6.09286868400315</v>
      </c>
      <c r="H1244" s="38" t="n">
        <f aca="false">((mw_open*ox_open+Sens!$H$1240*Sens!$H$1238)/ext_sh+Sens!$H$1225/ext_sh*rent_mw)*Sens!$H$1226/1000</f>
        <v>13.2504064557921</v>
      </c>
      <c r="I1244" s="38" t="n">
        <f aca="false">((mw_open*ox_open+Sens!$I$1240*Sens!$I$1238)/ext_sh+Sens!$I$1225/ext_sh*rent_mw)*Sens!$I$1226/1000</f>
        <v>21.0326050448572</v>
      </c>
      <c r="J1244" s="38" t="n">
        <f aca="false">((mw_open*ox_open+Sens!$J$1240*Sens!$J$1238)/ext_sh+Sens!$J$1225/ext_sh*rent_mw)*Sens!$J$1226/1000</f>
        <v>28.829192961416</v>
      </c>
      <c r="K1244" s="38" t="n">
        <f aca="false">((mw_open*ox_open+Sens!$K$1240*Sens!$K$1238)/ext_sh+Sens!$K$1225/ext_sh*rent_mw)*Sens!$K$1226/1000</f>
        <v>36.6305773204728</v>
      </c>
      <c r="L1244" s="38" t="n">
        <f aca="false">((mw_open*ox_open+Sens!$L$1240*Sens!$L$1238)/ext_sh+Sens!$L$1225/ext_sh*rent_mw)*Sens!$L$1226/1000</f>
        <v>44.434141880665</v>
      </c>
      <c r="M1244" s="38" t="n">
        <f aca="false">((mw_open*ox_open+Sens!$M$1240*Sens!$M$1238)/ext_sh+Sens!$M$1225/ext_sh*rent_mw)*Sens!$M$1226/1000</f>
        <v>52.2388803953148</v>
      </c>
      <c r="N1244" s="38" t="n">
        <f aca="false">Sens!$N$1225/ext_sh*(ox_open+rent_mw)*Sens!$N$1226/1000</f>
        <v>0.84337208901098</v>
      </c>
      <c r="O1244" s="38" t="n">
        <f aca="false">Sens!$O$1225/ext_sh*(ox_open+rent_mw)*Sens!$O$1226/1000</f>
        <v>1.56626245102039</v>
      </c>
    </row>
    <row r="1245" customFormat="false" ht="17.15" hidden="false" customHeight="false" outlineLevel="0" collapsed="false">
      <c r="A1245" s="0" t="s">
        <v>578</v>
      </c>
      <c r="B1245" s="0" t="s">
        <v>73</v>
      </c>
      <c r="C1245" s="38" t="n">
        <f aca="false">Q!$D$7</f>
        <v>107.556</v>
      </c>
      <c r="D1245" s="38" t="n">
        <f aca="false">Q!$E$7</f>
        <v>128.725</v>
      </c>
      <c r="E1245" s="38" t="n">
        <f aca="false">Q!$P$7</f>
        <v>79.819</v>
      </c>
      <c r="N1245" s="38" t="n">
        <f aca="false">Q!$N$7</f>
        <v>60.14</v>
      </c>
      <c r="O1245" s="38" t="n">
        <f aca="false">Q!$O$7</f>
        <v>68.585</v>
      </c>
    </row>
    <row r="1246" customFormat="false" ht="17.15" hidden="false" customHeight="false" outlineLevel="0" collapsed="false">
      <c r="A1246" s="1" t="s">
        <v>579</v>
      </c>
      <c r="B1246" s="8" t="s">
        <v>73</v>
      </c>
      <c r="C1246" s="38" t="n">
        <f aca="false">Sens!$C$1245-Sens!$C$1242</f>
        <v>105.234994643026</v>
      </c>
      <c r="D1246" s="38" t="n">
        <f aca="false">Sens!$D$1245-Sens!$D$1242</f>
        <v>120.021229911349</v>
      </c>
      <c r="E1246" s="38" t="n">
        <f aca="false">Sens!$E$1245-Sens!$E$1242</f>
        <v>71.30864702443</v>
      </c>
      <c r="F1246" s="38" t="n">
        <f aca="false">Sens!$O$1246*(1+Sens!$F$1247)</f>
        <v>78.5950104186653</v>
      </c>
      <c r="G1246" s="38" t="n">
        <f aca="false">Sens!$E$1246+Sens!$F$1246</f>
        <v>149.903657443095</v>
      </c>
      <c r="H1246" s="38" t="n">
        <f aca="false">Sens!$G$1246*(1+Sens!$H$1247)</f>
        <v>180.893560768142</v>
      </c>
      <c r="I1246" s="38" t="n">
        <f aca="false">Sens!$H$1246*(1+Sens!$I$1247)</f>
        <v>210.64839721501</v>
      </c>
      <c r="J1246" s="38" t="n">
        <f aca="false">Sens!$I$1246*(1+Sens!$J$1247)</f>
        <v>236.398909446495</v>
      </c>
      <c r="K1246" s="38" t="n">
        <f aca="false">Sens!$J$1246*(1+Sens!$K$1247)</f>
        <v>255.310822202215</v>
      </c>
      <c r="L1246" s="38" t="n">
        <f aca="false">Sens!$K$1246*(1+Sens!$L$1247)</f>
        <v>275.735687978392</v>
      </c>
      <c r="M1246" s="38" t="n">
        <f aca="false">Sens!$L$1246*(1+Sens!$M$1247)</f>
        <v>297.794543016663</v>
      </c>
      <c r="N1246" s="38" t="n">
        <f aca="false">Sens!$N$1245-Sens!$N$1242</f>
        <v>57.0936804689721</v>
      </c>
      <c r="O1246" s="38" t="n">
        <f aca="false">Sens!$O$1245-Sens!$O$1242</f>
        <v>62.9275494423768</v>
      </c>
      <c r="P1246" s="5" t="s">
        <v>580</v>
      </c>
    </row>
    <row r="1247" customFormat="false" ht="17.15" hidden="false" customHeight="false" outlineLevel="0" collapsed="false">
      <c r="A1247" s="0" t="s">
        <v>581</v>
      </c>
      <c r="B1247" s="0" t="s">
        <v>52</v>
      </c>
      <c r="E1247" s="12" t="n">
        <f aca="false">Sens!$E$1246/Sens!$N$1246-1</f>
        <v>0.248976181579029</v>
      </c>
      <c r="F1247" s="12" t="n">
        <f aca="false">Sens!$E$1247</f>
        <v>0.248976181579029</v>
      </c>
      <c r="G1247" s="12" t="n">
        <f aca="false">Sens!$G$1246/Sens!$D$1246-1</f>
        <v>0.248976181579029</v>
      </c>
      <c r="H1247" s="12" t="n">
        <f aca="false">Sens!$E$1247+(g_awso_lt-Sens!$E$1247)*1/4</f>
        <v>0.206732136184272</v>
      </c>
      <c r="I1247" s="12" t="n">
        <f aca="false">Sens!$E$1247+(g_awso_lt-Sens!$E$1247)*2/4</f>
        <v>0.164488090789515</v>
      </c>
      <c r="J1247" s="12" t="n">
        <f aca="false">Sens!$E$1247+(g_awso_lt-Sens!$E$1247)*3/4</f>
        <v>0.122244045394757</v>
      </c>
      <c r="K1247" s="12" t="n">
        <f aca="false">Sens!$E$1247+(g_awso_lt-Sens!$E$1247)*4/4</f>
        <v>0.08</v>
      </c>
      <c r="L1247" s="12" t="n">
        <f aca="false">g_awso_lt</f>
        <v>0.08</v>
      </c>
      <c r="M1247" s="12" t="n">
        <f aca="false">g_awso_lt</f>
        <v>0.08</v>
      </c>
      <c r="P1247" s="8" t="s">
        <v>582</v>
      </c>
    </row>
    <row r="1248" customFormat="false" ht="17.15" hidden="false" customHeight="false" outlineLevel="0" collapsed="false">
      <c r="A1248" s="1" t="s">
        <v>583</v>
      </c>
    </row>
    <row r="1249" customFormat="false" ht="17.15" hidden="false" customHeight="false" outlineLevel="0" collapsed="false">
      <c r="A1249" s="0" t="s">
        <v>584</v>
      </c>
      <c r="B1249" s="0" t="s">
        <v>73</v>
      </c>
      <c r="F1249" s="38" t="n">
        <f aca="false">cx_rt*Sens!$F$1215+cx_awso*Sens!$F$1246</f>
        <v>36.8045765066526</v>
      </c>
    </row>
    <row r="1250" customFormat="false" ht="17.15" hidden="false" customHeight="false" outlineLevel="0" collapsed="false">
      <c r="A1250" s="0" t="s">
        <v>585</v>
      </c>
      <c r="B1250" s="0" t="s">
        <v>52</v>
      </c>
      <c r="C1250" s="12" t="n">
        <f aca="false">tk_cx_h100/(tk_cx_h100+tk_fac*(1-colo_sh))</f>
        <v>0.730756458006641</v>
      </c>
      <c r="D1250" s="12" t="n">
        <f aca="false">tk_cx_h100/(tk_cx_h100+tk_fac*(1-colo_sh))</f>
        <v>0.730756458006641</v>
      </c>
      <c r="E1250" s="12" t="n">
        <f aca="false">Sens!$F$1250</f>
        <v>0.760792334328868</v>
      </c>
      <c r="F1250" s="12" t="n">
        <f aca="false">Sens!$F$1233/(Sens!$F$1233+tk_fac*(1-colo_sh))</f>
        <v>0.760792334328868</v>
      </c>
      <c r="G1250" s="12" t="n">
        <f aca="false">Sens!$G$1233/(Sens!$G$1233+tk_fac*(1-colo_sh))</f>
        <v>0.760792334328868</v>
      </c>
      <c r="H1250" s="12" t="n">
        <f aca="false">Sens!$H$1233/(Sens!$H$1233+tk_fac*(1-colo_sh))</f>
        <v>0.768110668862996</v>
      </c>
      <c r="I1250" s="12" t="n">
        <f aca="false">Sens!$I$1233/(Sens!$I$1233+tk_fac*(1-colo_sh))</f>
        <v>0.77499450139483</v>
      </c>
      <c r="J1250" s="12" t="n">
        <f aca="false">Sens!$J$1233/(Sens!$J$1233+tk_fac*(1-colo_sh))</f>
        <v>0.77499450139483</v>
      </c>
      <c r="K1250" s="12" t="n">
        <f aca="false">Sens!$K$1233/(Sens!$K$1233+tk_fac*(1-colo_sh))</f>
        <v>0.77499450139483</v>
      </c>
      <c r="L1250" s="12" t="n">
        <f aca="false">Sens!$L$1233/(Sens!$L$1233+tk_fac*(1-colo_sh))</f>
        <v>0.77499450139483</v>
      </c>
      <c r="M1250" s="12" t="n">
        <f aca="false">Sens!$M$1233/(Sens!$M$1233+tk_fac*(1-colo_sh))</f>
        <v>0.77499450139483</v>
      </c>
    </row>
    <row r="1251" customFormat="false" ht="17.15" hidden="false" customHeight="false" outlineLevel="0" collapsed="false">
      <c r="A1251" s="1" t="s">
        <v>586</v>
      </c>
      <c r="B1251" s="8" t="s">
        <v>73</v>
      </c>
      <c r="C1251" s="38" t="n">
        <f aca="false">Q!$D$46-cx_rt*Q!$D$16-cx_awso*Sens!$C$1246</f>
        <v>25.2781053077374</v>
      </c>
      <c r="D1251" s="38" t="n">
        <f aca="false">Q!$E$46-cx_rt*Q!$E$16-cx_awso*Sens!$D$1246</f>
        <v>69.5686316310026</v>
      </c>
      <c r="E1251" s="38" t="n">
        <f aca="false">Q!$P$46-cx_rt*Q!$P$16-cx_awso*Sens!$E$1246</f>
        <v>64.1899206485108</v>
      </c>
      <c r="F1251" s="38" t="n">
        <f aca="false">MAX(Sens!$F$1228*(Sens!$F$1233+tk_fac*(1-colo_sh))/1000,capex_g26-Q!$P$46-Sens!$F$1249)</f>
        <v>86.8854234933474</v>
      </c>
      <c r="G1251" s="38" t="n">
        <f aca="false">Sens!$E$1251+Sens!$F$1251</f>
        <v>151.075344141858</v>
      </c>
      <c r="H1251" s="38" t="n">
        <f aca="false">Sens!$H$1228*(Sens!$H$1233+tk_fac*(1-colo_sh))/1000+Sens!$H$1252</f>
        <v>148.928523708563</v>
      </c>
      <c r="I1251" s="38" t="n">
        <f aca="false">Sens!$I$1228*(Sens!$I$1233+tk_fac*(1-colo_sh))/1000+Sens!$I$1252</f>
        <v>153.484852432875</v>
      </c>
      <c r="J1251" s="38" t="n">
        <f aca="false">Sens!$J$1228*(Sens!$J$1233+tk_fac*(1-colo_sh))/1000+Sens!$J$1252</f>
        <v>158.721620632875</v>
      </c>
      <c r="K1251" s="38" t="n">
        <f aca="false">Sens!$K$1228*(Sens!$K$1233+tk_fac*(1-colo_sh))/1000+Sens!$K$1252</f>
        <v>163.958388832875</v>
      </c>
      <c r="L1251" s="38" t="n">
        <f aca="false">Sens!$L$1228*(Sens!$L$1233+tk_fac*(1-colo_sh))/1000+Sens!$L$1252</f>
        <v>200.615766232875</v>
      </c>
      <c r="M1251" s="38" t="n">
        <f aca="false">Sens!$M$1228*(Sens!$M$1233+tk_fac*(1-colo_sh))/1000+Sens!$M$1252</f>
        <v>240.889241174312</v>
      </c>
      <c r="P1251" s="5" t="s">
        <v>587</v>
      </c>
      <c r="R1251" s="38" t="n">
        <f aca="false">Q!$C$46-cx_rt*Q!$C$16-cx_awso*(Q!$C$7-mw_ye23/2*rpm_open/1000)</f>
        <v>1.50429979529945</v>
      </c>
      <c r="S1251" s="38" t="n">
        <f aca="false">Sens!$C$1251</f>
        <v>25.2781053077374</v>
      </c>
      <c r="T1251" s="38" t="n">
        <f aca="false">Sens!$D$1251</f>
        <v>69.5686316310026</v>
      </c>
      <c r="U1251" s="38" t="n">
        <f aca="false">Sens!$G$1251</f>
        <v>151.075344141858</v>
      </c>
      <c r="V1251" s="38" t="n">
        <f aca="false">Sens!$H$1251</f>
        <v>148.928523708563</v>
      </c>
      <c r="W1251" s="38" t="n">
        <f aca="false">Sens!$I$1251</f>
        <v>153.484852432875</v>
      </c>
      <c r="X1251" s="38" t="n">
        <f aca="false">Sens!$J$1251</f>
        <v>158.721620632875</v>
      </c>
      <c r="Y1251" s="38" t="n">
        <f aca="false">Sens!$K$1251</f>
        <v>163.958388832875</v>
      </c>
      <c r="Z1251" s="38" t="n">
        <f aca="false">Sens!$L$1251</f>
        <v>200.615766232875</v>
      </c>
      <c r="AA1251" s="38" t="n">
        <f aca="false">Sens!$M$1251</f>
        <v>240.889241174312</v>
      </c>
    </row>
    <row r="1252" customFormat="false" ht="17.15" hidden="false" customHeight="false" outlineLevel="0" collapsed="false">
      <c r="A1252" s="0" t="s">
        <v>588</v>
      </c>
      <c r="B1252" s="0" t="s">
        <v>73</v>
      </c>
      <c r="H1252" s="38" t="n">
        <f aca="false">SUMPRODUCT(--(Sens!$R$1222:$AA$1222=2027-tk_life),Sens!$R$1228:$AA$1228)*Sens!$H$1233/1000</f>
        <v>0</v>
      </c>
      <c r="I1252" s="38" t="n">
        <f aca="false">SUMPRODUCT(--(Sens!$R$1222:$AA$1222=2028-tk_life),Sens!$R$1228:$AA$1228)*Sens!$I$1233/1000</f>
        <v>0</v>
      </c>
      <c r="J1252" s="38" t="n">
        <f aca="false">SUMPRODUCT(--(Sens!$R$1222:$AA$1222=2029-tk_life),Sens!$R$1228:$AA$1228)*Sens!$J$1233/1000</f>
        <v>5.2367682</v>
      </c>
      <c r="K1252" s="38" t="n">
        <f aca="false">SUMPRODUCT(--(Sens!$R$1222:$AA$1222=2030-tk_life),Sens!$R$1228:$AA$1228)*Sens!$K$1233/1000</f>
        <v>10.4735364</v>
      </c>
      <c r="L1252" s="38" t="n">
        <f aca="false">SUMPRODUCT(--(Sens!$R$1222:$AA$1222=2031-tk_life),Sens!$R$1228:$AA$1228)*Sens!$L$1233/1000</f>
        <v>47.1309138</v>
      </c>
      <c r="M1252" s="38" t="n">
        <f aca="false">SUMPRODUCT(--(Sens!$R$1222:$AA$1222=2032-tk_life),Sens!$R$1228:$AA$1228)*Sens!$M$1233/1000</f>
        <v>87.4043887414375</v>
      </c>
    </row>
    <row r="1253" customFormat="false" ht="17.15" hidden="false" customHeight="false" outlineLevel="0" collapsed="false">
      <c r="A1253" s="5" t="s">
        <v>589</v>
      </c>
      <c r="B1253" s="0" t="s">
        <v>73</v>
      </c>
      <c r="C1253" s="38" t="n">
        <f aca="false">Sens!$C$1251*Sens!$C$1250</f>
        <v>18.472138699801</v>
      </c>
      <c r="D1253" s="38" t="n">
        <f aca="false">Sens!$D$1251*Sens!$D$1250</f>
        <v>50.8377268390402</v>
      </c>
      <c r="E1253" s="38" t="n">
        <f aca="false">Sens!$E$1251*Sens!$E$1250</f>
        <v>48.8351995705653</v>
      </c>
      <c r="F1253" s="38" t="n">
        <f aca="false">Sens!$F$1251*Sens!$F$1250</f>
        <v>66.101764158656</v>
      </c>
      <c r="G1253" s="38" t="n">
        <f aca="false">Sens!$E$1253+Sens!$F$1253</f>
        <v>114.936963729221</v>
      </c>
      <c r="H1253" s="38" t="n">
        <f aca="false">(Sens!$H$1251-Sens!$H$1252)*Sens!$H$1250+Sens!$H$1252</f>
        <v>114.393587958563</v>
      </c>
      <c r="I1253" s="38" t="n">
        <f aca="false">(Sens!$I$1251-Sens!$I$1252)*Sens!$I$1250+Sens!$I$1252</f>
        <v>118.949916682875</v>
      </c>
      <c r="J1253" s="38" t="n">
        <f aca="false">(Sens!$J$1251-Sens!$J$1252)*Sens!$J$1250+Sens!$J$1252</f>
        <v>124.186684882875</v>
      </c>
      <c r="K1253" s="38" t="n">
        <f aca="false">(Sens!$K$1251-Sens!$K$1252)*Sens!$K$1250+Sens!$K$1252</f>
        <v>129.423453082875</v>
      </c>
      <c r="L1253" s="38" t="n">
        <f aca="false">(Sens!$L$1251-Sens!$L$1252)*Sens!$L$1250+Sens!$L$1252</f>
        <v>166.080830482875</v>
      </c>
      <c r="M1253" s="38" t="n">
        <f aca="false">(Sens!$M$1251-Sens!$M$1252)*Sens!$M$1250+Sens!$M$1252</f>
        <v>206.354305424312</v>
      </c>
      <c r="R1253" s="38" t="n">
        <f aca="false">Sens!$R$1251*Sens!$C$1250</f>
        <v>1.09927679019314</v>
      </c>
      <c r="S1253" s="38" t="n">
        <f aca="false">Sens!$C$1253</f>
        <v>18.472138699801</v>
      </c>
      <c r="T1253" s="38" t="n">
        <f aca="false">Sens!$D$1253</f>
        <v>50.8377268390402</v>
      </c>
      <c r="U1253" s="38" t="n">
        <f aca="false">Sens!$G$1253</f>
        <v>114.936963729221</v>
      </c>
      <c r="V1253" s="38" t="n">
        <f aca="false">Sens!$H$1253</f>
        <v>114.393587958563</v>
      </c>
      <c r="W1253" s="38" t="n">
        <f aca="false">Sens!$I$1253</f>
        <v>118.949916682875</v>
      </c>
      <c r="X1253" s="38" t="n">
        <f aca="false">Sens!$J$1253</f>
        <v>124.186684882875</v>
      </c>
      <c r="Y1253" s="38" t="n">
        <f aca="false">Sens!$K$1253</f>
        <v>129.423453082875</v>
      </c>
      <c r="Z1253" s="38" t="n">
        <f aca="false">Sens!$L$1253</f>
        <v>166.080830482875</v>
      </c>
      <c r="AA1253" s="38" t="n">
        <f aca="false">Sens!$M$1253</f>
        <v>206.354305424312</v>
      </c>
    </row>
    <row r="1254" customFormat="false" ht="15" hidden="false" customHeight="false" outlineLevel="0" collapsed="false">
      <c r="A1254" s="5" t="s">
        <v>590</v>
      </c>
      <c r="B1254" s="0" t="s">
        <v>73</v>
      </c>
      <c r="R1254" s="38" t="n">
        <f aca="false">Sens!$R$1251-Sens!$R$1253</f>
        <v>0.405023005106309</v>
      </c>
      <c r="S1254" s="38" t="n">
        <f aca="false">Sens!$S$1251-Sens!$S$1253</f>
        <v>6.80596660793636</v>
      </c>
      <c r="T1254" s="38" t="n">
        <f aca="false">Sens!$T$1251-Sens!$T$1253</f>
        <v>18.7309047919624</v>
      </c>
      <c r="U1254" s="38" t="n">
        <f aca="false">Sens!$U$1251-Sens!$U$1253</f>
        <v>36.1383804126369</v>
      </c>
      <c r="V1254" s="38" t="n">
        <f aca="false">Sens!$V$1251-Sens!$V$1253</f>
        <v>34.53493575</v>
      </c>
      <c r="W1254" s="38" t="n">
        <f aca="false">Sens!$W$1251-Sens!$W$1253</f>
        <v>34.53493575</v>
      </c>
      <c r="X1254" s="38" t="n">
        <f aca="false">Sens!$X$1251-Sens!$X$1253</f>
        <v>34.53493575</v>
      </c>
      <c r="Y1254" s="38" t="n">
        <f aca="false">Sens!$Y$1251-Sens!$Y$1253</f>
        <v>34.53493575</v>
      </c>
      <c r="Z1254" s="38" t="n">
        <f aca="false">Sens!$Z$1251-Sens!$Z$1253</f>
        <v>34.53493575</v>
      </c>
      <c r="AA1254" s="38" t="n">
        <f aca="false">Sens!$AA$1251-Sens!$AA$1253</f>
        <v>34.53493575</v>
      </c>
    </row>
    <row r="1255" customFormat="false" ht="17.15" hidden="false" customHeight="false" outlineLevel="0" collapsed="false">
      <c r="A1255" s="0" t="s">
        <v>591</v>
      </c>
      <c r="B1255" s="0" t="s">
        <v>73</v>
      </c>
      <c r="C1255" s="38" t="n">
        <f aca="false">Sens!$S$1255</f>
        <v>0.183212798365523</v>
      </c>
      <c r="D1255" s="38" t="n">
        <f aca="false">Sens!$T$1255</f>
        <v>3.2619025816657</v>
      </c>
      <c r="E1255" s="38" t="n">
        <f aca="false">Sens!$G$1255/2</f>
        <v>5.86742852741953</v>
      </c>
      <c r="F1255" s="38" t="n">
        <f aca="false">Sens!$G$1255/2</f>
        <v>5.86742852741953</v>
      </c>
      <c r="G1255" s="38" t="n">
        <f aca="false">Sens!$U$1255</f>
        <v>11.7348570548391</v>
      </c>
      <c r="H1255" s="38" t="n">
        <f aca="false">Sens!$V$1255</f>
        <v>30.891017676376</v>
      </c>
      <c r="I1255" s="38" t="n">
        <f aca="false">Sens!$W$1255</f>
        <v>49.9566156694697</v>
      </c>
      <c r="J1255" s="38" t="n">
        <f aca="false">Sens!$X$1255</f>
        <v>69.7816017832822</v>
      </c>
      <c r="K1255" s="38" t="n">
        <f aca="false">Sens!$Y$1255</f>
        <v>90.2961697987292</v>
      </c>
      <c r="L1255" s="38" t="n">
        <f aca="false">Sens!$Z$1255</f>
        <v>108.788055529242</v>
      </c>
      <c r="M1255" s="38" t="n">
        <f aca="false">Sens!$AA$1255</f>
        <v>127.995239469881</v>
      </c>
      <c r="N1255" s="38" t="n">
        <f aca="false">Sens!$D$1255/2</f>
        <v>1.63095129083285</v>
      </c>
      <c r="O1255" s="38" t="n">
        <f aca="false">Sens!$D$1255/2</f>
        <v>1.63095129083285</v>
      </c>
      <c r="R1255" s="38" t="n">
        <f aca="false">SUMPRODUCT(--(Sens!$R$1222:$AA$1222&lt;Sens!R$1222),--(Sens!$R$1222:$AA$1222&gt;=Sens!R$1222-tk_life),Sens!$R$1253:$AA$1253)/tk_life</f>
        <v>0</v>
      </c>
      <c r="S1255" s="38" t="n">
        <f aca="false">SUMPRODUCT(--(Sens!$R$1222:$AA$1222&lt;Sens!S$1222),--(Sens!$R$1222:$AA$1222&gt;=Sens!S$1222-tk_life),Sens!$R$1253:$AA$1253)/tk_life</f>
        <v>0.183212798365523</v>
      </c>
      <c r="T1255" s="38" t="n">
        <f aca="false">SUMPRODUCT(--(Sens!$R$1222:$AA$1222&lt;Sens!T$1222),--(Sens!$R$1222:$AA$1222&gt;=Sens!T$1222-tk_life),Sens!$R$1253:$AA$1253)/tk_life</f>
        <v>3.2619025816657</v>
      </c>
      <c r="U1255" s="38" t="n">
        <f aca="false">SUMPRODUCT(--(Sens!$R$1222:$AA$1222&lt;Sens!U$1222),--(Sens!$R$1222:$AA$1222&gt;=Sens!U$1222-tk_life),Sens!$R$1253:$AA$1253)/tk_life</f>
        <v>11.7348570548391</v>
      </c>
      <c r="V1255" s="38" t="n">
        <f aca="false">SUMPRODUCT(--(Sens!$R$1222:$AA$1222&lt;Sens!V$1222),--(Sens!$R$1222:$AA$1222&gt;=Sens!V$1222-tk_life),Sens!$R$1253:$AA$1253)/tk_life</f>
        <v>30.891017676376</v>
      </c>
      <c r="W1255" s="38" t="n">
        <f aca="false">SUMPRODUCT(--(Sens!$R$1222:$AA$1222&lt;Sens!W$1222),--(Sens!$R$1222:$AA$1222&gt;=Sens!W$1222-tk_life),Sens!$R$1253:$AA$1253)/tk_life</f>
        <v>49.9566156694697</v>
      </c>
      <c r="X1255" s="38" t="n">
        <f aca="false">SUMPRODUCT(--(Sens!$R$1222:$AA$1222&lt;Sens!X$1222),--(Sens!$R$1222:$AA$1222&gt;=Sens!X$1222-tk_life),Sens!$R$1253:$AA$1253)/tk_life</f>
        <v>69.7816017832822</v>
      </c>
      <c r="Y1255" s="38" t="n">
        <f aca="false">SUMPRODUCT(--(Sens!$R$1222:$AA$1222&lt;Sens!Y$1222),--(Sens!$R$1222:$AA$1222&gt;=Sens!Y$1222-tk_life),Sens!$R$1253:$AA$1253)/tk_life</f>
        <v>90.2961697987292</v>
      </c>
      <c r="Z1255" s="38" t="n">
        <f aca="false">SUMPRODUCT(--(Sens!$R$1222:$AA$1222&lt;Sens!Z$1222),--(Sens!$R$1222:$AA$1222&gt;=Sens!Z$1222-tk_life),Sens!$R$1253:$AA$1253)/tk_life</f>
        <v>108.788055529242</v>
      </c>
      <c r="AA1255" s="38" t="n">
        <f aca="false">SUMPRODUCT(--(Sens!$R$1222:$AA$1222&lt;Sens!AA$1222),--(Sens!$R$1222:$AA$1222&gt;=Sens!AA$1222-tk_life),Sens!$R$1253:$AA$1253)/tk_life</f>
        <v>127.995239469881</v>
      </c>
    </row>
    <row r="1256" customFormat="false" ht="17.15" hidden="false" customHeight="false" outlineLevel="0" collapsed="false">
      <c r="A1256" s="0" t="s">
        <v>592</v>
      </c>
      <c r="B1256" s="0" t="s">
        <v>73</v>
      </c>
      <c r="C1256" s="38" t="n">
        <f aca="false">Sens!$S$1256</f>
        <v>0.0202511502553155</v>
      </c>
      <c r="D1256" s="38" t="n">
        <f aca="false">Sens!$T$1256</f>
        <v>0.360549480652134</v>
      </c>
      <c r="E1256" s="38" t="n">
        <f aca="false">Sens!$G$1256/2</f>
        <v>0.648547360125127</v>
      </c>
      <c r="F1256" s="38" t="n">
        <f aca="false">Sens!$G$1256/2</f>
        <v>0.648547360125127</v>
      </c>
      <c r="G1256" s="38" t="n">
        <f aca="false">Sens!$U$1256</f>
        <v>1.29709472025025</v>
      </c>
      <c r="H1256" s="38" t="n">
        <f aca="false">Sens!$V$1256</f>
        <v>3.1040137408821</v>
      </c>
      <c r="I1256" s="38" t="n">
        <f aca="false">Sens!$W$1256</f>
        <v>4.8307605283821</v>
      </c>
      <c r="J1256" s="38" t="n">
        <f aca="false">Sens!$X$1256</f>
        <v>6.5575073158821</v>
      </c>
      <c r="K1256" s="38" t="n">
        <f aca="false">Sens!$Y$1256</f>
        <v>8.2842541033821</v>
      </c>
      <c r="L1256" s="38" t="n">
        <f aca="false">Sens!$Z$1256</f>
        <v>10.0110008908821</v>
      </c>
      <c r="M1256" s="38" t="n">
        <f aca="false">Sens!$AA$1256</f>
        <v>11.7377476783821</v>
      </c>
      <c r="N1256" s="38" t="n">
        <f aca="false">Sens!$D$1256/2</f>
        <v>0.180274740326067</v>
      </c>
      <c r="O1256" s="38" t="n">
        <f aca="false">Sens!$D$1256/2</f>
        <v>0.180274740326067</v>
      </c>
      <c r="R1256" s="38" t="n">
        <f aca="false">SUMPRODUCT(--(Sens!$R$1222:$AA$1222&lt;Sens!R$1222),Sens!$R$1254:$AA$1254)/fac_life</f>
        <v>0</v>
      </c>
      <c r="S1256" s="38" t="n">
        <f aca="false">SUMPRODUCT(--(Sens!$R$1222:$AA$1222&lt;Sens!S$1222),Sens!$R$1254:$AA$1254)/fac_life</f>
        <v>0.0202511502553155</v>
      </c>
      <c r="T1256" s="38" t="n">
        <f aca="false">SUMPRODUCT(--(Sens!$R$1222:$AA$1222&lt;Sens!T$1222),Sens!$R$1254:$AA$1254)/fac_life</f>
        <v>0.360549480652134</v>
      </c>
      <c r="U1256" s="38" t="n">
        <f aca="false">SUMPRODUCT(--(Sens!$R$1222:$AA$1222&lt;Sens!U$1222),Sens!$R$1254:$AA$1254)/fac_life</f>
        <v>1.29709472025025</v>
      </c>
      <c r="V1256" s="38" t="n">
        <f aca="false">SUMPRODUCT(--(Sens!$R$1222:$AA$1222&lt;Sens!V$1222),Sens!$R$1254:$AA$1254)/fac_life</f>
        <v>3.1040137408821</v>
      </c>
      <c r="W1256" s="38" t="n">
        <f aca="false">SUMPRODUCT(--(Sens!$R$1222:$AA$1222&lt;Sens!W$1222),Sens!$R$1254:$AA$1254)/fac_life</f>
        <v>4.8307605283821</v>
      </c>
      <c r="X1256" s="38" t="n">
        <f aca="false">SUMPRODUCT(--(Sens!$R$1222:$AA$1222&lt;Sens!X$1222),Sens!$R$1254:$AA$1254)/fac_life</f>
        <v>6.5575073158821</v>
      </c>
      <c r="Y1256" s="38" t="n">
        <f aca="false">SUMPRODUCT(--(Sens!$R$1222:$AA$1222&lt;Sens!Y$1222),Sens!$R$1254:$AA$1254)/fac_life</f>
        <v>8.2842541033821</v>
      </c>
      <c r="Z1256" s="38" t="n">
        <f aca="false">SUMPRODUCT(--(Sens!$R$1222:$AA$1222&lt;Sens!Z$1222),Sens!$R$1254:$AA$1254)/fac_life</f>
        <v>10.0110008908821</v>
      </c>
      <c r="AA1256" s="38" t="n">
        <f aca="false">SUMPRODUCT(--(Sens!$R$1222:$AA$1222&lt;Sens!AA$1222),Sens!$R$1254:$AA$1254)/fac_life</f>
        <v>11.7377476783821</v>
      </c>
    </row>
    <row r="1257" customFormat="false" ht="17.15" hidden="false" customHeight="false" outlineLevel="0" collapsed="false">
      <c r="A1257" s="1" t="s">
        <v>593</v>
      </c>
      <c r="B1257" s="8" t="s">
        <v>73</v>
      </c>
      <c r="C1257" s="38" t="n">
        <f aca="false">Sens!$C$1255+Sens!$C$1256</f>
        <v>0.203463948620839</v>
      </c>
      <c r="D1257" s="38" t="n">
        <f aca="false">Sens!$D$1255+Sens!$D$1256</f>
        <v>3.62245206231783</v>
      </c>
      <c r="E1257" s="38" t="n">
        <f aca="false">Sens!$E$1255+Sens!$E$1256</f>
        <v>6.51597588754466</v>
      </c>
      <c r="F1257" s="38" t="n">
        <f aca="false">Sens!$F$1255+Sens!$F$1256</f>
        <v>6.51597588754466</v>
      </c>
      <c r="G1257" s="38" t="n">
        <f aca="false">Sens!$G$1255+Sens!$G$1256</f>
        <v>13.0319517750893</v>
      </c>
      <c r="H1257" s="38" t="n">
        <f aca="false">Sens!$H$1255+Sens!$H$1256</f>
        <v>33.9950314172581</v>
      </c>
      <c r="I1257" s="38" t="n">
        <f aca="false">Sens!$I$1255+Sens!$I$1256</f>
        <v>54.7873761978518</v>
      </c>
      <c r="J1257" s="38" t="n">
        <f aca="false">Sens!$J$1255+Sens!$J$1256</f>
        <v>76.3391090991643</v>
      </c>
      <c r="K1257" s="38" t="n">
        <f aca="false">Sens!$K$1255+Sens!$K$1256</f>
        <v>98.5804239021113</v>
      </c>
      <c r="L1257" s="38" t="n">
        <f aca="false">Sens!$L$1255+Sens!$L$1256</f>
        <v>118.799056420124</v>
      </c>
      <c r="M1257" s="38" t="n">
        <f aca="false">Sens!$M$1255+Sens!$M$1256</f>
        <v>139.732987148263</v>
      </c>
      <c r="N1257" s="38" t="n">
        <f aca="false">Sens!$N$1255+Sens!$N$1256</f>
        <v>1.81122603115892</v>
      </c>
      <c r="O1257" s="38" t="n">
        <f aca="false">Sens!$O$1255+Sens!$O$1256</f>
        <v>1.81122603115892</v>
      </c>
      <c r="R1257" s="38" t="n">
        <f aca="false">Sens!$R$1255+Sens!$R$1256</f>
        <v>0</v>
      </c>
      <c r="S1257" s="38" t="n">
        <f aca="false">Sens!$S$1255+Sens!$S$1256</f>
        <v>0.203463948620839</v>
      </c>
      <c r="T1257" s="38" t="n">
        <f aca="false">Sens!$T$1255+Sens!$T$1256</f>
        <v>3.62245206231783</v>
      </c>
      <c r="U1257" s="38" t="n">
        <f aca="false">Sens!$U$1255+Sens!$U$1256</f>
        <v>13.0319517750893</v>
      </c>
      <c r="V1257" s="38" t="n">
        <f aca="false">Sens!$V$1255+Sens!$V$1256</f>
        <v>33.9950314172581</v>
      </c>
      <c r="W1257" s="38" t="n">
        <f aca="false">Sens!$W$1255+Sens!$W$1256</f>
        <v>54.7873761978518</v>
      </c>
      <c r="X1257" s="38" t="n">
        <f aca="false">Sens!$X$1255+Sens!$X$1256</f>
        <v>76.3391090991643</v>
      </c>
      <c r="Y1257" s="38" t="n">
        <f aca="false">Sens!$Y$1255+Sens!$Y$1256</f>
        <v>98.5804239021113</v>
      </c>
      <c r="Z1257" s="38" t="n">
        <f aca="false">Sens!$Z$1255+Sens!$Z$1256</f>
        <v>118.799056420124</v>
      </c>
      <c r="AA1257" s="38" t="n">
        <f aca="false">Sens!$AA$1255+Sens!$AA$1256</f>
        <v>139.732987148263</v>
      </c>
    </row>
    <row r="1258" customFormat="false" ht="17.15" hidden="false" customHeight="false" outlineLevel="0" collapsed="false">
      <c r="A1258" s="0" t="s">
        <v>594</v>
      </c>
      <c r="B1258" s="0" t="s">
        <v>73</v>
      </c>
      <c r="C1258" s="38" t="n">
        <f aca="false">Sens!$S$1258</f>
        <v>26.578941154416</v>
      </c>
      <c r="D1258" s="38" t="n">
        <f aca="false">Sens!$T$1258</f>
        <v>92.5251207231008</v>
      </c>
      <c r="G1258" s="38" t="n">
        <f aca="false">Sens!$U$1258</f>
        <v>230.56851308987</v>
      </c>
      <c r="H1258" s="38" t="n">
        <f aca="false">Sens!$V$1258</f>
        <v>345.502005381174</v>
      </c>
      <c r="I1258" s="38" t="n">
        <f aca="false">Sens!$W$1258</f>
        <v>444.199481616197</v>
      </c>
      <c r="J1258" s="38" t="n">
        <f aca="false">Sens!$X$1258</f>
        <v>526.581993149908</v>
      </c>
      <c r="K1258" s="38" t="n">
        <f aca="false">Sens!$Y$1258</f>
        <v>591.959958080672</v>
      </c>
      <c r="L1258" s="38" t="n">
        <f aca="false">Sens!$Z$1258</f>
        <v>673.776667893423</v>
      </c>
      <c r="M1258" s="38" t="n">
        <f aca="false">Sens!$AA$1258</f>
        <v>774.932921919473</v>
      </c>
      <c r="R1258" s="38" t="n">
        <f aca="false">SUM(Sens!$R$1251:$R$1251)-SUM(Sens!$R$1257:$R$1257)</f>
        <v>1.50429979529945</v>
      </c>
      <c r="S1258" s="38" t="n">
        <f aca="false">SUM(Sens!$R$1251:$S$1251)-SUM(Sens!$R$1257:$S$1257)</f>
        <v>26.578941154416</v>
      </c>
      <c r="T1258" s="38" t="n">
        <f aca="false">SUM(Sens!$R$1251:$T$1251)-SUM(Sens!$R$1257:$T$1257)</f>
        <v>92.5251207231008</v>
      </c>
      <c r="U1258" s="38" t="n">
        <f aca="false">SUM(Sens!$R$1251:$U$1251)-SUM(Sens!$R$1257:$U$1257)</f>
        <v>230.56851308987</v>
      </c>
      <c r="V1258" s="38" t="n">
        <f aca="false">SUM(Sens!$R$1251:$V$1251)-SUM(Sens!$R$1257:$V$1257)</f>
        <v>345.502005381174</v>
      </c>
      <c r="W1258" s="38" t="n">
        <f aca="false">SUM(Sens!$R$1251:$W$1251)-SUM(Sens!$R$1257:$W$1257)</f>
        <v>444.199481616197</v>
      </c>
      <c r="X1258" s="38" t="n">
        <f aca="false">SUM(Sens!$R$1251:$X$1251)-SUM(Sens!$R$1257:$X$1257)</f>
        <v>526.581993149908</v>
      </c>
      <c r="Y1258" s="38" t="n">
        <f aca="false">SUM(Sens!$R$1251:$Y$1251)-SUM(Sens!$R$1257:$Y$1257)</f>
        <v>591.959958080672</v>
      </c>
      <c r="Z1258" s="38" t="n">
        <f aca="false">SUM(Sens!$R$1251:$Z$1251)-SUM(Sens!$R$1257:$Z$1257)</f>
        <v>673.776667893423</v>
      </c>
      <c r="AA1258" s="38" t="n">
        <f aca="false">SUM(Sens!$R$1251:$AA$1251)-SUM(Sens!$R$1257:$AA$1257)</f>
        <v>774.932921919473</v>
      </c>
    </row>
    <row r="1259" customFormat="false" ht="17.15" hidden="false" customHeight="false" outlineLevel="0" collapsed="false">
      <c r="A1259" s="1" t="s">
        <v>595</v>
      </c>
    </row>
    <row r="1260" customFormat="false" ht="17.15" hidden="false" customHeight="false" outlineLevel="0" collapsed="false">
      <c r="A1260" s="0" t="s">
        <v>596</v>
      </c>
      <c r="B1260" s="0" t="s">
        <v>73</v>
      </c>
      <c r="C1260" s="38" t="n">
        <f aca="false">Sens!$C$1242-ext_sh*Sens!$C$1244</f>
        <v>1.80694998843362</v>
      </c>
      <c r="D1260" s="38" t="n">
        <f aca="false">Sens!$D$1242-ext_sh*Sens!$D$1244</f>
        <v>6.77606245662607</v>
      </c>
      <c r="E1260" s="38" t="n">
        <f aca="false">Sens!$E$1242-ext_sh*Sens!$E$1244</f>
        <v>6.62548329092326</v>
      </c>
      <c r="F1260" s="38" t="n">
        <f aca="false">Sens!$F$1242-ext_sh*Sens!$F$1244</f>
        <v>10.7475724410394</v>
      </c>
      <c r="G1260" s="38" t="n">
        <f aca="false">Sens!$G$1242-ext_sh*Sens!$G$1244</f>
        <v>17.3730557319626</v>
      </c>
      <c r="H1260" s="38" t="n">
        <f aca="false">Sens!$H$1242-ext_sh*Sens!$H$1244</f>
        <v>39.5529378378068</v>
      </c>
      <c r="I1260" s="38" t="n">
        <f aca="false">Sens!$I$1242-ext_sh*Sens!$I$1244</f>
        <v>64.3305352565479</v>
      </c>
      <c r="J1260" s="38" t="n">
        <f aca="false">Sens!$J$1242-ext_sh*Sens!$J$1244</f>
        <v>89.2345459344354</v>
      </c>
      <c r="K1260" s="38" t="n">
        <f aca="false">Sens!$K$1242-ext_sh*Sens!$K$1244</f>
        <v>114.180694365372</v>
      </c>
      <c r="L1260" s="38" t="n">
        <f aca="false">Sens!$L$1242-ext_sh*Sens!$L$1244</f>
        <v>139.145996320421</v>
      </c>
      <c r="M1260" s="38" t="n">
        <f aca="false">Sens!$M$1242-ext_sh*Sens!$M$1244</f>
        <v>164.121611711532</v>
      </c>
      <c r="N1260" s="38" t="n">
        <f aca="false">Sens!$N$1242-ext_sh*Sens!$N$1244</f>
        <v>2.37162185981912</v>
      </c>
      <c r="O1260" s="38" t="n">
        <f aca="false">Sens!$O$1242-ext_sh*Sens!$O$1244</f>
        <v>4.40444059680694</v>
      </c>
    </row>
    <row r="1261" customFormat="false" ht="17.15" hidden="false" customHeight="false" outlineLevel="0" collapsed="false">
      <c r="A1261" s="1" t="s">
        <v>597</v>
      </c>
      <c r="B1261" s="8" t="s">
        <v>73</v>
      </c>
      <c r="C1261" s="38" t="n">
        <f aca="false">Sens!$C$1260-ext_sh*Sens!$C$1257</f>
        <v>1.64417882953695</v>
      </c>
      <c r="D1261" s="38" t="n">
        <f aca="false">Sens!$D$1260-ext_sh*Sens!$D$1257</f>
        <v>3.8781008067718</v>
      </c>
      <c r="E1261" s="38" t="n">
        <f aca="false">Sens!$E$1260-ext_sh*Sens!$E$1257</f>
        <v>1.41270258088753</v>
      </c>
      <c r="F1261" s="38" t="n">
        <f aca="false">Sens!$F$1260-ext_sh*Sens!$F$1257</f>
        <v>5.53479173100364</v>
      </c>
      <c r="G1261" s="38" t="n">
        <f aca="false">Sens!$G$1260-ext_sh*Sens!$G$1257</f>
        <v>6.94749431189117</v>
      </c>
      <c r="H1261" s="38" t="n">
        <f aca="false">Sens!$H$1260-ext_sh*Sens!$H$1257</f>
        <v>12.3569127040004</v>
      </c>
      <c r="I1261" s="38" t="n">
        <f aca="false">Sens!$I$1260-ext_sh*Sens!$I$1257</f>
        <v>20.5006342982664</v>
      </c>
      <c r="J1261" s="38" t="n">
        <f aca="false">Sens!$J$1260-ext_sh*Sens!$J$1257</f>
        <v>28.163258655104</v>
      </c>
      <c r="K1261" s="38" t="n">
        <f aca="false">Sens!$K$1260-ext_sh*Sens!$K$1257</f>
        <v>35.3163552436828</v>
      </c>
      <c r="L1261" s="38" t="n">
        <f aca="false">Sens!$L$1260-ext_sh*Sens!$L$1257</f>
        <v>44.1067511843224</v>
      </c>
      <c r="M1261" s="38" t="n">
        <f aca="false">Sens!$M$1260-ext_sh*Sens!$M$1257</f>
        <v>52.3352219929214</v>
      </c>
      <c r="N1261" s="38" t="n">
        <f aca="false">Sens!$N$1260-ext_sh*Sens!$N$1257</f>
        <v>0.92264103489199</v>
      </c>
      <c r="O1261" s="38" t="n">
        <f aca="false">Sens!$O$1260-ext_sh*Sens!$O$1257</f>
        <v>2.95545977187981</v>
      </c>
    </row>
    <row r="1262" customFormat="false" ht="17.15" hidden="false" customHeight="false" outlineLevel="0" collapsed="false">
      <c r="A1262" s="0" t="s">
        <v>598</v>
      </c>
      <c r="B1262" s="0" t="s">
        <v>52</v>
      </c>
      <c r="C1262" s="12" t="n">
        <f aca="false">Sens!$C$1261/Sens!$C$1242</f>
        <v>0.708390794789371</v>
      </c>
      <c r="D1262" s="12" t="n">
        <f aca="false">Sens!$D$1261/Sens!$D$1242</f>
        <v>0.445565630441968</v>
      </c>
      <c r="E1262" s="12" t="n">
        <f aca="false">Sens!$E$1261/Sens!$E$1242</f>
        <v>0.165998118402711</v>
      </c>
      <c r="F1262" s="12" t="n">
        <f aca="false">Sens!$F$1261/Sens!$F$1242</f>
        <v>0.402911309328903</v>
      </c>
      <c r="G1262" s="12" t="n">
        <f aca="false">Sens!$G$1261/Sens!$G$1242</f>
        <v>0.312284119223129</v>
      </c>
      <c r="H1262" s="12" t="n">
        <f aca="false">Sens!$H$1261/Sens!$H$1242</f>
        <v>0.246383026033602</v>
      </c>
      <c r="I1262" s="12" t="n">
        <f aca="false">Sens!$I$1261/Sens!$I$1242</f>
        <v>0.252605819180269</v>
      </c>
      <c r="J1262" s="12" t="n">
        <f aca="false">Sens!$J$1261/Sens!$J$1242</f>
        <v>0.250790607651362</v>
      </c>
      <c r="K1262" s="12" t="n">
        <f aca="false">Sens!$K$1261/Sens!$K$1242</f>
        <v>0.246132465361803</v>
      </c>
      <c r="L1262" s="12" t="n">
        <f aca="false">Sens!$L$1261/Sens!$L$1242</f>
        <v>0.252481055104619</v>
      </c>
      <c r="M1262" s="12" t="n">
        <f aca="false">Sens!$M$1261/Sens!$M$1242</f>
        <v>0.254162166390248</v>
      </c>
      <c r="N1262" s="12" t="n">
        <f aca="false">Sens!$N$1261/Sens!$N$1242</f>
        <v>0.302870734830849</v>
      </c>
      <c r="O1262" s="12" t="n">
        <f aca="false">Sens!$O$1261/Sens!$O$1242</f>
        <v>0.52240134346334</v>
      </c>
    </row>
    <row r="1263" customFormat="false" ht="17.15" hidden="false" customHeight="false" outlineLevel="0" collapsed="false">
      <c r="A1263" s="5" t="s">
        <v>599</v>
      </c>
      <c r="B1263" s="0" t="s">
        <v>73</v>
      </c>
      <c r="C1263" s="38" t="n">
        <f aca="false">rd2*(1-ext_sh)/ext_sh*Sens!$C$1225*he_open*Sens!$C$1226/1000</f>
        <v>0</v>
      </c>
      <c r="D1263" s="38" t="n">
        <f aca="false">rd2*(1-ext_sh)/ext_sh*Sens!$D$1225*he_open*Sens!$D$1226/1000</f>
        <v>0</v>
      </c>
      <c r="E1263" s="38" t="n">
        <f aca="false">rd2*(1-ext_sh)/ext_sh*Sens!$E$1225*he_open*Sens!$E$1226/1000</f>
        <v>0</v>
      </c>
      <c r="F1263" s="38" t="n">
        <f aca="false">rd2*(1-ext_sh)/ext_sh*(mw_open*he_open+Sens!$F$1240*Sens!$F$1237)*Sens!$F$1226/1000</f>
        <v>0</v>
      </c>
      <c r="G1263" s="38" t="n">
        <f aca="false">Sens!$E$1263+Sens!$F$1263</f>
        <v>0</v>
      </c>
      <c r="H1263" s="38" t="n">
        <f aca="false">rd2*(1-ext_sh)/ext_sh*(mw_open*he_open+Sens!$H$1240*Sens!$H$1237)*Sens!$H$1226/1000</f>
        <v>0</v>
      </c>
      <c r="I1263" s="38" t="n">
        <f aca="false">rd2*(1-ext_sh)/ext_sh*(mw_open*he_open+Sens!$I$1240*Sens!$I$1237)*Sens!$I$1226/1000</f>
        <v>0</v>
      </c>
      <c r="J1263" s="38" t="n">
        <f aca="false">rd2*(1-ext_sh)/ext_sh*(mw_open*he_open+Sens!$J$1240*Sens!$J$1237)*Sens!$J$1226/1000</f>
        <v>0</v>
      </c>
      <c r="K1263" s="38" t="n">
        <f aca="false">rd2*(1-ext_sh)/ext_sh*(mw_open*he_open+Sens!$K$1240*Sens!$K$1237)*Sens!$K$1226/1000</f>
        <v>0</v>
      </c>
      <c r="L1263" s="38" t="n">
        <f aca="false">rd2*(1-ext_sh)/ext_sh*(mw_open*he_open+Sens!$L$1240*Sens!$L$1237)*Sens!$L$1226/1000</f>
        <v>0</v>
      </c>
      <c r="M1263" s="38" t="n">
        <f aca="false">rd2*(1-ext_sh)/ext_sh*(mw_open*he_open+Sens!$M$1240*Sens!$M$1237)*Sens!$M$1226/1000</f>
        <v>0</v>
      </c>
      <c r="N1263" s="38" t="n">
        <f aca="false">rd2*(1-ext_sh)/ext_sh*Sens!$N$1225*he_open*Sens!$N$1226/1000</f>
        <v>0</v>
      </c>
      <c r="O1263" s="38" t="n">
        <f aca="false">rd2*(1-ext_sh)/ext_sh*Sens!$O$1225*he_open*Sens!$O$1226/1000</f>
        <v>0</v>
      </c>
      <c r="P1263" s="8" t="s">
        <v>600</v>
      </c>
    </row>
    <row r="1264" customFormat="false" ht="17.15" hidden="false" customHeight="false" outlineLevel="0" collapsed="false">
      <c r="A1264" s="5" t="s">
        <v>601</v>
      </c>
      <c r="B1264" s="0" t="s">
        <v>73</v>
      </c>
      <c r="C1264" s="38" t="n">
        <f aca="false">(1-ext_sh)*(Sens!$C$1244+Sens!$C$1257)-Sens!$C$1263</f>
        <v>0.169206631859174</v>
      </c>
      <c r="D1264" s="38" t="n">
        <f aca="false">(1-ext_sh)*(Sens!$D$1244+Sens!$D$1257)-Sens!$D$1263</f>
        <v>1.20641732046984</v>
      </c>
      <c r="E1264" s="38" t="n">
        <f aca="false">(1-ext_sh)*(Sens!$E$1244+Sens!$E$1257)-Sens!$E$1263</f>
        <v>1.77441259867062</v>
      </c>
      <c r="F1264" s="38" t="n">
        <f aca="false">(1-ext_sh)*(Sens!$F$1244+Sens!$F$1257)-Sens!$F$1263</f>
        <v>2.05055149314787</v>
      </c>
      <c r="G1264" s="38" t="n">
        <f aca="false">(1-ext_sh)*(Sens!$G$1244+Sens!$G$1257)-Sens!$G$1263</f>
        <v>3.82496409181849</v>
      </c>
      <c r="H1264" s="38" t="n">
        <f aca="false">(1-ext_sh)*(Sens!$H$1244+Sens!$H$1257)-Sens!$H$1263</f>
        <v>9.44908757461003</v>
      </c>
      <c r="I1264" s="38" t="n">
        <f aca="false">(1-ext_sh)*(Sens!$I$1244+Sens!$I$1257)-Sens!$I$1263</f>
        <v>15.1639962485418</v>
      </c>
      <c r="J1264" s="38" t="n">
        <f aca="false">(1-ext_sh)*(Sens!$J$1244+Sens!$J$1257)-Sens!$J$1263</f>
        <v>21.0336604121161</v>
      </c>
      <c r="K1264" s="38" t="n">
        <f aca="false">(1-ext_sh)*(Sens!$K$1244+Sens!$K$1257)-Sens!$K$1263</f>
        <v>27.0422002445168</v>
      </c>
      <c r="L1264" s="38" t="n">
        <f aca="false">(1-ext_sh)*(Sens!$L$1244+Sens!$L$1257)-Sens!$L$1263</f>
        <v>32.6466396601577</v>
      </c>
      <c r="M1264" s="38" t="n">
        <f aca="false">(1-ext_sh)*(Sens!$M$1244+Sens!$M$1257)-Sens!$M$1263</f>
        <v>38.3943735087155</v>
      </c>
      <c r="N1264" s="38" t="n">
        <f aca="false">(1-ext_sh)*(Sens!$N$1244+Sens!$N$1257)-Sens!$N$1263</f>
        <v>0.530919624033979</v>
      </c>
      <c r="O1264" s="38" t="n">
        <f aca="false">(1-ext_sh)*(Sens!$O$1244+Sens!$O$1257)-Sens!$O$1263</f>
        <v>0.675497696435861</v>
      </c>
    </row>
    <row r="1265" customFormat="false" ht="17.15" hidden="false" customHeight="false" outlineLevel="0" collapsed="false">
      <c r="A1265" s="0" t="s">
        <v>602</v>
      </c>
      <c r="B1265" s="0" t="s">
        <v>73</v>
      </c>
      <c r="C1265" s="38" t="n">
        <f aca="false">Q!$D$24</f>
        <v>39.834</v>
      </c>
      <c r="D1265" s="38" t="n">
        <f aca="false">Q!$E$24</f>
        <v>45.606</v>
      </c>
      <c r="E1265" s="38" t="n">
        <f aca="false">Q!$P$24</f>
        <v>30.782</v>
      </c>
      <c r="N1265" s="38" t="n">
        <f aca="false">Q!$N$24</f>
        <v>21.707</v>
      </c>
      <c r="O1265" s="38" t="n">
        <f aca="false">Q!$O$24</f>
        <v>23.899</v>
      </c>
    </row>
    <row r="1266" customFormat="false" ht="17.15" hidden="false" customHeight="false" outlineLevel="0" collapsed="false">
      <c r="A1266" s="0" t="s">
        <v>603</v>
      </c>
      <c r="B1266" s="0" t="s">
        <v>73</v>
      </c>
      <c r="C1266" s="38" t="n">
        <f aca="false">Sens!$C$1265-Sens!$C$1261</f>
        <v>38.1898211704631</v>
      </c>
      <c r="D1266" s="38" t="n">
        <f aca="false">Sens!$D$1265-Sens!$D$1261</f>
        <v>41.7278991932282</v>
      </c>
      <c r="E1266" s="38" t="n">
        <f aca="false">Sens!$E$1265-Sens!$E$1261</f>
        <v>29.3692974191125</v>
      </c>
      <c r="F1266" s="38" t="n">
        <f aca="false">Sens!$F$1246*Sens!$F$1267</f>
        <v>29.458060516894</v>
      </c>
      <c r="G1266" s="38" t="n">
        <f aca="false">Sens!$E$1266+Sens!$F$1266</f>
        <v>58.8273579360065</v>
      </c>
      <c r="H1266" s="38" t="n">
        <f aca="false">Sens!$H$1246*Sens!$H$1267</f>
        <v>67.8004040185081</v>
      </c>
      <c r="I1266" s="38" t="n">
        <f aca="false">Sens!$I$1246*Sens!$I$1267</f>
        <v>78.9527630302702</v>
      </c>
      <c r="J1266" s="38" t="n">
        <f aca="false">Sens!$J$1246*Sens!$J$1267</f>
        <v>88.6042681781841</v>
      </c>
      <c r="K1266" s="38" t="n">
        <f aca="false">Sens!$K$1246*Sens!$K$1267</f>
        <v>95.6926096324389</v>
      </c>
      <c r="L1266" s="38" t="n">
        <f aca="false">Sens!$L$1246*Sens!$L$1267</f>
        <v>103.348018403034</v>
      </c>
      <c r="M1266" s="38" t="n">
        <f aca="false">Sens!$M$1246*Sens!$M$1267</f>
        <v>111.615859875277</v>
      </c>
      <c r="N1266" s="38" t="n">
        <f aca="false">Sens!$N$1265-Sens!$N$1261</f>
        <v>20.784358965108</v>
      </c>
      <c r="O1266" s="38" t="n">
        <f aca="false">Sens!$O$1265-Sens!$O$1261</f>
        <v>20.9435402281202</v>
      </c>
      <c r="P1266" s="5" t="s">
        <v>604</v>
      </c>
    </row>
    <row r="1267" customFormat="false" ht="17.15" hidden="false" customHeight="false" outlineLevel="0" collapsed="false">
      <c r="A1267" s="0" t="s">
        <v>605</v>
      </c>
      <c r="B1267" s="0" t="s">
        <v>52</v>
      </c>
      <c r="C1267" s="12" t="n">
        <f aca="false">Sens!$C$1266/Sens!$C$1246</f>
        <v>0.362900395443635</v>
      </c>
      <c r="D1267" s="12" t="n">
        <f aca="false">Sens!$D$1266/Sens!$D$1246</f>
        <v>0.34767098474203</v>
      </c>
      <c r="E1267" s="12" t="n">
        <f aca="false">Sens!$E$1266/Sens!$E$1246</f>
        <v>0.411861655558416</v>
      </c>
      <c r="F1267" s="12" t="n">
        <f aca="false">(Sens!$O$1266+Sens!$E$1266)/(Sens!$O$1246+Sens!$E$1246)</f>
        <v>0.37480827803158</v>
      </c>
      <c r="G1267" s="12" t="n">
        <f aca="false">Sens!$G$1266/Sens!$G$1246</f>
        <v>0.392434440489471</v>
      </c>
      <c r="H1267" s="12" t="n">
        <f aca="false">Sens!$F$1267</f>
        <v>0.37480827803158</v>
      </c>
      <c r="I1267" s="12" t="n">
        <f aca="false">Sens!$F$1267</f>
        <v>0.37480827803158</v>
      </c>
      <c r="J1267" s="12" t="n">
        <f aca="false">Sens!$F$1267</f>
        <v>0.37480827803158</v>
      </c>
      <c r="K1267" s="12" t="n">
        <f aca="false">Sens!$F$1267</f>
        <v>0.37480827803158</v>
      </c>
      <c r="L1267" s="12" t="n">
        <f aca="false">Sens!$F$1267</f>
        <v>0.37480827803158</v>
      </c>
      <c r="M1267" s="12" t="n">
        <f aca="false">Sens!$F$1267</f>
        <v>0.37480827803158</v>
      </c>
      <c r="N1267" s="12" t="n">
        <f aca="false">Sens!$N$1266/Sens!$N$1246</f>
        <v>0.364039571356823</v>
      </c>
      <c r="O1267" s="12" t="n">
        <f aca="false">Sens!$O$1266/Sens!$O$1246</f>
        <v>0.332819892300086</v>
      </c>
      <c r="P1267" s="8" t="s">
        <v>606</v>
      </c>
    </row>
    <row r="1268" customFormat="false" ht="17.15" hidden="false" customHeight="false" outlineLevel="0" collapsed="false">
      <c r="A1268" s="0" t="s">
        <v>607</v>
      </c>
      <c r="B1268" s="0" t="s">
        <v>52</v>
      </c>
      <c r="D1268" s="12" t="n">
        <f aca="false">(Q!$E$31-ext_sh*Sens!$D$1257)/Sens!$D$1246</f>
        <v>0.154572973163571</v>
      </c>
    </row>
    <row r="1269" customFormat="false" ht="17.15" hidden="false" customHeight="false" outlineLevel="0" collapsed="false">
      <c r="A1269" s="0" t="s">
        <v>608</v>
      </c>
      <c r="B1269" s="0" t="s">
        <v>73</v>
      </c>
      <c r="C1269" s="38" t="n">
        <f aca="false">Q!$D$31</f>
        <v>13.32</v>
      </c>
      <c r="D1269" s="38" t="n">
        <f aca="false">Q!$E$31</f>
        <v>21.45</v>
      </c>
      <c r="E1269" s="38" t="n">
        <f aca="false">Q!$P$31</f>
        <v>15.353</v>
      </c>
      <c r="F1269" s="38" t="n">
        <f aca="false">ext_sh*Sens!$F$1257+Sens!$D$1268*Sens!$F$1246</f>
        <v>17.3614451462707</v>
      </c>
      <c r="G1269" s="38" t="n">
        <f aca="false">Sens!$E$1269+Sens!$F$1269</f>
        <v>32.7144451462707</v>
      </c>
      <c r="H1269" s="38" t="n">
        <f aca="false">ext_sh*Sens!$H$1257+Sens!$D$1268*Sens!$H$1246</f>
        <v>55.1572806478833</v>
      </c>
      <c r="I1269" s="38" t="n">
        <f aca="false">ext_sh*Sens!$I$1257+Sens!$D$1268*Sens!$I$1246</f>
        <v>76.3904500079465</v>
      </c>
      <c r="J1269" s="38" t="n">
        <f aca="false">ext_sh*Sens!$J$1257+Sens!$D$1268*Sens!$J$1246</f>
        <v>97.612169565102</v>
      </c>
      <c r="K1269" s="38" t="n">
        <f aca="false">ext_sh*Sens!$K$1257+Sens!$D$1268*Sens!$K$1246</f>
        <v>118.328491990321</v>
      </c>
      <c r="L1269" s="38" t="n">
        <f aca="false">ext_sh*Sens!$L$1257+Sens!$D$1268*Sens!$L$1246</f>
        <v>137.660530234222</v>
      </c>
      <c r="M1269" s="38" t="n">
        <f aca="false">ext_sh*Sens!$M$1257+Sens!$D$1268*Sens!$M$1246</f>
        <v>157.817377624583</v>
      </c>
      <c r="N1269" s="38" t="n">
        <f aca="false">Q!$N$31</f>
        <v>9.234</v>
      </c>
      <c r="O1269" s="38" t="n">
        <f aca="false">Q!$O$31</f>
        <v>12.216</v>
      </c>
    </row>
    <row r="1270" customFormat="false" ht="17.15" hidden="false" customHeight="false" outlineLevel="0" collapsed="false">
      <c r="A1270" s="1" t="s">
        <v>609</v>
      </c>
    </row>
    <row r="1271" customFormat="false" ht="17.15" hidden="false" customHeight="false" outlineLevel="0" collapsed="false">
      <c r="A1271" s="14" t="s">
        <v>610</v>
      </c>
      <c r="B1271" s="13" t="s">
        <v>52</v>
      </c>
      <c r="C1271" s="13"/>
      <c r="D1271" s="13"/>
      <c r="E1271" s="13"/>
      <c r="F1271" s="13"/>
      <c r="G1271" s="16" t="n">
        <f aca="false">Sens!$G$1261*(1-tax)/(ext_sh*(Sens!$D$1258+Sens!$G$1258)/2)</f>
        <v>0.0444261059309735</v>
      </c>
      <c r="H1271" s="16" t="n">
        <f aca="false">Sens!$H$1261*(1-tax)/(ext_sh*(Sens!$G$1258+Sens!$H$1258)/2)</f>
        <v>0.0443172473436186</v>
      </c>
      <c r="I1271" s="16" t="n">
        <f aca="false">Sens!$I$1261*(1-tax)/(ext_sh*(Sens!$H$1258+Sens!$I$1258)/2)</f>
        <v>0.0536343215668386</v>
      </c>
      <c r="J1271" s="16" t="n">
        <f aca="false">Sens!$J$1261*(1-tax)/(ext_sh*(Sens!$I$1258+Sens!$J$1258)/2)</f>
        <v>0.0599376722216497</v>
      </c>
      <c r="K1271" s="16" t="n">
        <f aca="false">Sens!$K$1261*(1-tax)/(ext_sh*(Sens!$J$1258+Sens!$K$1258)/2)</f>
        <v>0.0652322034158368</v>
      </c>
      <c r="L1271" s="16" t="n">
        <f aca="false">Sens!$L$1261*(1-tax)/(ext_sh*(Sens!$K$1258+Sens!$L$1258)/2)</f>
        <v>0.07199464112676</v>
      </c>
      <c r="M1271" s="16" t="n">
        <f aca="false">Sens!$M$1261*(1-tax)/(ext_sh*(Sens!$L$1258+Sens!$M$1258)/2)</f>
        <v>0.0746364860870075</v>
      </c>
      <c r="N1271" s="13"/>
      <c r="O1271" s="13"/>
      <c r="P1271" s="8" t="s">
        <v>611</v>
      </c>
    </row>
    <row r="1272" customFormat="false" ht="17.15" hidden="false" customHeight="false" outlineLevel="0" collapsed="false">
      <c r="A1272" s="5" t="s">
        <v>612</v>
      </c>
      <c r="B1272" s="0" t="s">
        <v>57</v>
      </c>
      <c r="H1272" s="36" t="n">
        <f aca="false">Sens!$H$1242*1000/(mw_open*he_open+Sens!$H$1240*Sens!$H$1237)</f>
        <v>0.991949006767191</v>
      </c>
      <c r="I1272" s="36" t="n">
        <f aca="false">Sens!$I$1242*1000/(mw_open*he_open+Sens!$I$1240*Sens!$I$1237)</f>
        <v>0.991949006767191</v>
      </c>
      <c r="J1272" s="36" t="n">
        <f aca="false">Sens!$J$1242*1000/(mw_open*he_open+Sens!$J$1240*Sens!$J$1237)</f>
        <v>0.991949006767192</v>
      </c>
      <c r="K1272" s="36" t="n">
        <f aca="false">Sens!$K$1242*1000/(mw_open*he_open+Sens!$K$1240*Sens!$K$1237)</f>
        <v>0.991949006767191</v>
      </c>
      <c r="L1272" s="36" t="n">
        <f aca="false">Sens!$L$1242*1000/(mw_open*he_open+Sens!$L$1240*Sens!$L$1237)</f>
        <v>0.991949006767191</v>
      </c>
      <c r="M1272" s="36" t="n">
        <f aca="false">Sens!$M$1242*1000/(mw_open*he_open+Sens!$M$1240*Sens!$M$1237)</f>
        <v>0.991949006767191</v>
      </c>
    </row>
    <row r="1273" customFormat="false" ht="17.15" hidden="false" customHeight="false" outlineLevel="0" collapsed="false">
      <c r="A1273" s="5" t="s">
        <v>613</v>
      </c>
      <c r="B1273" s="0" t="s">
        <v>57</v>
      </c>
      <c r="H1273" s="36" t="n">
        <f aca="false">Sens!$H$1272*(Sens!$H$1242+wacc*ext_sh*(Sens!$G$1258+Sens!$H$1258)/2/(1-tax)-Sens!$H$1261)/Sens!$H$1242</f>
        <v>1.43624915415865</v>
      </c>
      <c r="I1273" s="36" t="n">
        <f aca="false">Sens!$I$1272*(Sens!$I$1242+wacc*ext_sh*(Sens!$H$1258+Sens!$I$1258)/2/(1-tax)-Sens!$I$1261)/Sens!$I$1242</f>
        <v>1.32481174024415</v>
      </c>
      <c r="J1273" s="36" t="n">
        <f aca="false">Sens!$J$1272*(Sens!$J$1242+wacc*ext_sh*(Sens!$I$1258+Sens!$J$1258)/2/(1-tax)-Sens!$J$1261)/Sens!$J$1242</f>
        <v>1.2615037393</v>
      </c>
      <c r="K1273" s="36" t="n">
        <f aca="false">Sens!$K$1272*(Sens!$K$1242+wacc*ext_sh*(Sens!$J$1258+Sens!$K$1258)/2/(1-tax)-Sens!$K$1261)/Sens!$K$1242</f>
        <v>1.21520884381643</v>
      </c>
      <c r="L1273" s="36" t="n">
        <f aca="false">Sens!$L$1272*(Sens!$L$1242+wacc*ext_sh*(Sens!$K$1258+Sens!$L$1258)/2/(1-tax)-Sens!$L$1261)/Sens!$L$1242</f>
        <v>1.17593128093589</v>
      </c>
      <c r="M1273" s="36" t="n">
        <f aca="false">Sens!$M$1272*(Sens!$M$1242+wacc*ext_sh*(Sens!$L$1258+Sens!$M$1258)/2/(1-tax)-Sens!$M$1261)/Sens!$M$1242</f>
        <v>1.16167674041605</v>
      </c>
    </row>
    <row r="1274" customFormat="false" ht="17.15" hidden="false" customHeight="false" outlineLevel="0" collapsed="false">
      <c r="A1274" s="5" t="s">
        <v>614</v>
      </c>
      <c r="B1274" s="0" t="s">
        <v>52</v>
      </c>
      <c r="C1274" s="12" t="n">
        <f aca="false">Sens!$C$1243/tk_pq</f>
        <v>0.195316432429398</v>
      </c>
      <c r="D1274" s="12" t="n">
        <f aca="false">Sens!$D$1243/tk_pq</f>
        <v>0.195316432429398</v>
      </c>
      <c r="E1274" s="12" t="n">
        <f aca="false">Sens!$E$1243/tk_pq</f>
        <v>0.195316432429398</v>
      </c>
      <c r="F1274" s="12" t="n">
        <f aca="false">Sens!$F$1243/tk_pq</f>
        <v>0.200937719008675</v>
      </c>
      <c r="G1274" s="12" t="n">
        <f aca="false">Sens!$G$1243/tk_pq</f>
        <v>0.198749592322125</v>
      </c>
      <c r="H1274" s="12" t="n">
        <f aca="false">Sens!$H$1243/tk_pq</f>
        <v>0.210772603626741</v>
      </c>
      <c r="I1274" s="12" t="n">
        <f aca="false">Sens!$I$1243/tk_pq</f>
        <v>0.217630235595727</v>
      </c>
      <c r="J1274" s="12" t="n">
        <f aca="false">Sens!$J$1243/tk_pq</f>
        <v>0.221114769661761</v>
      </c>
      <c r="K1274" s="12" t="n">
        <f aca="false">Sens!$K$1243/tk_pq</f>
        <v>0.223207685846114</v>
      </c>
      <c r="L1274" s="12" t="n">
        <f aca="false">Sens!$L$1243/tk_pq</f>
        <v>0.224601153796982</v>
      </c>
      <c r="M1274" s="12" t="n">
        <f aca="false">Sens!$M$1243/tk_pq</f>
        <v>0.225594870256728</v>
      </c>
      <c r="N1274" s="12" t="n">
        <f aca="false">Sens!$N$1243/tk_pq</f>
        <v>0.195316432429398</v>
      </c>
      <c r="O1274" s="12" t="n">
        <f aca="false">Sens!$O$1243/tk_pq</f>
        <v>0.195316432429398</v>
      </c>
      <c r="P1274" s="5" t="s">
        <v>615</v>
      </c>
    </row>
    <row r="1277" customFormat="false" ht="17.15" hidden="false" customHeight="false" outlineLevel="0" collapsed="false">
      <c r="A1277" s="1" t="s">
        <v>642</v>
      </c>
    </row>
    <row r="1278" customFormat="false" ht="17.15" hidden="false" customHeight="false" outlineLevel="0" collapsed="false">
      <c r="A1278" s="0" t="s">
        <v>643</v>
      </c>
      <c r="B1278" s="0" t="s">
        <v>73</v>
      </c>
      <c r="C1278" s="38" t="n">
        <f aca="false">Sens!$C$1242</f>
        <v>2.32100535697364</v>
      </c>
      <c r="D1278" s="38" t="n">
        <f aca="false">Sens!$D$1242</f>
        <v>8.70377008865116</v>
      </c>
      <c r="E1278" s="38" t="n">
        <f aca="false">Sens!$E$1242</f>
        <v>8.51035297557002</v>
      </c>
      <c r="F1278" s="38" t="n">
        <f aca="false">Sens!$F$1242</f>
        <v>13.7369977035951</v>
      </c>
      <c r="G1278" s="38" t="n">
        <f aca="false">Sens!$G$1242</f>
        <v>22.2473506791651</v>
      </c>
      <c r="H1278" s="38" t="n">
        <f aca="false">Sens!$H$1242</f>
        <v>50.1532630024405</v>
      </c>
      <c r="I1278" s="38" t="n">
        <f aca="false">Sens!$I$1242</f>
        <v>81.1566192924336</v>
      </c>
      <c r="J1278" s="38" t="n">
        <f aca="false">Sens!$J$1242</f>
        <v>112.297900303568</v>
      </c>
      <c r="K1278" s="38" t="n">
        <f aca="false">Sens!$K$1242</f>
        <v>143.48515622175</v>
      </c>
      <c r="L1278" s="38" t="n">
        <f aca="false">Sens!$L$1242</f>
        <v>174.693309824953</v>
      </c>
      <c r="M1278" s="38" t="n">
        <f aca="false">Sens!$M$1242</f>
        <v>205.912716027783</v>
      </c>
      <c r="N1278" s="38" t="n">
        <f aca="false">Sens!$N$1242</f>
        <v>3.04631953102791</v>
      </c>
      <c r="O1278" s="38" t="n">
        <f aca="false">Sens!$O$1242</f>
        <v>5.65745055762326</v>
      </c>
      <c r="P1278" s="8" t="s">
        <v>644</v>
      </c>
    </row>
    <row r="1279" customFormat="false" ht="17.15" hidden="false" customHeight="false" outlineLevel="0" collapsed="false">
      <c r="A1279" s="0" t="s">
        <v>645</v>
      </c>
      <c r="B1279" s="0" t="s">
        <v>73</v>
      </c>
      <c r="C1279" s="38" t="n">
        <f aca="false">Sens!$C$1246</f>
        <v>105.234994643026</v>
      </c>
      <c r="D1279" s="38" t="n">
        <f aca="false">Sens!$D$1246</f>
        <v>120.021229911349</v>
      </c>
      <c r="E1279" s="38" t="n">
        <f aca="false">Sens!$E$1246</f>
        <v>71.30864702443</v>
      </c>
      <c r="F1279" s="38" t="n">
        <f aca="false">Sens!$F$1246</f>
        <v>78.5950104186653</v>
      </c>
      <c r="G1279" s="38" t="n">
        <f aca="false">Sens!$G$1246</f>
        <v>149.903657443095</v>
      </c>
      <c r="H1279" s="38" t="n">
        <f aca="false">Sens!$H$1246</f>
        <v>180.893560768142</v>
      </c>
      <c r="I1279" s="38" t="n">
        <f aca="false">Sens!$I$1246</f>
        <v>210.64839721501</v>
      </c>
      <c r="J1279" s="38" t="n">
        <f aca="false">Sens!$J$1246</f>
        <v>236.398909446495</v>
      </c>
      <c r="K1279" s="38" t="n">
        <f aca="false">Sens!$K$1246</f>
        <v>255.310822202215</v>
      </c>
      <c r="L1279" s="38" t="n">
        <f aca="false">Sens!$L$1246</f>
        <v>275.735687978392</v>
      </c>
      <c r="M1279" s="38" t="n">
        <f aca="false">Sens!$M$1246</f>
        <v>297.794543016663</v>
      </c>
      <c r="N1279" s="38" t="n">
        <f aca="false">Sens!$N$1246</f>
        <v>57.0936804689721</v>
      </c>
      <c r="O1279" s="38" t="n">
        <f aca="false">Sens!$O$1246</f>
        <v>62.9275494423768</v>
      </c>
      <c r="P1279" s="8" t="s">
        <v>644</v>
      </c>
    </row>
    <row r="1280" customFormat="false" ht="17.15" hidden="false" customHeight="false" outlineLevel="0" collapsed="false">
      <c r="A1280" s="1" t="s">
        <v>476</v>
      </c>
      <c r="B1280" s="8" t="s">
        <v>73</v>
      </c>
      <c r="C1280" s="38" t="n">
        <f aca="false">Q!$D$7</f>
        <v>107.556</v>
      </c>
      <c r="D1280" s="38" t="n">
        <f aca="false">Q!$E$7</f>
        <v>128.725</v>
      </c>
      <c r="E1280" s="38" t="n">
        <f aca="false">Q!$P$7</f>
        <v>79.819</v>
      </c>
      <c r="F1280" s="38" t="n">
        <f aca="false">Sens!$F$1278+Sens!$F$1279</f>
        <v>92.3320081222604</v>
      </c>
      <c r="G1280" s="38" t="n">
        <f aca="false">Sens!$G$1278+Sens!$G$1279</f>
        <v>172.15100812226</v>
      </c>
      <c r="H1280" s="38" t="n">
        <f aca="false">Sens!$H$1278+Sens!$H$1279</f>
        <v>231.046823770582</v>
      </c>
      <c r="I1280" s="38" t="n">
        <f aca="false">Sens!$I$1278+Sens!$I$1279</f>
        <v>291.805016507444</v>
      </c>
      <c r="J1280" s="38" t="n">
        <f aca="false">Sens!$J$1278+Sens!$J$1279</f>
        <v>348.696809750063</v>
      </c>
      <c r="K1280" s="38" t="n">
        <f aca="false">Sens!$K$1278+Sens!$K$1279</f>
        <v>398.795978423965</v>
      </c>
      <c r="L1280" s="38" t="n">
        <f aca="false">Sens!$L$1278+Sens!$L$1279</f>
        <v>450.428997803345</v>
      </c>
      <c r="M1280" s="38" t="n">
        <f aca="false">Sens!$M$1278+Sens!$M$1279</f>
        <v>503.707259044446</v>
      </c>
      <c r="N1280" s="38" t="n">
        <f aca="false">Q!$N$7</f>
        <v>60.14</v>
      </c>
      <c r="O1280" s="38" t="n">
        <f aca="false">Q!$O$7</f>
        <v>68.585</v>
      </c>
      <c r="P1280" s="5" t="s">
        <v>646</v>
      </c>
    </row>
    <row r="1281" customFormat="false" ht="15" hidden="false" customHeight="false" outlineLevel="0" collapsed="false">
      <c r="A1281" s="3" t="s">
        <v>647</v>
      </c>
      <c r="B1281" s="8" t="s">
        <v>73</v>
      </c>
      <c r="C1281" s="38" t="n">
        <f aca="false">Q!$D$8</f>
        <v>637.959</v>
      </c>
      <c r="D1281" s="38" t="n">
        <f aca="false">Q!$E$8</f>
        <v>716.924</v>
      </c>
      <c r="E1281" s="38" t="n">
        <f aca="false">Q!$P$8</f>
        <v>382.125</v>
      </c>
      <c r="F1281" s="38" t="n">
        <f aca="false">Sens!$F$1215+Sens!$F$1280</f>
        <v>449.26843733069</v>
      </c>
      <c r="G1281" s="38" t="n">
        <f aca="false">Sens!$G$1215+Sens!$G$1280</f>
        <v>831.39343733069</v>
      </c>
      <c r="H1281" s="38" t="n">
        <f aca="false">Sens!$H$1215+Sens!$H$1280</f>
        <v>960.982561392283</v>
      </c>
      <c r="I1281" s="38" t="n">
        <f aca="false">Sens!$I$1215+Sens!$I$1280</f>
        <v>1090.10058620532</v>
      </c>
      <c r="J1281" s="38" t="n">
        <f aca="false">Sens!$J$1215+Sens!$J$1280</f>
        <v>1210.43363207585</v>
      </c>
      <c r="K1281" s="38" t="n">
        <f aca="false">Sens!$K$1215+Sens!$K$1280</f>
        <v>1316.35347052589</v>
      </c>
      <c r="L1281" s="38" t="n">
        <f aca="false">Sens!$L$1215+Sens!$L$1280</f>
        <v>1427.71408754651</v>
      </c>
      <c r="M1281" s="38" t="n">
        <f aca="false">Sens!$M$1215+Sens!$M$1280</f>
        <v>1544.92127758795</v>
      </c>
      <c r="N1281" s="38" t="n">
        <f aca="false">Q!$N$8</f>
        <v>323.369</v>
      </c>
      <c r="O1281" s="38" t="n">
        <f aca="false">Q!$O$8</f>
        <v>393.555</v>
      </c>
    </row>
    <row r="1282" customFormat="false" ht="17.15" hidden="false" customHeight="false" outlineLevel="0" collapsed="false">
      <c r="A1282" s="24" t="s">
        <v>655</v>
      </c>
      <c r="B1282" s="25" t="s">
        <v>73</v>
      </c>
      <c r="C1282" s="39" t="n">
        <f aca="false">Sens!$C$1215-(Sens!$C$1217+Sens!$C$1218)</f>
        <v>0</v>
      </c>
      <c r="D1282" s="39" t="n">
        <f aca="false">Sens!$D$1215-(Sens!$D$1217+Sens!$D$1218)</f>
        <v>0</v>
      </c>
      <c r="E1282" s="39" t="n">
        <f aca="false">Sens!$E$1215-(Sens!$E$1217+Sens!$E$1218)</f>
        <v>0</v>
      </c>
      <c r="F1282" s="39" t="n">
        <f aca="false">Sens!$F$1215-(Sens!$F$1217+Sens!$F$1218)</f>
        <v>0</v>
      </c>
      <c r="G1282" s="39" t="n">
        <f aca="false">Sens!$G$1215-(Sens!$G$1217+Sens!$G$1218)</f>
        <v>0</v>
      </c>
      <c r="H1282" s="39" t="n">
        <f aca="false">Sens!$H$1215-(Sens!$H$1217+Sens!$H$1218)</f>
        <v>0</v>
      </c>
      <c r="I1282" s="39" t="n">
        <f aca="false">Sens!$I$1215-(Sens!$I$1217+Sens!$I$1218)</f>
        <v>0</v>
      </c>
      <c r="J1282" s="39" t="n">
        <f aca="false">Sens!$J$1215-(Sens!$J$1217+Sens!$J$1218)</f>
        <v>0</v>
      </c>
      <c r="K1282" s="39" t="n">
        <f aca="false">Sens!$K$1215-(Sens!$K$1217+Sens!$K$1218)</f>
        <v>0</v>
      </c>
      <c r="L1282" s="39" t="n">
        <f aca="false">Sens!$L$1215-(Sens!$L$1217+Sens!$L$1218)</f>
        <v>0</v>
      </c>
      <c r="M1282" s="39" t="n">
        <f aca="false">Sens!$M$1215-(Sens!$M$1217+Sens!$M$1218)</f>
        <v>0</v>
      </c>
      <c r="N1282" s="39" t="n">
        <f aca="false">Sens!$N$1215-(Sens!$N$1217+Sens!$N$1218)</f>
        <v>0</v>
      </c>
      <c r="O1282" s="39" t="n">
        <f aca="false">Sens!$O$1215-(Sens!$O$1217+Sens!$O$1218)</f>
        <v>0</v>
      </c>
    </row>
    <row r="1283" customFormat="false" ht="17.15" hidden="false" customHeight="false" outlineLevel="0" collapsed="false">
      <c r="A1283" s="24" t="s">
        <v>656</v>
      </c>
      <c r="B1283" s="25" t="s">
        <v>73</v>
      </c>
      <c r="C1283" s="39" t="n">
        <f aca="false">Sens!$C$1278+Sens!$C$1279-Sens!$C$1280</f>
        <v>0</v>
      </c>
      <c r="D1283" s="39" t="n">
        <f aca="false">Sens!$D$1278+Sens!$D$1279-Sens!$D$1280</f>
        <v>0</v>
      </c>
      <c r="E1283" s="39" t="n">
        <f aca="false">Sens!$E$1278+Sens!$E$1279-Sens!$E$1280</f>
        <v>0</v>
      </c>
      <c r="F1283" s="39" t="n">
        <f aca="false">Sens!$F$1278+Sens!$F$1279-Sens!$F$1280</f>
        <v>0</v>
      </c>
      <c r="G1283" s="39" t="n">
        <f aca="false">Sens!$G$1278+Sens!$G$1279-Sens!$G$1280</f>
        <v>0</v>
      </c>
      <c r="H1283" s="39" t="n">
        <f aca="false">Sens!$H$1278+Sens!$H$1279-Sens!$H$1280</f>
        <v>0</v>
      </c>
      <c r="I1283" s="39" t="n">
        <f aca="false">Sens!$I$1278+Sens!$I$1279-Sens!$I$1280</f>
        <v>0</v>
      </c>
      <c r="J1283" s="39" t="n">
        <f aca="false">Sens!$J$1278+Sens!$J$1279-Sens!$J$1280</f>
        <v>0</v>
      </c>
      <c r="K1283" s="39" t="n">
        <f aca="false">Sens!$K$1278+Sens!$K$1279-Sens!$K$1280</f>
        <v>0</v>
      </c>
      <c r="L1283" s="39" t="n">
        <f aca="false">Sens!$L$1278+Sens!$L$1279-Sens!$L$1280</f>
        <v>0</v>
      </c>
      <c r="M1283" s="39" t="n">
        <f aca="false">Sens!$M$1278+Sens!$M$1279-Sens!$M$1280</f>
        <v>0</v>
      </c>
      <c r="N1283" s="39" t="n">
        <f aca="false">Sens!$N$1278+Sens!$N$1279-Sens!$N$1280</f>
        <v>0</v>
      </c>
      <c r="O1283" s="39" t="n">
        <f aca="false">Sens!$O$1278+Sens!$O$1279-Sens!$O$1280</f>
        <v>0</v>
      </c>
    </row>
    <row r="1284" customFormat="false" ht="17.15" hidden="false" customHeight="false" outlineLevel="0" collapsed="false">
      <c r="A1284" s="24" t="s">
        <v>657</v>
      </c>
      <c r="B1284" s="25" t="s">
        <v>73</v>
      </c>
      <c r="C1284" s="39" t="n">
        <f aca="false">Sens!$C$1217+Sens!$C$1218+Sens!$C$1280-Sens!$C$1281</f>
        <v>0</v>
      </c>
      <c r="D1284" s="39" t="n">
        <f aca="false">Sens!$D$1217+Sens!$D$1218+Sens!$D$1280-Sens!$D$1281</f>
        <v>0</v>
      </c>
      <c r="E1284" s="39" t="n">
        <f aca="false">Sens!$E$1217+Sens!$E$1218+Sens!$E$1280-Sens!$E$1281</f>
        <v>0</v>
      </c>
      <c r="F1284" s="39" t="n">
        <f aca="false">Sens!$F$1217+Sens!$F$1218+Sens!$F$1280-Sens!$F$1281</f>
        <v>0</v>
      </c>
      <c r="G1284" s="39" t="n">
        <f aca="false">Sens!$G$1217+Sens!$G$1218+Sens!$G$1280-Sens!$G$1281</f>
        <v>0</v>
      </c>
      <c r="H1284" s="39" t="n">
        <f aca="false">Sens!$H$1217+Sens!$H$1218+Sens!$H$1280-Sens!$H$1281</f>
        <v>0</v>
      </c>
      <c r="I1284" s="39" t="n">
        <f aca="false">Sens!$I$1217+Sens!$I$1218+Sens!$I$1280-Sens!$I$1281</f>
        <v>0</v>
      </c>
      <c r="J1284" s="39" t="n">
        <f aca="false">Sens!$J$1217+Sens!$J$1218+Sens!$J$1280-Sens!$J$1281</f>
        <v>0</v>
      </c>
      <c r="K1284" s="39" t="n">
        <f aca="false">Sens!$K$1217+Sens!$K$1218+Sens!$K$1280-Sens!$K$1281</f>
        <v>0</v>
      </c>
      <c r="L1284" s="39" t="n">
        <f aca="false">Sens!$L$1217+Sens!$L$1218+Sens!$L$1280-Sens!$L$1281</f>
        <v>0</v>
      </c>
      <c r="M1284" s="39" t="n">
        <f aca="false">Sens!$M$1217+Sens!$M$1218+Sens!$M$1280-Sens!$M$1281</f>
        <v>0</v>
      </c>
      <c r="N1284" s="39" t="n">
        <f aca="false">Sens!$N$1217+Sens!$N$1218+Sens!$N$1280-Sens!$N$1281</f>
        <v>0</v>
      </c>
      <c r="O1284" s="39" t="n">
        <f aca="false">Sens!$O$1217+Sens!$O$1218+Sens!$O$1280-Sens!$O$1281</f>
        <v>0</v>
      </c>
    </row>
    <row r="1285" customFormat="false" ht="15" hidden="false" customHeight="false" outlineLevel="0" collapsed="false">
      <c r="A1285" s="5" t="s">
        <v>651</v>
      </c>
      <c r="B1285" s="0" t="s">
        <v>52</v>
      </c>
      <c r="G1285" s="12" t="n">
        <f aca="false">Sens!$G$1281/Sens!$D$1281-1</f>
        <v>0.15966746451603</v>
      </c>
      <c r="H1285" s="12" t="n">
        <f aca="false">Sens!$H$1281/Sens!$G$1281-1</f>
        <v>0.155869794302992</v>
      </c>
      <c r="I1285" s="12" t="n">
        <f aca="false">Sens!$I$1281/Sens!$H$1281-1</f>
        <v>0.134360424424317</v>
      </c>
      <c r="J1285" s="12" t="n">
        <f aca="false">Sens!$J$1281/Sens!$I$1281-1</f>
        <v>0.110387103165787</v>
      </c>
      <c r="K1285" s="12" t="n">
        <f aca="false">Sens!$K$1281/Sens!$J$1281-1</f>
        <v>0.0875056968372505</v>
      </c>
      <c r="L1285" s="12" t="n">
        <f aca="false">Sens!$L$1281/Sens!$K$1281-1</f>
        <v>0.0845978071346831</v>
      </c>
      <c r="M1285" s="12" t="n">
        <f aca="false">Sens!$M$1281/Sens!$L$1281-1</f>
        <v>0.0820943009975177</v>
      </c>
    </row>
    <row r="1286" customFormat="false" ht="17.15" hidden="false" customHeight="false" outlineLevel="0" collapsed="false">
      <c r="A1286" s="0" t="s">
        <v>652</v>
      </c>
      <c r="B1286" s="0" t="s">
        <v>52</v>
      </c>
      <c r="C1286" s="12" t="n">
        <f aca="false">Sens!$C$1280/Sens!$C$1281</f>
        <v>0.168593906504964</v>
      </c>
      <c r="D1286" s="12" t="n">
        <f aca="false">Sens!$D$1280/Sens!$D$1281</f>
        <v>0.179551807444025</v>
      </c>
      <c r="E1286" s="12" t="n">
        <f aca="false">Sens!$E$1280/Sens!$E$1281</f>
        <v>0.208881910369643</v>
      </c>
      <c r="F1286" s="12" t="n">
        <f aca="false">Sens!$F$1280/Sens!$F$1281</f>
        <v>0.20551634713279</v>
      </c>
      <c r="G1286" s="12" t="n">
        <f aca="false">Sens!$G$1280/Sens!$G$1281</f>
        <v>0.207063227098564</v>
      </c>
      <c r="H1286" s="12" t="n">
        <f aca="false">Sens!$H$1280/Sens!$H$1281</f>
        <v>0.240427696664796</v>
      </c>
      <c r="I1286" s="12" t="n">
        <f aca="false">Sens!$I$1280/Sens!$I$1281</f>
        <v>0.267686321978074</v>
      </c>
      <c r="J1286" s="12" t="n">
        <f aca="false">Sens!$J$1280/Sens!$J$1281</f>
        <v>0.288075942794204</v>
      </c>
      <c r="K1286" s="12" t="n">
        <f aca="false">Sens!$K$1280/Sens!$K$1281</f>
        <v>0.302955085661486</v>
      </c>
      <c r="L1286" s="12" t="n">
        <f aca="false">Sens!$L$1280/Sens!$L$1281</f>
        <v>0.315489636007862</v>
      </c>
      <c r="M1286" s="12" t="n">
        <f aca="false">Sens!$M$1280/Sens!$M$1281</f>
        <v>0.326040728645328</v>
      </c>
      <c r="N1286" s="12" t="n">
        <f aca="false">Sens!$N$1280/Sens!$N$1281</f>
        <v>0.185979484737251</v>
      </c>
      <c r="O1286" s="12" t="n">
        <f aca="false">Sens!$O$1280/Sens!$O$1281</f>
        <v>0.174270432341096</v>
      </c>
    </row>
    <row r="1287" customFormat="false" ht="17.15" hidden="false" customHeight="false" outlineLevel="0" collapsed="false">
      <c r="A1287" s="0" t="s">
        <v>653</v>
      </c>
      <c r="B1287" s="0" t="s">
        <v>52</v>
      </c>
      <c r="C1287" s="12" t="n">
        <f aca="false">Sens!$C$1278/Sens!$C$1280</f>
        <v>0.0215795060896058</v>
      </c>
      <c r="D1287" s="12" t="n">
        <f aca="false">Sens!$D$1278/Sens!$D$1280</f>
        <v>0.0676152269462122</v>
      </c>
      <c r="E1287" s="12" t="n">
        <f aca="false">Sens!$E$1278/Sens!$E$1280</f>
        <v>0.106620641395783</v>
      </c>
      <c r="F1287" s="12" t="n">
        <f aca="false">Sens!$F$1278/Sens!$F$1280</f>
        <v>0.14877828374972</v>
      </c>
      <c r="G1287" s="12" t="n">
        <f aca="false">Sens!$G$1278/Sens!$G$1280</f>
        <v>0.129231602659946</v>
      </c>
      <c r="H1287" s="12" t="n">
        <f aca="false">Sens!$H$1278/Sens!$H$1280</f>
        <v>0.21706969255825</v>
      </c>
      <c r="I1287" s="12" t="n">
        <f aca="false">Sens!$I$1278/Sens!$I$1280</f>
        <v>0.278119342373825</v>
      </c>
      <c r="J1287" s="12" t="n">
        <f aca="false">Sens!$J$1278/Sens!$J$1280</f>
        <v>0.322050265914565</v>
      </c>
      <c r="K1287" s="12" t="n">
        <f aca="false">Sens!$K$1278/Sens!$K$1280</f>
        <v>0.359795895607576</v>
      </c>
      <c r="L1287" s="12" t="n">
        <f aca="false">Sens!$L$1278/Sens!$L$1280</f>
        <v>0.38783761853011</v>
      </c>
      <c r="M1287" s="12" t="n">
        <f aca="false">Sens!$M$1278/Sens!$M$1280</f>
        <v>0.408794418445365</v>
      </c>
      <c r="N1287" s="12" t="n">
        <f aca="false">Sens!$N$1278/Sens!$N$1280</f>
        <v>0.0506537999838362</v>
      </c>
      <c r="O1287" s="12" t="n">
        <f aca="false">Sens!$O$1278/Sens!$O$1280</f>
        <v>0.0824881615167056</v>
      </c>
    </row>
    <row r="1290" customFormat="false" ht="19.4" hidden="false" customHeight="false" outlineLevel="0" collapsed="false">
      <c r="A1290" s="31" t="s">
        <v>1070</v>
      </c>
    </row>
    <row r="1291" customFormat="false" ht="17.15" hidden="false" customHeight="false" outlineLevel="0" collapsed="false">
      <c r="A1291" s="6" t="s">
        <v>16</v>
      </c>
      <c r="B1291" s="6" t="s">
        <v>17</v>
      </c>
      <c r="C1291" s="20" t="s">
        <v>457</v>
      </c>
      <c r="D1291" s="20" t="s">
        <v>458</v>
      </c>
      <c r="E1291" s="20" t="s">
        <v>540</v>
      </c>
      <c r="F1291" s="20" t="s">
        <v>541</v>
      </c>
      <c r="G1291" s="20" t="s">
        <v>542</v>
      </c>
      <c r="H1291" s="20" t="s">
        <v>543</v>
      </c>
      <c r="I1291" s="20" t="s">
        <v>544</v>
      </c>
      <c r="J1291" s="20" t="s">
        <v>545</v>
      </c>
      <c r="K1291" s="20" t="s">
        <v>546</v>
      </c>
      <c r="L1291" s="20" t="s">
        <v>547</v>
      </c>
      <c r="M1291" s="20" t="s">
        <v>548</v>
      </c>
      <c r="N1291" s="20" t="s">
        <v>549</v>
      </c>
      <c r="O1291" s="20" t="s">
        <v>550</v>
      </c>
      <c r="P1291" s="6" t="s">
        <v>23</v>
      </c>
      <c r="R1291" s="20" t="n">
        <v>2023</v>
      </c>
      <c r="S1291" s="20" t="n">
        <v>2024</v>
      </c>
      <c r="T1291" s="20" t="n">
        <v>2025</v>
      </c>
      <c r="U1291" s="20" t="n">
        <v>2026</v>
      </c>
      <c r="V1291" s="20" t="n">
        <v>2027</v>
      </c>
      <c r="W1291" s="20" t="n">
        <v>2028</v>
      </c>
      <c r="X1291" s="20" t="n">
        <v>2029</v>
      </c>
      <c r="Y1291" s="20" t="n">
        <v>2030</v>
      </c>
      <c r="Z1291" s="20" t="n">
        <v>2031</v>
      </c>
      <c r="AA1291" s="20" t="n">
        <v>2032</v>
      </c>
    </row>
    <row r="1292" customFormat="false" ht="17.15" hidden="false" customHeight="false" outlineLevel="0" collapsed="false">
      <c r="A1292" s="1" t="s">
        <v>668</v>
      </c>
    </row>
    <row r="1293" customFormat="false" ht="15" hidden="false" customHeight="false" outlineLevel="0" collapsed="false">
      <c r="A1293" s="0" t="s">
        <v>479</v>
      </c>
      <c r="B1293" s="0" t="s">
        <v>73</v>
      </c>
      <c r="C1293" s="38" t="n">
        <f aca="false">Sens!$C$1203</f>
        <v>247.029</v>
      </c>
      <c r="D1293" s="38" t="n">
        <f aca="false">Sens!$D$1203</f>
        <v>269.287</v>
      </c>
      <c r="E1293" s="38" t="n">
        <f aca="false">Sens!$E$1203</f>
        <v>134.686</v>
      </c>
      <c r="F1293" s="38" t="n">
        <f aca="false">Sens!$F$1203</f>
        <v>160.728085930082</v>
      </c>
      <c r="G1293" s="38" t="n">
        <f aca="false">Sens!$G$1203</f>
        <v>295.414085930082</v>
      </c>
      <c r="H1293" s="38" t="n">
        <f aca="false">Sens!$H$1203</f>
        <v>320.828163943375</v>
      </c>
      <c r="I1293" s="38" t="n">
        <f aca="false">Sens!$I$1203</f>
        <v>344.575578072228</v>
      </c>
      <c r="J1293" s="38" t="n">
        <f aca="false">Sens!$J$1203</f>
        <v>365.942555779681</v>
      </c>
      <c r="K1293" s="38" t="n">
        <f aca="false">Sens!$K$1203</f>
        <v>384.239683568665</v>
      </c>
      <c r="L1293" s="38" t="n">
        <f aca="false">Sens!$L$1203</f>
        <v>403.451667747098</v>
      </c>
      <c r="M1293" s="38" t="n">
        <f aca="false">Sens!$M$1203</f>
        <v>423.624251134453</v>
      </c>
      <c r="N1293" s="38" t="n">
        <f aca="false">Sens!$N$1203</f>
        <v>118.892</v>
      </c>
      <c r="O1293" s="38" t="n">
        <f aca="false">Sens!$O$1203</f>
        <v>150.395</v>
      </c>
    </row>
    <row r="1294" customFormat="false" ht="15" hidden="false" customHeight="false" outlineLevel="0" collapsed="false">
      <c r="A1294" s="0" t="s">
        <v>480</v>
      </c>
      <c r="B1294" s="0" t="s">
        <v>73</v>
      </c>
      <c r="C1294" s="38" t="n">
        <f aca="false">Sens!$C$1205</f>
        <v>21.215</v>
      </c>
      <c r="D1294" s="38" t="n">
        <f aca="false">Sens!$D$1205</f>
        <v>22.561</v>
      </c>
      <c r="E1294" s="38" t="n">
        <f aca="false">Sens!$E$1205</f>
        <v>11.579</v>
      </c>
      <c r="F1294" s="38" t="n">
        <f aca="false">Sens!$F$1205</f>
        <v>12.0952613121125</v>
      </c>
      <c r="G1294" s="38" t="n">
        <f aca="false">Sens!$G$1205</f>
        <v>23.6742613121125</v>
      </c>
      <c r="H1294" s="38" t="n">
        <f aca="false">Sens!$H$1205</f>
        <v>24.8803243963206</v>
      </c>
      <c r="I1294" s="38" t="n">
        <f aca="false">Sens!$I$1205</f>
        <v>25.9741308664154</v>
      </c>
      <c r="J1294" s="38" t="n">
        <f aca="false">Sens!$J$1205</f>
        <v>26.9346894124267</v>
      </c>
      <c r="K1294" s="38" t="n">
        <f aca="false">Sens!$K$1205</f>
        <v>27.7427300947995</v>
      </c>
      <c r="L1294" s="38" t="n">
        <f aca="false">Sens!$L$1205</f>
        <v>28.5750119976435</v>
      </c>
      <c r="M1294" s="38" t="n">
        <f aca="false">Sens!$M$1205</f>
        <v>29.4322623575728</v>
      </c>
      <c r="N1294" s="38" t="n">
        <f aca="false">Sens!$N$1205</f>
        <v>11.128</v>
      </c>
      <c r="O1294" s="38" t="n">
        <f aca="false">Sens!$O$1205</f>
        <v>11.433</v>
      </c>
    </row>
    <row r="1295" customFormat="false" ht="15" hidden="false" customHeight="false" outlineLevel="0" collapsed="false">
      <c r="A1295" s="0" t="s">
        <v>481</v>
      </c>
      <c r="B1295" s="0" t="s">
        <v>73</v>
      </c>
      <c r="C1295" s="38" t="n">
        <f aca="false">Sens!$C$1207</f>
        <v>156.146</v>
      </c>
      <c r="D1295" s="38" t="n">
        <f aca="false">Sens!$D$1207</f>
        <v>172.162</v>
      </c>
      <c r="E1295" s="38" t="n">
        <f aca="false">Sens!$E$1207</f>
        <v>88.358</v>
      </c>
      <c r="F1295" s="38" t="n">
        <f aca="false">Sens!$F$1207</f>
        <v>103.62028337149</v>
      </c>
      <c r="G1295" s="38" t="n">
        <f aca="false">Sens!$G$1207</f>
        <v>191.97828337149</v>
      </c>
      <c r="H1295" s="38" t="n">
        <f aca="false">Sens!$H$1207</f>
        <v>212.128608444755</v>
      </c>
      <c r="I1295" s="38" t="n">
        <f aca="false">Sens!$I$1207</f>
        <v>231.92183134134</v>
      </c>
      <c r="J1295" s="38" t="n">
        <f aca="false">Sens!$J$1207</f>
        <v>250.859136487863</v>
      </c>
      <c r="K1295" s="38" t="n">
        <f aca="false">Sens!$K$1207</f>
        <v>268.419276042014</v>
      </c>
      <c r="L1295" s="38" t="n">
        <f aca="false">Sens!$L$1207</f>
        <v>287.208625364954</v>
      </c>
      <c r="M1295" s="38" t="n">
        <f aca="false">Sens!$M$1207</f>
        <v>307.313229140501</v>
      </c>
      <c r="N1295" s="38" t="n">
        <f aca="false">Sens!$N$1207</f>
        <v>76.86</v>
      </c>
      <c r="O1295" s="38" t="n">
        <f aca="false">Sens!$O$1207</f>
        <v>95.302</v>
      </c>
    </row>
    <row r="1296" customFormat="false" ht="15" hidden="false" customHeight="false" outlineLevel="0" collapsed="false">
      <c r="A1296" s="0" t="s">
        <v>482</v>
      </c>
      <c r="B1296" s="0" t="s">
        <v>73</v>
      </c>
      <c r="C1296" s="38" t="n">
        <f aca="false">Sens!$C$1209</f>
        <v>56.214</v>
      </c>
      <c r="D1296" s="38" t="n">
        <f aca="false">Sens!$D$1209</f>
        <v>68.635</v>
      </c>
      <c r="E1296" s="38" t="n">
        <f aca="false">Sens!$E$1209</f>
        <v>37.052</v>
      </c>
      <c r="F1296" s="38" t="n">
        <f aca="false">Sens!$F$1209</f>
        <v>48.1533381827382</v>
      </c>
      <c r="G1296" s="38" t="n">
        <f aca="false">Sens!$G$1209</f>
        <v>85.2053381827382</v>
      </c>
      <c r="H1296" s="38" t="n">
        <f aca="false">Sens!$H$1209</f>
        <v>102.29336185894</v>
      </c>
      <c r="I1296" s="38" t="n">
        <f aca="false">Sens!$I$1209</f>
        <v>119.379837585241</v>
      </c>
      <c r="J1296" s="38" t="n">
        <f aca="false">Sens!$J$1209</f>
        <v>135.319079048844</v>
      </c>
      <c r="K1296" s="38" t="n">
        <f aca="false">Sens!$K$1209</f>
        <v>148.850986953729</v>
      </c>
      <c r="L1296" s="38" t="n">
        <f aca="false">Sens!$L$1209</f>
        <v>163.736085649102</v>
      </c>
      <c r="M1296" s="38" t="n">
        <f aca="false">Sens!$M$1209</f>
        <v>180.109694214012</v>
      </c>
      <c r="N1296" s="38" t="n">
        <f aca="false">Sens!$N$1209</f>
        <v>29.615</v>
      </c>
      <c r="O1296" s="38" t="n">
        <f aca="false">Sens!$O$1209</f>
        <v>39.02</v>
      </c>
    </row>
    <row r="1297" customFormat="false" ht="15" hidden="false" customHeight="false" outlineLevel="0" collapsed="false">
      <c r="A1297" s="0" t="s">
        <v>483</v>
      </c>
      <c r="B1297" s="0" t="s">
        <v>73</v>
      </c>
      <c r="C1297" s="38" t="n">
        <f aca="false">Sens!$C$1211</f>
        <v>44.374</v>
      </c>
      <c r="D1297" s="38" t="n">
        <f aca="false">Sens!$D$1211</f>
        <v>49.619</v>
      </c>
      <c r="E1297" s="38" t="n">
        <f aca="false">Sens!$E$1211</f>
        <v>27.157</v>
      </c>
      <c r="F1297" s="38" t="n">
        <f aca="false">Sens!$F$1211</f>
        <v>28.9776360923374</v>
      </c>
      <c r="G1297" s="38" t="n">
        <f aca="false">Sens!$G$1211</f>
        <v>56.1346360923374</v>
      </c>
      <c r="H1297" s="38" t="n">
        <f aca="false">Sens!$H$1211</f>
        <v>62.4937078946075</v>
      </c>
      <c r="I1297" s="38" t="n">
        <f aca="false">Sens!$I$1211</f>
        <v>68.6715233062498</v>
      </c>
      <c r="J1297" s="38" t="n">
        <f aca="false">Sens!$J$1211</f>
        <v>74.4692882949818</v>
      </c>
      <c r="K1297" s="38" t="n">
        <f aca="false">Sens!$K$1211</f>
        <v>79.6821384756306</v>
      </c>
      <c r="L1297" s="38" t="n">
        <f aca="false">Sens!$L$1211</f>
        <v>85.2598881689247</v>
      </c>
      <c r="M1297" s="38" t="n">
        <f aca="false">Sens!$M$1211</f>
        <v>91.2280803407494</v>
      </c>
      <c r="N1297" s="38" t="n">
        <f aca="false">Sens!$N$1211</f>
        <v>23.923</v>
      </c>
      <c r="O1297" s="38" t="n">
        <f aca="false">Sens!$O$1211</f>
        <v>25.696</v>
      </c>
    </row>
    <row r="1298" customFormat="false" ht="15" hidden="false" customHeight="false" outlineLevel="0" collapsed="false">
      <c r="A1298" s="0" t="s">
        <v>484</v>
      </c>
      <c r="B1298" s="0" t="s">
        <v>73</v>
      </c>
      <c r="C1298" s="38" t="n">
        <f aca="false">Sens!$C$1213</f>
        <v>5.425</v>
      </c>
      <c r="D1298" s="38" t="n">
        <f aca="false">Sens!$D$1213</f>
        <v>5.935</v>
      </c>
      <c r="E1298" s="38" t="n">
        <f aca="false">Sens!$E$1213</f>
        <v>3.474</v>
      </c>
      <c r="F1298" s="38" t="n">
        <f aca="false">Sens!$F$1213</f>
        <v>3.36182431966931</v>
      </c>
      <c r="G1298" s="38" t="n">
        <f aca="false">Sens!$G$1213</f>
        <v>6.83582431966931</v>
      </c>
      <c r="H1298" s="38" t="n">
        <f aca="false">Sens!$H$1213</f>
        <v>7.31157108370141</v>
      </c>
      <c r="I1298" s="38" t="n">
        <f aca="false">Sens!$I$1213</f>
        <v>7.77266852639815</v>
      </c>
      <c r="J1298" s="38" t="n">
        <f aca="false">Sens!$J$1213</f>
        <v>8.2120733019884</v>
      </c>
      <c r="K1298" s="38" t="n">
        <f aca="false">Sens!$K$1213</f>
        <v>8.62267696708783</v>
      </c>
      <c r="L1298" s="38" t="n">
        <f aca="false">Sens!$L$1213</f>
        <v>9.05381081544222</v>
      </c>
      <c r="M1298" s="38" t="n">
        <f aca="false">Sens!$M$1213</f>
        <v>9.50650135621433</v>
      </c>
      <c r="N1298" s="38" t="n">
        <f aca="false">Sens!$N$1213</f>
        <v>2.811</v>
      </c>
      <c r="O1298" s="38" t="n">
        <f aca="false">Sens!$O$1213</f>
        <v>3.124</v>
      </c>
    </row>
    <row r="1299" customFormat="false" ht="17.15" hidden="false" customHeight="false" outlineLevel="0" collapsed="false">
      <c r="A1299" s="0" t="s">
        <v>669</v>
      </c>
      <c r="B1299" s="0" t="s">
        <v>73</v>
      </c>
      <c r="C1299" s="38" t="n">
        <f aca="false">Sens!$C$1280</f>
        <v>107.556</v>
      </c>
      <c r="D1299" s="38" t="n">
        <f aca="false">Sens!$D$1280</f>
        <v>128.725</v>
      </c>
      <c r="E1299" s="38" t="n">
        <f aca="false">Sens!$E$1280</f>
        <v>79.819</v>
      </c>
      <c r="F1299" s="38" t="n">
        <f aca="false">Sens!$F$1280</f>
        <v>92.3320081222604</v>
      </c>
      <c r="G1299" s="38" t="n">
        <f aca="false">Sens!$G$1280</f>
        <v>172.15100812226</v>
      </c>
      <c r="H1299" s="38" t="n">
        <f aca="false">Sens!$H$1280</f>
        <v>231.046823770582</v>
      </c>
      <c r="I1299" s="38" t="n">
        <f aca="false">Sens!$I$1280</f>
        <v>291.805016507444</v>
      </c>
      <c r="J1299" s="38" t="n">
        <f aca="false">Sens!$J$1280</f>
        <v>348.696809750063</v>
      </c>
      <c r="K1299" s="38" t="n">
        <f aca="false">Sens!$K$1280</f>
        <v>398.795978423965</v>
      </c>
      <c r="L1299" s="38" t="n">
        <f aca="false">Sens!$L$1280</f>
        <v>450.428997803345</v>
      </c>
      <c r="M1299" s="38" t="n">
        <f aca="false">Sens!$M$1280</f>
        <v>503.707259044446</v>
      </c>
      <c r="N1299" s="38" t="n">
        <f aca="false">Sens!$N$1280</f>
        <v>60.14</v>
      </c>
      <c r="O1299" s="38" t="n">
        <f aca="false">Sens!$O$1280</f>
        <v>68.585</v>
      </c>
    </row>
    <row r="1300" customFormat="false" ht="15" hidden="false" customHeight="false" outlineLevel="0" collapsed="false">
      <c r="A1300" s="1" t="s">
        <v>472</v>
      </c>
      <c r="B1300" s="8" t="s">
        <v>73</v>
      </c>
      <c r="C1300" s="38" t="n">
        <f aca="false">Sens!$C$1217</f>
        <v>387.497</v>
      </c>
      <c r="D1300" s="38" t="n">
        <f aca="false">Sens!$D$1217</f>
        <v>426.305</v>
      </c>
      <c r="E1300" s="38" t="n">
        <f aca="false">Sens!$E$1217</f>
        <v>220.32</v>
      </c>
      <c r="F1300" s="38" t="n">
        <f aca="false">Sens!$F$1217</f>
        <v>256.304015003807</v>
      </c>
      <c r="G1300" s="38" t="n">
        <f aca="false">Sens!$G$1217</f>
        <v>476.624015003807</v>
      </c>
      <c r="H1300" s="38" t="n">
        <f aca="false">Sens!$H$1217</f>
        <v>527.734391091543</v>
      </c>
      <c r="I1300" s="38" t="n">
        <f aca="false">Sens!$I$1217</f>
        <v>577.157693029577</v>
      </c>
      <c r="J1300" s="38" t="n">
        <f aca="false">Sens!$J$1217</f>
        <v>623.024923663827</v>
      </c>
      <c r="K1300" s="38" t="n">
        <f aca="false">Sens!$K$1217</f>
        <v>663.382568393781</v>
      </c>
      <c r="L1300" s="38" t="n">
        <f aca="false">Sens!$L$1217</f>
        <v>706.564873010432</v>
      </c>
      <c r="M1300" s="38" t="n">
        <f aca="false">Sens!$M$1217</f>
        <v>752.784687406019</v>
      </c>
      <c r="N1300" s="38" t="n">
        <f aca="false">Sens!$N$1217</f>
        <v>192.955</v>
      </c>
      <c r="O1300" s="38" t="n">
        <f aca="false">Sens!$O$1217</f>
        <v>233.35</v>
      </c>
    </row>
    <row r="1301" customFormat="false" ht="15" hidden="false" customHeight="false" outlineLevel="0" collapsed="false">
      <c r="A1301" s="1" t="s">
        <v>475</v>
      </c>
      <c r="B1301" s="8" t="s">
        <v>73</v>
      </c>
      <c r="C1301" s="38" t="n">
        <f aca="false">Sens!$C$1218</f>
        <v>142.906</v>
      </c>
      <c r="D1301" s="38" t="n">
        <f aca="false">Sens!$D$1218</f>
        <v>161.894</v>
      </c>
      <c r="E1301" s="38" t="n">
        <f aca="false">Sens!$E$1218</f>
        <v>81.986</v>
      </c>
      <c r="F1301" s="38" t="n">
        <f aca="false">Sens!$F$1218</f>
        <v>100.632414204623</v>
      </c>
      <c r="G1301" s="38" t="n">
        <f aca="false">Sens!$G$1218</f>
        <v>182.618414204623</v>
      </c>
      <c r="H1301" s="38" t="n">
        <f aca="false">Sens!$H$1218</f>
        <v>202.201346530158</v>
      </c>
      <c r="I1301" s="38" t="n">
        <f aca="false">Sens!$I$1218</f>
        <v>221.137876668296</v>
      </c>
      <c r="J1301" s="38" t="n">
        <f aca="false">Sens!$J$1218</f>
        <v>238.711898661958</v>
      </c>
      <c r="K1301" s="38" t="n">
        <f aca="false">Sens!$K$1218</f>
        <v>254.174923708144</v>
      </c>
      <c r="L1301" s="38" t="n">
        <f aca="false">Sens!$L$1218</f>
        <v>270.720216732733</v>
      </c>
      <c r="M1301" s="38" t="n">
        <f aca="false">Sens!$M$1218</f>
        <v>288.429331137484</v>
      </c>
      <c r="N1301" s="38" t="n">
        <f aca="false">Sens!$N$1218</f>
        <v>70.274</v>
      </c>
      <c r="O1301" s="38" t="n">
        <f aca="false">Sens!$O$1218</f>
        <v>91.62</v>
      </c>
    </row>
    <row r="1302" customFormat="false" ht="15" hidden="false" customHeight="false" outlineLevel="0" collapsed="false">
      <c r="A1302" s="1" t="s">
        <v>476</v>
      </c>
      <c r="B1302" s="8" t="s">
        <v>73</v>
      </c>
      <c r="C1302" s="38" t="n">
        <f aca="false">Sens!$C$1280</f>
        <v>107.556</v>
      </c>
      <c r="D1302" s="38" t="n">
        <f aca="false">Sens!$D$1280</f>
        <v>128.725</v>
      </c>
      <c r="E1302" s="38" t="n">
        <f aca="false">Sens!$E$1280</f>
        <v>79.819</v>
      </c>
      <c r="F1302" s="38" t="n">
        <f aca="false">Sens!$F$1280</f>
        <v>92.3320081222604</v>
      </c>
      <c r="G1302" s="38" t="n">
        <f aca="false">Sens!$G$1280</f>
        <v>172.15100812226</v>
      </c>
      <c r="H1302" s="38" t="n">
        <f aca="false">Sens!$H$1280</f>
        <v>231.046823770582</v>
      </c>
      <c r="I1302" s="38" t="n">
        <f aca="false">Sens!$I$1280</f>
        <v>291.805016507444</v>
      </c>
      <c r="J1302" s="38" t="n">
        <f aca="false">Sens!$J$1280</f>
        <v>348.696809750063</v>
      </c>
      <c r="K1302" s="38" t="n">
        <f aca="false">Sens!$K$1280</f>
        <v>398.795978423965</v>
      </c>
      <c r="L1302" s="38" t="n">
        <f aca="false">Sens!$L$1280</f>
        <v>450.428997803345</v>
      </c>
      <c r="M1302" s="38" t="n">
        <f aca="false">Sens!$M$1280</f>
        <v>503.707259044446</v>
      </c>
      <c r="N1302" s="38" t="n">
        <f aca="false">Sens!$N$1280</f>
        <v>60.14</v>
      </c>
      <c r="O1302" s="38" t="n">
        <f aca="false">Sens!$O$1280</f>
        <v>68.585</v>
      </c>
    </row>
    <row r="1303" customFormat="false" ht="17.15" hidden="false" customHeight="false" outlineLevel="0" collapsed="false">
      <c r="A1303" s="0" t="s">
        <v>643</v>
      </c>
      <c r="B1303" s="0" t="s">
        <v>73</v>
      </c>
      <c r="C1303" s="38" t="n">
        <f aca="false">Sens!$C$1278</f>
        <v>2.32100535697364</v>
      </c>
      <c r="D1303" s="38" t="n">
        <f aca="false">Sens!$D$1278</f>
        <v>8.70377008865116</v>
      </c>
      <c r="E1303" s="38" t="n">
        <f aca="false">Sens!$E$1278</f>
        <v>8.51035297557002</v>
      </c>
      <c r="F1303" s="38" t="n">
        <f aca="false">Sens!$F$1278</f>
        <v>13.7369977035951</v>
      </c>
      <c r="G1303" s="38" t="n">
        <f aca="false">Sens!$G$1278</f>
        <v>22.2473506791651</v>
      </c>
      <c r="H1303" s="38" t="n">
        <f aca="false">Sens!$H$1278</f>
        <v>50.1532630024405</v>
      </c>
      <c r="I1303" s="38" t="n">
        <f aca="false">Sens!$I$1278</f>
        <v>81.1566192924336</v>
      </c>
      <c r="J1303" s="38" t="n">
        <f aca="false">Sens!$J$1278</f>
        <v>112.297900303568</v>
      </c>
      <c r="K1303" s="38" t="n">
        <f aca="false">Sens!$K$1278</f>
        <v>143.48515622175</v>
      </c>
      <c r="L1303" s="38" t="n">
        <f aca="false">Sens!$L$1278</f>
        <v>174.693309824953</v>
      </c>
      <c r="M1303" s="38" t="n">
        <f aca="false">Sens!$M$1278</f>
        <v>205.912716027783</v>
      </c>
      <c r="N1303" s="38" t="n">
        <f aca="false">Sens!$N$1278</f>
        <v>3.04631953102791</v>
      </c>
      <c r="O1303" s="38" t="n">
        <f aca="false">Sens!$O$1278</f>
        <v>5.65745055762326</v>
      </c>
    </row>
    <row r="1304" customFormat="false" ht="17.15" hidden="false" customHeight="false" outlineLevel="0" collapsed="false">
      <c r="A1304" s="0" t="s">
        <v>645</v>
      </c>
      <c r="B1304" s="0" t="s">
        <v>73</v>
      </c>
      <c r="C1304" s="38" t="n">
        <f aca="false">Sens!$C$1279</f>
        <v>105.234994643026</v>
      </c>
      <c r="D1304" s="38" t="n">
        <f aca="false">Sens!$D$1279</f>
        <v>120.021229911349</v>
      </c>
      <c r="E1304" s="38" t="n">
        <f aca="false">Sens!$E$1279</f>
        <v>71.30864702443</v>
      </c>
      <c r="F1304" s="38" t="n">
        <f aca="false">Sens!$F$1279</f>
        <v>78.5950104186653</v>
      </c>
      <c r="G1304" s="38" t="n">
        <f aca="false">Sens!$G$1279</f>
        <v>149.903657443095</v>
      </c>
      <c r="H1304" s="38" t="n">
        <f aca="false">Sens!$H$1279</f>
        <v>180.893560768142</v>
      </c>
      <c r="I1304" s="38" t="n">
        <f aca="false">Sens!$I$1279</f>
        <v>210.64839721501</v>
      </c>
      <c r="J1304" s="38" t="n">
        <f aca="false">Sens!$J$1279</f>
        <v>236.398909446495</v>
      </c>
      <c r="K1304" s="38" t="n">
        <f aca="false">Sens!$K$1279</f>
        <v>255.310822202215</v>
      </c>
      <c r="L1304" s="38" t="n">
        <f aca="false">Sens!$L$1279</f>
        <v>275.735687978392</v>
      </c>
      <c r="M1304" s="38" t="n">
        <f aca="false">Sens!$M$1279</f>
        <v>297.794543016663</v>
      </c>
      <c r="N1304" s="38" t="n">
        <f aca="false">Sens!$N$1279</f>
        <v>57.0936804689721</v>
      </c>
      <c r="O1304" s="38" t="n">
        <f aca="false">Sens!$O$1279</f>
        <v>62.9275494423768</v>
      </c>
    </row>
    <row r="1305" customFormat="false" ht="15" hidden="false" customHeight="false" outlineLevel="0" collapsed="false">
      <c r="A1305" s="3" t="s">
        <v>477</v>
      </c>
      <c r="B1305" s="8" t="s">
        <v>73</v>
      </c>
      <c r="C1305" s="38" t="n">
        <f aca="false">Sens!$C$1281</f>
        <v>637.959</v>
      </c>
      <c r="D1305" s="38" t="n">
        <f aca="false">Sens!$D$1281</f>
        <v>716.924</v>
      </c>
      <c r="E1305" s="38" t="n">
        <f aca="false">Sens!$E$1281</f>
        <v>382.125</v>
      </c>
      <c r="F1305" s="38" t="n">
        <f aca="false">Sens!$F$1281</f>
        <v>449.26843733069</v>
      </c>
      <c r="G1305" s="38" t="n">
        <f aca="false">Sens!$G$1281</f>
        <v>831.39343733069</v>
      </c>
      <c r="H1305" s="38" t="n">
        <f aca="false">Sens!$H$1281</f>
        <v>960.982561392283</v>
      </c>
      <c r="I1305" s="38" t="n">
        <f aca="false">Sens!$I$1281</f>
        <v>1090.10058620532</v>
      </c>
      <c r="J1305" s="38" t="n">
        <f aca="false">Sens!$J$1281</f>
        <v>1210.43363207585</v>
      </c>
      <c r="K1305" s="38" t="n">
        <f aca="false">Sens!$K$1281</f>
        <v>1316.35347052589</v>
      </c>
      <c r="L1305" s="38" t="n">
        <f aca="false">Sens!$L$1281</f>
        <v>1427.71408754651</v>
      </c>
      <c r="M1305" s="38" t="n">
        <f aca="false">Sens!$M$1281</f>
        <v>1544.92127758795</v>
      </c>
      <c r="N1305" s="38" t="n">
        <f aca="false">Sens!$N$1281</f>
        <v>323.369</v>
      </c>
      <c r="O1305" s="38" t="n">
        <f aca="false">Sens!$O$1281</f>
        <v>393.555</v>
      </c>
    </row>
    <row r="1306" customFormat="false" ht="17.15" hidden="false" customHeight="false" outlineLevel="0" collapsed="false">
      <c r="A1306" s="24" t="s">
        <v>655</v>
      </c>
      <c r="B1306" s="25" t="s">
        <v>73</v>
      </c>
      <c r="C1306" s="39" t="n">
        <f aca="false">Sens!$C$1293+Sens!$C$1294+Sens!$C$1295+Sens!$C$1296+Sens!$C$1297+Sens!$C$1298-(Sens!$C$1300+Sens!$C$1301)</f>
        <v>0</v>
      </c>
      <c r="D1306" s="39" t="n">
        <f aca="false">Sens!$D$1293+Sens!$D$1294+Sens!$D$1295+Sens!$D$1296+Sens!$D$1297+Sens!$D$1298-(Sens!$D$1300+Sens!$D$1301)</f>
        <v>0</v>
      </c>
      <c r="E1306" s="39" t="n">
        <f aca="false">Sens!$E$1293+Sens!$E$1294+Sens!$E$1295+Sens!$E$1296+Sens!$E$1297+Sens!$E$1298-(Sens!$E$1300+Sens!$E$1301)</f>
        <v>0</v>
      </c>
      <c r="F1306" s="39" t="n">
        <f aca="false">Sens!$F$1293+Sens!$F$1294+Sens!$F$1295+Sens!$F$1296+Sens!$F$1297+Sens!$F$1298-(Sens!$F$1300+Sens!$F$1301)</f>
        <v>0</v>
      </c>
      <c r="G1306" s="39" t="n">
        <f aca="false">Sens!$G$1293+Sens!$G$1294+Sens!$G$1295+Sens!$G$1296+Sens!$G$1297+Sens!$G$1298-(Sens!$G$1300+Sens!$G$1301)</f>
        <v>0</v>
      </c>
      <c r="H1306" s="39" t="n">
        <f aca="false">Sens!$H$1293+Sens!$H$1294+Sens!$H$1295+Sens!$H$1296+Sens!$H$1297+Sens!$H$1298-(Sens!$H$1300+Sens!$H$1301)</f>
        <v>0</v>
      </c>
      <c r="I1306" s="39" t="n">
        <f aca="false">Sens!$I$1293+Sens!$I$1294+Sens!$I$1295+Sens!$I$1296+Sens!$I$1297+Sens!$I$1298-(Sens!$I$1300+Sens!$I$1301)</f>
        <v>0</v>
      </c>
      <c r="J1306" s="39" t="n">
        <f aca="false">Sens!$J$1293+Sens!$J$1294+Sens!$J$1295+Sens!$J$1296+Sens!$J$1297+Sens!$J$1298-(Sens!$J$1300+Sens!$J$1301)</f>
        <v>0</v>
      </c>
      <c r="K1306" s="39" t="n">
        <f aca="false">Sens!$K$1293+Sens!$K$1294+Sens!$K$1295+Sens!$K$1296+Sens!$K$1297+Sens!$K$1298-(Sens!$K$1300+Sens!$K$1301)</f>
        <v>0</v>
      </c>
      <c r="L1306" s="39" t="n">
        <f aca="false">Sens!$L$1293+Sens!$L$1294+Sens!$L$1295+Sens!$L$1296+Sens!$L$1297+Sens!$L$1298-(Sens!$L$1300+Sens!$L$1301)</f>
        <v>0</v>
      </c>
      <c r="M1306" s="39" t="n">
        <f aca="false">Sens!$M$1293+Sens!$M$1294+Sens!$M$1295+Sens!$M$1296+Sens!$M$1297+Sens!$M$1298-(Sens!$M$1300+Sens!$M$1301)</f>
        <v>0</v>
      </c>
      <c r="N1306" s="39" t="n">
        <f aca="false">Sens!$N$1293+Sens!$N$1294+Sens!$N$1295+Sens!$N$1296+Sens!$N$1297+Sens!$N$1298-(Sens!$N$1300+Sens!$N$1301)</f>
        <v>0</v>
      </c>
      <c r="O1306" s="39" t="n">
        <f aca="false">Sens!$O$1293+Sens!$O$1294+Sens!$O$1295+Sens!$O$1296+Sens!$O$1297+Sens!$O$1298-(Sens!$O$1300+Sens!$O$1301)</f>
        <v>0</v>
      </c>
    </row>
    <row r="1307" customFormat="false" ht="17.15" hidden="false" customHeight="false" outlineLevel="0" collapsed="false">
      <c r="A1307" s="24" t="s">
        <v>656</v>
      </c>
      <c r="B1307" s="25" t="s">
        <v>73</v>
      </c>
      <c r="C1307" s="39" t="n">
        <f aca="false">Sens!$C$1303+Sens!$C$1304-Sens!$C$1302</f>
        <v>0</v>
      </c>
      <c r="D1307" s="39" t="n">
        <f aca="false">Sens!$D$1303+Sens!$D$1304-Sens!$D$1302</f>
        <v>0</v>
      </c>
      <c r="E1307" s="39" t="n">
        <f aca="false">Sens!$E$1303+Sens!$E$1304-Sens!$E$1302</f>
        <v>0</v>
      </c>
      <c r="F1307" s="39" t="n">
        <f aca="false">Sens!$F$1303+Sens!$F$1304-Sens!$F$1302</f>
        <v>0</v>
      </c>
      <c r="G1307" s="39" t="n">
        <f aca="false">Sens!$G$1303+Sens!$G$1304-Sens!$G$1302</f>
        <v>0</v>
      </c>
      <c r="H1307" s="39" t="n">
        <f aca="false">Sens!$H$1303+Sens!$H$1304-Sens!$H$1302</f>
        <v>0</v>
      </c>
      <c r="I1307" s="39" t="n">
        <f aca="false">Sens!$I$1303+Sens!$I$1304-Sens!$I$1302</f>
        <v>0</v>
      </c>
      <c r="J1307" s="39" t="n">
        <f aca="false">Sens!$J$1303+Sens!$J$1304-Sens!$J$1302</f>
        <v>0</v>
      </c>
      <c r="K1307" s="39" t="n">
        <f aca="false">Sens!$K$1303+Sens!$K$1304-Sens!$K$1302</f>
        <v>0</v>
      </c>
      <c r="L1307" s="39" t="n">
        <f aca="false">Sens!$L$1303+Sens!$L$1304-Sens!$L$1302</f>
        <v>0</v>
      </c>
      <c r="M1307" s="39" t="n">
        <f aca="false">Sens!$M$1303+Sens!$M$1304-Sens!$M$1302</f>
        <v>0</v>
      </c>
      <c r="N1307" s="39" t="n">
        <f aca="false">Sens!$N$1303+Sens!$N$1304-Sens!$N$1302</f>
        <v>0</v>
      </c>
      <c r="O1307" s="39" t="n">
        <f aca="false">Sens!$O$1303+Sens!$O$1304-Sens!$O$1302</f>
        <v>0</v>
      </c>
    </row>
    <row r="1308" customFormat="false" ht="17.15" hidden="false" customHeight="false" outlineLevel="0" collapsed="false">
      <c r="A1308" s="24" t="s">
        <v>710</v>
      </c>
      <c r="B1308" s="25" t="s">
        <v>73</v>
      </c>
      <c r="C1308" s="39" t="n">
        <f aca="false">Sens!$C$1293+Sens!$C$1294+Sens!$C$1295+Sens!$C$1296+Sens!$C$1297+Sens!$C$1298+Sens!$C$1299-Sens!$C$1305</f>
        <v>0</v>
      </c>
      <c r="D1308" s="39" t="n">
        <f aca="false">Sens!$D$1293+Sens!$D$1294+Sens!$D$1295+Sens!$D$1296+Sens!$D$1297+Sens!$D$1298+Sens!$D$1299-Sens!$D$1305</f>
        <v>0</v>
      </c>
      <c r="E1308" s="39" t="n">
        <f aca="false">Sens!$E$1293+Sens!$E$1294+Sens!$E$1295+Sens!$E$1296+Sens!$E$1297+Sens!$E$1298+Sens!$E$1299-Sens!$E$1305</f>
        <v>0</v>
      </c>
      <c r="F1308" s="39" t="n">
        <f aca="false">Sens!$F$1293+Sens!$F$1294+Sens!$F$1295+Sens!$F$1296+Sens!$F$1297+Sens!$F$1298+Sens!$F$1299-Sens!$F$1305</f>
        <v>0</v>
      </c>
      <c r="G1308" s="39" t="n">
        <f aca="false">Sens!$G$1293+Sens!$G$1294+Sens!$G$1295+Sens!$G$1296+Sens!$G$1297+Sens!$G$1298+Sens!$G$1299-Sens!$G$1305</f>
        <v>0</v>
      </c>
      <c r="H1308" s="39" t="n">
        <f aca="false">Sens!$H$1293+Sens!$H$1294+Sens!$H$1295+Sens!$H$1296+Sens!$H$1297+Sens!$H$1298+Sens!$H$1299-Sens!$H$1305</f>
        <v>0</v>
      </c>
      <c r="I1308" s="39" t="n">
        <f aca="false">Sens!$I$1293+Sens!$I$1294+Sens!$I$1295+Sens!$I$1296+Sens!$I$1297+Sens!$I$1298+Sens!$I$1299-Sens!$I$1305</f>
        <v>0</v>
      </c>
      <c r="J1308" s="39" t="n">
        <f aca="false">Sens!$J$1293+Sens!$J$1294+Sens!$J$1295+Sens!$J$1296+Sens!$J$1297+Sens!$J$1298+Sens!$J$1299-Sens!$J$1305</f>
        <v>0</v>
      </c>
      <c r="K1308" s="39" t="n">
        <f aca="false">Sens!$K$1293+Sens!$K$1294+Sens!$K$1295+Sens!$K$1296+Sens!$K$1297+Sens!$K$1298+Sens!$K$1299-Sens!$K$1305</f>
        <v>0</v>
      </c>
      <c r="L1308" s="39" t="n">
        <f aca="false">Sens!$L$1293+Sens!$L$1294+Sens!$L$1295+Sens!$L$1296+Sens!$L$1297+Sens!$L$1298+Sens!$L$1299-Sens!$L$1305</f>
        <v>0</v>
      </c>
      <c r="M1308" s="39" t="n">
        <f aca="false">Sens!$M$1293+Sens!$M$1294+Sens!$M$1295+Sens!$M$1296+Sens!$M$1297+Sens!$M$1298+Sens!$M$1299-Sens!$M$1305</f>
        <v>0</v>
      </c>
      <c r="N1308" s="39" t="n">
        <f aca="false">Sens!$N$1293+Sens!$N$1294+Sens!$N$1295+Sens!$N$1296+Sens!$N$1297+Sens!$N$1298+Sens!$N$1299-Sens!$N$1305</f>
        <v>0</v>
      </c>
      <c r="O1308" s="39" t="n">
        <f aca="false">Sens!$O$1293+Sens!$O$1294+Sens!$O$1295+Sens!$O$1296+Sens!$O$1297+Sens!$O$1298+Sens!$O$1299-Sens!$O$1305</f>
        <v>0</v>
      </c>
    </row>
    <row r="1309" customFormat="false" ht="17.15" hidden="false" customHeight="false" outlineLevel="0" collapsed="false">
      <c r="A1309" s="24" t="s">
        <v>657</v>
      </c>
      <c r="B1309" s="25" t="s">
        <v>73</v>
      </c>
      <c r="C1309" s="39" t="n">
        <f aca="false">Sens!$C$1300+Sens!$C$1301+Sens!$C$1302-Sens!$C$1305</f>
        <v>0</v>
      </c>
      <c r="D1309" s="39" t="n">
        <f aca="false">Sens!$D$1300+Sens!$D$1301+Sens!$D$1302-Sens!$D$1305</f>
        <v>0</v>
      </c>
      <c r="E1309" s="39" t="n">
        <f aca="false">Sens!$E$1300+Sens!$E$1301+Sens!$E$1302-Sens!$E$1305</f>
        <v>0</v>
      </c>
      <c r="F1309" s="39" t="n">
        <f aca="false">Sens!$F$1300+Sens!$F$1301+Sens!$F$1302-Sens!$F$1305</f>
        <v>0</v>
      </c>
      <c r="G1309" s="39" t="n">
        <f aca="false">Sens!$G$1300+Sens!$G$1301+Sens!$G$1302-Sens!$G$1305</f>
        <v>0</v>
      </c>
      <c r="H1309" s="39" t="n">
        <f aca="false">Sens!$H$1300+Sens!$H$1301+Sens!$H$1302-Sens!$H$1305</f>
        <v>0</v>
      </c>
      <c r="I1309" s="39" t="n">
        <f aca="false">Sens!$I$1300+Sens!$I$1301+Sens!$I$1302-Sens!$I$1305</f>
        <v>0</v>
      </c>
      <c r="J1309" s="39" t="n">
        <f aca="false">Sens!$J$1300+Sens!$J$1301+Sens!$J$1302-Sens!$J$1305</f>
        <v>0</v>
      </c>
      <c r="K1309" s="39" t="n">
        <f aca="false">Sens!$K$1300+Sens!$K$1301+Sens!$K$1302-Sens!$K$1305</f>
        <v>0</v>
      </c>
      <c r="L1309" s="39" t="n">
        <f aca="false">Sens!$L$1300+Sens!$L$1301+Sens!$L$1302-Sens!$L$1305</f>
        <v>0</v>
      </c>
      <c r="M1309" s="39" t="n">
        <f aca="false">Sens!$M$1300+Sens!$M$1301+Sens!$M$1302-Sens!$M$1305</f>
        <v>0</v>
      </c>
      <c r="N1309" s="39" t="n">
        <f aca="false">Sens!$N$1300+Sens!$N$1301+Sens!$N$1302-Sens!$N$1305</f>
        <v>0</v>
      </c>
      <c r="O1309" s="39" t="n">
        <f aca="false">Sens!$O$1300+Sens!$O$1301+Sens!$O$1302-Sens!$O$1305</f>
        <v>0</v>
      </c>
    </row>
    <row r="1310" customFormat="false" ht="17.15" hidden="false" customHeight="false" outlineLevel="0" collapsed="false">
      <c r="A1310" s="1" t="s">
        <v>671</v>
      </c>
    </row>
    <row r="1311" customFormat="false" ht="17.15" hidden="false" customHeight="false" outlineLevel="0" collapsed="false">
      <c r="A1311" s="0" t="s">
        <v>672</v>
      </c>
      <c r="B1311" s="0" t="s">
        <v>73</v>
      </c>
      <c r="C1311" s="38" t="n">
        <f aca="false">Sens!$C$1219*m_ad</f>
        <v>20.5341564414228</v>
      </c>
      <c r="D1311" s="38" t="n">
        <f aca="false">Sens!$D$1219*m_ad</f>
        <v>24.8720617299587</v>
      </c>
      <c r="E1311" s="38" t="n">
        <f aca="false">Sens!$E$1219*m_ad</f>
        <v>13.5017112462207</v>
      </c>
      <c r="F1311" s="38" t="n">
        <f aca="false">Sens!$F$1219*m_ad</f>
        <v>17.2886442824599</v>
      </c>
      <c r="G1311" s="38" t="n">
        <f aca="false">Sens!$G$1219*m_ad</f>
        <v>30.8011958765886</v>
      </c>
      <c r="H1311" s="38" t="n">
        <f aca="false">Sens!$H$1219*m_ad</f>
        <v>36.978409366026</v>
      </c>
      <c r="I1311" s="38" t="n">
        <f aca="false">Sens!$I$1219*m_ad</f>
        <v>43.155063281273</v>
      </c>
      <c r="J1311" s="38" t="n">
        <f aca="false">Sens!$J$1219*m_ad</f>
        <v>48.9169991988532</v>
      </c>
      <c r="K1311" s="38" t="n">
        <f aca="false">Sens!$K$1219*m_ad</f>
        <v>53.8086991187386</v>
      </c>
      <c r="L1311" s="38" t="n">
        <f aca="false">Sens!$L$1219*m_ad</f>
        <v>59.1895690306124</v>
      </c>
      <c r="M1311" s="38" t="n">
        <f aca="false">Sens!$M$1219*m_ad</f>
        <v>65.1085259336737</v>
      </c>
      <c r="N1311" s="38" t="n">
        <f aca="false">Sens!$N$1219*m_ad</f>
        <v>10.8543555706248</v>
      </c>
      <c r="O1311" s="38" t="n">
        <f aca="false">Sens!$O$1219*m_ad</f>
        <v>14.0094731821399</v>
      </c>
    </row>
    <row r="1312" customFormat="false" ht="17.15" hidden="false" customHeight="false" outlineLevel="0" collapsed="false">
      <c r="A1312" s="0" t="s">
        <v>673</v>
      </c>
      <c r="B1312" s="0" t="s">
        <v>73</v>
      </c>
      <c r="C1312" s="38" t="n">
        <f aca="false">Sens!$C$1217-Sens!$C$1219</f>
        <v>346.428687117154</v>
      </c>
      <c r="D1312" s="38" t="n">
        <f aca="false">Sens!$D$1217-Sens!$D$1219</f>
        <v>376.560876540083</v>
      </c>
      <c r="E1312" s="38" t="n">
        <f aca="false">Sens!$E$1217-Sens!$E$1219</f>
        <v>193.316577507559</v>
      </c>
      <c r="F1312" s="38" t="n">
        <f aca="false">Sens!$F$1217-Sens!$F$1219</f>
        <v>221.726726438887</v>
      </c>
      <c r="G1312" s="38" t="n">
        <f aca="false">Sens!$G$1217-Sens!$G$1219</f>
        <v>415.02162325063</v>
      </c>
      <c r="H1312" s="38" t="n">
        <f aca="false">Sens!$H$1217-Sens!$H$1219</f>
        <v>453.777572359491</v>
      </c>
      <c r="I1312" s="38" t="n">
        <f aca="false">Sens!$I$1217-Sens!$I$1219</f>
        <v>490.847566467031</v>
      </c>
      <c r="J1312" s="38" t="n">
        <f aca="false">Sens!$J$1217-Sens!$J$1219</f>
        <v>525.190925266121</v>
      </c>
      <c r="K1312" s="38" t="n">
        <f aca="false">Sens!$K$1217-Sens!$K$1219</f>
        <v>555.765170156304</v>
      </c>
      <c r="L1312" s="38" t="n">
        <f aca="false">Sens!$L$1217-Sens!$L$1219</f>
        <v>588.185734949207</v>
      </c>
      <c r="M1312" s="38" t="n">
        <f aca="false">Sens!$M$1217-Sens!$M$1219</f>
        <v>622.567635538672</v>
      </c>
      <c r="N1312" s="38" t="n">
        <f aca="false">Sens!$N$1217-Sens!$N$1219</f>
        <v>171.24628885875</v>
      </c>
      <c r="O1312" s="38" t="n">
        <f aca="false">Sens!$O$1217-Sens!$O$1219</f>
        <v>205.33105363572</v>
      </c>
    </row>
    <row r="1313" customFormat="false" ht="17.15" hidden="false" customHeight="false" outlineLevel="0" collapsed="false">
      <c r="A1313" s="0" t="s">
        <v>674</v>
      </c>
      <c r="B1313" s="0" t="s">
        <v>73</v>
      </c>
      <c r="C1313" s="38" t="n">
        <f aca="false">Sens!$C$1264*Sens!$C$1216</f>
        <v>0.123617442257179</v>
      </c>
      <c r="D1313" s="38" t="n">
        <f aca="false">Sens!$D$1264*Sens!$D$1216</f>
        <v>0.874366899302609</v>
      </c>
      <c r="E1313" s="38" t="n">
        <f aca="false">Sens!$E$1264*Sens!$E$1216</f>
        <v>1.29318830502574</v>
      </c>
      <c r="F1313" s="38" t="n">
        <f aca="false">Sens!$F$1264*Sens!$F$1216</f>
        <v>1.47243188886991</v>
      </c>
      <c r="G1313" s="38" t="n">
        <f aca="false">Sens!$G$1264*Sens!$G$1216</f>
        <v>2.76540110574638</v>
      </c>
      <c r="H1313" s="38" t="n">
        <f aca="false">Sens!$H$1264*Sens!$H$1216</f>
        <v>6.83157190495291</v>
      </c>
      <c r="I1313" s="38" t="n">
        <f aca="false">Sens!$I$1264*Sens!$I$1216</f>
        <v>10.9633792596768</v>
      </c>
      <c r="J1313" s="38" t="n">
        <f aca="false">Sens!$J$1264*Sens!$J$1216</f>
        <v>15.2070728940897</v>
      </c>
      <c r="K1313" s="38" t="n">
        <f aca="false">Sens!$K$1264*Sens!$K$1216</f>
        <v>19.5511718967401</v>
      </c>
      <c r="L1313" s="38" t="n">
        <f aca="false">Sens!$L$1264*Sens!$L$1216</f>
        <v>23.6031113620681</v>
      </c>
      <c r="M1313" s="38" t="n">
        <f aca="false">Sens!$M$1264*Sens!$M$1216</f>
        <v>27.7586509066971</v>
      </c>
      <c r="N1313" s="38" t="n">
        <f aca="false">Sens!$N$1264*Sens!$N$1216</f>
        <v>0.389180508437431</v>
      </c>
      <c r="O1313" s="38" t="n">
        <f aca="false">Sens!$O$1264*Sens!$O$1216</f>
        <v>0.485052120082802</v>
      </c>
    </row>
    <row r="1314" customFormat="false" ht="17.15" hidden="false" customHeight="false" outlineLevel="0" collapsed="false">
      <c r="A1314" s="0" t="s">
        <v>675</v>
      </c>
      <c r="B1314" s="0" t="s">
        <v>52</v>
      </c>
      <c r="C1314" s="28" t="n">
        <f aca="false">(Sens!$C$1315-Sens!$C$1311+Sens!$C$1313)/Sens!$C$1312</f>
        <v>0.0131526665379575</v>
      </c>
      <c r="D1314" s="28" t="n">
        <f aca="false">(Sens!$D$1315-Sens!$D$1311+Sens!$D$1313)/Sens!$D$1312</f>
        <v>0.0149280116962589</v>
      </c>
      <c r="E1314" s="28" t="n">
        <f aca="false">(Sens!$E$1315-Sens!$E$1311+Sens!$E$1313)/Sens!$E$1312</f>
        <v>0.0268030663774938</v>
      </c>
      <c r="F1314" s="28" t="n">
        <f aca="false">Sens!$O$1314+(Sens!$E$1314-Sens!$N$1314)</f>
        <v>0.0232379346966962</v>
      </c>
      <c r="G1314" s="28" t="n">
        <f aca="false">(Sens!$G$1315-Sens!$G$1311+Sens!$G$1313)/Sens!$G$1312</f>
        <v>0.0248731348776324</v>
      </c>
      <c r="H1314" s="28" t="n">
        <f aca="false">Sens!$G$1314+step_na</f>
        <v>0.0278731348776324</v>
      </c>
      <c r="I1314" s="28" t="n">
        <f aca="false">Sens!$H$1314+step_na</f>
        <v>0.0308731348776324</v>
      </c>
      <c r="J1314" s="28" t="n">
        <f aca="false">Sens!$I$1314+step_na</f>
        <v>0.0338731348776324</v>
      </c>
      <c r="K1314" s="28" t="n">
        <f aca="false">Sens!$J$1314+step_na</f>
        <v>0.0368731348776324</v>
      </c>
      <c r="L1314" s="28" t="n">
        <f aca="false">Sens!$K$1314</f>
        <v>0.0368731348776324</v>
      </c>
      <c r="M1314" s="28" t="n">
        <f aca="false">Sens!$L$1314</f>
        <v>0.0368731348776324</v>
      </c>
      <c r="N1314" s="28" t="n">
        <f aca="false">(Sens!$N$1315-Sens!$N$1311+Sens!$N$1313)/Sens!$N$1312</f>
        <v>0.0168927744775755</v>
      </c>
      <c r="O1314" s="28" t="n">
        <f aca="false">(Sens!$O$1315-Sens!$O$1311+Sens!$O$1313)/Sens!$O$1312</f>
        <v>0.0133276427967779</v>
      </c>
      <c r="P1314" s="8" t="s">
        <v>676</v>
      </c>
    </row>
    <row r="1315" customFormat="false" ht="17.15" hidden="false" customHeight="false" outlineLevel="0" collapsed="false">
      <c r="A1315" s="1" t="s">
        <v>677</v>
      </c>
      <c r="B1315" s="8" t="s">
        <v>73</v>
      </c>
      <c r="C1315" s="38" t="n">
        <f aca="false">Q!$D$22</f>
        <v>24.967</v>
      </c>
      <c r="D1315" s="38" t="n">
        <f aca="false">Q!$E$22</f>
        <v>29.619</v>
      </c>
      <c r="E1315" s="38" t="n">
        <f aca="false">Q!$P$22</f>
        <v>17.39</v>
      </c>
      <c r="F1315" s="38" t="n">
        <f aca="false">Sens!$F$1311+Sens!$F$1312*Sens!$F$1314-Sens!$F$1313</f>
        <v>20.968683583089</v>
      </c>
      <c r="G1315" s="38" t="n">
        <f aca="false">Sens!$E$1315+Sens!$F$1315</f>
        <v>38.358683583089</v>
      </c>
      <c r="H1315" s="38" t="n">
        <f aca="false">Sens!$H$1311+Sens!$H$1312*Sens!$H$1314-Sens!$H$1313</f>
        <v>42.7950409398937</v>
      </c>
      <c r="I1315" s="38" t="n">
        <f aca="false">Sens!$I$1311+Sens!$I$1312*Sens!$I$1314-Sens!$I$1313</f>
        <v>47.3456871454905</v>
      </c>
      <c r="J1315" s="38" t="n">
        <f aca="false">Sens!$J$1311+Sens!$J$1312*Sens!$J$1314-Sens!$J$1313</f>
        <v>51.4997893528114</v>
      </c>
      <c r="K1315" s="38" t="n">
        <f aca="false">Sens!$K$1311+Sens!$K$1312*Sens!$K$1314-Sens!$K$1313</f>
        <v>54.7503313014622</v>
      </c>
      <c r="L1315" s="38" t="n">
        <f aca="false">Sens!$L$1311+Sens!$L$1312*Sens!$L$1314-Sens!$L$1313</f>
        <v>57.2747096064257</v>
      </c>
      <c r="M1315" s="38" t="n">
        <f aca="false">Sens!$M$1311+Sens!$M$1312*Sens!$M$1314-Sens!$M$1313</f>
        <v>60.3058954226427</v>
      </c>
      <c r="N1315" s="38" t="n">
        <f aca="false">Q!$N$22</f>
        <v>13.358</v>
      </c>
      <c r="O1315" s="38" t="n">
        <f aca="false">Q!$O$22</f>
        <v>16.261</v>
      </c>
    </row>
    <row r="1316" customFormat="false" ht="17.15" hidden="false" customHeight="false" outlineLevel="0" collapsed="false">
      <c r="A1316" s="0" t="s">
        <v>678</v>
      </c>
      <c r="B1316" s="0" t="s">
        <v>73</v>
      </c>
      <c r="C1316" s="38" t="n">
        <f aca="false">Sens!$C$1220*m_ad</f>
        <v>7.57284355857716</v>
      </c>
      <c r="D1316" s="38" t="n">
        <f aca="false">Sens!$D$1220*m_ad</f>
        <v>9.44543827004127</v>
      </c>
      <c r="E1316" s="38" t="n">
        <f aca="false">Sens!$E$1220*m_ad</f>
        <v>5.02428875377928</v>
      </c>
      <c r="F1316" s="38" t="n">
        <f aca="false">Sens!$F$1220*m_ad</f>
        <v>6.78802480890925</v>
      </c>
      <c r="G1316" s="38" t="n">
        <f aca="false">Sens!$G$1220*m_ad</f>
        <v>11.8014732147805</v>
      </c>
      <c r="H1316" s="38" t="n">
        <f aca="false">Sens!$H$1220*m_ad</f>
        <v>14.1682715634442</v>
      </c>
      <c r="I1316" s="38" t="n">
        <f aca="false">Sens!$I$1220*m_ad</f>
        <v>16.5348555113474</v>
      </c>
      <c r="J1316" s="38" t="n">
        <f aca="false">Sens!$J$1220*m_ad</f>
        <v>18.7425403255689</v>
      </c>
      <c r="K1316" s="38" t="n">
        <f aca="false">Sens!$K$1220*m_ad</f>
        <v>20.6167943581258</v>
      </c>
      <c r="L1316" s="38" t="n">
        <f aca="false">Sens!$L$1220*m_ad</f>
        <v>22.6784737939383</v>
      </c>
      <c r="M1316" s="38" t="n">
        <f aca="false">Sens!$M$1220*m_ad</f>
        <v>24.9463211733322</v>
      </c>
      <c r="N1316" s="38" t="n">
        <f aca="false">Sens!$N$1220*m_ad</f>
        <v>3.95314442937518</v>
      </c>
      <c r="O1316" s="38" t="n">
        <f aca="false">Sens!$O$1220*m_ad</f>
        <v>5.50052681786011</v>
      </c>
    </row>
    <row r="1317" customFormat="false" ht="17.15" hidden="false" customHeight="false" outlineLevel="0" collapsed="false">
      <c r="A1317" s="0" t="s">
        <v>679</v>
      </c>
      <c r="B1317" s="0" t="s">
        <v>73</v>
      </c>
      <c r="C1317" s="38" t="n">
        <f aca="false">Sens!$C$1218-Sens!$C$1220</f>
        <v>127.760312882846</v>
      </c>
      <c r="D1317" s="38" t="n">
        <f aca="false">Sens!$D$1218-Sens!$D$1220</f>
        <v>143.003123459917</v>
      </c>
      <c r="E1317" s="38" t="n">
        <f aca="false">Sens!$E$1218-Sens!$E$1220</f>
        <v>71.9374224924414</v>
      </c>
      <c r="F1317" s="38" t="n">
        <f aca="false">Sens!$F$1218-Sens!$F$1220</f>
        <v>87.0563645868046</v>
      </c>
      <c r="G1317" s="38" t="n">
        <f aca="false">Sens!$G$1218-Sens!$G$1220</f>
        <v>159.015467775062</v>
      </c>
      <c r="H1317" s="38" t="n">
        <f aca="false">Sens!$H$1218-Sens!$H$1220</f>
        <v>173.864803403269</v>
      </c>
      <c r="I1317" s="38" t="n">
        <f aca="false">Sens!$I$1218-Sens!$I$1220</f>
        <v>188.068165645601</v>
      </c>
      <c r="J1317" s="38" t="n">
        <f aca="false">Sens!$J$1218-Sens!$J$1220</f>
        <v>201.22681801082</v>
      </c>
      <c r="K1317" s="38" t="n">
        <f aca="false">Sens!$K$1218-Sens!$K$1220</f>
        <v>212.941334991893</v>
      </c>
      <c r="L1317" s="38" t="n">
        <f aca="false">Sens!$L$1218-Sens!$L$1220</f>
        <v>225.363269144856</v>
      </c>
      <c r="M1317" s="38" t="n">
        <f aca="false">Sens!$M$1218-Sens!$M$1220</f>
        <v>238.536688790819</v>
      </c>
      <c r="N1317" s="38" t="n">
        <f aca="false">Sens!$N$1218-Sens!$N$1220</f>
        <v>62.3677111412496</v>
      </c>
      <c r="O1317" s="38" t="n">
        <f aca="false">Sens!$O$1218-Sens!$O$1220</f>
        <v>80.6189463642798</v>
      </c>
    </row>
    <row r="1318" customFormat="false" ht="17.15" hidden="false" customHeight="false" outlineLevel="0" collapsed="false">
      <c r="A1318" s="0" t="s">
        <v>680</v>
      </c>
      <c r="B1318" s="0" t="s">
        <v>73</v>
      </c>
      <c r="C1318" s="38" t="n">
        <f aca="false">Sens!$C$1264*(1-Sens!$C$1216)</f>
        <v>0.0455891896019953</v>
      </c>
      <c r="D1318" s="38" t="n">
        <f aca="false">Sens!$D$1264*(1-Sens!$D$1216)</f>
        <v>0.332050421167231</v>
      </c>
      <c r="E1318" s="38" t="n">
        <f aca="false">Sens!$E$1264*(1-Sens!$E$1216)</f>
        <v>0.481224293644882</v>
      </c>
      <c r="F1318" s="38" t="n">
        <f aca="false">Sens!$F$1264*(1-Sens!$F$1216)</f>
        <v>0.578119604277958</v>
      </c>
      <c r="G1318" s="38" t="n">
        <f aca="false">Sens!$G$1264*(1-Sens!$G$1216)</f>
        <v>1.05956298607212</v>
      </c>
      <c r="H1318" s="38" t="n">
        <f aca="false">Sens!$H$1264*(1-Sens!$H$1216)</f>
        <v>2.61751566965712</v>
      </c>
      <c r="I1318" s="38" t="n">
        <f aca="false">Sens!$I$1264*(1-Sens!$I$1216)</f>
        <v>4.20061698886499</v>
      </c>
      <c r="J1318" s="38" t="n">
        <f aca="false">Sens!$J$1264*(1-Sens!$J$1216)</f>
        <v>5.82658751802633</v>
      </c>
      <c r="K1318" s="38" t="n">
        <f aca="false">Sens!$K$1264*(1-Sens!$K$1216)</f>
        <v>7.49102834777671</v>
      </c>
      <c r="L1318" s="38" t="n">
        <f aca="false">Sens!$L$1264*(1-Sens!$L$1216)</f>
        <v>9.04352829808959</v>
      </c>
      <c r="M1318" s="38" t="n">
        <f aca="false">Sens!$M$1264*(1-Sens!$M$1216)</f>
        <v>10.6357226020184</v>
      </c>
      <c r="N1318" s="38" t="n">
        <f aca="false">Sens!$N$1264*(1-Sens!$N$1216)</f>
        <v>0.141739115596548</v>
      </c>
      <c r="O1318" s="38" t="n">
        <f aca="false">Sens!$O$1264*(1-Sens!$O$1216)</f>
        <v>0.190445576353059</v>
      </c>
    </row>
    <row r="1319" customFormat="false" ht="17.15" hidden="false" customHeight="false" outlineLevel="0" collapsed="false">
      <c r="A1319" s="0" t="s">
        <v>681</v>
      </c>
      <c r="B1319" s="0" t="s">
        <v>52</v>
      </c>
      <c r="C1319" s="28" t="n">
        <f aca="false">(Sens!$C$1320-Sens!$C$1316+Sens!$C$1318)/Sens!$C$1317</f>
        <v>-0.0292364215826579</v>
      </c>
      <c r="D1319" s="28" t="n">
        <f aca="false">(Sens!$D$1320-Sens!$D$1316+Sens!$D$1318)/Sens!$D$1317</f>
        <v>-0.0305125352740778</v>
      </c>
      <c r="E1319" s="28" t="n">
        <f aca="false">(Sens!$E$1320-Sens!$E$1316+Sens!$E$1318)/Sens!$E$1317</f>
        <v>-0.019490056934994</v>
      </c>
      <c r="F1319" s="28" t="n">
        <f aca="false">Sens!$O$1319+(Sens!$E$1319-Sens!$N$1319)</f>
        <v>-0.0367332293992226</v>
      </c>
      <c r="G1319" s="28" t="n">
        <f aca="false">(Sens!$G$1320-Sens!$G$1316+Sens!$G$1318)/Sens!$G$1317</f>
        <v>-0.0288579878379997</v>
      </c>
      <c r="H1319" s="28" t="n">
        <f aca="false">Sens!$G$1319+step_in</f>
        <v>-0.0288579878379997</v>
      </c>
      <c r="I1319" s="28" t="n">
        <f aca="false">Sens!$H$1319+step_in</f>
        <v>-0.0288579878379997</v>
      </c>
      <c r="J1319" s="28" t="n">
        <f aca="false">Sens!$I$1319+step_in</f>
        <v>-0.0288579878379997</v>
      </c>
      <c r="K1319" s="28" t="n">
        <f aca="false">Sens!$J$1319+step_in</f>
        <v>-0.0288579878379997</v>
      </c>
      <c r="L1319" s="28" t="n">
        <f aca="false">Sens!$K$1319</f>
        <v>-0.0288579878379997</v>
      </c>
      <c r="M1319" s="28" t="n">
        <f aca="false">Sens!$L$1319</f>
        <v>-0.0288579878379997</v>
      </c>
      <c r="N1319" s="28" t="n">
        <f aca="false">(Sens!$N$1320-Sens!$N$1316+Sens!$N$1318)/Sens!$N$1317</f>
        <v>-0.02085061789158</v>
      </c>
      <c r="O1319" s="28" t="n">
        <f aca="false">(Sens!$O$1320-Sens!$O$1316+Sens!$O$1318)/Sens!$O$1317</f>
        <v>-0.0380937903558086</v>
      </c>
      <c r="P1319" s="8" t="s">
        <v>676</v>
      </c>
    </row>
    <row r="1320" customFormat="false" ht="17.15" hidden="false" customHeight="false" outlineLevel="0" collapsed="false">
      <c r="A1320" s="1" t="s">
        <v>682</v>
      </c>
      <c r="B1320" s="8" t="s">
        <v>73</v>
      </c>
      <c r="C1320" s="38" t="n">
        <f aca="false">Q!$D$23</f>
        <v>3.792</v>
      </c>
      <c r="D1320" s="38" t="n">
        <f aca="false">Q!$E$23</f>
        <v>4.75</v>
      </c>
      <c r="E1320" s="38" t="n">
        <f aca="false">Q!$P$23</f>
        <v>3.141</v>
      </c>
      <c r="F1320" s="38" t="n">
        <f aca="false">Sens!$F$1316+Sens!$F$1317*Sens!$F$1319-Sens!$F$1318</f>
        <v>3.01204379360184</v>
      </c>
      <c r="G1320" s="38" t="n">
        <f aca="false">Sens!$E$1320+Sens!$F$1320</f>
        <v>6.15304379360184</v>
      </c>
      <c r="H1320" s="38" t="n">
        <f aca="false">Sens!$H$1316+Sens!$H$1317*Sens!$H$1319-Sens!$H$1318</f>
        <v>6.53336751171933</v>
      </c>
      <c r="I1320" s="38" t="n">
        <f aca="false">Sens!$I$1316+Sens!$I$1317*Sens!$I$1319-Sens!$I$1318</f>
        <v>6.90696968556678</v>
      </c>
      <c r="J1320" s="38" t="n">
        <f aca="false">Sens!$J$1316+Sens!$J$1317*Sens!$J$1319-Sens!$J$1318</f>
        <v>7.10895174070691</v>
      </c>
      <c r="K1320" s="38" t="n">
        <f aca="false">Sens!$K$1316+Sens!$K$1317*Sens!$K$1319-Sens!$K$1318</f>
        <v>6.98070755494559</v>
      </c>
      <c r="L1320" s="38" t="n">
        <f aca="false">Sens!$L$1316+Sens!$L$1317*Sens!$L$1319-Sens!$L$1318</f>
        <v>7.13141501573464</v>
      </c>
      <c r="M1320" s="38" t="n">
        <f aca="false">Sens!$M$1316+Sens!$M$1317*Sens!$M$1319-Sens!$M$1318</f>
        <v>7.42690970727159</v>
      </c>
      <c r="N1320" s="38" t="n">
        <f aca="false">Q!$N$23</f>
        <v>2.511</v>
      </c>
      <c r="O1320" s="38" t="n">
        <f aca="false">Q!$O$23</f>
        <v>2.239</v>
      </c>
    </row>
    <row r="1321" customFormat="false" ht="17.15" hidden="false" customHeight="false" outlineLevel="0" collapsed="false">
      <c r="A1321" s="0" t="s">
        <v>683</v>
      </c>
      <c r="B1321" s="0" t="s">
        <v>73</v>
      </c>
      <c r="C1321" s="38" t="n">
        <f aca="false">Sens!$C$1261</f>
        <v>1.64417882953695</v>
      </c>
      <c r="D1321" s="38" t="n">
        <f aca="false">Sens!$D$1261</f>
        <v>3.8781008067718</v>
      </c>
      <c r="E1321" s="38" t="n">
        <f aca="false">Sens!$E$1261</f>
        <v>1.41270258088753</v>
      </c>
      <c r="F1321" s="38" t="n">
        <f aca="false">Sens!$F$1261</f>
        <v>5.53479173100364</v>
      </c>
      <c r="G1321" s="38" t="n">
        <f aca="false">Sens!$G$1261</f>
        <v>6.94749431189117</v>
      </c>
      <c r="H1321" s="38" t="n">
        <f aca="false">Sens!$H$1261</f>
        <v>12.3569127040004</v>
      </c>
      <c r="I1321" s="38" t="n">
        <f aca="false">Sens!$I$1261</f>
        <v>20.5006342982664</v>
      </c>
      <c r="J1321" s="38" t="n">
        <f aca="false">Sens!$J$1261</f>
        <v>28.163258655104</v>
      </c>
      <c r="K1321" s="38" t="n">
        <f aca="false">Sens!$K$1261</f>
        <v>35.3163552436828</v>
      </c>
      <c r="L1321" s="38" t="n">
        <f aca="false">Sens!$L$1261</f>
        <v>44.1067511843224</v>
      </c>
      <c r="M1321" s="38" t="n">
        <f aca="false">Sens!$M$1261</f>
        <v>52.3352219929214</v>
      </c>
      <c r="N1321" s="38" t="n">
        <f aca="false">Sens!$N$1261</f>
        <v>0.92264103489199</v>
      </c>
      <c r="O1321" s="38" t="n">
        <f aca="false">Sens!$O$1261</f>
        <v>2.95545977187981</v>
      </c>
    </row>
    <row r="1322" customFormat="false" ht="17.15" hidden="false" customHeight="false" outlineLevel="0" collapsed="false">
      <c r="A1322" s="0" t="s">
        <v>603</v>
      </c>
      <c r="B1322" s="0" t="s">
        <v>73</v>
      </c>
      <c r="C1322" s="38" t="n">
        <f aca="false">Sens!$C$1266</f>
        <v>38.1898211704631</v>
      </c>
      <c r="D1322" s="38" t="n">
        <f aca="false">Sens!$D$1266</f>
        <v>41.7278991932282</v>
      </c>
      <c r="E1322" s="38" t="n">
        <f aca="false">Sens!$E$1266</f>
        <v>29.3692974191125</v>
      </c>
      <c r="F1322" s="38" t="n">
        <f aca="false">Sens!$F$1266</f>
        <v>29.458060516894</v>
      </c>
      <c r="G1322" s="38" t="n">
        <f aca="false">Sens!$G$1266</f>
        <v>58.8273579360065</v>
      </c>
      <c r="H1322" s="38" t="n">
        <f aca="false">Sens!$H$1266</f>
        <v>67.8004040185081</v>
      </c>
      <c r="I1322" s="38" t="n">
        <f aca="false">Sens!$I$1266</f>
        <v>78.9527630302702</v>
      </c>
      <c r="J1322" s="38" t="n">
        <f aca="false">Sens!$J$1266</f>
        <v>88.6042681781841</v>
      </c>
      <c r="K1322" s="38" t="n">
        <f aca="false">Sens!$K$1266</f>
        <v>95.6926096324389</v>
      </c>
      <c r="L1322" s="38" t="n">
        <f aca="false">Sens!$L$1266</f>
        <v>103.348018403034</v>
      </c>
      <c r="M1322" s="38" t="n">
        <f aca="false">Sens!$M$1266</f>
        <v>111.615859875277</v>
      </c>
      <c r="N1322" s="38" t="n">
        <f aca="false">Sens!$N$1266</f>
        <v>20.784358965108</v>
      </c>
      <c r="O1322" s="38" t="n">
        <f aca="false">Sens!$O$1266</f>
        <v>20.9435402281202</v>
      </c>
    </row>
    <row r="1323" customFormat="false" ht="17.15" hidden="false" customHeight="false" outlineLevel="0" collapsed="false">
      <c r="A1323" s="1" t="s">
        <v>684</v>
      </c>
      <c r="B1323" s="8" t="s">
        <v>73</v>
      </c>
      <c r="C1323" s="38" t="n">
        <f aca="false">Q!$D$24</f>
        <v>39.834</v>
      </c>
      <c r="D1323" s="38" t="n">
        <f aca="false">Q!$E$24</f>
        <v>45.606</v>
      </c>
      <c r="E1323" s="38" t="n">
        <f aca="false">Q!$P$24</f>
        <v>30.782</v>
      </c>
      <c r="F1323" s="38" t="n">
        <f aca="false">Sens!$F$1321+Sens!$F$1322</f>
        <v>34.9928522478976</v>
      </c>
      <c r="G1323" s="38" t="n">
        <f aca="false">Sens!$G$1321+Sens!$G$1322</f>
        <v>65.7748522478976</v>
      </c>
      <c r="H1323" s="38" t="n">
        <f aca="false">Sens!$H$1321+Sens!$H$1322</f>
        <v>80.1573167225085</v>
      </c>
      <c r="I1323" s="38" t="n">
        <f aca="false">Sens!$I$1321+Sens!$I$1322</f>
        <v>99.4533973285366</v>
      </c>
      <c r="J1323" s="38" t="n">
        <f aca="false">Sens!$J$1321+Sens!$J$1322</f>
        <v>116.767526833288</v>
      </c>
      <c r="K1323" s="38" t="n">
        <f aca="false">Sens!$K$1321+Sens!$K$1322</f>
        <v>131.008964876122</v>
      </c>
      <c r="L1323" s="38" t="n">
        <f aca="false">Sens!$L$1321+Sens!$L$1322</f>
        <v>147.454769587356</v>
      </c>
      <c r="M1323" s="38" t="n">
        <f aca="false">Sens!$M$1321+Sens!$M$1322</f>
        <v>163.951081868198</v>
      </c>
      <c r="N1323" s="38" t="n">
        <f aca="false">Q!$N$24</f>
        <v>21.707</v>
      </c>
      <c r="O1323" s="38" t="n">
        <f aca="false">Q!$O$24</f>
        <v>23.899</v>
      </c>
    </row>
    <row r="1324" customFormat="false" ht="17.15" hidden="false" customHeight="false" outlineLevel="0" collapsed="false">
      <c r="A1324" s="5" t="s">
        <v>685</v>
      </c>
      <c r="B1324" s="0" t="s">
        <v>73</v>
      </c>
      <c r="C1324" s="38" t="n">
        <f aca="false">Q!$D$26</f>
        <v>0</v>
      </c>
      <c r="D1324" s="38" t="n">
        <f aca="false">Q!$E$26</f>
        <v>0</v>
      </c>
      <c r="E1324" s="38" t="n">
        <f aca="false">Q!$P$26</f>
        <v>0</v>
      </c>
      <c r="F1324" s="41" t="n">
        <v>0</v>
      </c>
      <c r="G1324" s="38" t="n">
        <f aca="false">Sens!$E$1324+Sens!$F$1324</f>
        <v>0</v>
      </c>
      <c r="H1324" s="41" t="n">
        <v>0</v>
      </c>
      <c r="I1324" s="41" t="n">
        <v>0</v>
      </c>
      <c r="J1324" s="41" t="n">
        <v>0</v>
      </c>
      <c r="K1324" s="41" t="n">
        <v>0</v>
      </c>
      <c r="L1324" s="41" t="n">
        <v>0</v>
      </c>
      <c r="M1324" s="41" t="n">
        <v>0</v>
      </c>
      <c r="N1324" s="38" t="n">
        <f aca="false">Q!$N$26</f>
        <v>0</v>
      </c>
      <c r="O1324" s="38" t="n">
        <f aca="false">Q!$O$26</f>
        <v>0</v>
      </c>
    </row>
    <row r="1325" customFormat="false" ht="15" hidden="false" customHeight="false" outlineLevel="0" collapsed="false">
      <c r="A1325" s="3" t="s">
        <v>494</v>
      </c>
      <c r="B1325" s="8" t="s">
        <v>73</v>
      </c>
      <c r="C1325" s="38" t="n">
        <f aca="false">Q!$D$25</f>
        <v>68.593</v>
      </c>
      <c r="D1325" s="38" t="n">
        <f aca="false">Q!$E$25</f>
        <v>79.975</v>
      </c>
      <c r="E1325" s="38" t="n">
        <f aca="false">Q!$P$25</f>
        <v>51.313</v>
      </c>
      <c r="F1325" s="38" t="n">
        <f aca="false">Sens!$F$1315+Sens!$F$1320+Sens!$F$1323+Sens!$F$1324</f>
        <v>58.9735796245885</v>
      </c>
      <c r="G1325" s="38" t="n">
        <f aca="false">Sens!$G$1315+Sens!$G$1320+Sens!$G$1323+Sens!$G$1324</f>
        <v>110.286579624589</v>
      </c>
      <c r="H1325" s="38" t="n">
        <f aca="false">Sens!$H$1315+Sens!$H$1320+Sens!$H$1323+Sens!$H$1324</f>
        <v>129.485725174122</v>
      </c>
      <c r="I1325" s="38" t="n">
        <f aca="false">Sens!$I$1315+Sens!$I$1320+Sens!$I$1323+Sens!$I$1324</f>
        <v>153.706054159594</v>
      </c>
      <c r="J1325" s="38" t="n">
        <f aca="false">Sens!$J$1315+Sens!$J$1320+Sens!$J$1323+Sens!$J$1324</f>
        <v>175.376267926806</v>
      </c>
      <c r="K1325" s="38" t="n">
        <f aca="false">Sens!$K$1315+Sens!$K$1320+Sens!$K$1323+Sens!$K$1324</f>
        <v>192.740003732529</v>
      </c>
      <c r="L1325" s="38" t="n">
        <f aca="false">Sens!$L$1315+Sens!$L$1320+Sens!$L$1323+Sens!$L$1324</f>
        <v>211.860894209517</v>
      </c>
      <c r="M1325" s="38" t="n">
        <f aca="false">Sens!$M$1315+Sens!$M$1320+Sens!$M$1323+Sens!$M$1324</f>
        <v>231.683886998112</v>
      </c>
      <c r="N1325" s="38" t="n">
        <f aca="false">Q!$N$25</f>
        <v>37.576</v>
      </c>
      <c r="O1325" s="38" t="n">
        <f aca="false">Q!$O$25</f>
        <v>42.399</v>
      </c>
    </row>
    <row r="1326" customFormat="false" ht="17.15" hidden="false" customHeight="false" outlineLevel="0" collapsed="false">
      <c r="A1326" s="24" t="s">
        <v>711</v>
      </c>
      <c r="B1326" s="25" t="s">
        <v>73</v>
      </c>
      <c r="C1326" s="39" t="n">
        <f aca="false">Sens!$C$1315+Sens!$C$1320+Sens!$C$1323+Sens!$C$1324-Sens!$C$1325</f>
        <v>0</v>
      </c>
      <c r="D1326" s="39" t="n">
        <f aca="false">Sens!$D$1315+Sens!$D$1320+Sens!$D$1323+Sens!$D$1324-Sens!$D$1325</f>
        <v>0</v>
      </c>
      <c r="E1326" s="39" t="n">
        <f aca="false">Sens!$E$1315+Sens!$E$1320+Sens!$E$1323+Sens!$E$1324-Sens!$E$1325</f>
        <v>0</v>
      </c>
      <c r="F1326" s="39" t="n">
        <f aca="false">Sens!$F$1315+Sens!$F$1320+Sens!$F$1323+Sens!$F$1324-Sens!$F$1325</f>
        <v>0</v>
      </c>
      <c r="G1326" s="39" t="n">
        <f aca="false">Sens!$G$1315+Sens!$G$1320+Sens!$G$1323+Sens!$G$1324-Sens!$G$1325</f>
        <v>0</v>
      </c>
      <c r="H1326" s="39" t="n">
        <f aca="false">Sens!$H$1315+Sens!$H$1320+Sens!$H$1323+Sens!$H$1324-Sens!$H$1325</f>
        <v>0</v>
      </c>
      <c r="I1326" s="39" t="n">
        <f aca="false">Sens!$I$1315+Sens!$I$1320+Sens!$I$1323+Sens!$I$1324-Sens!$I$1325</f>
        <v>0</v>
      </c>
      <c r="J1326" s="39" t="n">
        <f aca="false">Sens!$J$1315+Sens!$J$1320+Sens!$J$1323+Sens!$J$1324-Sens!$J$1325</f>
        <v>0</v>
      </c>
      <c r="K1326" s="39" t="n">
        <f aca="false">Sens!$K$1315+Sens!$K$1320+Sens!$K$1323+Sens!$K$1324-Sens!$K$1325</f>
        <v>0</v>
      </c>
      <c r="L1326" s="39" t="n">
        <f aca="false">Sens!$L$1315+Sens!$L$1320+Sens!$L$1323+Sens!$L$1324-Sens!$L$1325</f>
        <v>0</v>
      </c>
      <c r="M1326" s="39" t="n">
        <f aca="false">Sens!$M$1315+Sens!$M$1320+Sens!$M$1323+Sens!$M$1324-Sens!$M$1325</f>
        <v>0</v>
      </c>
      <c r="N1326" s="39" t="n">
        <f aca="false">Sens!$N$1315+Sens!$N$1320+Sens!$N$1323+Sens!$N$1324-Sens!$N$1325</f>
        <v>0</v>
      </c>
      <c r="O1326" s="39" t="n">
        <f aca="false">Sens!$O$1315+Sens!$O$1320+Sens!$O$1323+Sens!$O$1324-Sens!$O$1325</f>
        <v>0</v>
      </c>
    </row>
    <row r="1327" customFormat="false" ht="17.15" hidden="false" customHeight="false" outlineLevel="0" collapsed="false">
      <c r="A1327" s="0" t="s">
        <v>687</v>
      </c>
      <c r="B1327" s="0" t="s">
        <v>52</v>
      </c>
      <c r="C1327" s="12" t="n">
        <f aca="false">Sens!$C$1315/Sens!$C$1300</f>
        <v>0.0644314665661928</v>
      </c>
      <c r="D1327" s="12" t="n">
        <f aca="false">Sens!$D$1315/Sens!$D$1300</f>
        <v>0.0694784250712518</v>
      </c>
      <c r="E1327" s="12" t="n">
        <f aca="false">Sens!$E$1315/Sens!$E$1300</f>
        <v>0.0789306463326071</v>
      </c>
      <c r="F1327" s="12" t="n">
        <f aca="false">Sens!$F$1315/Sens!$F$1300</f>
        <v>0.0818117639818385</v>
      </c>
      <c r="G1327" s="12" t="n">
        <f aca="false">Sens!$G$1315/Sens!$G$1300</f>
        <v>0.0804799640294723</v>
      </c>
      <c r="H1327" s="12" t="n">
        <f aca="false">Sens!$H$1315/Sens!$H$1300</f>
        <v>0.0810920070063623</v>
      </c>
      <c r="I1327" s="12" t="n">
        <f aca="false">Sens!$I$1315/Sens!$I$1300</f>
        <v>0.082032497733794</v>
      </c>
      <c r="J1327" s="12" t="n">
        <f aca="false">Sens!$J$1315/Sens!$J$1300</f>
        <v>0.0826608814458917</v>
      </c>
      <c r="K1327" s="12" t="n">
        <f aca="false">Sens!$K$1315/Sens!$K$1300</f>
        <v>0.0825320620558764</v>
      </c>
      <c r="L1327" s="12" t="n">
        <f aca="false">Sens!$L$1315/Sens!$L$1300</f>
        <v>0.081060793982579</v>
      </c>
      <c r="M1327" s="12" t="n">
        <f aca="false">Sens!$M$1315/Sens!$M$1300</f>
        <v>0.0801104172701063</v>
      </c>
      <c r="N1327" s="12" t="n">
        <f aca="false">Sens!$N$1315/Sens!$N$1300</f>
        <v>0.069228576611127</v>
      </c>
      <c r="O1327" s="12" t="n">
        <f aca="false">Sens!$O$1315/Sens!$O$1300</f>
        <v>0.069685022498393</v>
      </c>
    </row>
    <row r="1328" customFormat="false" ht="17.15" hidden="false" customHeight="false" outlineLevel="0" collapsed="false">
      <c r="A1328" s="0" t="s">
        <v>688</v>
      </c>
      <c r="B1328" s="0" t="s">
        <v>52</v>
      </c>
      <c r="C1328" s="12" t="n">
        <f aca="false">Sens!$C$1320/Sens!$C$1301</f>
        <v>0.026534925055631</v>
      </c>
      <c r="D1328" s="12" t="n">
        <f aca="false">Sens!$D$1320/Sens!$D$1301</f>
        <v>0.0293401855535103</v>
      </c>
      <c r="E1328" s="12" t="n">
        <f aca="false">Sens!$E$1320/Sens!$E$1301</f>
        <v>0.03831141902276</v>
      </c>
      <c r="F1328" s="12" t="n">
        <f aca="false">Sens!$F$1320/Sens!$F$1301</f>
        <v>0.0299311490975188</v>
      </c>
      <c r="G1328" s="12" t="n">
        <f aca="false">Sens!$G$1320/Sens!$G$1301</f>
        <v>0.0336934466351646</v>
      </c>
      <c r="H1328" s="12" t="n">
        <f aca="false">Sens!$H$1320/Sens!$H$1301</f>
        <v>0.0323111968532064</v>
      </c>
      <c r="I1328" s="12" t="n">
        <f aca="false">Sens!$I$1320/Sens!$I$1301</f>
        <v>0.0312337704857641</v>
      </c>
      <c r="J1328" s="12" t="n">
        <f aca="false">Sens!$J$1320/Sens!$J$1301</f>
        <v>0.0297804666652748</v>
      </c>
      <c r="K1328" s="12" t="n">
        <f aca="false">Sens!$K$1320/Sens!$K$1301</f>
        <v>0.0274641866833455</v>
      </c>
      <c r="L1328" s="12" t="n">
        <f aca="false">Sens!$L$1320/Sens!$L$1301</f>
        <v>0.0263423807124648</v>
      </c>
      <c r="M1328" s="12" t="n">
        <f aca="false">Sens!$M$1320/Sens!$M$1301</f>
        <v>0.0257494953026516</v>
      </c>
      <c r="N1328" s="12" t="n">
        <f aca="false">Sens!$N$1320/Sens!$N$1301</f>
        <v>0.0357315650169337</v>
      </c>
      <c r="O1328" s="12" t="n">
        <f aca="false">Sens!$O$1320/Sens!$O$1301</f>
        <v>0.0244378956559703</v>
      </c>
    </row>
    <row r="1329" customFormat="false" ht="17.15" hidden="false" customHeight="false" outlineLevel="0" collapsed="false">
      <c r="A1329" s="13" t="s">
        <v>689</v>
      </c>
      <c r="B1329" s="13" t="s">
        <v>52</v>
      </c>
      <c r="C1329" s="16" t="n">
        <f aca="false">Sens!$C$1323/Sens!$C$1302</f>
        <v>0.370355907620217</v>
      </c>
      <c r="D1329" s="16" t="n">
        <f aca="false">Sens!$D$1323/Sens!$D$1302</f>
        <v>0.35429015342785</v>
      </c>
      <c r="E1329" s="16" t="n">
        <f aca="false">Sens!$E$1323/Sens!$E$1302</f>
        <v>0.385647527531039</v>
      </c>
      <c r="F1329" s="16" t="n">
        <f aca="false">Sens!$F$1323/Sens!$F$1302</f>
        <v>0.37898939879616</v>
      </c>
      <c r="G1329" s="16" t="n">
        <f aca="false">Sens!$G$1323/Sens!$G$1302</f>
        <v>0.382076486018512</v>
      </c>
      <c r="H1329" s="16" t="n">
        <f aca="false">Sens!$H$1323/Sens!$H$1302</f>
        <v>0.346931048063663</v>
      </c>
      <c r="I1329" s="16" t="n">
        <f aca="false">Sens!$I$1323/Sens!$I$1302</f>
        <v>0.340821410539389</v>
      </c>
      <c r="J1329" s="16" t="n">
        <f aca="false">Sens!$J$1323/Sens!$J$1302</f>
        <v>0.334868354307526</v>
      </c>
      <c r="K1329" s="16" t="n">
        <f aca="false">Sens!$K$1323/Sens!$K$1302</f>
        <v>0.328511248769025</v>
      </c>
      <c r="L1329" s="16" t="n">
        <f aca="false">Sens!$L$1323/Sens!$L$1302</f>
        <v>0.327365179210186</v>
      </c>
      <c r="M1329" s="16" t="n">
        <f aca="false">Sens!$M$1323/Sens!$M$1302</f>
        <v>0.325488820985467</v>
      </c>
      <c r="N1329" s="16" t="n">
        <f aca="false">Sens!$N$1323/Sens!$N$1302</f>
        <v>0.360941137346192</v>
      </c>
      <c r="O1329" s="16" t="n">
        <f aca="false">Sens!$O$1323/Sens!$O$1302</f>
        <v>0.348458117664212</v>
      </c>
    </row>
    <row r="1330" customFormat="false" ht="17.15" hidden="false" customHeight="false" outlineLevel="0" collapsed="false">
      <c r="A1330" s="0" t="s">
        <v>690</v>
      </c>
      <c r="B1330" s="0" t="s">
        <v>52</v>
      </c>
      <c r="C1330" s="12" t="n">
        <f aca="false">Sens!$C$1321/Sens!$C$1303</f>
        <v>0.708390794789371</v>
      </c>
      <c r="D1330" s="12" t="n">
        <f aca="false">Sens!$D$1321/Sens!$D$1303</f>
        <v>0.445565630441968</v>
      </c>
      <c r="E1330" s="12" t="n">
        <f aca="false">Sens!$E$1321/Sens!$E$1303</f>
        <v>0.165998118402711</v>
      </c>
      <c r="F1330" s="12" t="n">
        <f aca="false">Sens!$F$1321/Sens!$F$1303</f>
        <v>0.402911309328903</v>
      </c>
      <c r="G1330" s="12" t="n">
        <f aca="false">Sens!$G$1321/Sens!$G$1303</f>
        <v>0.312284119223129</v>
      </c>
      <c r="H1330" s="12" t="n">
        <f aca="false">Sens!$H$1321/Sens!$H$1303</f>
        <v>0.246383026033602</v>
      </c>
      <c r="I1330" s="12" t="n">
        <f aca="false">Sens!$I$1321/Sens!$I$1303</f>
        <v>0.252605819180269</v>
      </c>
      <c r="J1330" s="12" t="n">
        <f aca="false">Sens!$J$1321/Sens!$J$1303</f>
        <v>0.250790607651362</v>
      </c>
      <c r="K1330" s="12" t="n">
        <f aca="false">Sens!$K$1321/Sens!$K$1303</f>
        <v>0.246132465361803</v>
      </c>
      <c r="L1330" s="12" t="n">
        <f aca="false">Sens!$L$1321/Sens!$L$1303</f>
        <v>0.252481055104619</v>
      </c>
      <c r="M1330" s="12" t="n">
        <f aca="false">Sens!$M$1321/Sens!$M$1303</f>
        <v>0.254162166390248</v>
      </c>
      <c r="N1330" s="12" t="n">
        <f aca="false">Sens!$N$1321/Sens!$N$1303</f>
        <v>0.302870734830849</v>
      </c>
      <c r="O1330" s="12" t="n">
        <f aca="false">Sens!$O$1321/Sens!$O$1303</f>
        <v>0.52240134346334</v>
      </c>
    </row>
    <row r="1331" customFormat="false" ht="15" hidden="false" customHeight="false" outlineLevel="0" collapsed="false">
      <c r="A1331" s="5" t="s">
        <v>691</v>
      </c>
      <c r="B1331" s="0" t="s">
        <v>52</v>
      </c>
      <c r="C1331" s="12" t="n">
        <f aca="false">Sens!$C$1325/Sens!$C$1305</f>
        <v>0.107519448742004</v>
      </c>
      <c r="D1331" s="12" t="n">
        <f aca="false">Sens!$D$1325/Sens!$D$1305</f>
        <v>0.111552967957552</v>
      </c>
      <c r="E1331" s="12" t="n">
        <f aca="false">Sens!$E$1325/Sens!$E$1305</f>
        <v>0.13428328426562</v>
      </c>
      <c r="F1331" s="12" t="n">
        <f aca="false">Sens!$F$1325/Sens!$F$1305</f>
        <v>0.131265797292544</v>
      </c>
      <c r="G1331" s="12" t="n">
        <f aca="false">Sens!$G$1325/Sens!$G$1305</f>
        <v>0.132652694467591</v>
      </c>
      <c r="H1331" s="12" t="n">
        <f aca="false">Sens!$H$1325/Sens!$H$1305</f>
        <v>0.134743054011845</v>
      </c>
      <c r="I1331" s="12" t="n">
        <f aca="false">Sens!$I$1325/Sens!$I$1305</f>
        <v>0.141001716818308</v>
      </c>
      <c r="J1331" s="12" t="n">
        <f aca="false">Sens!$J$1325/Sens!$J$1305</f>
        <v>0.144887140673746</v>
      </c>
      <c r="K1331" s="12" t="n">
        <f aca="false">Sens!$K$1325/Sens!$K$1305</f>
        <v>0.146419641872884</v>
      </c>
      <c r="L1331" s="12" t="n">
        <f aca="false">Sens!$L$1325/Sens!$L$1305</f>
        <v>0.1483916815401</v>
      </c>
      <c r="M1331" s="12" t="n">
        <f aca="false">Sens!$M$1325/Sens!$M$1305</f>
        <v>0.149964849574624</v>
      </c>
      <c r="N1331" s="12" t="n">
        <f aca="false">Sens!$N$1325/Sens!$N$1305</f>
        <v>0.116201614873411</v>
      </c>
      <c r="O1331" s="12" t="n">
        <f aca="false">Sens!$O$1325/Sens!$O$1305</f>
        <v>0.107733353660861</v>
      </c>
    </row>
    <row r="1332" customFormat="false" ht="17.15" hidden="false" customHeight="false" outlineLevel="0" collapsed="false">
      <c r="A1332" s="1" t="s">
        <v>692</v>
      </c>
    </row>
    <row r="1333" customFormat="false" ht="17.15" hidden="false" customHeight="false" outlineLevel="0" collapsed="false">
      <c r="A1333" s="5" t="s">
        <v>693</v>
      </c>
      <c r="B1333" s="0" t="s">
        <v>52</v>
      </c>
      <c r="D1333" s="28" t="n">
        <f aca="false">(Q!$E$29+Q!$E$30-(1-ext_sh)*Sens!$D$1257)/Sens!$D$1215</f>
        <v>0.0334674312393194</v>
      </c>
    </row>
    <row r="1334" customFormat="false" ht="17.15" hidden="false" customHeight="false" outlineLevel="0" collapsed="false">
      <c r="A1334" s="0" t="s">
        <v>498</v>
      </c>
      <c r="B1334" s="0" t="s">
        <v>73</v>
      </c>
      <c r="C1334" s="38" t="n">
        <f aca="false">Q!$D$29</f>
        <v>14.285</v>
      </c>
      <c r="D1334" s="38" t="n">
        <f aca="false">Q!$E$29</f>
        <v>15.503</v>
      </c>
      <c r="E1334" s="38" t="n">
        <f aca="false">Q!$P$29</f>
        <v>8.78</v>
      </c>
      <c r="F1334" s="38" t="n">
        <f aca="false">(Sens!$D$1333*Sens!$F$1215+(1-ext_sh)*Sens!$F$1257)*Sens!$F$1216</f>
        <v>9.51361751569285</v>
      </c>
      <c r="G1334" s="38" t="n">
        <f aca="false">Sens!$E$1334+Sens!$F$1334</f>
        <v>18.2936175156929</v>
      </c>
      <c r="H1334" s="38" t="n">
        <f aca="false">(Sens!$D$1333*Sens!$H$1215+(1-ext_sh)*Sens!$H$1257)*Sens!$H$1216</f>
        <v>22.5775107874893</v>
      </c>
      <c r="I1334" s="38" t="n">
        <f aca="false">(Sens!$D$1333*Sens!$I$1215+(1-ext_sh)*Sens!$I$1257)*Sens!$I$1216</f>
        <v>27.238102690031</v>
      </c>
      <c r="J1334" s="38" t="n">
        <f aca="false">(Sens!$D$1333*Sens!$J$1215+(1-ext_sh)*Sens!$J$1257)*Sens!$J$1216</f>
        <v>31.8894876397287</v>
      </c>
      <c r="K1334" s="38" t="n">
        <f aca="false">(Sens!$D$1333*Sens!$K$1215+(1-ext_sh)*Sens!$K$1257)*Sens!$K$1216</f>
        <v>36.4561927166908</v>
      </c>
      <c r="L1334" s="38" t="n">
        <f aca="false">(Sens!$D$1333*Sens!$L$1215+(1-ext_sh)*Sens!$L$1257)*Sens!$L$1216</f>
        <v>40.8249571152432</v>
      </c>
      <c r="M1334" s="38" t="n">
        <f aca="false">(Sens!$D$1333*Sens!$M$1215+(1-ext_sh)*Sens!$M$1257)*Sens!$M$1216</f>
        <v>45.3988094918896</v>
      </c>
      <c r="N1334" s="38" t="n">
        <f aca="false">Q!$N$29</f>
        <v>7.272</v>
      </c>
      <c r="O1334" s="38" t="n">
        <f aca="false">Q!$O$29</f>
        <v>8.231</v>
      </c>
    </row>
    <row r="1335" customFormat="false" ht="17.15" hidden="false" customHeight="false" outlineLevel="0" collapsed="false">
      <c r="A1335" s="0" t="s">
        <v>500</v>
      </c>
      <c r="B1335" s="0" t="s">
        <v>73</v>
      </c>
      <c r="C1335" s="38" t="n">
        <f aca="false">Q!$D$30</f>
        <v>4.462</v>
      </c>
      <c r="D1335" s="38" t="n">
        <f aca="false">Q!$E$30</f>
        <v>4.907</v>
      </c>
      <c r="E1335" s="38" t="n">
        <f aca="false">Q!$P$30</f>
        <v>2.57</v>
      </c>
      <c r="F1335" s="38" t="n">
        <f aca="false">(Sens!$D$1333*Sens!$F$1215+(1-ext_sh)*Sens!$F$1257)*(1-Sens!$F$1216)</f>
        <v>3.7353230631574</v>
      </c>
      <c r="G1335" s="38" t="n">
        <f aca="false">Sens!$E$1335+Sens!$F$1335</f>
        <v>6.3053230631574</v>
      </c>
      <c r="H1335" s="38" t="n">
        <f aca="false">(Sens!$D$1333*Sens!$H$1215+(1-ext_sh)*Sens!$H$1257)*(1-Sens!$H$1216)</f>
        <v>8.6505696039385</v>
      </c>
      <c r="I1335" s="38" t="n">
        <f aca="false">(Sens!$D$1333*Sens!$I$1215+(1-ext_sh)*Sens!$I$1257)*(1-Sens!$I$1216)</f>
        <v>10.4362746370562</v>
      </c>
      <c r="J1335" s="38" t="n">
        <f aca="false">(Sens!$D$1333*Sens!$J$1215+(1-ext_sh)*Sens!$J$1257)*(1-Sens!$J$1216)</f>
        <v>12.218452027682</v>
      </c>
      <c r="K1335" s="38" t="n">
        <f aca="false">(Sens!$D$1333*Sens!$K$1215+(1-ext_sh)*Sens!$K$1257)*(1-Sens!$K$1216)</f>
        <v>13.9681843387749</v>
      </c>
      <c r="L1335" s="38" t="n">
        <f aca="false">(Sens!$D$1333*Sens!$L$1215+(1-ext_sh)*Sens!$L$1257)*(1-Sens!$L$1216)</f>
        <v>15.642075710973</v>
      </c>
      <c r="M1335" s="38" t="n">
        <f aca="false">(Sens!$D$1333*Sens!$M$1215+(1-ext_sh)*Sens!$M$1257)*(1-Sens!$M$1216)</f>
        <v>17.3945465087831</v>
      </c>
      <c r="N1335" s="38" t="n">
        <f aca="false">Q!$N$30</f>
        <v>2.316</v>
      </c>
      <c r="O1335" s="38" t="n">
        <f aca="false">Q!$O$30</f>
        <v>2.591</v>
      </c>
    </row>
    <row r="1336" customFormat="false" ht="17.15" hidden="false" customHeight="false" outlineLevel="0" collapsed="false">
      <c r="A1336" s="0" t="s">
        <v>501</v>
      </c>
      <c r="B1336" s="0" t="s">
        <v>73</v>
      </c>
      <c r="C1336" s="38" t="n">
        <f aca="false">Sens!$C$1269</f>
        <v>13.32</v>
      </c>
      <c r="D1336" s="38" t="n">
        <f aca="false">Sens!$D$1269</f>
        <v>21.45</v>
      </c>
      <c r="E1336" s="38" t="n">
        <f aca="false">Sens!$E$1269</f>
        <v>15.353</v>
      </c>
      <c r="F1336" s="38" t="n">
        <f aca="false">Sens!$F$1269</f>
        <v>17.3614451462707</v>
      </c>
      <c r="G1336" s="38" t="n">
        <f aca="false">Sens!$G$1269</f>
        <v>32.7144451462707</v>
      </c>
      <c r="H1336" s="38" t="n">
        <f aca="false">Sens!$H$1269</f>
        <v>55.1572806478833</v>
      </c>
      <c r="I1336" s="38" t="n">
        <f aca="false">Sens!$I$1269</f>
        <v>76.3904500079465</v>
      </c>
      <c r="J1336" s="38" t="n">
        <f aca="false">Sens!$J$1269</f>
        <v>97.612169565102</v>
      </c>
      <c r="K1336" s="38" t="n">
        <f aca="false">Sens!$K$1269</f>
        <v>118.328491990321</v>
      </c>
      <c r="L1336" s="38" t="n">
        <f aca="false">Sens!$L$1269</f>
        <v>137.660530234222</v>
      </c>
      <c r="M1336" s="38" t="n">
        <f aca="false">Sens!$M$1269</f>
        <v>157.817377624583</v>
      </c>
      <c r="N1336" s="38" t="n">
        <f aca="false">Sens!$N$1269</f>
        <v>9.234</v>
      </c>
      <c r="O1336" s="38" t="n">
        <f aca="false">Sens!$O$1269</f>
        <v>12.216</v>
      </c>
    </row>
    <row r="1337" customFormat="false" ht="17.15" hidden="false" customHeight="false" outlineLevel="0" collapsed="false">
      <c r="A1337" s="5" t="s">
        <v>694</v>
      </c>
      <c r="B1337" s="0" t="s">
        <v>73</v>
      </c>
      <c r="C1337" s="38" t="n">
        <f aca="false">Sens!$C$1334+Sens!$C$1335+Sens!$C$1336</f>
        <v>32.067</v>
      </c>
      <c r="D1337" s="38" t="n">
        <f aca="false">Sens!$D$1334+Sens!$D$1335+Sens!$D$1336</f>
        <v>41.86</v>
      </c>
      <c r="E1337" s="38" t="n">
        <f aca="false">Sens!$E$1334+Sens!$E$1335+Sens!$E$1336</f>
        <v>26.703</v>
      </c>
      <c r="F1337" s="38" t="n">
        <f aca="false">Sens!$F$1334+Sens!$F$1335+Sens!$F$1336</f>
        <v>30.6103857251209</v>
      </c>
      <c r="G1337" s="38" t="n">
        <f aca="false">Sens!$G$1334+Sens!$G$1335+Sens!$G$1336</f>
        <v>57.3133857251209</v>
      </c>
      <c r="H1337" s="38" t="n">
        <f aca="false">Sens!$H$1334+Sens!$H$1335+Sens!$H$1336</f>
        <v>86.385361039311</v>
      </c>
      <c r="I1337" s="38" t="n">
        <f aca="false">Sens!$I$1334+Sens!$I$1335+Sens!$I$1336</f>
        <v>114.064827335034</v>
      </c>
      <c r="J1337" s="38" t="n">
        <f aca="false">Sens!$J$1334+Sens!$J$1335+Sens!$J$1336</f>
        <v>141.720109232513</v>
      </c>
      <c r="K1337" s="38" t="n">
        <f aca="false">Sens!$K$1334+Sens!$K$1335+Sens!$K$1336</f>
        <v>168.752869045787</v>
      </c>
      <c r="L1337" s="38" t="n">
        <f aca="false">Sens!$L$1334+Sens!$L$1335+Sens!$L$1336</f>
        <v>194.127563060438</v>
      </c>
      <c r="M1337" s="38" t="n">
        <f aca="false">Sens!$M$1334+Sens!$M$1335+Sens!$M$1336</f>
        <v>220.610733625255</v>
      </c>
      <c r="N1337" s="38" t="n">
        <f aca="false">Sens!$N$1334+Sens!$N$1335+Sens!$N$1336</f>
        <v>18.822</v>
      </c>
      <c r="O1337" s="38" t="n">
        <f aca="false">Sens!$O$1334+Sens!$O$1335+Sens!$O$1336</f>
        <v>23.038</v>
      </c>
    </row>
    <row r="1338" customFormat="false" ht="17.15" hidden="false" customHeight="false" outlineLevel="0" collapsed="false">
      <c r="A1338" s="0" t="s">
        <v>695</v>
      </c>
      <c r="B1338" s="0" t="s">
        <v>73</v>
      </c>
      <c r="C1338" s="38" t="n">
        <f aca="false">Sens!$C$1311+Sens!$C$1316</f>
        <v>28.107</v>
      </c>
      <c r="D1338" s="38" t="n">
        <f aca="false">Sens!$D$1311+Sens!$D$1316</f>
        <v>34.3175</v>
      </c>
      <c r="E1338" s="38" t="n">
        <f aca="false">Sens!$E$1311+Sens!$E$1316</f>
        <v>18.526</v>
      </c>
      <c r="F1338" s="38" t="n">
        <f aca="false">Sens!$F$1311+Sens!$F$1316</f>
        <v>24.0766690913691</v>
      </c>
      <c r="G1338" s="38" t="n">
        <f aca="false">Sens!$G$1311+Sens!$G$1316</f>
        <v>42.6026690913691</v>
      </c>
      <c r="H1338" s="38" t="n">
        <f aca="false">Sens!$H$1311+Sens!$H$1316</f>
        <v>51.1466809294702</v>
      </c>
      <c r="I1338" s="38" t="n">
        <f aca="false">Sens!$I$1311+Sens!$I$1316</f>
        <v>59.6899187926205</v>
      </c>
      <c r="J1338" s="38" t="n">
        <f aca="false">Sens!$J$1311+Sens!$J$1316</f>
        <v>67.6595395244221</v>
      </c>
      <c r="K1338" s="38" t="n">
        <f aca="false">Sens!$K$1311+Sens!$K$1316</f>
        <v>74.4254934768643</v>
      </c>
      <c r="L1338" s="38" t="n">
        <f aca="false">Sens!$L$1311+Sens!$L$1316</f>
        <v>81.8680428245508</v>
      </c>
      <c r="M1338" s="38" t="n">
        <f aca="false">Sens!$M$1311+Sens!$M$1316</f>
        <v>90.0548471070059</v>
      </c>
      <c r="N1338" s="38" t="n">
        <f aca="false">Sens!$N$1311+Sens!$N$1316</f>
        <v>14.8075</v>
      </c>
      <c r="O1338" s="38" t="n">
        <f aca="false">Sens!$O$1311+Sens!$O$1316</f>
        <v>19.51</v>
      </c>
    </row>
    <row r="1339" customFormat="false" ht="17.15" hidden="false" customHeight="false" outlineLevel="0" collapsed="false">
      <c r="A1339" s="0" t="s">
        <v>696</v>
      </c>
      <c r="B1339" s="0" t="s">
        <v>73</v>
      </c>
      <c r="C1339" s="38" t="n">
        <f aca="false">Sens!$C$1315+Sens!$C$1320+Sens!$C$1334+Sens!$C$1335-Sens!$C$1338</f>
        <v>19.399</v>
      </c>
      <c r="D1339" s="38" t="n">
        <f aca="false">Sens!$D$1315+Sens!$D$1320+Sens!$D$1334+Sens!$D$1335-Sens!$D$1338</f>
        <v>20.4615</v>
      </c>
      <c r="E1339" s="38" t="n">
        <f aca="false">Sens!$E$1315+Sens!$E$1320+Sens!$E$1334+Sens!$E$1335-Sens!$E$1338</f>
        <v>13.355</v>
      </c>
      <c r="F1339" s="38" t="n">
        <f aca="false">Sens!$F$1315+Sens!$F$1320+Sens!$F$1334+Sens!$F$1335-Sens!$F$1338</f>
        <v>13.152998864172</v>
      </c>
      <c r="G1339" s="38" t="n">
        <f aca="false">Sens!$G$1315+Sens!$G$1320+Sens!$G$1334+Sens!$G$1335-Sens!$G$1338</f>
        <v>26.507998864172</v>
      </c>
      <c r="H1339" s="38" t="n">
        <f aca="false">Sens!$H$1315+Sens!$H$1320+Sens!$H$1334+Sens!$H$1335-Sens!$H$1338</f>
        <v>29.4098079135706</v>
      </c>
      <c r="I1339" s="38" t="n">
        <f aca="false">Sens!$I$1315+Sens!$I$1320+Sens!$I$1334+Sens!$I$1335-Sens!$I$1338</f>
        <v>32.237115365524</v>
      </c>
      <c r="J1339" s="38" t="n">
        <f aca="false">Sens!$J$1315+Sens!$J$1320+Sens!$J$1334+Sens!$J$1335-Sens!$J$1338</f>
        <v>35.0571412365068</v>
      </c>
      <c r="K1339" s="38" t="n">
        <f aca="false">Sens!$K$1315+Sens!$K$1320+Sens!$K$1334+Sens!$K$1335-Sens!$K$1338</f>
        <v>37.7299224350092</v>
      </c>
      <c r="L1339" s="38" t="n">
        <f aca="false">Sens!$L$1315+Sens!$L$1320+Sens!$L$1334+Sens!$L$1335-Sens!$L$1338</f>
        <v>39.0051146238258</v>
      </c>
      <c r="M1339" s="38" t="n">
        <f aca="false">Sens!$M$1315+Sens!$M$1320+Sens!$M$1334+Sens!$M$1335-Sens!$M$1338</f>
        <v>40.4713140235811</v>
      </c>
      <c r="N1339" s="38" t="n">
        <f aca="false">Sens!$N$1315+Sens!$N$1320+Sens!$N$1334+Sens!$N$1335-Sens!$N$1338</f>
        <v>10.6495</v>
      </c>
      <c r="O1339" s="38" t="n">
        <f aca="false">Sens!$O$1315+Sens!$O$1320+Sens!$O$1334+Sens!$O$1335-Sens!$O$1338</f>
        <v>9.81200000000001</v>
      </c>
    </row>
    <row r="1340" customFormat="false" ht="17.15" hidden="false" customHeight="false" outlineLevel="0" collapsed="false">
      <c r="A1340" s="0" t="s">
        <v>697</v>
      </c>
      <c r="B1340" s="0" t="s">
        <v>73</v>
      </c>
      <c r="C1340" s="38" t="n">
        <f aca="false">Sens!$C$1322+Sens!$C$1336-ext_sh*Sens!$C$1257</f>
        <v>51.3470500115664</v>
      </c>
      <c r="D1340" s="38" t="n">
        <f aca="false">Sens!$D$1322+Sens!$D$1336-ext_sh*Sens!$D$1257</f>
        <v>60.2799375433739</v>
      </c>
      <c r="E1340" s="38" t="n">
        <f aca="false">Sens!$E$1322+Sens!$E$1336-ext_sh*Sens!$E$1257</f>
        <v>39.5095167090767</v>
      </c>
      <c r="F1340" s="38" t="n">
        <f aca="false">Sens!$F$1322+Sens!$F$1336-ext_sh*Sens!$F$1257</f>
        <v>41.606724953129</v>
      </c>
      <c r="G1340" s="38" t="n">
        <f aca="false">Sens!$G$1322+Sens!$G$1336-ext_sh*Sens!$G$1257</f>
        <v>81.1162416622057</v>
      </c>
      <c r="H1340" s="38" t="n">
        <f aca="false">Sens!$H$1322+Sens!$H$1336-ext_sh*Sens!$H$1257</f>
        <v>95.7616595325849</v>
      </c>
      <c r="I1340" s="38" t="n">
        <f aca="false">Sens!$I$1322+Sens!$I$1336-ext_sh*Sens!$I$1257</f>
        <v>111.513312079935</v>
      </c>
      <c r="J1340" s="38" t="n">
        <f aca="false">Sens!$J$1322+Sens!$J$1336-ext_sh*Sens!$J$1257</f>
        <v>125.145150463955</v>
      </c>
      <c r="K1340" s="38" t="n">
        <f aca="false">Sens!$K$1322+Sens!$K$1336-ext_sh*Sens!$K$1257</f>
        <v>135.156762501071</v>
      </c>
      <c r="L1340" s="38" t="n">
        <f aca="false">Sens!$L$1322+Sens!$L$1336-ext_sh*Sens!$L$1257</f>
        <v>145.969303501157</v>
      </c>
      <c r="M1340" s="38" t="n">
        <f aca="false">Sens!$M$1322+Sens!$M$1336-ext_sh*Sens!$M$1257</f>
        <v>157.646847781249</v>
      </c>
      <c r="N1340" s="38" t="n">
        <f aca="false">Sens!$N$1322+Sens!$N$1336-ext_sh*Sens!$N$1257</f>
        <v>28.5693781401809</v>
      </c>
      <c r="O1340" s="38" t="n">
        <f aca="false">Sens!$O$1322+Sens!$O$1336-ext_sh*Sens!$O$1257</f>
        <v>31.7105594031931</v>
      </c>
    </row>
    <row r="1341" customFormat="false" ht="17.15" hidden="false" customHeight="false" outlineLevel="0" collapsed="false">
      <c r="A1341" s="0" t="s">
        <v>698</v>
      </c>
      <c r="B1341" s="0" t="s">
        <v>73</v>
      </c>
      <c r="C1341" s="38" t="n">
        <f aca="false">Sens!$C$1260</f>
        <v>1.80694998843362</v>
      </c>
      <c r="D1341" s="38" t="n">
        <f aca="false">Sens!$D$1260</f>
        <v>6.77606245662607</v>
      </c>
      <c r="E1341" s="38" t="n">
        <f aca="false">Sens!$E$1260</f>
        <v>6.62548329092326</v>
      </c>
      <c r="F1341" s="38" t="n">
        <f aca="false">Sens!$F$1260</f>
        <v>10.7475724410394</v>
      </c>
      <c r="G1341" s="38" t="n">
        <f aca="false">Sens!$G$1260</f>
        <v>17.3730557319626</v>
      </c>
      <c r="H1341" s="38" t="n">
        <f aca="false">Sens!$H$1260</f>
        <v>39.5529378378068</v>
      </c>
      <c r="I1341" s="38" t="n">
        <f aca="false">Sens!$I$1260</f>
        <v>64.3305352565479</v>
      </c>
      <c r="J1341" s="38" t="n">
        <f aca="false">Sens!$J$1260</f>
        <v>89.2345459344354</v>
      </c>
      <c r="K1341" s="38" t="n">
        <f aca="false">Sens!$K$1260</f>
        <v>114.180694365372</v>
      </c>
      <c r="L1341" s="38" t="n">
        <f aca="false">Sens!$L$1260</f>
        <v>139.145996320421</v>
      </c>
      <c r="M1341" s="38" t="n">
        <f aca="false">Sens!$M$1260</f>
        <v>164.121611711532</v>
      </c>
      <c r="N1341" s="38" t="n">
        <f aca="false">Sens!$N$1260</f>
        <v>2.37162185981912</v>
      </c>
      <c r="O1341" s="38" t="n">
        <f aca="false">Sens!$O$1260</f>
        <v>4.40444059680694</v>
      </c>
    </row>
    <row r="1342" customFormat="false" ht="17.15" hidden="false" customHeight="false" outlineLevel="0" collapsed="false">
      <c r="A1342" s="0" t="s">
        <v>699</v>
      </c>
      <c r="B1342" s="0" t="s">
        <v>73</v>
      </c>
      <c r="C1342" s="38" t="n">
        <f aca="false">Sens!$C$1325+Sens!$C$1337</f>
        <v>100.66</v>
      </c>
      <c r="D1342" s="38" t="n">
        <f aca="false">Sens!$D$1325+Sens!$D$1337</f>
        <v>121.835</v>
      </c>
      <c r="E1342" s="38" t="n">
        <f aca="false">Sens!$E$1325+Sens!$E$1337</f>
        <v>78.016</v>
      </c>
      <c r="F1342" s="38" t="n">
        <f aca="false">Sens!$F$1325+Sens!$F$1337</f>
        <v>89.5839653497095</v>
      </c>
      <c r="G1342" s="38" t="n">
        <f aca="false">Sens!$G$1325+Sens!$G$1337</f>
        <v>167.599965349709</v>
      </c>
      <c r="H1342" s="38" t="n">
        <f aca="false">Sens!$H$1325+Sens!$H$1337</f>
        <v>215.871086213433</v>
      </c>
      <c r="I1342" s="38" t="n">
        <f aca="false">Sens!$I$1325+Sens!$I$1337</f>
        <v>267.770881494628</v>
      </c>
      <c r="J1342" s="38" t="n">
        <f aca="false">Sens!$J$1325+Sens!$J$1337</f>
        <v>317.096377159319</v>
      </c>
      <c r="K1342" s="38" t="n">
        <f aca="false">Sens!$K$1325+Sens!$K$1337</f>
        <v>361.492872778316</v>
      </c>
      <c r="L1342" s="38" t="n">
        <f aca="false">Sens!$L$1325+Sens!$L$1337</f>
        <v>405.988457269955</v>
      </c>
      <c r="M1342" s="38" t="n">
        <f aca="false">Sens!$M$1325+Sens!$M$1337</f>
        <v>452.294620623368</v>
      </c>
      <c r="N1342" s="38" t="n">
        <f aca="false">Sens!$N$1325+Sens!$N$1337</f>
        <v>56.398</v>
      </c>
      <c r="O1342" s="38" t="n">
        <f aca="false">Sens!$O$1325+Sens!$O$1337</f>
        <v>65.437</v>
      </c>
    </row>
    <row r="1343" customFormat="false" ht="17.15" hidden="false" customHeight="false" outlineLevel="0" collapsed="false">
      <c r="A1343" s="1" t="s">
        <v>700</v>
      </c>
    </row>
    <row r="1344" customFormat="false" ht="15" hidden="false" customHeight="false" outlineLevel="0" collapsed="false">
      <c r="A1344" s="5" t="s">
        <v>504</v>
      </c>
      <c r="B1344" s="0" t="s">
        <v>73</v>
      </c>
      <c r="C1344" s="38" t="n">
        <f aca="false">Q!$D$34</f>
        <v>2.406</v>
      </c>
      <c r="D1344" s="38" t="n">
        <f aca="false">Q!$E$34</f>
        <v>2.274</v>
      </c>
      <c r="E1344" s="38" t="n">
        <f aca="false">Q!$P$34</f>
        <v>2.114</v>
      </c>
      <c r="F1344" s="38" t="n">
        <f aca="false">Sens!$F$1380</f>
        <v>3.24888964316061</v>
      </c>
      <c r="G1344" s="38" t="n">
        <f aca="false">Sens!$E$1344+Sens!$F$1344</f>
        <v>5.36288964316061</v>
      </c>
      <c r="H1344" s="38" t="n">
        <f aca="false">Sens!$H$1380</f>
        <v>7.42354178632123</v>
      </c>
      <c r="I1344" s="38" t="n">
        <f aca="false">Sens!$I$1380</f>
        <v>7.42354178632123</v>
      </c>
      <c r="J1344" s="38" t="n">
        <f aca="false">Sens!$J$1380</f>
        <v>7.42354178632123</v>
      </c>
      <c r="K1344" s="38" t="n">
        <f aca="false">Sens!$K$1380</f>
        <v>7.42354178632123</v>
      </c>
      <c r="L1344" s="38" t="n">
        <f aca="false">Sens!$L$1380</f>
        <v>7.42354178632123</v>
      </c>
      <c r="M1344" s="38" t="n">
        <f aca="false">Sens!$M$1380</f>
        <v>7.42354178632123</v>
      </c>
      <c r="N1344" s="38" t="n">
        <f aca="false">Q!$N$34</f>
        <v>1.057</v>
      </c>
      <c r="O1344" s="38" t="n">
        <f aca="false">Q!$O$34</f>
        <v>1.217</v>
      </c>
    </row>
    <row r="1345" customFormat="false" ht="15" hidden="false" customHeight="false" outlineLevel="0" collapsed="false">
      <c r="A1345" s="5" t="s">
        <v>701</v>
      </c>
      <c r="B1345" s="0" t="s">
        <v>73</v>
      </c>
      <c r="F1345" s="38" t="n">
        <f aca="false">Sens!$F$1381</f>
        <v>2.59</v>
      </c>
      <c r="H1345" s="38" t="n">
        <f aca="false">Sens!$H$1381</f>
        <v>4.37050921052144</v>
      </c>
      <c r="I1345" s="38" t="n">
        <f aca="false">Sens!$I$1381</f>
        <v>4.22262976536071</v>
      </c>
      <c r="J1345" s="38" t="n">
        <f aca="false">Sens!$J$1381</f>
        <v>5.66639261402426</v>
      </c>
      <c r="K1345" s="38" t="n">
        <f aca="false">Sens!$K$1381</f>
        <v>8.67108021008724</v>
      </c>
      <c r="L1345" s="38" t="n">
        <f aca="false">Sens!$L$1381</f>
        <v>13.1690844091987</v>
      </c>
      <c r="M1345" s="38" t="n">
        <f aca="false">Sens!$M$1381</f>
        <v>17.8663257017569</v>
      </c>
    </row>
    <row r="1346" customFormat="false" ht="17.15" hidden="false" customHeight="false" outlineLevel="0" collapsed="false">
      <c r="A1346" s="5" t="s">
        <v>702</v>
      </c>
      <c r="B1346" s="0" t="s">
        <v>73</v>
      </c>
      <c r="C1346" s="38" t="n">
        <f aca="false">Q!$D$39</f>
        <v>2.427</v>
      </c>
      <c r="D1346" s="38" t="n">
        <f aca="false">Q!$E$39</f>
        <v>19.61</v>
      </c>
      <c r="E1346" s="38" t="n">
        <f aca="false">Q!$P$39</f>
        <v>71.492</v>
      </c>
      <c r="F1346" s="41" t="n">
        <v>0</v>
      </c>
      <c r="G1346" s="38" t="n">
        <f aca="false">Sens!$E$1346+Sens!$F$1346</f>
        <v>71.492</v>
      </c>
      <c r="H1346" s="41" t="n">
        <v>0</v>
      </c>
      <c r="I1346" s="41" t="n">
        <v>0</v>
      </c>
      <c r="J1346" s="41" t="n">
        <v>0</v>
      </c>
      <c r="K1346" s="41" t="n">
        <v>0</v>
      </c>
      <c r="L1346" s="41" t="n">
        <v>0</v>
      </c>
      <c r="M1346" s="41" t="n">
        <v>0</v>
      </c>
      <c r="N1346" s="38" t="n">
        <f aca="false">Q!$N$39</f>
        <v>6.017</v>
      </c>
      <c r="O1346" s="38" t="n">
        <f aca="false">Q!$O$39</f>
        <v>13.593</v>
      </c>
      <c r="P1346" s="5" t="s">
        <v>703</v>
      </c>
    </row>
    <row r="1347" customFormat="false" ht="15" hidden="false" customHeight="false" outlineLevel="0" collapsed="false">
      <c r="A1347" s="5" t="s">
        <v>507</v>
      </c>
      <c r="B1347" s="0" t="s">
        <v>73</v>
      </c>
      <c r="C1347" s="38" t="n">
        <f aca="false">Q!$D$36</f>
        <v>68.614</v>
      </c>
      <c r="D1347" s="38" t="n">
        <f aca="false">Q!$E$36</f>
        <v>97.311</v>
      </c>
      <c r="E1347" s="38" t="n">
        <f aca="false">Q!$P$36</f>
        <v>120.691</v>
      </c>
      <c r="F1347" s="38" t="n">
        <f aca="false">Sens!$F$1325-Sens!$F$1344+Sens!$F$1345+Sens!$F$1346</f>
        <v>58.3146899814279</v>
      </c>
      <c r="G1347" s="38" t="n">
        <f aca="false">Sens!$E$1347+Sens!$F$1347</f>
        <v>179.005689981428</v>
      </c>
      <c r="H1347" s="38" t="n">
        <f aca="false">Sens!$H$1325-Sens!$H$1344+Sens!$H$1345+Sens!$H$1346</f>
        <v>126.432692598322</v>
      </c>
      <c r="I1347" s="38" t="n">
        <f aca="false">Sens!$I$1325-Sens!$I$1344+Sens!$I$1345+Sens!$I$1346</f>
        <v>150.505142138633</v>
      </c>
      <c r="J1347" s="38" t="n">
        <f aca="false">Sens!$J$1325-Sens!$J$1344+Sens!$J$1345+Sens!$J$1346</f>
        <v>173.619118754509</v>
      </c>
      <c r="K1347" s="38" t="n">
        <f aca="false">Sens!$K$1325-Sens!$K$1344+Sens!$K$1345+Sens!$K$1346</f>
        <v>193.987542156295</v>
      </c>
      <c r="L1347" s="38" t="n">
        <f aca="false">Sens!$L$1325-Sens!$L$1344+Sens!$L$1345+Sens!$L$1346</f>
        <v>217.606436832394</v>
      </c>
      <c r="M1347" s="38" t="n">
        <f aca="false">Sens!$M$1325-Sens!$M$1344+Sens!$M$1345+Sens!$M$1346</f>
        <v>242.126670913548</v>
      </c>
      <c r="N1347" s="38" t="n">
        <f aca="false">Q!$N$36</f>
        <v>42.536</v>
      </c>
      <c r="O1347" s="38" t="n">
        <f aca="false">Q!$O$36</f>
        <v>54.775</v>
      </c>
    </row>
    <row r="1348" customFormat="false" ht="15" hidden="false" customHeight="false" outlineLevel="0" collapsed="false">
      <c r="A1348" s="5" t="s">
        <v>508</v>
      </c>
      <c r="B1348" s="0" t="s">
        <v>73</v>
      </c>
      <c r="C1348" s="38" t="n">
        <f aca="false">Q!$D$37</f>
        <v>9.265</v>
      </c>
      <c r="D1348" s="38" t="n">
        <f aca="false">Q!$E$37</f>
        <v>19.087</v>
      </c>
      <c r="E1348" s="38" t="n">
        <f aca="false">Q!$P$37</f>
        <v>27.759</v>
      </c>
      <c r="F1348" s="38" t="n">
        <f aca="false">Sens!$F$1347*tax</f>
        <v>10.122527855478</v>
      </c>
      <c r="G1348" s="38" t="n">
        <f aca="false">Sens!$E$1348+Sens!$F$1348</f>
        <v>37.881527855478</v>
      </c>
      <c r="H1348" s="38" t="n">
        <f aca="false">Sens!$H$1347*tax</f>
        <v>21.9467590941014</v>
      </c>
      <c r="I1348" s="38" t="n">
        <f aca="false">Sens!$I$1347*tax</f>
        <v>26.1253638521649</v>
      </c>
      <c r="J1348" s="38" t="n">
        <f aca="false">Sens!$J$1347*tax</f>
        <v>30.1375925413612</v>
      </c>
      <c r="K1348" s="38" t="n">
        <f aca="false">Sens!$K$1347*tax</f>
        <v>33.6732356755768</v>
      </c>
      <c r="L1348" s="38" t="n">
        <f aca="false">Sens!$L$1347*tax</f>
        <v>37.7731103272393</v>
      </c>
      <c r="M1348" s="38" t="n">
        <f aca="false">Sens!$M$1347*tax</f>
        <v>42.0294435528531</v>
      </c>
      <c r="N1348" s="38" t="n">
        <f aca="false">Q!$N$37</f>
        <v>7.231</v>
      </c>
      <c r="O1348" s="38" t="n">
        <f aca="false">Q!$O$37</f>
        <v>11.856</v>
      </c>
    </row>
    <row r="1349" customFormat="false" ht="15" hidden="false" customHeight="false" outlineLevel="0" collapsed="false">
      <c r="A1349" s="3" t="s">
        <v>509</v>
      </c>
      <c r="B1349" s="8" t="s">
        <v>73</v>
      </c>
      <c r="C1349" s="38" t="n">
        <f aca="false">Q!$D$38</f>
        <v>59.248</v>
      </c>
      <c r="D1349" s="38" t="n">
        <f aca="false">Q!$E$38</f>
        <v>77.67</v>
      </c>
      <c r="E1349" s="38" t="n">
        <f aca="false">Q!$P$38</f>
        <v>92.902</v>
      </c>
      <c r="F1349" s="38" t="n">
        <f aca="false">Sens!$F$1347-Sens!$F$1348</f>
        <v>48.1921621259499</v>
      </c>
      <c r="G1349" s="38" t="n">
        <f aca="false">Sens!$E$1349+Sens!$F$1349</f>
        <v>141.09416212595</v>
      </c>
      <c r="H1349" s="38" t="n">
        <f aca="false">Sens!$H$1347-Sens!$H$1348</f>
        <v>104.48593350422</v>
      </c>
      <c r="I1349" s="38" t="n">
        <f aca="false">Sens!$I$1347-Sens!$I$1348</f>
        <v>124.379778286469</v>
      </c>
      <c r="J1349" s="38" t="n">
        <f aca="false">Sens!$J$1347-Sens!$J$1348</f>
        <v>143.481526213148</v>
      </c>
      <c r="K1349" s="38" t="n">
        <f aca="false">Sens!$K$1347-Sens!$K$1348</f>
        <v>160.314306480719</v>
      </c>
      <c r="L1349" s="38" t="n">
        <f aca="false">Sens!$L$1347-Sens!$L$1348</f>
        <v>179.833326505155</v>
      </c>
      <c r="M1349" s="38" t="n">
        <f aca="false">Sens!$M$1347-Sens!$M$1348</f>
        <v>200.097227360695</v>
      </c>
      <c r="N1349" s="38" t="n">
        <f aca="false">Q!$N$38</f>
        <v>35.291</v>
      </c>
      <c r="O1349" s="38" t="n">
        <f aca="false">Q!$O$38</f>
        <v>42.379</v>
      </c>
    </row>
    <row r="1350" customFormat="false" ht="17.15" hidden="false" customHeight="false" outlineLevel="0" collapsed="false">
      <c r="A1350" s="5" t="s">
        <v>512</v>
      </c>
      <c r="B1350" s="5" t="s">
        <v>33</v>
      </c>
      <c r="C1350" s="22" t="n">
        <f aca="false">Q!$D$41</f>
        <v>10.721</v>
      </c>
      <c r="D1350" s="22" t="n">
        <f aca="false">Q!$E$41</f>
        <v>10.827</v>
      </c>
      <c r="E1350" s="22" t="n">
        <f aca="false">(Q!$L$41+Q!$M$41)/2</f>
        <v>10.8885</v>
      </c>
      <c r="F1350" s="22" t="n">
        <f aca="false">Sens!$G$1350</f>
        <v>10.924806</v>
      </c>
      <c r="G1350" s="22" t="n">
        <f aca="false">Q!$M$41*(1+sh_g*0.25)</f>
        <v>10.924806</v>
      </c>
      <c r="H1350" s="22" t="n">
        <f aca="false">Sens!$G$1350*(1+sh_g)</f>
        <v>11.012204448</v>
      </c>
      <c r="I1350" s="22" t="n">
        <f aca="false">Sens!$H$1350*(1+sh_g)</f>
        <v>11.100302083584</v>
      </c>
      <c r="J1350" s="22" t="n">
        <f aca="false">Sens!$I$1350*(1+sh_g)</f>
        <v>11.1891045002527</v>
      </c>
      <c r="K1350" s="22" t="n">
        <f aca="false">Sens!$J$1350*(1+sh_g)</f>
        <v>11.2786173362547</v>
      </c>
      <c r="L1350" s="22" t="n">
        <f aca="false">Sens!$K$1350*(1+sh_g)</f>
        <v>11.3688462749447</v>
      </c>
      <c r="M1350" s="22" t="n">
        <f aca="false">Sens!$L$1350*(1+sh_g)</f>
        <v>11.4597970451443</v>
      </c>
      <c r="P1350" s="5" t="s">
        <v>704</v>
      </c>
    </row>
    <row r="1351" customFormat="false" ht="17.15" hidden="false" customHeight="false" outlineLevel="0" collapsed="false">
      <c r="A1351" s="42" t="s">
        <v>705</v>
      </c>
      <c r="B1351" s="13" t="s">
        <v>27</v>
      </c>
      <c r="C1351" s="43" t="n">
        <f aca="false">Sens!$C$1349/Sens!$C$1350</f>
        <v>5.52635015390355</v>
      </c>
      <c r="D1351" s="43" t="n">
        <f aca="false">Sens!$D$1349/Sens!$D$1350</f>
        <v>7.1737323358271</v>
      </c>
      <c r="E1351" s="43" t="n">
        <f aca="false">Sens!$E$1349/Sens!$E$1350</f>
        <v>8.53212104513937</v>
      </c>
      <c r="F1351" s="13"/>
      <c r="G1351" s="43" t="n">
        <f aca="false">Sens!$G$1349/Sens!$G$1350</f>
        <v>12.915026786375</v>
      </c>
      <c r="H1351" s="43" t="n">
        <f aca="false">Sens!$H$1349/Sens!$H$1350</f>
        <v>9.48819412113229</v>
      </c>
      <c r="I1351" s="43" t="n">
        <f aca="false">Sens!$I$1349/Sens!$I$1350</f>
        <v>11.2050804878915</v>
      </c>
      <c r="J1351" s="43" t="n">
        <f aca="false">Sens!$J$1349/Sens!$J$1350</f>
        <v>12.8233252455465</v>
      </c>
      <c r="K1351" s="43" t="n">
        <f aca="false">Sens!$K$1349/Sens!$K$1350</f>
        <v>14.2140035166717</v>
      </c>
      <c r="L1351" s="43" t="n">
        <f aca="false">Sens!$L$1349/Sens!$L$1350</f>
        <v>15.8180805823262</v>
      </c>
      <c r="M1351" s="43" t="n">
        <f aca="false">Sens!$M$1349/Sens!$M$1350</f>
        <v>17.4608002718058</v>
      </c>
      <c r="N1351" s="13"/>
      <c r="O1351" s="13"/>
    </row>
    <row r="1352" customFormat="false" ht="17.15" hidden="false" customHeight="false" outlineLevel="0" collapsed="false">
      <c r="A1352" s="0" t="s">
        <v>706</v>
      </c>
      <c r="B1352" s="0" t="s">
        <v>27</v>
      </c>
      <c r="C1352" s="30" t="n">
        <f aca="false">(Sens!$C$1349-Sens!$C$1346*(1-tax))/Sens!$C$1350</f>
        <v>5.33926775917445</v>
      </c>
      <c r="D1352" s="30" t="n">
        <f aca="false">(Sens!$D$1349-Sens!$D$1346*(1-tax))/Sens!$D$1350</f>
        <v>5.67691812755503</v>
      </c>
      <c r="E1352" s="30" t="n">
        <f aca="false">(Sens!$E$1349-Sens!$E$1346*(1-tax))/Sens!$E$1350</f>
        <v>3.10602057006846</v>
      </c>
      <c r="G1352" s="30" t="n">
        <f aca="false">(Sens!$G$1349-Sens!$G$1346*(1-tax))/Sens!$G$1350</f>
        <v>7.50695866847798</v>
      </c>
      <c r="H1352" s="30" t="n">
        <f aca="false">(Sens!$H$1349-Sens!$H$1346*(1-tax))/Sens!$H$1350</f>
        <v>9.48819412113229</v>
      </c>
      <c r="I1352" s="30" t="n">
        <f aca="false">(Sens!$I$1349-Sens!$I$1346*(1-tax))/Sens!$I$1350</f>
        <v>11.2050804878915</v>
      </c>
      <c r="J1352" s="30" t="n">
        <f aca="false">(Sens!$J$1349-Sens!$J$1346*(1-tax))/Sens!$J$1350</f>
        <v>12.8233252455465</v>
      </c>
      <c r="K1352" s="30" t="n">
        <f aca="false">(Sens!$K$1349-Sens!$K$1346*(1-tax))/Sens!$K$1350</f>
        <v>14.2140035166717</v>
      </c>
      <c r="L1352" s="30" t="n">
        <f aca="false">(Sens!$L$1349-Sens!$L$1346*(1-tax))/Sens!$L$1350</f>
        <v>15.8180805823262</v>
      </c>
      <c r="M1352" s="30" t="n">
        <f aca="false">(Sens!$M$1349-Sens!$M$1346*(1-tax))/Sens!$M$1350</f>
        <v>17.4608002718058</v>
      </c>
      <c r="P1352" s="5" t="s">
        <v>707</v>
      </c>
    </row>
    <row r="1353" customFormat="false" ht="17.15" hidden="false" customHeight="false" outlineLevel="0" collapsed="false">
      <c r="A1353" s="0" t="s">
        <v>708</v>
      </c>
      <c r="B1353" s="0" t="s">
        <v>52</v>
      </c>
      <c r="H1353" s="12" t="n">
        <f aca="false">Sens!$H$1351/Sens!$G$1351-1</f>
        <v>-0.265336860846305</v>
      </c>
      <c r="I1353" s="12" t="n">
        <f aca="false">Sens!$I$1351/Sens!$H$1351-1</f>
        <v>0.180949751326792</v>
      </c>
      <c r="J1353" s="12" t="n">
        <f aca="false">Sens!$J$1351/Sens!$I$1351-1</f>
        <v>0.144420627714698</v>
      </c>
      <c r="K1353" s="12" t="n">
        <f aca="false">Sens!$K$1351/Sens!$J$1351-1</f>
        <v>0.108449114757356</v>
      </c>
      <c r="L1353" s="12" t="n">
        <f aca="false">Sens!$L$1351/Sens!$K$1351-1</f>
        <v>0.112851883269417</v>
      </c>
      <c r="M1353" s="12" t="n">
        <f aca="false">Sens!$M$1351/Sens!$L$1351-1</f>
        <v>0.103850759953457</v>
      </c>
    </row>
    <row r="1356" customFormat="false" ht="19.4" hidden="false" customHeight="false" outlineLevel="0" collapsed="false">
      <c r="A1356" s="31" t="s">
        <v>1071</v>
      </c>
    </row>
    <row r="1357" customFormat="false" ht="17.15" hidden="false" customHeight="false" outlineLevel="0" collapsed="false">
      <c r="A1357" s="6" t="s">
        <v>16</v>
      </c>
      <c r="B1357" s="6" t="s">
        <v>17</v>
      </c>
      <c r="C1357" s="20" t="s">
        <v>457</v>
      </c>
      <c r="D1357" s="20" t="s">
        <v>458</v>
      </c>
      <c r="E1357" s="20" t="s">
        <v>540</v>
      </c>
      <c r="F1357" s="20" t="s">
        <v>541</v>
      </c>
      <c r="G1357" s="20" t="s">
        <v>542</v>
      </c>
      <c r="H1357" s="20" t="s">
        <v>543</v>
      </c>
      <c r="I1357" s="20" t="s">
        <v>544</v>
      </c>
      <c r="J1357" s="20" t="s">
        <v>545</v>
      </c>
      <c r="K1357" s="20" t="s">
        <v>546</v>
      </c>
      <c r="L1357" s="20" t="s">
        <v>547</v>
      </c>
      <c r="M1357" s="20" t="s">
        <v>548</v>
      </c>
      <c r="N1357" s="20" t="s">
        <v>549</v>
      </c>
      <c r="O1357" s="20" t="s">
        <v>550</v>
      </c>
      <c r="P1357" s="6" t="s">
        <v>23</v>
      </c>
      <c r="R1357" s="20" t="n">
        <v>2023</v>
      </c>
      <c r="S1357" s="20" t="n">
        <v>2024</v>
      </c>
      <c r="T1357" s="20" t="n">
        <v>2025</v>
      </c>
      <c r="U1357" s="20" t="n">
        <v>2026</v>
      </c>
      <c r="V1357" s="20" t="n">
        <v>2027</v>
      </c>
      <c r="W1357" s="20" t="n">
        <v>2028</v>
      </c>
      <c r="X1357" s="20" t="n">
        <v>2029</v>
      </c>
      <c r="Y1357" s="20" t="n">
        <v>2030</v>
      </c>
      <c r="Z1357" s="20" t="n">
        <v>2031</v>
      </c>
      <c r="AA1357" s="20" t="n">
        <v>2032</v>
      </c>
    </row>
    <row r="1358" customFormat="false" ht="15" hidden="false" customHeight="false" outlineLevel="0" collapsed="false">
      <c r="A1358" s="5" t="s">
        <v>509</v>
      </c>
      <c r="B1358" s="0" t="s">
        <v>73</v>
      </c>
      <c r="C1358" s="38" t="n">
        <f aca="false">Sens!$C$1349</f>
        <v>59.248</v>
      </c>
      <c r="D1358" s="38" t="n">
        <f aca="false">Sens!$D$1349</f>
        <v>77.67</v>
      </c>
      <c r="E1358" s="38" t="n">
        <f aca="false">Sens!$E$1349</f>
        <v>92.902</v>
      </c>
      <c r="F1358" s="38" t="n">
        <f aca="false">Sens!$F$1349</f>
        <v>48.1921621259499</v>
      </c>
      <c r="G1358" s="38" t="n">
        <f aca="false">Sens!$G$1349</f>
        <v>141.09416212595</v>
      </c>
      <c r="H1358" s="38" t="n">
        <f aca="false">Sens!$H$1349</f>
        <v>104.48593350422</v>
      </c>
      <c r="I1358" s="38" t="n">
        <f aca="false">Sens!$I$1349</f>
        <v>124.379778286469</v>
      </c>
      <c r="J1358" s="38" t="n">
        <f aca="false">Sens!$J$1349</f>
        <v>143.481526213148</v>
      </c>
      <c r="K1358" s="38" t="n">
        <f aca="false">Sens!$K$1349</f>
        <v>160.314306480719</v>
      </c>
      <c r="L1358" s="38" t="n">
        <f aca="false">Sens!$L$1349</f>
        <v>179.833326505155</v>
      </c>
      <c r="M1358" s="38" t="n">
        <f aca="false">Sens!$M$1349</f>
        <v>200.097227360695</v>
      </c>
    </row>
    <row r="1359" customFormat="false" ht="17.15" hidden="false" customHeight="false" outlineLevel="0" collapsed="false">
      <c r="A1359" s="5" t="s">
        <v>730</v>
      </c>
      <c r="B1359" s="0" t="s">
        <v>73</v>
      </c>
      <c r="C1359" s="38" t="n">
        <f aca="false">Sens!$C$1337</f>
        <v>32.067</v>
      </c>
      <c r="D1359" s="38" t="n">
        <f aca="false">Sens!$D$1337</f>
        <v>41.86</v>
      </c>
      <c r="E1359" s="38" t="n">
        <f aca="false">Sens!$E$1337</f>
        <v>26.703</v>
      </c>
      <c r="F1359" s="38" t="n">
        <f aca="false">Sens!$F$1337</f>
        <v>30.6103857251209</v>
      </c>
      <c r="G1359" s="38" t="n">
        <f aca="false">Sens!$G$1337</f>
        <v>57.3133857251209</v>
      </c>
      <c r="H1359" s="38" t="n">
        <f aca="false">Sens!$H$1337</f>
        <v>86.385361039311</v>
      </c>
      <c r="I1359" s="38" t="n">
        <f aca="false">Sens!$I$1337</f>
        <v>114.064827335034</v>
      </c>
      <c r="J1359" s="38" t="n">
        <f aca="false">Sens!$J$1337</f>
        <v>141.720109232513</v>
      </c>
      <c r="K1359" s="38" t="n">
        <f aca="false">Sens!$K$1337</f>
        <v>168.752869045787</v>
      </c>
      <c r="L1359" s="38" t="n">
        <f aca="false">Sens!$L$1337</f>
        <v>194.127563060438</v>
      </c>
      <c r="M1359" s="38" t="n">
        <f aca="false">Sens!$M$1337</f>
        <v>220.610733625255</v>
      </c>
    </row>
    <row r="1360" customFormat="false" ht="15" hidden="false" customHeight="false" outlineLevel="0" collapsed="false">
      <c r="A1360" s="5" t="s">
        <v>731</v>
      </c>
      <c r="B1360" s="0" t="s">
        <v>73</v>
      </c>
      <c r="C1360" s="38" t="n">
        <f aca="false">Q!$D$48</f>
        <v>22.011</v>
      </c>
      <c r="D1360" s="38" t="n">
        <f aca="false">Q!$E$48</f>
        <v>19.467</v>
      </c>
      <c r="E1360" s="38" t="n">
        <f aca="false">Q!$P$48</f>
        <v>10.07</v>
      </c>
      <c r="F1360" s="38" t="n">
        <f aca="false">sbc_r*Sens!$F$1281</f>
        <v>11.186533878152</v>
      </c>
      <c r="G1360" s="38" t="n">
        <f aca="false">Sens!$E$1360+Sens!$F$1360</f>
        <v>21.256533878152</v>
      </c>
      <c r="H1360" s="38" t="n">
        <f aca="false">sbc_r*Sens!$H$1281</f>
        <v>23.9279305779839</v>
      </c>
      <c r="I1360" s="38" t="n">
        <f aca="false">sbc_r*Sens!$I$1281</f>
        <v>27.1428974860374</v>
      </c>
      <c r="J1360" s="38" t="n">
        <f aca="false">sbc_r*Sens!$J$1281</f>
        <v>30.139123311047</v>
      </c>
      <c r="K1360" s="38" t="n">
        <f aca="false">sbc_r*Sens!$K$1281</f>
        <v>32.776468298444</v>
      </c>
      <c r="L1360" s="38" t="n">
        <f aca="false">sbc_r*Sens!$L$1281</f>
        <v>35.5492856421118</v>
      </c>
      <c r="M1360" s="38" t="n">
        <f aca="false">sbc_r*Sens!$M$1281</f>
        <v>38.4676793978621</v>
      </c>
    </row>
    <row r="1361" customFormat="false" ht="17.15" hidden="false" customHeight="false" outlineLevel="0" collapsed="false">
      <c r="A1361" s="5" t="s">
        <v>732</v>
      </c>
      <c r="B1361" s="0" t="s">
        <v>73</v>
      </c>
      <c r="C1361" s="38" t="n">
        <f aca="false">Q!$D$44-Sens!$C$1358-Sens!$C$1359-Sens!$C$1360</f>
        <v>2.551</v>
      </c>
      <c r="D1361" s="38" t="n">
        <f aca="false">Q!$E$44-Sens!$D$1358-Sens!$D$1359-Sens!$D$1360</f>
        <v>0.51700000000001</v>
      </c>
      <c r="E1361" s="38" t="n">
        <f aca="false">Q!$P$44-Sens!$E$1358-Sens!$E$1359-Sens!$E$1360</f>
        <v>-58.256</v>
      </c>
      <c r="F1361" s="38" t="n">
        <f aca="false">wc_2h26+oth_r*Sens!$F$1281</f>
        <v>7.33129409772903</v>
      </c>
      <c r="G1361" s="38" t="n">
        <f aca="false">Sens!$E$1361+Sens!$F$1361</f>
        <v>-50.924705902271</v>
      </c>
      <c r="H1361" s="38" t="n">
        <f aca="false">oth_r*Sens!$H$1281</f>
        <v>11.5169736028361</v>
      </c>
      <c r="I1361" s="38" t="n">
        <f aca="false">oth_r*Sens!$I$1281</f>
        <v>13.0643990641968</v>
      </c>
      <c r="J1361" s="38" t="n">
        <f aca="false">oth_r*Sens!$J$1281</f>
        <v>14.5065402314953</v>
      </c>
      <c r="K1361" s="38" t="n">
        <f aca="false">oth_r*Sens!$K$1281</f>
        <v>15.77594514315</v>
      </c>
      <c r="L1361" s="38" t="n">
        <f aca="false">oth_r*Sens!$L$1281</f>
        <v>17.1105555077375</v>
      </c>
      <c r="M1361" s="38" t="n">
        <f aca="false">oth_r*Sens!$M$1281</f>
        <v>18.5152346018244</v>
      </c>
      <c r="P1361" s="8" t="s">
        <v>733</v>
      </c>
    </row>
    <row r="1362" customFormat="false" ht="15" hidden="false" customHeight="false" outlineLevel="0" collapsed="false">
      <c r="A1362" s="3" t="s">
        <v>515</v>
      </c>
      <c r="B1362" s="8" t="s">
        <v>73</v>
      </c>
      <c r="C1362" s="38" t="n">
        <f aca="false">Q!$D$44</f>
        <v>115.877</v>
      </c>
      <c r="D1362" s="38" t="n">
        <f aca="false">Q!$E$44</f>
        <v>139.514</v>
      </c>
      <c r="E1362" s="38" t="n">
        <f aca="false">Q!$P$44</f>
        <v>71.419</v>
      </c>
      <c r="F1362" s="38" t="n">
        <f aca="false">Sens!$F$1358+Sens!$F$1359+Sens!$F$1360+Sens!$F$1361</f>
        <v>97.3203758269518</v>
      </c>
      <c r="G1362" s="38" t="n">
        <f aca="false">Sens!$E$1362+Sens!$F$1362</f>
        <v>168.739375826952</v>
      </c>
      <c r="H1362" s="38" t="n">
        <f aca="false">Sens!$H$1358+Sens!$H$1359+Sens!$H$1360+Sens!$H$1361</f>
        <v>226.316198724351</v>
      </c>
      <c r="I1362" s="38" t="n">
        <f aca="false">Sens!$I$1358+Sens!$I$1359+Sens!$I$1360+Sens!$I$1361</f>
        <v>278.651902171737</v>
      </c>
      <c r="J1362" s="38" t="n">
        <f aca="false">Sens!$J$1358+Sens!$J$1359+Sens!$J$1360+Sens!$J$1361</f>
        <v>329.847298988203</v>
      </c>
      <c r="K1362" s="38" t="n">
        <f aca="false">Sens!$K$1358+Sens!$K$1359+Sens!$K$1360+Sens!$K$1361</f>
        <v>377.619588968099</v>
      </c>
      <c r="L1362" s="38" t="n">
        <f aca="false">Sens!$L$1358+Sens!$L$1359+Sens!$L$1360+Sens!$L$1361</f>
        <v>426.620730715442</v>
      </c>
      <c r="M1362" s="38" t="n">
        <f aca="false">Sens!$M$1358+Sens!$M$1359+Sens!$M$1360+Sens!$M$1361</f>
        <v>477.690874985637</v>
      </c>
    </row>
    <row r="1363" customFormat="false" ht="17.15" hidden="false" customHeight="false" outlineLevel="0" collapsed="false">
      <c r="A1363" s="5" t="s">
        <v>734</v>
      </c>
      <c r="B1363" s="0" t="s">
        <v>73</v>
      </c>
      <c r="C1363" s="38" t="n">
        <f aca="false">Sens!$C$1251</f>
        <v>25.2781053077374</v>
      </c>
      <c r="D1363" s="38" t="n">
        <f aca="false">Sens!$D$1251</f>
        <v>69.5686316310026</v>
      </c>
      <c r="E1363" s="38" t="n">
        <f aca="false">Sens!$E$1251</f>
        <v>64.1899206485108</v>
      </c>
      <c r="F1363" s="38" t="n">
        <f aca="false">Sens!$F$1251</f>
        <v>86.8854234933474</v>
      </c>
      <c r="G1363" s="38" t="n">
        <f aca="false">Sens!$G$1251</f>
        <v>151.075344141858</v>
      </c>
      <c r="H1363" s="38" t="n">
        <f aca="false">Sens!$H$1251</f>
        <v>148.928523708563</v>
      </c>
      <c r="I1363" s="38" t="n">
        <f aca="false">Sens!$I$1251</f>
        <v>153.484852432875</v>
      </c>
      <c r="J1363" s="38" t="n">
        <f aca="false">Sens!$J$1251</f>
        <v>158.721620632875</v>
      </c>
      <c r="K1363" s="38" t="n">
        <f aca="false">Sens!$K$1251</f>
        <v>163.958388832875</v>
      </c>
      <c r="L1363" s="38" t="n">
        <f aca="false">Sens!$L$1251</f>
        <v>200.615766232875</v>
      </c>
      <c r="M1363" s="38" t="n">
        <f aca="false">Sens!$M$1251</f>
        <v>240.889241174312</v>
      </c>
    </row>
    <row r="1364" customFormat="false" ht="17.15" hidden="false" customHeight="false" outlineLevel="0" collapsed="false">
      <c r="A1364" s="5" t="s">
        <v>735</v>
      </c>
      <c r="B1364" s="0" t="s">
        <v>73</v>
      </c>
      <c r="C1364" s="38" t="n">
        <f aca="false">cx_awso*Sens!$C$1279</f>
        <v>21.0469989286053</v>
      </c>
      <c r="D1364" s="38" t="n">
        <f aca="false">cx_awso*Sens!$D$1279</f>
        <v>24.0042459822698</v>
      </c>
      <c r="E1364" s="38" t="n">
        <f aca="false">cx_awso*Sens!$E$1279</f>
        <v>14.261729404886</v>
      </c>
      <c r="F1364" s="38" t="n">
        <f aca="false">cx_awso*Sens!$F$1279</f>
        <v>15.7190020837331</v>
      </c>
      <c r="G1364" s="38" t="n">
        <f aca="false">Sens!$E$1364+Sens!$F$1364</f>
        <v>29.9807314886191</v>
      </c>
      <c r="H1364" s="38" t="n">
        <f aca="false">cx_awso*Sens!$H$1279</f>
        <v>36.1787121536283</v>
      </c>
      <c r="I1364" s="38" t="n">
        <f aca="false">cx_awso*Sens!$I$1279</f>
        <v>42.1296794430021</v>
      </c>
      <c r="J1364" s="38" t="n">
        <f aca="false">cx_awso*Sens!$J$1279</f>
        <v>47.279781889299</v>
      </c>
      <c r="K1364" s="38" t="n">
        <f aca="false">cx_awso*Sens!$K$1279</f>
        <v>51.0621644404429</v>
      </c>
      <c r="L1364" s="38" t="n">
        <f aca="false">cx_awso*Sens!$L$1279</f>
        <v>55.1471375956783</v>
      </c>
      <c r="M1364" s="38" t="n">
        <f aca="false">cx_awso*Sens!$M$1279</f>
        <v>59.5589086033326</v>
      </c>
    </row>
    <row r="1365" customFormat="false" ht="17.15" hidden="false" customHeight="false" outlineLevel="0" collapsed="false">
      <c r="A1365" s="5" t="s">
        <v>736</v>
      </c>
      <c r="B1365" s="0" t="s">
        <v>73</v>
      </c>
      <c r="C1365" s="38" t="n">
        <f aca="false">Q!$D$46-Sens!$C$1363-Sens!$C$1364</f>
        <v>31.3328957636573</v>
      </c>
      <c r="D1365" s="38" t="n">
        <f aca="false">Q!$E$46-Sens!$D$1363-Sens!$D$1364</f>
        <v>34.7471223867276</v>
      </c>
      <c r="E1365" s="38" t="n">
        <f aca="false">Q!$P$46-Sens!$E$1363-Sens!$E$1364</f>
        <v>17.8583499466032</v>
      </c>
      <c r="F1365" s="38" t="n">
        <f aca="false">cx_rt*Sens!$F$1215</f>
        <v>21.0855744229195</v>
      </c>
      <c r="G1365" s="38" t="n">
        <f aca="false">Sens!$E$1365+Sens!$F$1365</f>
        <v>38.9439243695228</v>
      </c>
      <c r="H1365" s="38" t="n">
        <f aca="false">cx_rt*Sens!$H$1215</f>
        <v>43.1200434029767</v>
      </c>
      <c r="I1365" s="38" t="n">
        <f aca="false">cx_rt*Sens!$I$1215</f>
        <v>47.1583152318763</v>
      </c>
      <c r="J1365" s="38" t="n">
        <f aca="false">cx_rt*Sens!$J$1215</f>
        <v>50.9060281137911</v>
      </c>
      <c r="K1365" s="38" t="n">
        <f aca="false">cx_rt*Sens!$K$1215</f>
        <v>54.2035645673053</v>
      </c>
      <c r="L1365" s="38" t="n">
        <f aca="false">cx_rt*Sens!$L$1215</f>
        <v>57.7318979121519</v>
      </c>
      <c r="M1365" s="38" t="n">
        <f aca="false">cx_rt*Sens!$M$1215</f>
        <v>61.5084196557756</v>
      </c>
    </row>
    <row r="1366" customFormat="false" ht="15" hidden="false" customHeight="false" outlineLevel="0" collapsed="false">
      <c r="A1366" s="3" t="s">
        <v>737</v>
      </c>
      <c r="B1366" s="8" t="s">
        <v>73</v>
      </c>
      <c r="C1366" s="38" t="n">
        <f aca="false">Q!$D$46</f>
        <v>77.658</v>
      </c>
      <c r="D1366" s="38" t="n">
        <f aca="false">Q!$E$46</f>
        <v>128.32</v>
      </c>
      <c r="E1366" s="38" t="n">
        <f aca="false">Q!$P$46</f>
        <v>96.31</v>
      </c>
      <c r="F1366" s="38" t="n">
        <f aca="false">Sens!$F$1363+Sens!$F$1364+Sens!$F$1365</f>
        <v>123.69</v>
      </c>
      <c r="G1366" s="38" t="n">
        <f aca="false">Sens!$E$1366+Sens!$F$1366</f>
        <v>220</v>
      </c>
      <c r="H1366" s="38" t="n">
        <f aca="false">Sens!$H$1363+Sens!$H$1364+Sens!$H$1365</f>
        <v>228.227279265168</v>
      </c>
      <c r="I1366" s="38" t="n">
        <f aca="false">Sens!$I$1363+Sens!$I$1364+Sens!$I$1365</f>
        <v>242.772847107753</v>
      </c>
      <c r="J1366" s="38" t="n">
        <f aca="false">Sens!$J$1363+Sens!$J$1364+Sens!$J$1365</f>
        <v>256.907430635965</v>
      </c>
      <c r="K1366" s="38" t="n">
        <f aca="false">Sens!$K$1363+Sens!$K$1364+Sens!$K$1365</f>
        <v>269.224117840623</v>
      </c>
      <c r="L1366" s="38" t="n">
        <f aca="false">Sens!$L$1363+Sens!$L$1364+Sens!$L$1365</f>
        <v>313.494801740705</v>
      </c>
      <c r="M1366" s="38" t="n">
        <f aca="false">Sens!$M$1363+Sens!$M$1364+Sens!$M$1365</f>
        <v>361.956569433421</v>
      </c>
    </row>
    <row r="1367" customFormat="false" ht="17.15" hidden="false" customHeight="false" outlineLevel="0" collapsed="false">
      <c r="A1367" s="5" t="s">
        <v>523</v>
      </c>
      <c r="B1367" s="0" t="s">
        <v>73</v>
      </c>
      <c r="C1367" s="38" t="n">
        <f aca="false">Q!$D$50</f>
        <v>2.043</v>
      </c>
      <c r="D1367" s="38" t="n">
        <f aca="false">Q!$E$50</f>
        <v>1.557</v>
      </c>
      <c r="E1367" s="38" t="n">
        <f aca="false">lease_pr/2</f>
        <v>0.8</v>
      </c>
      <c r="F1367" s="38" t="n">
        <f aca="false">lease_pr/2</f>
        <v>0.8</v>
      </c>
      <c r="G1367" s="38" t="n">
        <f aca="false">Sens!$E$1367+Sens!$F$1367</f>
        <v>1.6</v>
      </c>
      <c r="H1367" s="38" t="n">
        <f aca="false">lease_pr</f>
        <v>1.6</v>
      </c>
      <c r="I1367" s="38" t="n">
        <f aca="false">lease_pr</f>
        <v>1.6</v>
      </c>
      <c r="J1367" s="38" t="n">
        <f aca="false">lease_pr</f>
        <v>1.6</v>
      </c>
      <c r="K1367" s="38" t="n">
        <f aca="false">lease_pr</f>
        <v>1.6</v>
      </c>
      <c r="L1367" s="38" t="n">
        <f aca="false">lease_pr</f>
        <v>1.6</v>
      </c>
      <c r="M1367" s="38" t="n">
        <f aca="false">lease_pr</f>
        <v>1.6</v>
      </c>
      <c r="P1367" s="8" t="s">
        <v>738</v>
      </c>
    </row>
    <row r="1368" customFormat="false" ht="15" hidden="false" customHeight="false" outlineLevel="0" collapsed="false">
      <c r="A1368" s="46" t="s">
        <v>739</v>
      </c>
      <c r="B1368" s="13" t="s">
        <v>73</v>
      </c>
      <c r="C1368" s="47" t="n">
        <f aca="false">Sens!$C$1362-Sens!$C$1366-Sens!$C$1367</f>
        <v>36.176</v>
      </c>
      <c r="D1368" s="47" t="n">
        <f aca="false">Sens!$D$1362-Sens!$D$1366-Sens!$D$1367</f>
        <v>9.63700000000002</v>
      </c>
      <c r="E1368" s="47" t="n">
        <f aca="false">Sens!$E$1362-Sens!$E$1366-Sens!$E$1367</f>
        <v>-25.691</v>
      </c>
      <c r="F1368" s="47" t="n">
        <f aca="false">Sens!$F$1362-Sens!$F$1366-Sens!$F$1367</f>
        <v>-27.1696241730482</v>
      </c>
      <c r="G1368" s="47" t="n">
        <f aca="false">Sens!$G$1362-Sens!$G$1366-Sens!$G$1367</f>
        <v>-52.8606241730482</v>
      </c>
      <c r="H1368" s="47" t="n">
        <f aca="false">Sens!$H$1362-Sens!$H$1366-Sens!$H$1367</f>
        <v>-3.51108054081622</v>
      </c>
      <c r="I1368" s="47" t="n">
        <f aca="false">Sens!$I$1362-Sens!$I$1366-Sens!$I$1367</f>
        <v>34.2790550639832</v>
      </c>
      <c r="J1368" s="47" t="n">
        <f aca="false">Sens!$J$1362-Sens!$J$1366-Sens!$J$1367</f>
        <v>71.3398683522381</v>
      </c>
      <c r="K1368" s="47" t="n">
        <f aca="false">Sens!$K$1362-Sens!$K$1366-Sens!$K$1367</f>
        <v>106.795471127476</v>
      </c>
      <c r="L1368" s="47" t="n">
        <f aca="false">Sens!$L$1362-Sens!$L$1366-Sens!$L$1367</f>
        <v>111.525928974737</v>
      </c>
      <c r="M1368" s="47" t="n">
        <f aca="false">Sens!$M$1362-Sens!$M$1366-Sens!$M$1367</f>
        <v>114.134305552216</v>
      </c>
      <c r="N1368" s="13"/>
      <c r="O1368" s="13"/>
    </row>
    <row r="1369" customFormat="false" ht="17.15" hidden="false" customHeight="false" outlineLevel="0" collapsed="false">
      <c r="A1369" s="5" t="s">
        <v>740</v>
      </c>
      <c r="B1369" s="0" t="s">
        <v>73</v>
      </c>
      <c r="C1369" s="38" t="n">
        <f aca="false">dps*Sens!$C$1350</f>
        <v>0</v>
      </c>
      <c r="D1369" s="38" t="n">
        <f aca="false">dps*Sens!$D$1350</f>
        <v>0</v>
      </c>
      <c r="E1369" s="38" t="n">
        <f aca="false">dps*Sens!$E$1350</f>
        <v>0</v>
      </c>
      <c r="F1369" s="38" t="n">
        <f aca="false">0</f>
        <v>0</v>
      </c>
      <c r="G1369" s="38" t="n">
        <f aca="false">dps*Sens!$G$1350</f>
        <v>0</v>
      </c>
      <c r="H1369" s="38" t="n">
        <f aca="false">dps*Sens!$H$1350</f>
        <v>0</v>
      </c>
      <c r="I1369" s="38" t="n">
        <f aca="false">dps*Sens!$I$1350</f>
        <v>0</v>
      </c>
      <c r="J1369" s="38" t="n">
        <f aca="false">dps*Sens!$J$1350</f>
        <v>0</v>
      </c>
      <c r="K1369" s="38" t="n">
        <f aca="false">dps*Sens!$K$1350</f>
        <v>0</v>
      </c>
      <c r="L1369" s="38" t="n">
        <f aca="false">dps*Sens!$L$1350</f>
        <v>0</v>
      </c>
      <c r="M1369" s="38" t="n">
        <f aca="false">dps*Sens!$M$1350</f>
        <v>0</v>
      </c>
      <c r="P1369" s="8" t="s">
        <v>741</v>
      </c>
    </row>
    <row r="1370" customFormat="false" ht="17.15" hidden="false" customHeight="false" outlineLevel="0" collapsed="false">
      <c r="A1370" s="5" t="s">
        <v>742</v>
      </c>
      <c r="B1370" s="0" t="s">
        <v>73</v>
      </c>
      <c r="C1370" s="38" t="n">
        <f aca="false">0</f>
        <v>0</v>
      </c>
      <c r="D1370" s="38" t="n">
        <f aca="false">0</f>
        <v>0</v>
      </c>
      <c r="E1370" s="38" t="n">
        <f aca="false">0</f>
        <v>0</v>
      </c>
      <c r="F1370" s="38" t="n">
        <f aca="false">0</f>
        <v>0</v>
      </c>
      <c r="G1370" s="38" t="n">
        <f aca="false">0</f>
        <v>0</v>
      </c>
      <c r="H1370" s="38" t="n">
        <f aca="false">0</f>
        <v>0</v>
      </c>
      <c r="I1370" s="38" t="n">
        <f aca="false">0</f>
        <v>0</v>
      </c>
      <c r="J1370" s="38" t="n">
        <f aca="false">0</f>
        <v>0</v>
      </c>
      <c r="K1370" s="38" t="n">
        <f aca="false">0</f>
        <v>0</v>
      </c>
      <c r="L1370" s="38" t="n">
        <f aca="false">0</f>
        <v>0</v>
      </c>
      <c r="M1370" s="38" t="n">
        <f aca="false">0</f>
        <v>0</v>
      </c>
      <c r="P1370" s="8" t="s">
        <v>743</v>
      </c>
    </row>
    <row r="1371" customFormat="false" ht="15" hidden="false" customHeight="false" outlineLevel="0" collapsed="false">
      <c r="A1371" s="3" t="s">
        <v>744</v>
      </c>
      <c r="B1371" s="8" t="s">
        <v>73</v>
      </c>
      <c r="C1371" s="38" t="n">
        <f aca="false">Sens!$C$1368-Sens!$C$1369</f>
        <v>36.176</v>
      </c>
      <c r="D1371" s="38" t="n">
        <f aca="false">Sens!$D$1368-Sens!$D$1369</f>
        <v>9.63700000000002</v>
      </c>
      <c r="E1371" s="38" t="n">
        <f aca="false">Sens!$E$1368-Sens!$E$1369</f>
        <v>-25.691</v>
      </c>
      <c r="F1371" s="38" t="n">
        <f aca="false">Sens!$F$1368-Sens!$F$1369</f>
        <v>-27.1696241730482</v>
      </c>
      <c r="G1371" s="38" t="n">
        <f aca="false">Sens!$G$1368-Sens!$G$1369</f>
        <v>-52.8606241730482</v>
      </c>
      <c r="H1371" s="38" t="n">
        <f aca="false">Sens!$H$1368-Sens!$H$1369</f>
        <v>-3.51108054081622</v>
      </c>
      <c r="I1371" s="38" t="n">
        <f aca="false">Sens!$I$1368-Sens!$I$1369</f>
        <v>34.2790550639832</v>
      </c>
      <c r="J1371" s="38" t="n">
        <f aca="false">Sens!$J$1368-Sens!$J$1369</f>
        <v>71.3398683522381</v>
      </c>
      <c r="K1371" s="38" t="n">
        <f aca="false">Sens!$K$1368-Sens!$K$1369</f>
        <v>106.795471127476</v>
      </c>
      <c r="L1371" s="38" t="n">
        <f aca="false">Sens!$L$1368-Sens!$L$1369</f>
        <v>111.525928974737</v>
      </c>
      <c r="M1371" s="38" t="n">
        <f aca="false">Sens!$M$1368-Sens!$M$1369</f>
        <v>114.134305552216</v>
      </c>
    </row>
    <row r="1372" customFormat="false" ht="17.15" hidden="false" customHeight="false" outlineLevel="0" collapsed="false">
      <c r="A1372" s="5" t="s">
        <v>745</v>
      </c>
      <c r="B1372" s="0" t="s">
        <v>73</v>
      </c>
      <c r="E1372" s="38" t="n">
        <f aca="false">Q!$P$53</f>
        <v>39.767</v>
      </c>
      <c r="F1372" s="38" t="n">
        <f aca="false">inv_2h26</f>
        <v>21.3</v>
      </c>
      <c r="G1372" s="38" t="n">
        <f aca="false">Sens!$E$1372+Sens!$F$1372</f>
        <v>61.067</v>
      </c>
      <c r="H1372" s="41" t="n">
        <v>0</v>
      </c>
      <c r="I1372" s="41" t="n">
        <v>0</v>
      </c>
      <c r="J1372" s="41" t="n">
        <v>0</v>
      </c>
      <c r="K1372" s="41" t="n">
        <v>0</v>
      </c>
      <c r="L1372" s="41" t="n">
        <v>0</v>
      </c>
      <c r="M1372" s="41" t="n">
        <v>0</v>
      </c>
    </row>
    <row r="1373" customFormat="false" ht="17.15" hidden="false" customHeight="false" outlineLevel="0" collapsed="false">
      <c r="A1373" s="5" t="s">
        <v>746</v>
      </c>
      <c r="B1373" s="0" t="s">
        <v>73</v>
      </c>
      <c r="F1373" s="38" t="n">
        <f aca="false">iss_2h26</f>
        <v>29.25</v>
      </c>
      <c r="G1373" s="38" t="n">
        <f aca="false">Sens!$F$1373</f>
        <v>29.25</v>
      </c>
      <c r="H1373" s="41" t="n">
        <v>0</v>
      </c>
      <c r="I1373" s="41" t="n">
        <v>0</v>
      </c>
      <c r="J1373" s="41" t="n">
        <v>0</v>
      </c>
      <c r="K1373" s="41" t="n">
        <v>0</v>
      </c>
      <c r="L1373" s="41" t="n">
        <v>0</v>
      </c>
      <c r="M1373" s="41" t="n">
        <v>0</v>
      </c>
    </row>
    <row r="1374" customFormat="false" ht="17.15" hidden="false" customHeight="false" outlineLevel="0" collapsed="false">
      <c r="A1374" s="5" t="s">
        <v>747</v>
      </c>
      <c r="B1374" s="0" t="s">
        <v>73</v>
      </c>
      <c r="F1374" s="38" t="n">
        <f aca="false">cash_q2</f>
        <v>122.988</v>
      </c>
      <c r="G1374" s="38" t="n">
        <f aca="false">cash_q2</f>
        <v>122.988</v>
      </c>
      <c r="H1374" s="38" t="n">
        <f aca="false">Sens!$G$1377</f>
        <v>103.768375826952</v>
      </c>
      <c r="I1374" s="38" t="n">
        <f aca="false">Sens!$H$1377</f>
        <v>100.257295286136</v>
      </c>
      <c r="J1374" s="38" t="n">
        <f aca="false">Sens!$I$1377</f>
        <v>134.536350350119</v>
      </c>
      <c r="K1374" s="38" t="n">
        <f aca="false">Sens!$J$1377</f>
        <v>205.876218702357</v>
      </c>
      <c r="L1374" s="38" t="n">
        <f aca="false">Sens!$K$1377</f>
        <v>312.671689829833</v>
      </c>
      <c r="M1374" s="38" t="n">
        <f aca="false">Sens!$L$1377</f>
        <v>424.19761880457</v>
      </c>
    </row>
    <row r="1375" customFormat="false" ht="15" hidden="false" customHeight="false" outlineLevel="0" collapsed="false">
      <c r="A1375" s="5" t="s">
        <v>748</v>
      </c>
      <c r="B1375" s="0" t="s">
        <v>73</v>
      </c>
      <c r="F1375" s="38" t="n">
        <f aca="false">Sens!$F$1374+Sens!$F$1371-Sens!$F$1370-Sens!$F$1372+Sens!$F$1373</f>
        <v>103.768375826952</v>
      </c>
      <c r="H1375" s="38" t="n">
        <f aca="false">Sens!$H$1374+Sens!$H$1371-Sens!$H$1370-Sens!$H$1372+Sens!$H$1373</f>
        <v>100.257295286136</v>
      </c>
      <c r="I1375" s="38" t="n">
        <f aca="false">Sens!$I$1374+Sens!$I$1371-Sens!$I$1370-Sens!$I$1372+Sens!$I$1373</f>
        <v>134.536350350119</v>
      </c>
      <c r="J1375" s="38" t="n">
        <f aca="false">Sens!$J$1374+Sens!$J$1371-Sens!$J$1370-Sens!$J$1372+Sens!$J$1373</f>
        <v>205.876218702357</v>
      </c>
      <c r="K1375" s="38" t="n">
        <f aca="false">Sens!$K$1374+Sens!$K$1371-Sens!$K$1370-Sens!$K$1372+Sens!$K$1373</f>
        <v>312.671689829833</v>
      </c>
      <c r="L1375" s="38" t="n">
        <f aca="false">Sens!$L$1374+Sens!$L$1371-Sens!$L$1370-Sens!$L$1372+Sens!$L$1373</f>
        <v>424.19761880457</v>
      </c>
      <c r="M1375" s="38" t="n">
        <f aca="false">Sens!$M$1374+Sens!$M$1371-Sens!$M$1370-Sens!$M$1372+Sens!$M$1373</f>
        <v>538.331924356786</v>
      </c>
    </row>
    <row r="1376" customFormat="false" ht="17.15" hidden="false" customHeight="false" outlineLevel="0" collapsed="false">
      <c r="A1376" s="5" t="s">
        <v>749</v>
      </c>
      <c r="B1376" s="0" t="s">
        <v>73</v>
      </c>
      <c r="F1376" s="38" t="n">
        <f aca="false">MAX(0,min_cash-Sens!$F$1375)</f>
        <v>0</v>
      </c>
      <c r="G1376" s="38" t="n">
        <f aca="false">Sens!$F$1376</f>
        <v>0</v>
      </c>
      <c r="H1376" s="38" t="n">
        <f aca="false">MAX(0,min_cash-Sens!$H$1375)</f>
        <v>0</v>
      </c>
      <c r="I1376" s="38" t="n">
        <f aca="false">MAX(0,min_cash-Sens!$I$1375)</f>
        <v>0</v>
      </c>
      <c r="J1376" s="38" t="n">
        <f aca="false">MAX(0,min_cash-Sens!$J$1375)</f>
        <v>0</v>
      </c>
      <c r="K1376" s="38" t="n">
        <f aca="false">MAX(0,min_cash-Sens!$K$1375)</f>
        <v>0</v>
      </c>
      <c r="L1376" s="38" t="n">
        <f aca="false">MAX(0,min_cash-Sens!$L$1375)</f>
        <v>0</v>
      </c>
      <c r="M1376" s="38" t="n">
        <f aca="false">MAX(0,min_cash-Sens!$M$1375)</f>
        <v>0</v>
      </c>
      <c r="P1376" s="5" t="s">
        <v>750</v>
      </c>
    </row>
    <row r="1377" customFormat="false" ht="15" hidden="false" customHeight="false" outlineLevel="0" collapsed="false">
      <c r="A1377" s="5" t="s">
        <v>751</v>
      </c>
      <c r="B1377" s="0" t="s">
        <v>73</v>
      </c>
      <c r="D1377" s="38" t="n">
        <f aca="false">Q!$E$61</f>
        <v>123.029</v>
      </c>
      <c r="E1377" s="38" t="n">
        <f aca="false">Q!$M$61</f>
        <v>122.988</v>
      </c>
      <c r="F1377" s="38" t="n">
        <f aca="false">Sens!$F$1375+Sens!$F$1376</f>
        <v>103.768375826952</v>
      </c>
      <c r="G1377" s="38" t="n">
        <f aca="false">Sens!$F$1377</f>
        <v>103.768375826952</v>
      </c>
      <c r="H1377" s="38" t="n">
        <f aca="false">Sens!$H$1375+Sens!$H$1376</f>
        <v>100.257295286136</v>
      </c>
      <c r="I1377" s="38" t="n">
        <f aca="false">Sens!$I$1375+Sens!$I$1376</f>
        <v>134.536350350119</v>
      </c>
      <c r="J1377" s="38" t="n">
        <f aca="false">Sens!$J$1375+Sens!$J$1376</f>
        <v>205.876218702357</v>
      </c>
      <c r="K1377" s="38" t="n">
        <f aca="false">Sens!$K$1375+Sens!$K$1376</f>
        <v>312.671689829833</v>
      </c>
      <c r="L1377" s="38" t="n">
        <f aca="false">Sens!$L$1375+Sens!$L$1376</f>
        <v>424.19761880457</v>
      </c>
      <c r="M1377" s="38" t="n">
        <f aca="false">Sens!$M$1375+Sens!$M$1376</f>
        <v>538.331924356786</v>
      </c>
    </row>
    <row r="1378" customFormat="false" ht="15" hidden="false" customHeight="false" outlineLevel="0" collapsed="false">
      <c r="A1378" s="5" t="s">
        <v>752</v>
      </c>
      <c r="B1378" s="0" t="s">
        <v>73</v>
      </c>
      <c r="D1378" s="38" t="n">
        <f aca="false">Q!$E$62</f>
        <v>68.836</v>
      </c>
      <c r="E1378" s="38" t="n">
        <f aca="false">Q!$M$62</f>
        <v>132.995</v>
      </c>
      <c r="F1378" s="38" t="n">
        <f aca="false">debt_q2+Sens!$F$1373+Sens!$F$1376</f>
        <v>162.245</v>
      </c>
      <c r="G1378" s="38" t="n">
        <f aca="false">Sens!$F$1378</f>
        <v>162.245</v>
      </c>
      <c r="H1378" s="38" t="n">
        <f aca="false">Sens!$G$1378+Sens!$H$1376</f>
        <v>162.245</v>
      </c>
      <c r="I1378" s="38" t="n">
        <f aca="false">Sens!$H$1378+Sens!$I$1376</f>
        <v>162.245</v>
      </c>
      <c r="J1378" s="38" t="n">
        <f aca="false">Sens!$I$1378+Sens!$J$1376</f>
        <v>162.245</v>
      </c>
      <c r="K1378" s="38" t="n">
        <f aca="false">Sens!$J$1378+Sens!$K$1376</f>
        <v>162.245</v>
      </c>
      <c r="L1378" s="38" t="n">
        <f aca="false">Sens!$K$1378+Sens!$L$1376</f>
        <v>162.245</v>
      </c>
      <c r="M1378" s="38" t="n">
        <f aca="false">Sens!$L$1378+Sens!$M$1376</f>
        <v>162.245</v>
      </c>
    </row>
    <row r="1379" customFormat="false" ht="15" hidden="false" customHeight="false" outlineLevel="0" collapsed="false">
      <c r="A1379" s="5" t="s">
        <v>753</v>
      </c>
      <c r="B1379" s="0" t="s">
        <v>73</v>
      </c>
      <c r="D1379" s="38" t="n">
        <f aca="false">Sens!$D$1378-Sens!$D$1377</f>
        <v>-54.193</v>
      </c>
      <c r="E1379" s="38" t="n">
        <f aca="false">Sens!$E$1378-Sens!$E$1377</f>
        <v>10.007</v>
      </c>
      <c r="F1379" s="38" t="n">
        <f aca="false">Sens!$F$1378-Sens!$F$1377</f>
        <v>58.4766241730482</v>
      </c>
      <c r="G1379" s="38" t="n">
        <f aca="false">Sens!$G$1378-Sens!$G$1377</f>
        <v>58.4766241730482</v>
      </c>
      <c r="H1379" s="38" t="n">
        <f aca="false">Sens!$H$1378-Sens!$H$1377</f>
        <v>61.9877047138644</v>
      </c>
      <c r="I1379" s="38" t="n">
        <f aca="false">Sens!$I$1378-Sens!$I$1377</f>
        <v>27.7086496498812</v>
      </c>
      <c r="J1379" s="38" t="n">
        <f aca="false">Sens!$J$1378-Sens!$J$1377</f>
        <v>-43.6312187023569</v>
      </c>
      <c r="K1379" s="38" t="n">
        <f aca="false">Sens!$K$1378-Sens!$K$1377</f>
        <v>-150.426689829833</v>
      </c>
      <c r="L1379" s="38" t="n">
        <f aca="false">Sens!$L$1378-Sens!$L$1377</f>
        <v>-261.95261880457</v>
      </c>
      <c r="M1379" s="38" t="n">
        <f aca="false">Sens!$M$1378-Sens!$M$1377</f>
        <v>-376.086924356786</v>
      </c>
    </row>
    <row r="1380" customFormat="false" ht="17.15" hidden="false" customHeight="false" outlineLevel="0" collapsed="false">
      <c r="A1380" s="5" t="s">
        <v>754</v>
      </c>
      <c r="B1380" s="0" t="s">
        <v>73</v>
      </c>
      <c r="F1380" s="38" t="n">
        <f aca="false">debt_q2*kd_book*0.5+iss_2h26*kd_new*0.25</f>
        <v>3.24888964316061</v>
      </c>
      <c r="H1380" s="38" t="n">
        <f aca="false">debt_q2*kd_book+(Sens!$G$1378-debt_q2)*kd_new</f>
        <v>7.42354178632123</v>
      </c>
      <c r="I1380" s="38" t="n">
        <f aca="false">debt_q2*kd_book+(Sens!$H$1378-debt_q2)*kd_new</f>
        <v>7.42354178632123</v>
      </c>
      <c r="J1380" s="38" t="n">
        <f aca="false">debt_q2*kd_book+(Sens!$I$1378-debt_q2)*kd_new</f>
        <v>7.42354178632123</v>
      </c>
      <c r="K1380" s="38" t="n">
        <f aca="false">debt_q2*kd_book+(Sens!$J$1378-debt_q2)*kd_new</f>
        <v>7.42354178632123</v>
      </c>
      <c r="L1380" s="38" t="n">
        <f aca="false">debt_q2*kd_book+(Sens!$K$1378-debt_q2)*kd_new</f>
        <v>7.42354178632123</v>
      </c>
      <c r="M1380" s="38" t="n">
        <f aca="false">debt_q2*kd_book+(Sens!$L$1378-debt_q2)*kd_new</f>
        <v>7.42354178632123</v>
      </c>
    </row>
    <row r="1381" customFormat="false" ht="17.15" hidden="false" customHeight="false" outlineLevel="0" collapsed="false">
      <c r="A1381" s="5" t="s">
        <v>755</v>
      </c>
      <c r="B1381" s="0" t="s">
        <v>73</v>
      </c>
      <c r="F1381" s="38" t="n">
        <f aca="false">cash_q2*y_cash*0.5</f>
        <v>2.59</v>
      </c>
      <c r="H1381" s="38" t="n">
        <f aca="false">Sens!$G$1377*y_cash</f>
        <v>4.37050921052144</v>
      </c>
      <c r="I1381" s="38" t="n">
        <f aca="false">Sens!$H$1377*y_cash</f>
        <v>4.22262976536071</v>
      </c>
      <c r="J1381" s="38" t="n">
        <f aca="false">Sens!$I$1377*y_cash</f>
        <v>5.66639261402426</v>
      </c>
      <c r="K1381" s="38" t="n">
        <f aca="false">Sens!$J$1377*y_cash</f>
        <v>8.67108021008724</v>
      </c>
      <c r="L1381" s="38" t="n">
        <f aca="false">Sens!$K$1377*y_cash</f>
        <v>13.1690844091987</v>
      </c>
      <c r="M1381" s="38" t="n">
        <f aca="false">Sens!$L$1377*y_cash</f>
        <v>17.8663257017569</v>
      </c>
    </row>
    <row r="1382" customFormat="false" ht="17.15" hidden="false" customHeight="false" outlineLevel="0" collapsed="false">
      <c r="A1382" s="46" t="s">
        <v>756</v>
      </c>
      <c r="B1382" s="13" t="s">
        <v>73</v>
      </c>
      <c r="C1382" s="13"/>
      <c r="D1382" s="13"/>
      <c r="E1382" s="13"/>
      <c r="F1382" s="13"/>
      <c r="G1382" s="47" t="n">
        <f aca="false">SUM(Sens!$G$1371:$K$1371)</f>
        <v>156.042689829833</v>
      </c>
      <c r="H1382" s="13"/>
      <c r="I1382" s="13"/>
      <c r="J1382" s="13"/>
      <c r="K1382" s="13"/>
      <c r="L1382" s="13"/>
      <c r="M1382" s="13"/>
      <c r="N1382" s="13"/>
      <c r="O1382" s="13"/>
    </row>
    <row r="1383" customFormat="false" ht="17.15" hidden="false" customHeight="false" outlineLevel="0" collapsed="false">
      <c r="A1383" s="0" t="s">
        <v>723</v>
      </c>
      <c r="B1383" s="0" t="s">
        <v>73</v>
      </c>
      <c r="G1383" s="38" t="n">
        <f aca="false">SUM(Sens!$G$1376:$K$1376)</f>
        <v>0</v>
      </c>
    </row>
    <row r="1386" customFormat="false" ht="19.4" hidden="false" customHeight="false" outlineLevel="0" collapsed="false">
      <c r="A1386" s="31" t="s">
        <v>1072</v>
      </c>
    </row>
    <row r="1387" customFormat="false" ht="17.15" hidden="false" customHeight="false" outlineLevel="0" collapsed="false">
      <c r="A1387" s="6" t="s">
        <v>16</v>
      </c>
      <c r="B1387" s="6" t="s">
        <v>17</v>
      </c>
      <c r="C1387" s="20" t="s">
        <v>457</v>
      </c>
      <c r="D1387" s="20" t="s">
        <v>458</v>
      </c>
      <c r="E1387" s="20" t="s">
        <v>540</v>
      </c>
      <c r="F1387" s="20" t="s">
        <v>541</v>
      </c>
      <c r="G1387" s="20" t="s">
        <v>542</v>
      </c>
      <c r="H1387" s="20" t="s">
        <v>543</v>
      </c>
      <c r="I1387" s="20" t="s">
        <v>544</v>
      </c>
      <c r="J1387" s="20" t="s">
        <v>545</v>
      </c>
      <c r="K1387" s="20" t="s">
        <v>546</v>
      </c>
      <c r="L1387" s="20" t="s">
        <v>547</v>
      </c>
      <c r="M1387" s="20" t="s">
        <v>548</v>
      </c>
      <c r="N1387" s="20" t="s">
        <v>549</v>
      </c>
      <c r="O1387" s="20" t="s">
        <v>550</v>
      </c>
      <c r="P1387" s="6" t="s">
        <v>23</v>
      </c>
      <c r="R1387" s="20" t="n">
        <v>2023</v>
      </c>
      <c r="S1387" s="20" t="n">
        <v>2024</v>
      </c>
      <c r="T1387" s="20" t="n">
        <v>2025</v>
      </c>
      <c r="U1387" s="20" t="n">
        <v>2026</v>
      </c>
      <c r="V1387" s="20" t="n">
        <v>2027</v>
      </c>
      <c r="W1387" s="20" t="n">
        <v>2028</v>
      </c>
      <c r="X1387" s="20" t="n">
        <v>2029</v>
      </c>
      <c r="Y1387" s="20" t="n">
        <v>2030</v>
      </c>
      <c r="Z1387" s="20" t="n">
        <v>2031</v>
      </c>
      <c r="AA1387" s="20" t="n">
        <v>2032</v>
      </c>
    </row>
    <row r="1388" customFormat="false" ht="17.15" hidden="false" customHeight="false" outlineLevel="0" collapsed="false">
      <c r="A1388" s="1" t="s">
        <v>851</v>
      </c>
    </row>
    <row r="1389" customFormat="false" ht="17.15" hidden="false" customHeight="false" outlineLevel="0" collapsed="false">
      <c r="A1389" s="0" t="s">
        <v>852</v>
      </c>
      <c r="B1389" s="0" t="s">
        <v>73</v>
      </c>
      <c r="H1389" s="38" t="n">
        <f aca="false">Sens!$H$1325*(1-tax)</f>
        <v>107.009006865591</v>
      </c>
      <c r="I1389" s="38" t="n">
        <f aca="false">Sens!$I$1325*(1-tax)</f>
        <v>127.025061509515</v>
      </c>
      <c r="J1389" s="38" t="n">
        <f aca="false">Sens!$J$1325*(1-tax)</f>
        <v>144.933661478169</v>
      </c>
      <c r="K1389" s="38" t="n">
        <f aca="false">Sens!$K$1325*(1-tax)</f>
        <v>159.283321423683</v>
      </c>
      <c r="L1389" s="38" t="n">
        <f aca="false">Sens!$L$1325*(1-tax)</f>
        <v>175.085121178651</v>
      </c>
      <c r="M1389" s="38" t="n">
        <f aca="false">Sens!$M$1325*(1-tax)</f>
        <v>191.467149147826</v>
      </c>
    </row>
    <row r="1390" customFormat="false" ht="15" hidden="false" customHeight="false" outlineLevel="0" collapsed="false">
      <c r="A1390" s="5" t="s">
        <v>853</v>
      </c>
      <c r="B1390" s="0" t="s">
        <v>73</v>
      </c>
      <c r="H1390" s="38" t="n">
        <f aca="false">Sens!$H$1337</f>
        <v>86.385361039311</v>
      </c>
      <c r="I1390" s="38" t="n">
        <f aca="false">Sens!$I$1337</f>
        <v>114.064827335034</v>
      </c>
      <c r="J1390" s="38" t="n">
        <f aca="false">Sens!$J$1337</f>
        <v>141.720109232513</v>
      </c>
      <c r="K1390" s="38" t="n">
        <f aca="false">Sens!$K$1337</f>
        <v>168.752869045787</v>
      </c>
      <c r="L1390" s="38" t="n">
        <f aca="false">Sens!$L$1337</f>
        <v>194.127563060438</v>
      </c>
      <c r="M1390" s="38" t="n">
        <f aca="false">Sens!$M$1337</f>
        <v>220.610733625255</v>
      </c>
    </row>
    <row r="1391" customFormat="false" ht="15" hidden="false" customHeight="false" outlineLevel="0" collapsed="false">
      <c r="A1391" s="5" t="s">
        <v>854</v>
      </c>
      <c r="B1391" s="0" t="s">
        <v>73</v>
      </c>
      <c r="H1391" s="38" t="n">
        <f aca="false">Sens!$H$1366</f>
        <v>228.227279265168</v>
      </c>
      <c r="I1391" s="38" t="n">
        <f aca="false">Sens!$I$1366</f>
        <v>242.772847107753</v>
      </c>
      <c r="J1391" s="38" t="n">
        <f aca="false">Sens!$J$1366</f>
        <v>256.907430635965</v>
      </c>
      <c r="K1391" s="38" t="n">
        <f aca="false">Sens!$K$1366</f>
        <v>269.224117840623</v>
      </c>
      <c r="L1391" s="38" t="n">
        <f aca="false">Sens!$L$1366</f>
        <v>313.494801740705</v>
      </c>
      <c r="M1391" s="38" t="n">
        <f aca="false">Sens!$M$1366</f>
        <v>361.956569433421</v>
      </c>
    </row>
    <row r="1392" customFormat="false" ht="15" hidden="false" customHeight="false" outlineLevel="0" collapsed="false">
      <c r="A1392" s="5" t="s">
        <v>855</v>
      </c>
      <c r="B1392" s="0" t="s">
        <v>73</v>
      </c>
      <c r="H1392" s="38" t="n">
        <f aca="false">Sens!$H$1367</f>
        <v>1.6</v>
      </c>
      <c r="I1392" s="38" t="n">
        <f aca="false">Sens!$I$1367</f>
        <v>1.6</v>
      </c>
      <c r="J1392" s="38" t="n">
        <f aca="false">Sens!$J$1367</f>
        <v>1.6</v>
      </c>
      <c r="K1392" s="38" t="n">
        <f aca="false">Sens!$K$1367</f>
        <v>1.6</v>
      </c>
      <c r="L1392" s="38" t="n">
        <f aca="false">Sens!$L$1367</f>
        <v>1.6</v>
      </c>
      <c r="M1392" s="38" t="n">
        <f aca="false">Sens!$M$1367</f>
        <v>1.6</v>
      </c>
    </row>
    <row r="1393" customFormat="false" ht="15" hidden="false" customHeight="false" outlineLevel="0" collapsed="false">
      <c r="A1393" s="5" t="s">
        <v>856</v>
      </c>
      <c r="B1393" s="0" t="s">
        <v>73</v>
      </c>
      <c r="H1393" s="38" t="n">
        <f aca="false">Sens!$H$1361</f>
        <v>11.5169736028361</v>
      </c>
      <c r="I1393" s="38" t="n">
        <f aca="false">Sens!$I$1361</f>
        <v>13.0643990641968</v>
      </c>
      <c r="J1393" s="38" t="n">
        <f aca="false">Sens!$J$1361</f>
        <v>14.5065402314953</v>
      </c>
      <c r="K1393" s="38" t="n">
        <f aca="false">Sens!$K$1361</f>
        <v>15.77594514315</v>
      </c>
      <c r="L1393" s="38" t="n">
        <f aca="false">Sens!$L$1361</f>
        <v>17.1105555077375</v>
      </c>
      <c r="M1393" s="38" t="n">
        <f aca="false">Sens!$M$1361</f>
        <v>18.5152346018244</v>
      </c>
    </row>
    <row r="1394" customFormat="false" ht="17.15" hidden="false" customHeight="false" outlineLevel="0" collapsed="false">
      <c r="A1394" s="1" t="s">
        <v>857</v>
      </c>
      <c r="B1394" s="8" t="s">
        <v>73</v>
      </c>
      <c r="H1394" s="38" t="n">
        <f aca="false">Sens!$H$1389+Sens!$H$1390-Sens!$H$1391-Sens!$H$1392+Sens!$H$1393</f>
        <v>-24.9159377574291</v>
      </c>
      <c r="I1394" s="38" t="n">
        <f aca="false">Sens!$I$1389+Sens!$I$1390-Sens!$I$1391-Sens!$I$1392+Sens!$I$1393</f>
        <v>9.78144080099232</v>
      </c>
      <c r="J1394" s="38" t="n">
        <f aca="false">Sens!$J$1389+Sens!$J$1390-Sens!$J$1391-Sens!$J$1392+Sens!$J$1393</f>
        <v>42.6528803062124</v>
      </c>
      <c r="K1394" s="38" t="n">
        <f aca="false">Sens!$K$1389+Sens!$K$1390-Sens!$K$1391-Sens!$K$1392+Sens!$K$1393</f>
        <v>72.9880177719972</v>
      </c>
      <c r="L1394" s="38" t="n">
        <f aca="false">Sens!$L$1389+Sens!$L$1390-Sens!$L$1391-Sens!$L$1392+Sens!$L$1393</f>
        <v>71.2284380061206</v>
      </c>
      <c r="M1394" s="38" t="n">
        <f aca="false">Sens!$M$1389+Sens!$M$1390-Sens!$M$1391-Sens!$M$1392+Sens!$M$1393</f>
        <v>67.0365479414851</v>
      </c>
    </row>
    <row r="1395" customFormat="false" ht="15" hidden="false" customHeight="false" outlineLevel="0" collapsed="false">
      <c r="A1395" s="5" t="s">
        <v>858</v>
      </c>
      <c r="B1395" s="0" t="s">
        <v>57</v>
      </c>
      <c r="H1395" s="51" t="n">
        <f aca="false">1/(1+wacc)^(2027-2026-0.5)</f>
        <v>0.942858177653364</v>
      </c>
      <c r="I1395" s="51" t="n">
        <f aca="false">1/(1+wacc)^(2028-2026-0.5)</f>
        <v>0.838183517758688</v>
      </c>
      <c r="J1395" s="51" t="n">
        <f aca="false">1/(1+wacc)^(2029-2026-0.5)</f>
        <v>0.745129677074952</v>
      </c>
      <c r="K1395" s="51" t="n">
        <f aca="false">1/(1+wacc)^(2030-2026-0.5)</f>
        <v>0.662406530186232</v>
      </c>
      <c r="L1395" s="51" t="n">
        <f aca="false">1/(1+wacc)^(2031-2026-0.5)</f>
        <v>0.588867179409399</v>
      </c>
      <c r="M1395" s="51" t="n">
        <f aca="false">1/(1+wacc)^(2032-2026-0.5)</f>
        <v>0.52349205387225</v>
      </c>
    </row>
    <row r="1396" customFormat="false" ht="15" hidden="false" customHeight="false" outlineLevel="0" collapsed="false">
      <c r="A1396" s="5" t="s">
        <v>859</v>
      </c>
      <c r="B1396" s="0" t="s">
        <v>73</v>
      </c>
      <c r="H1396" s="38" t="n">
        <f aca="false">Sens!$H$1394*Sens!$H$1395</f>
        <v>-23.4921956684942</v>
      </c>
      <c r="I1396" s="38" t="n">
        <f aca="false">Sens!$I$1394*Sens!$I$1395</f>
        <v>8.1986424593241</v>
      </c>
      <c r="J1396" s="38" t="n">
        <f aca="false">Sens!$J$1394*Sens!$J$1395</f>
        <v>31.7819269288846</v>
      </c>
      <c r="K1396" s="38" t="n">
        <f aca="false">Sens!$K$1394*Sens!$K$1395</f>
        <v>48.3477395975197</v>
      </c>
      <c r="L1396" s="38" t="n">
        <f aca="false">Sens!$L$1394*Sens!$L$1395</f>
        <v>41.9440893824015</v>
      </c>
      <c r="M1396" s="38" t="n">
        <f aca="false">Sens!$M$1394*Sens!$M$1395</f>
        <v>35.0931001663936</v>
      </c>
    </row>
    <row r="1397" customFormat="false" ht="15" hidden="false" customHeight="false" outlineLevel="0" collapsed="false">
      <c r="A1397" s="5" t="s">
        <v>860</v>
      </c>
      <c r="B1397" s="0" t="s">
        <v>73</v>
      </c>
      <c r="C1397" s="38" t="n">
        <f aca="false">SUM(Sens!$H$1396:$M$1396)</f>
        <v>141.873302866029</v>
      </c>
    </row>
    <row r="1398" customFormat="false" ht="17.15" hidden="false" customHeight="false" outlineLevel="0" collapsed="false">
      <c r="A1398" s="5" t="s">
        <v>861</v>
      </c>
      <c r="B1398" s="0" t="s">
        <v>73</v>
      </c>
      <c r="C1398" s="38" t="n">
        <f aca="false">Sens!$M$1389*(1+tg)*(1-tg/ronic)/(wacc-tg)</f>
        <v>1579.17061333197</v>
      </c>
    </row>
    <row r="1399" customFormat="false" ht="15" hidden="false" customHeight="false" outlineLevel="0" collapsed="false">
      <c r="A1399" s="5" t="s">
        <v>862</v>
      </c>
      <c r="B1399" s="0" t="s">
        <v>73</v>
      </c>
      <c r="C1399" s="38" t="n">
        <f aca="false">Sens!$C$1398/(1+wacc)^6</f>
        <v>779.445079362984</v>
      </c>
    </row>
    <row r="1400" customFormat="false" ht="17.15" hidden="false" customHeight="false" outlineLevel="0" collapsed="false">
      <c r="A1400" s="5" t="s">
        <v>863</v>
      </c>
      <c r="B1400" s="0" t="s">
        <v>73</v>
      </c>
      <c r="C1400" s="38" t="n">
        <f aca="false">Sens!$C$1397+Sens!$C$1399</f>
        <v>921.318382229013</v>
      </c>
    </row>
    <row r="1401" customFormat="false" ht="17.15" hidden="false" customHeight="false" outlineLevel="0" collapsed="false">
      <c r="A1401" s="5" t="s">
        <v>864</v>
      </c>
      <c r="B1401" s="0" t="s">
        <v>52</v>
      </c>
      <c r="C1401" s="12" t="n">
        <f aca="false">Sens!$C$1399/Sens!$C$1400</f>
        <v>0.846010558779057</v>
      </c>
    </row>
    <row r="1402" customFormat="false" ht="17.15" hidden="false" customHeight="false" outlineLevel="0" collapsed="false">
      <c r="A1402" s="5" t="s">
        <v>865</v>
      </c>
      <c r="B1402" s="0" t="s">
        <v>73</v>
      </c>
      <c r="C1402" s="38" t="n">
        <f aca="false">Sens!$G$1379</f>
        <v>58.4766241730482</v>
      </c>
    </row>
    <row r="1403" customFormat="false" ht="17.15" hidden="false" customHeight="false" outlineLevel="0" collapsed="false">
      <c r="A1403" s="5" t="s">
        <v>866</v>
      </c>
      <c r="B1403" s="0" t="s">
        <v>73</v>
      </c>
      <c r="C1403" s="38" t="n">
        <f aca="false">(ant_val*ant_sh+oai_val*oai_sh)*(1-liq_disc)</f>
        <v>178.944</v>
      </c>
    </row>
    <row r="1404" customFormat="false" ht="15" hidden="false" customHeight="false" outlineLevel="0" collapsed="false">
      <c r="A1404" s="5" t="s">
        <v>867</v>
      </c>
      <c r="B1404" s="0" t="s">
        <v>73</v>
      </c>
      <c r="C1404" s="38" t="n">
        <f aca="false">Sens!$C$1400-Sens!$C$1402+Sens!$C$1403</f>
        <v>1041.78575805597</v>
      </c>
    </row>
    <row r="1405" customFormat="false" ht="17.15" hidden="false" customHeight="false" outlineLevel="0" collapsed="false">
      <c r="A1405" s="5" t="s">
        <v>868</v>
      </c>
      <c r="B1405" s="0" t="s">
        <v>27</v>
      </c>
      <c r="C1405" s="30" t="n">
        <f aca="false">Sens!$C$1404/sh_val</f>
        <v>94.4475160050716</v>
      </c>
    </row>
    <row r="1406" customFormat="false" ht="17.15" hidden="false" customHeight="false" outlineLevel="0" collapsed="false">
      <c r="A1406" s="1" t="s">
        <v>869</v>
      </c>
      <c r="B1406" s="8" t="s">
        <v>27</v>
      </c>
      <c r="C1406" s="30" t="n">
        <f aca="false">Sens!$C$1405*(1+ke)^tp_yf</f>
        <v>104.312079298301</v>
      </c>
    </row>
    <row r="1407" customFormat="false" ht="17.15" hidden="false" customHeight="false" outlineLevel="0" collapsed="false">
      <c r="A1407" s="3" t="s">
        <v>870</v>
      </c>
    </row>
    <row r="1408" customFormat="false" ht="17.15" hidden="false" customHeight="false" outlineLevel="0" collapsed="false">
      <c r="A1408" s="5" t="s">
        <v>871</v>
      </c>
      <c r="B1408" s="0" t="s">
        <v>73</v>
      </c>
      <c r="C1408" s="38" t="n">
        <f aca="false">0.25*Sens!$H$1338+0.75*Sens!$I$1338</f>
        <v>57.5541093268329</v>
      </c>
    </row>
    <row r="1409" customFormat="false" ht="15" hidden="false" customHeight="false" outlineLevel="0" collapsed="false">
      <c r="A1409" s="5" t="s">
        <v>872</v>
      </c>
      <c r="B1409" s="0" t="s">
        <v>57</v>
      </c>
      <c r="C1409" s="30" t="n">
        <f aca="false">m_ads*m_x</f>
        <v>9.11</v>
      </c>
    </row>
    <row r="1410" customFormat="false" ht="17.15" hidden="false" customHeight="false" outlineLevel="0" collapsed="false">
      <c r="A1410" s="5" t="s">
        <v>873</v>
      </c>
      <c r="B1410" s="0" t="s">
        <v>73</v>
      </c>
      <c r="C1410" s="38" t="n">
        <f aca="false">Sens!$C$1408*Sens!$C$1409</f>
        <v>524.317935967448</v>
      </c>
    </row>
    <row r="1411" customFormat="false" ht="17.15" hidden="false" customHeight="false" outlineLevel="0" collapsed="false">
      <c r="A1411" s="5" t="s">
        <v>874</v>
      </c>
      <c r="B1411" s="0" t="s">
        <v>73</v>
      </c>
      <c r="C1411" s="38" t="n">
        <f aca="false">0.25*Sens!$H$1339+0.75*Sens!$I$1339</f>
        <v>31.5302885025357</v>
      </c>
    </row>
    <row r="1412" customFormat="false" ht="15" hidden="false" customHeight="false" outlineLevel="0" collapsed="false">
      <c r="A1412" s="5" t="s">
        <v>875</v>
      </c>
      <c r="B1412" s="0" t="s">
        <v>57</v>
      </c>
      <c r="C1412" s="30" t="n">
        <f aca="false">m_retail*m_x</f>
        <v>17.72</v>
      </c>
    </row>
    <row r="1413" customFormat="false" ht="17.15" hidden="false" customHeight="false" outlineLevel="0" collapsed="false">
      <c r="A1413" s="5" t="s">
        <v>876</v>
      </c>
      <c r="B1413" s="0" t="s">
        <v>73</v>
      </c>
      <c r="C1413" s="38" t="n">
        <f aca="false">Sens!$C$1411*Sens!$C$1412</f>
        <v>558.716712264932</v>
      </c>
    </row>
    <row r="1414" customFormat="false" ht="17.15" hidden="false" customHeight="false" outlineLevel="0" collapsed="false">
      <c r="A1414" s="0" t="s">
        <v>877</v>
      </c>
      <c r="B1414" s="0" t="s">
        <v>73</v>
      </c>
      <c r="C1414" s="38" t="n">
        <f aca="false">0.25*Sens!$H$1340+0.75*Sens!$I$1340</f>
        <v>107.575398943098</v>
      </c>
    </row>
    <row r="1415" customFormat="false" ht="17.15" hidden="false" customHeight="false" outlineLevel="0" collapsed="false">
      <c r="A1415" s="0" t="s">
        <v>878</v>
      </c>
      <c r="B1415" s="0" t="s">
        <v>57</v>
      </c>
      <c r="C1415" s="30" t="n">
        <f aca="false">m_cloud*m_x</f>
        <v>13.82</v>
      </c>
    </row>
    <row r="1416" customFormat="false" ht="17.15" hidden="false" customHeight="false" outlineLevel="0" collapsed="false">
      <c r="A1416" s="0" t="s">
        <v>879</v>
      </c>
      <c r="B1416" s="0" t="s">
        <v>73</v>
      </c>
      <c r="C1416" s="38" t="n">
        <f aca="false">Sens!$C$1414*Sens!$C$1415</f>
        <v>1486.69201339361</v>
      </c>
    </row>
    <row r="1417" customFormat="false" ht="17.15" hidden="false" customHeight="false" outlineLevel="0" collapsed="false">
      <c r="A1417" s="0" t="s">
        <v>880</v>
      </c>
      <c r="B1417" s="0" t="s">
        <v>73</v>
      </c>
      <c r="C1417" s="38" t="n">
        <f aca="false">0.25*Sens!$H$1341+0.75*Sens!$I$1341</f>
        <v>58.1361359018626</v>
      </c>
    </row>
    <row r="1418" customFormat="false" ht="17.15" hidden="false" customHeight="false" outlineLevel="0" collapsed="false">
      <c r="A1418" s="0" t="s">
        <v>881</v>
      </c>
      <c r="B1418" s="0" t="s">
        <v>57</v>
      </c>
      <c r="C1418" s="30" t="n">
        <f aca="false">m_ai</f>
        <v>6</v>
      </c>
    </row>
    <row r="1419" customFormat="false" ht="17.15" hidden="false" customHeight="false" outlineLevel="0" collapsed="false">
      <c r="A1419" s="0" t="s">
        <v>882</v>
      </c>
      <c r="B1419" s="0" t="s">
        <v>73</v>
      </c>
      <c r="C1419" s="38" t="n">
        <f aca="false">Sens!$C$1417*Sens!$C$1418</f>
        <v>348.816815411176</v>
      </c>
    </row>
    <row r="1420" customFormat="false" ht="17.15" hidden="false" customHeight="false" outlineLevel="0" collapsed="false">
      <c r="A1420" s="5" t="s">
        <v>883</v>
      </c>
      <c r="B1420" s="0" t="s">
        <v>73</v>
      </c>
      <c r="C1420" s="38" t="n">
        <f aca="false">Sens!$C$1410+Sens!$C$1413+Sens!$C$1416+Sens!$C$1419</f>
        <v>2918.54347703717</v>
      </c>
    </row>
    <row r="1421" customFormat="false" ht="17.15" hidden="false" customHeight="false" outlineLevel="0" collapsed="false">
      <c r="A1421" s="5" t="s">
        <v>884</v>
      </c>
      <c r="B1421" s="0" t="s">
        <v>73</v>
      </c>
      <c r="C1421" s="38" t="n">
        <f aca="false">Sens!$H$1379</f>
        <v>61.9877047138644</v>
      </c>
    </row>
    <row r="1422" customFormat="false" ht="15" hidden="false" customHeight="false" outlineLevel="0" collapsed="false">
      <c r="A1422" s="5" t="s">
        <v>885</v>
      </c>
      <c r="B1422" s="0" t="s">
        <v>73</v>
      </c>
      <c r="C1422" s="38" t="n">
        <f aca="false">Sens!$C$1420-Sens!$C$1421+Sens!$C$1403</f>
        <v>3035.4997723233</v>
      </c>
    </row>
    <row r="1423" customFormat="false" ht="15" hidden="false" customHeight="false" outlineLevel="0" collapsed="false">
      <c r="A1423" s="3" t="s">
        <v>886</v>
      </c>
      <c r="B1423" s="8" t="s">
        <v>27</v>
      </c>
      <c r="C1423" s="30" t="n">
        <f aca="false">Sens!$C$1422/sh_val</f>
        <v>275.196134246342</v>
      </c>
    </row>
    <row r="1424" customFormat="false" ht="17.15" hidden="false" customHeight="false" outlineLevel="0" collapsed="false">
      <c r="A1424" s="46" t="s">
        <v>887</v>
      </c>
      <c r="B1424" s="13" t="s">
        <v>27</v>
      </c>
      <c r="C1424" s="43" t="n">
        <f aca="false">w_dcf*Sens!$C$1406+(1-w_dcf)*Sens!$C$1423</f>
        <v>189.754106772321</v>
      </c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</row>
    <row r="1425" customFormat="false" ht="17.15" hidden="false" customHeight="false" outlineLevel="0" collapsed="false">
      <c r="A1425" s="5" t="s">
        <v>888</v>
      </c>
      <c r="B1425" s="0" t="s">
        <v>27</v>
      </c>
      <c r="C1425" s="30" t="n">
        <f aca="false">0.45*Sens!$C$1406+0.55*Sens!$C$1423</f>
        <v>198.298309519723</v>
      </c>
    </row>
    <row r="1428" customFormat="false" ht="19.4" hidden="false" customHeight="false" outlineLevel="0" collapsed="false">
      <c r="A1428" s="31" t="s">
        <v>1073</v>
      </c>
    </row>
    <row r="1429" customFormat="false" ht="17.15" hidden="false" customHeight="false" outlineLevel="0" collapsed="false">
      <c r="A1429" s="6" t="s">
        <v>16</v>
      </c>
      <c r="B1429" s="6" t="s">
        <v>17</v>
      </c>
      <c r="C1429" s="20" t="s">
        <v>457</v>
      </c>
      <c r="D1429" s="20" t="s">
        <v>458</v>
      </c>
      <c r="E1429" s="20" t="s">
        <v>540</v>
      </c>
      <c r="F1429" s="20" t="s">
        <v>541</v>
      </c>
      <c r="G1429" s="20" t="s">
        <v>542</v>
      </c>
      <c r="H1429" s="20" t="s">
        <v>543</v>
      </c>
      <c r="I1429" s="20" t="s">
        <v>544</v>
      </c>
      <c r="J1429" s="20" t="s">
        <v>545</v>
      </c>
      <c r="K1429" s="20" t="s">
        <v>546</v>
      </c>
      <c r="L1429" s="20" t="s">
        <v>547</v>
      </c>
      <c r="M1429" s="20" t="s">
        <v>548</v>
      </c>
      <c r="N1429" s="20" t="s">
        <v>549</v>
      </c>
      <c r="O1429" s="20" t="s">
        <v>550</v>
      </c>
      <c r="P1429" s="6" t="s">
        <v>23</v>
      </c>
      <c r="R1429" s="20" t="n">
        <v>2023</v>
      </c>
      <c r="S1429" s="20" t="n">
        <v>2024</v>
      </c>
      <c r="T1429" s="20" t="n">
        <v>2025</v>
      </c>
      <c r="U1429" s="20" t="n">
        <v>2026</v>
      </c>
      <c r="V1429" s="20" t="n">
        <v>2027</v>
      </c>
      <c r="W1429" s="20" t="n">
        <v>2028</v>
      </c>
      <c r="X1429" s="20" t="n">
        <v>2029</v>
      </c>
      <c r="Y1429" s="20" t="n">
        <v>2030</v>
      </c>
      <c r="Z1429" s="20" t="n">
        <v>2031</v>
      </c>
      <c r="AA1429" s="20" t="n">
        <v>2032</v>
      </c>
    </row>
    <row r="1430" customFormat="false" ht="17.15" hidden="false" customHeight="false" outlineLevel="0" collapsed="false">
      <c r="A1430" s="1" t="s">
        <v>620</v>
      </c>
    </row>
    <row r="1431" customFormat="false" ht="17.15" hidden="false" customHeight="false" outlineLevel="0" collapsed="false">
      <c r="A1431" s="0" t="s">
        <v>479</v>
      </c>
      <c r="B1431" s="0" t="s">
        <v>73</v>
      </c>
      <c r="C1431" s="38" t="n">
        <f aca="false">Q!$D$10</f>
        <v>247.029</v>
      </c>
      <c r="D1431" s="38" t="n">
        <f aca="false">Q!$E$10</f>
        <v>269.287</v>
      </c>
      <c r="E1431" s="38" t="n">
        <f aca="false">Q!$P$10</f>
        <v>134.686</v>
      </c>
      <c r="F1431" s="38" t="n">
        <f aca="false">Sens!$O$1431*(1+Sens!$F$1432)-pd_amt*Q!$O$10/(Q!$O$10+Q!$O$12)</f>
        <v>160.728085930082</v>
      </c>
      <c r="G1431" s="38" t="n">
        <f aca="false">Sens!$E$1431+Sens!$F$1431</f>
        <v>295.414085930082</v>
      </c>
      <c r="H1431" s="38" t="n">
        <f aca="false">Sens!$G$1431*(1+Sens!$H$1432)</f>
        <v>320.828163943375</v>
      </c>
      <c r="I1431" s="38" t="n">
        <f aca="false">Sens!$H$1431*(1+Sens!$I$1432)</f>
        <v>344.575578072228</v>
      </c>
      <c r="J1431" s="38" t="n">
        <f aca="false">Sens!$I$1431*(1+Sens!$J$1432)</f>
        <v>365.942555779681</v>
      </c>
      <c r="K1431" s="38" t="n">
        <f aca="false">Sens!$J$1431*(1+Sens!$K$1432)</f>
        <v>384.239683568665</v>
      </c>
      <c r="L1431" s="38" t="n">
        <f aca="false">Sens!$K$1431*(1+Sens!$L$1432)</f>
        <v>403.451667747098</v>
      </c>
      <c r="M1431" s="38" t="n">
        <f aca="false">Sens!$L$1431*(1+Sens!$M$1432)</f>
        <v>423.624251134453</v>
      </c>
      <c r="N1431" s="38" t="n">
        <f aca="false">Q!$N$10</f>
        <v>118.892</v>
      </c>
      <c r="O1431" s="38" t="n">
        <f aca="false">Q!$O$10</f>
        <v>150.395</v>
      </c>
      <c r="P1431" s="8" t="s">
        <v>621</v>
      </c>
    </row>
    <row r="1432" customFormat="false" ht="17.15" hidden="false" customHeight="false" outlineLevel="0" collapsed="false">
      <c r="A1432" s="0" t="s">
        <v>622</v>
      </c>
      <c r="B1432" s="0" t="s">
        <v>52</v>
      </c>
      <c r="E1432" s="12" t="n">
        <f aca="false">Sens!$E$1431/Sens!$N$1431-1</f>
        <v>0.132843252699929</v>
      </c>
      <c r="F1432" s="12" t="n">
        <f aca="false">Sens!$O$1431/(Q!$F$10+Q!$G$10)-1</f>
        <v>0.0980382135842941</v>
      </c>
      <c r="G1432" s="12" t="n">
        <f aca="false">Sens!$G$1431/Sens!$D$1431-1</f>
        <v>0.0970231980380869</v>
      </c>
      <c r="H1432" s="12" t="n">
        <f aca="false">Sens!$F$1432+(g_os-Sens!$F$1432)*1/4</f>
        <v>0.0860286601882206</v>
      </c>
      <c r="I1432" s="12" t="n">
        <f aca="false">Sens!$F$1432+(g_os-Sens!$F$1432)*2/4</f>
        <v>0.074019106792147</v>
      </c>
      <c r="J1432" s="12" t="n">
        <f aca="false">Sens!$F$1432+(g_os-Sens!$F$1432)*3/4</f>
        <v>0.0620095533960735</v>
      </c>
      <c r="K1432" s="12" t="n">
        <f aca="false">Sens!$F$1432+(g_os-Sens!$F$1432)*4/4</f>
        <v>0.05</v>
      </c>
      <c r="L1432" s="12" t="n">
        <f aca="false">g_os</f>
        <v>0.05</v>
      </c>
      <c r="M1432" s="12" t="n">
        <f aca="false">g_os</f>
        <v>0.05</v>
      </c>
      <c r="P1432" s="8" t="s">
        <v>623</v>
      </c>
    </row>
    <row r="1433" customFormat="false" ht="17.15" hidden="false" customHeight="false" outlineLevel="0" collapsed="false">
      <c r="A1433" s="0" t="s">
        <v>480</v>
      </c>
      <c r="B1433" s="0" t="s">
        <v>73</v>
      </c>
      <c r="C1433" s="38" t="n">
        <f aca="false">Q!$D$11</f>
        <v>21.215</v>
      </c>
      <c r="D1433" s="38" t="n">
        <f aca="false">Q!$E$11</f>
        <v>22.561</v>
      </c>
      <c r="E1433" s="38" t="n">
        <f aca="false">Q!$P$11</f>
        <v>11.579</v>
      </c>
      <c r="F1433" s="38" t="n">
        <f aca="false">Sens!$O$1433*(1+Sens!$F$1434)</f>
        <v>12.0952613121125</v>
      </c>
      <c r="G1433" s="38" t="n">
        <f aca="false">Sens!$E$1433+Sens!$F$1433</f>
        <v>23.6742613121125</v>
      </c>
      <c r="H1433" s="38" t="n">
        <f aca="false">Sens!$G$1433*(1+Sens!$H$1434)</f>
        <v>24.8803243963206</v>
      </c>
      <c r="I1433" s="38" t="n">
        <f aca="false">Sens!$H$1433*(1+Sens!$I$1434)</f>
        <v>25.9741308664154</v>
      </c>
      <c r="J1433" s="38" t="n">
        <f aca="false">Sens!$I$1433*(1+Sens!$J$1434)</f>
        <v>26.9346894124267</v>
      </c>
      <c r="K1433" s="38" t="n">
        <f aca="false">Sens!$J$1433*(1+Sens!$K$1434)</f>
        <v>27.7427300947995</v>
      </c>
      <c r="L1433" s="38" t="n">
        <f aca="false">Sens!$K$1433*(1+Sens!$L$1434)</f>
        <v>28.5750119976435</v>
      </c>
      <c r="M1433" s="38" t="n">
        <f aca="false">Sens!$L$1433*(1+Sens!$M$1434)</f>
        <v>29.4322623575728</v>
      </c>
      <c r="N1433" s="38" t="n">
        <f aca="false">Q!$N$11</f>
        <v>11.128</v>
      </c>
      <c r="O1433" s="38" t="n">
        <f aca="false">Q!$O$11</f>
        <v>11.433</v>
      </c>
      <c r="P1433" s="8" t="s">
        <v>621</v>
      </c>
    </row>
    <row r="1434" customFormat="false" ht="17.15" hidden="false" customHeight="false" outlineLevel="0" collapsed="false">
      <c r="A1434" s="0" t="s">
        <v>624</v>
      </c>
      <c r="B1434" s="0" t="s">
        <v>52</v>
      </c>
      <c r="E1434" s="12" t="n">
        <f aca="false">Sens!$E$1433/Sens!$N$1433-1</f>
        <v>0.0405283968368082</v>
      </c>
      <c r="F1434" s="12" t="n">
        <f aca="false">Sens!$O$1433/(Q!$F$11+Q!$G$11)-1</f>
        <v>0.0579254187100955</v>
      </c>
      <c r="G1434" s="12" t="n">
        <f aca="false">Sens!$G$1433/Sens!$D$1433-1</f>
        <v>0.0493445021103904</v>
      </c>
      <c r="H1434" s="12" t="n">
        <f aca="false">Sens!$F$1434+(g_ps-Sens!$F$1434)*1/4</f>
        <v>0.0509440640325716</v>
      </c>
      <c r="I1434" s="12" t="n">
        <f aca="false">Sens!$F$1434+(g_ps-Sens!$F$1434)*2/4</f>
        <v>0.0439627093550477</v>
      </c>
      <c r="J1434" s="12" t="n">
        <f aca="false">Sens!$F$1434+(g_ps-Sens!$F$1434)*3/4</f>
        <v>0.0369813546775239</v>
      </c>
      <c r="K1434" s="12" t="n">
        <f aca="false">Sens!$F$1434+(g_ps-Sens!$F$1434)*4/4</f>
        <v>0.03</v>
      </c>
      <c r="L1434" s="12" t="n">
        <f aca="false">g_ps</f>
        <v>0.03</v>
      </c>
      <c r="M1434" s="12" t="n">
        <f aca="false">g_ps</f>
        <v>0.03</v>
      </c>
      <c r="P1434" s="8" t="s">
        <v>625</v>
      </c>
    </row>
    <row r="1435" customFormat="false" ht="17.15" hidden="false" customHeight="false" outlineLevel="0" collapsed="false">
      <c r="A1435" s="0" t="s">
        <v>481</v>
      </c>
      <c r="B1435" s="0" t="s">
        <v>73</v>
      </c>
      <c r="C1435" s="38" t="n">
        <f aca="false">Q!$D$12</f>
        <v>156.146</v>
      </c>
      <c r="D1435" s="38" t="n">
        <f aca="false">Q!$E$12</f>
        <v>172.162</v>
      </c>
      <c r="E1435" s="38" t="n">
        <f aca="false">Q!$P$12</f>
        <v>88.358</v>
      </c>
      <c r="F1435" s="38" t="n">
        <f aca="false">Sens!$O$1435*(1+Sens!$F$1436)-pd_amt*Q!$O$12/(Q!$O$10+Q!$O$12)</f>
        <v>103.62028337149</v>
      </c>
      <c r="G1435" s="38" t="n">
        <f aca="false">Sens!$E$1435+Sens!$F$1435</f>
        <v>191.97828337149</v>
      </c>
      <c r="H1435" s="38" t="n">
        <f aca="false">Sens!$G$1435*(1+Sens!$H$1436)</f>
        <v>212.128608444755</v>
      </c>
      <c r="I1435" s="38" t="n">
        <f aca="false">Sens!$H$1435*(1+Sens!$I$1436)</f>
        <v>231.92183134134</v>
      </c>
      <c r="J1435" s="38" t="n">
        <f aca="false">Sens!$I$1435*(1+Sens!$J$1436)</f>
        <v>250.859136487863</v>
      </c>
      <c r="K1435" s="38" t="n">
        <f aca="false">Sens!$J$1435*(1+Sens!$K$1436)</f>
        <v>268.419276042014</v>
      </c>
      <c r="L1435" s="38" t="n">
        <f aca="false">Sens!$K$1435*(1+Sens!$L$1436)</f>
        <v>287.208625364954</v>
      </c>
      <c r="M1435" s="38" t="n">
        <f aca="false">Sens!$L$1435*(1+Sens!$M$1436)</f>
        <v>307.313229140501</v>
      </c>
      <c r="N1435" s="38" t="n">
        <f aca="false">Q!$N$12</f>
        <v>76.86</v>
      </c>
      <c r="O1435" s="38" t="n">
        <f aca="false">Q!$O$12</f>
        <v>95.302</v>
      </c>
      <c r="P1435" s="8" t="s">
        <v>621</v>
      </c>
    </row>
    <row r="1436" customFormat="false" ht="17.15" hidden="false" customHeight="false" outlineLevel="0" collapsed="false">
      <c r="A1436" s="0" t="s">
        <v>626</v>
      </c>
      <c r="B1436" s="0" t="s">
        <v>52</v>
      </c>
      <c r="E1436" s="12" t="n">
        <f aca="false">Sens!$E$1435/Sens!$N$1435-1</f>
        <v>0.1495966692688</v>
      </c>
      <c r="F1436" s="12" t="n">
        <f aca="false">Sens!$O$1435/(Q!$F$12+Q!$G$12)-1</f>
        <v>0.11661530890813</v>
      </c>
      <c r="G1436" s="12" t="n">
        <f aca="false">Sens!$G$1435/Sens!$D$1435-1</f>
        <v>0.115102539303041</v>
      </c>
      <c r="H1436" s="12" t="n">
        <f aca="false">Sens!$F$1436+(g_sp-Sens!$F$1436)*1/4</f>
        <v>0.104961481681098</v>
      </c>
      <c r="I1436" s="12" t="n">
        <f aca="false">Sens!$F$1436+(g_sp-Sens!$F$1436)*2/4</f>
        <v>0.0933076544540651</v>
      </c>
      <c r="J1436" s="12" t="n">
        <f aca="false">Sens!$F$1436+(g_sp-Sens!$F$1436)*3/4</f>
        <v>0.0816538272270325</v>
      </c>
      <c r="K1436" s="12" t="n">
        <f aca="false">Sens!$F$1436+(g_sp-Sens!$F$1436)*4/4</f>
        <v>0.07</v>
      </c>
      <c r="L1436" s="12" t="n">
        <f aca="false">g_sp</f>
        <v>0.07</v>
      </c>
      <c r="M1436" s="12" t="n">
        <f aca="false">g_sp</f>
        <v>0.07</v>
      </c>
      <c r="P1436" s="8" t="s">
        <v>627</v>
      </c>
    </row>
    <row r="1437" customFormat="false" ht="17.15" hidden="false" customHeight="false" outlineLevel="0" collapsed="false">
      <c r="A1437" s="0" t="s">
        <v>482</v>
      </c>
      <c r="B1437" s="0" t="s">
        <v>73</v>
      </c>
      <c r="C1437" s="38" t="n">
        <f aca="false">Q!$D$13</f>
        <v>56.214</v>
      </c>
      <c r="D1437" s="38" t="n">
        <f aca="false">Q!$E$13</f>
        <v>68.635</v>
      </c>
      <c r="E1437" s="38" t="n">
        <f aca="false">Q!$P$13</f>
        <v>37.052</v>
      </c>
      <c r="F1437" s="38" t="n">
        <f aca="false">Sens!$O$1437*(1+Sens!$F$1438)</f>
        <v>48.1533381827382</v>
      </c>
      <c r="G1437" s="38" t="n">
        <f aca="false">Sens!$E$1437+Sens!$F$1437</f>
        <v>85.2053381827382</v>
      </c>
      <c r="H1437" s="38" t="n">
        <f aca="false">Sens!$G$1437*(1+Sens!$H$1438)</f>
        <v>102.29336185894</v>
      </c>
      <c r="I1437" s="38" t="n">
        <f aca="false">Sens!$H$1437*(1+Sens!$I$1438)</f>
        <v>119.379837585241</v>
      </c>
      <c r="J1437" s="38" t="n">
        <f aca="false">Sens!$I$1437*(1+Sens!$J$1438)</f>
        <v>135.319079048844</v>
      </c>
      <c r="K1437" s="38" t="n">
        <f aca="false">Sens!$J$1437*(1+Sens!$K$1438)</f>
        <v>148.850986953729</v>
      </c>
      <c r="L1437" s="38" t="n">
        <f aca="false">Sens!$K$1437*(1+Sens!$L$1438)</f>
        <v>163.736085649102</v>
      </c>
      <c r="M1437" s="38" t="n">
        <f aca="false">Sens!$L$1437*(1+Sens!$M$1438)</f>
        <v>180.109694214012</v>
      </c>
      <c r="N1437" s="38" t="n">
        <f aca="false">Q!$N$13</f>
        <v>29.615</v>
      </c>
      <c r="O1437" s="38" t="n">
        <f aca="false">Q!$O$13</f>
        <v>39.02</v>
      </c>
      <c r="P1437" s="8" t="s">
        <v>621</v>
      </c>
    </row>
    <row r="1438" customFormat="false" ht="17.15" hidden="false" customHeight="false" outlineLevel="0" collapsed="false">
      <c r="A1438" s="0" t="s">
        <v>628</v>
      </c>
      <c r="B1438" s="0" t="s">
        <v>52</v>
      </c>
      <c r="E1438" s="12" t="n">
        <f aca="false">Sens!$E$1437/Sens!$N$1437-1</f>
        <v>0.25112274185379</v>
      </c>
      <c r="F1438" s="12" t="n">
        <f aca="false">Sens!$O$1437/(Q!$F$13+Q!$G$13)-1</f>
        <v>0.234068123596572</v>
      </c>
      <c r="G1438" s="12" t="n">
        <f aca="false">Sens!$G$1437/Sens!$D$1437-1</f>
        <v>0.241426942270536</v>
      </c>
      <c r="H1438" s="12" t="n">
        <f aca="false">Sens!$F$1438+(g_ad-Sens!$F$1438)*1/4</f>
        <v>0.200551092697429</v>
      </c>
      <c r="I1438" s="12" t="n">
        <f aca="false">Sens!$F$1438+(g_ad-Sens!$F$1438)*2/4</f>
        <v>0.167034061798286</v>
      </c>
      <c r="J1438" s="12" t="n">
        <f aca="false">Sens!$F$1438+(g_ad-Sens!$F$1438)*3/4</f>
        <v>0.133517030899143</v>
      </c>
      <c r="K1438" s="12" t="n">
        <f aca="false">Sens!$F$1438+(g_ad-Sens!$F$1438)*4/4</f>
        <v>0.1</v>
      </c>
      <c r="L1438" s="12" t="n">
        <f aca="false">g_ad</f>
        <v>0.1</v>
      </c>
      <c r="M1438" s="12" t="n">
        <f aca="false">g_ad</f>
        <v>0.1</v>
      </c>
      <c r="P1438" s="8" t="s">
        <v>629</v>
      </c>
    </row>
    <row r="1439" customFormat="false" ht="17.15" hidden="false" customHeight="false" outlineLevel="0" collapsed="false">
      <c r="A1439" s="0" t="s">
        <v>483</v>
      </c>
      <c r="B1439" s="0" t="s">
        <v>73</v>
      </c>
      <c r="C1439" s="38" t="n">
        <f aca="false">Q!$D$14</f>
        <v>44.374</v>
      </c>
      <c r="D1439" s="38" t="n">
        <f aca="false">Q!$E$14</f>
        <v>49.619</v>
      </c>
      <c r="E1439" s="38" t="n">
        <f aca="false">Q!$P$14</f>
        <v>27.157</v>
      </c>
      <c r="F1439" s="38" t="n">
        <f aca="false">Sens!$O$1439*(1+Sens!$F$1440)</f>
        <v>28.9776360923374</v>
      </c>
      <c r="G1439" s="38" t="n">
        <f aca="false">Sens!$E$1439+Sens!$F$1439</f>
        <v>56.1346360923374</v>
      </c>
      <c r="H1439" s="38" t="n">
        <f aca="false">Sens!$G$1439*(1+Sens!$H$1440)</f>
        <v>62.4937078946075</v>
      </c>
      <c r="I1439" s="38" t="n">
        <f aca="false">Sens!$H$1439*(1+Sens!$I$1440)</f>
        <v>68.6715233062498</v>
      </c>
      <c r="J1439" s="38" t="n">
        <f aca="false">Sens!$I$1439*(1+Sens!$J$1440)</f>
        <v>74.4692882949818</v>
      </c>
      <c r="K1439" s="38" t="n">
        <f aca="false">Sens!$J$1439*(1+Sens!$K$1440)</f>
        <v>79.6821384756306</v>
      </c>
      <c r="L1439" s="38" t="n">
        <f aca="false">Sens!$K$1439*(1+Sens!$L$1440)</f>
        <v>85.2598881689247</v>
      </c>
      <c r="M1439" s="38" t="n">
        <f aca="false">Sens!$L$1439*(1+Sens!$M$1440)</f>
        <v>91.2280803407494</v>
      </c>
      <c r="N1439" s="38" t="n">
        <f aca="false">Q!$N$14</f>
        <v>23.923</v>
      </c>
      <c r="O1439" s="38" t="n">
        <f aca="false">Q!$O$14</f>
        <v>25.696</v>
      </c>
      <c r="P1439" s="8" t="s">
        <v>621</v>
      </c>
    </row>
    <row r="1440" customFormat="false" ht="17.15" hidden="false" customHeight="false" outlineLevel="0" collapsed="false">
      <c r="A1440" s="0" t="s">
        <v>630</v>
      </c>
      <c r="B1440" s="0" t="s">
        <v>52</v>
      </c>
      <c r="E1440" s="12" t="n">
        <f aca="false">Sens!$E$1439/Sens!$N$1439-1</f>
        <v>0.135183714417088</v>
      </c>
      <c r="F1440" s="12" t="n">
        <f aca="false">Sens!$O$1439/(Q!$F$14+Q!$G$14)-1</f>
        <v>0.127709997366804</v>
      </c>
      <c r="G1440" s="12" t="n">
        <f aca="false">Sens!$G$1439/Sens!$D$1439-1</f>
        <v>0.131313329416905</v>
      </c>
      <c r="H1440" s="12" t="n">
        <f aca="false">Sens!$F$1440+(g_sub-Sens!$F$1440)*1/4</f>
        <v>0.113282498025103</v>
      </c>
      <c r="I1440" s="12" t="n">
        <f aca="false">Sens!$F$1440+(g_sub-Sens!$F$1440)*2/4</f>
        <v>0.0988549986834021</v>
      </c>
      <c r="J1440" s="12" t="n">
        <f aca="false">Sens!$F$1440+(g_sub-Sens!$F$1440)*3/4</f>
        <v>0.084427499341701</v>
      </c>
      <c r="K1440" s="12" t="n">
        <f aca="false">Sens!$F$1440+(g_sub-Sens!$F$1440)*4/4</f>
        <v>0.07</v>
      </c>
      <c r="L1440" s="12" t="n">
        <f aca="false">g_sub</f>
        <v>0.07</v>
      </c>
      <c r="M1440" s="12" t="n">
        <f aca="false">g_sub</f>
        <v>0.07</v>
      </c>
      <c r="P1440" s="8" t="s">
        <v>631</v>
      </c>
    </row>
    <row r="1441" customFormat="false" ht="17.15" hidden="false" customHeight="false" outlineLevel="0" collapsed="false">
      <c r="A1441" s="0" t="s">
        <v>484</v>
      </c>
      <c r="B1441" s="0" t="s">
        <v>73</v>
      </c>
      <c r="C1441" s="38" t="n">
        <f aca="false">Q!$D$15</f>
        <v>5.425</v>
      </c>
      <c r="D1441" s="38" t="n">
        <f aca="false">Q!$E$15</f>
        <v>5.935</v>
      </c>
      <c r="E1441" s="38" t="n">
        <f aca="false">Q!$P$15</f>
        <v>3.474</v>
      </c>
      <c r="F1441" s="38" t="n">
        <f aca="false">Sens!$O$1441*(1+Sens!$F$1442)</f>
        <v>3.36182431966931</v>
      </c>
      <c r="G1441" s="38" t="n">
        <f aca="false">Sens!$E$1441+Sens!$F$1441</f>
        <v>6.83582431966931</v>
      </c>
      <c r="H1441" s="38" t="n">
        <f aca="false">Sens!$G$1441*(1+Sens!$H$1442)</f>
        <v>7.31157108370141</v>
      </c>
      <c r="I1441" s="38" t="n">
        <f aca="false">Sens!$H$1441*(1+Sens!$I$1442)</f>
        <v>7.77266852639815</v>
      </c>
      <c r="J1441" s="38" t="n">
        <f aca="false">Sens!$I$1441*(1+Sens!$J$1442)</f>
        <v>8.2120733019884</v>
      </c>
      <c r="K1441" s="38" t="n">
        <f aca="false">Sens!$J$1441*(1+Sens!$K$1442)</f>
        <v>8.62267696708783</v>
      </c>
      <c r="L1441" s="38" t="n">
        <f aca="false">Sens!$K$1441*(1+Sens!$L$1442)</f>
        <v>9.05381081544222</v>
      </c>
      <c r="M1441" s="38" t="n">
        <f aca="false">Sens!$L$1441*(1+Sens!$M$1442)</f>
        <v>9.50650135621433</v>
      </c>
      <c r="N1441" s="38" t="n">
        <f aca="false">Q!$N$15</f>
        <v>2.811</v>
      </c>
      <c r="O1441" s="38" t="n">
        <f aca="false">Q!$O$15</f>
        <v>3.124</v>
      </c>
      <c r="P1441" s="8" t="s">
        <v>621</v>
      </c>
    </row>
    <row r="1442" customFormat="false" ht="17.15" hidden="false" customHeight="false" outlineLevel="0" collapsed="false">
      <c r="A1442" s="0" t="s">
        <v>632</v>
      </c>
      <c r="B1442" s="0" t="s">
        <v>52</v>
      </c>
      <c r="E1442" s="12" t="n">
        <f aca="false">Sens!$E$1441/Sens!$N$1441-1</f>
        <v>0.235859124866596</v>
      </c>
      <c r="F1442" s="12" t="n">
        <f aca="false">Sens!$O$1441/(Q!$F$15+Q!$G$15)-1</f>
        <v>0.0761281433000345</v>
      </c>
      <c r="G1442" s="12" t="n">
        <f aca="false">Sens!$G$1441/Sens!$D$1441-1</f>
        <v>0.151781688234087</v>
      </c>
      <c r="H1442" s="12" t="n">
        <f aca="false">Sens!$F$1442+(g_ot-Sens!$F$1442)*1/4</f>
        <v>0.0695961074750259</v>
      </c>
      <c r="I1442" s="12" t="n">
        <f aca="false">Sens!$F$1442+(g_ot-Sens!$F$1442)*2/4</f>
        <v>0.0630640716500172</v>
      </c>
      <c r="J1442" s="12" t="n">
        <f aca="false">Sens!$F$1442+(g_ot-Sens!$F$1442)*3/4</f>
        <v>0.0565320358250086</v>
      </c>
      <c r="K1442" s="12" t="n">
        <f aca="false">Sens!$F$1442+(g_ot-Sens!$F$1442)*4/4</f>
        <v>0.05</v>
      </c>
      <c r="L1442" s="12" t="n">
        <f aca="false">g_ot</f>
        <v>0.05</v>
      </c>
      <c r="M1442" s="12" t="n">
        <f aca="false">g_ot</f>
        <v>0.05</v>
      </c>
      <c r="P1442" s="8" t="s">
        <v>633</v>
      </c>
    </row>
    <row r="1443" customFormat="false" ht="17.15" hidden="false" customHeight="false" outlineLevel="0" collapsed="false">
      <c r="A1443" s="3" t="s">
        <v>634</v>
      </c>
      <c r="B1443" s="8" t="s">
        <v>73</v>
      </c>
      <c r="C1443" s="38" t="n">
        <f aca="false">Sens!$C$1431+Sens!$C$1433+Sens!$C$1435+Sens!$C$1437+Sens!$C$1439+Sens!$C$1441</f>
        <v>530.403</v>
      </c>
      <c r="D1443" s="38" t="n">
        <f aca="false">Sens!$D$1431+Sens!$D$1433+Sens!$D$1435+Sens!$D$1437+Sens!$D$1439+Sens!$D$1441</f>
        <v>588.199</v>
      </c>
      <c r="E1443" s="38" t="n">
        <f aca="false">Sens!$E$1431+Sens!$E$1433+Sens!$E$1435+Sens!$E$1437+Sens!$E$1439+Sens!$E$1441</f>
        <v>302.306</v>
      </c>
      <c r="F1443" s="38" t="n">
        <f aca="false">Sens!$F$1431+Sens!$F$1433+Sens!$F$1435+Sens!$F$1437+Sens!$F$1439+Sens!$F$1441</f>
        <v>356.93642920843</v>
      </c>
      <c r="G1443" s="38" t="n">
        <f aca="false">Sens!$G$1431+Sens!$G$1433+Sens!$G$1435+Sens!$G$1437+Sens!$G$1439+Sens!$G$1441</f>
        <v>659.24242920843</v>
      </c>
      <c r="H1443" s="38" t="n">
        <f aca="false">Sens!$H$1431+Sens!$H$1433+Sens!$H$1435+Sens!$H$1437+Sens!$H$1439+Sens!$H$1441</f>
        <v>729.935737621701</v>
      </c>
      <c r="I1443" s="38" t="n">
        <f aca="false">Sens!$I$1431+Sens!$I$1433+Sens!$I$1435+Sens!$I$1437+Sens!$I$1439+Sens!$I$1441</f>
        <v>798.295569697873</v>
      </c>
      <c r="J1443" s="38" t="n">
        <f aca="false">Sens!$J$1431+Sens!$J$1433+Sens!$J$1435+Sens!$J$1437+Sens!$J$1439+Sens!$J$1441</f>
        <v>861.736822325785</v>
      </c>
      <c r="K1443" s="38" t="n">
        <f aca="false">Sens!$K$1431+Sens!$K$1433+Sens!$K$1435+Sens!$K$1437+Sens!$K$1439+Sens!$K$1441</f>
        <v>917.557492101925</v>
      </c>
      <c r="L1443" s="38" t="n">
        <f aca="false">Sens!$L$1431+Sens!$L$1433+Sens!$L$1435+Sens!$L$1437+Sens!$L$1439+Sens!$L$1441</f>
        <v>977.285089743165</v>
      </c>
      <c r="M1443" s="38" t="n">
        <f aca="false">Sens!$M$1431+Sens!$M$1433+Sens!$M$1435+Sens!$M$1437+Sens!$M$1439+Sens!$M$1441</f>
        <v>1041.2140185435</v>
      </c>
      <c r="N1443" s="38" t="n">
        <f aca="false">Sens!$N$1431+Sens!$N$1433+Sens!$N$1435+Sens!$N$1437+Sens!$N$1439+Sens!$N$1441</f>
        <v>263.229</v>
      </c>
      <c r="O1443" s="38" t="n">
        <f aca="false">Sens!$O$1431+Sens!$O$1433+Sens!$O$1435+Sens!$O$1437+Sens!$O$1439+Sens!$O$1441</f>
        <v>324.97</v>
      </c>
    </row>
    <row r="1444" customFormat="false" ht="17.15" hidden="false" customHeight="false" outlineLevel="0" collapsed="false">
      <c r="A1444" s="5" t="s">
        <v>635</v>
      </c>
      <c r="B1444" s="0" t="s">
        <v>52</v>
      </c>
      <c r="C1444" s="12" t="n">
        <f aca="false">Q!$D$5/(Q!$D$5+Q!$D$6)</f>
        <v>0.730570905519011</v>
      </c>
      <c r="D1444" s="12" t="n">
        <f aca="false">Q!$E$5/(Q!$E$5+Q!$E$6)</f>
        <v>0.724763217890544</v>
      </c>
      <c r="E1444" s="12" t="n">
        <f aca="false">Q!$P$5/(Q!$P$5+Q!$P$6)</f>
        <v>0.728797972914861</v>
      </c>
      <c r="F1444" s="12" t="n">
        <f aca="false">Sens!$O$1444</f>
        <v>0.718066283041511</v>
      </c>
      <c r="G1444" s="12" t="n">
        <f aca="false">Sens!$G$1445/Sens!$G$1443</f>
        <v>0.722987468473627</v>
      </c>
      <c r="H1444" s="12" t="n">
        <f aca="false">Sens!$G$1444</f>
        <v>0.722987468473627</v>
      </c>
      <c r="I1444" s="12" t="n">
        <f aca="false">Sens!$G$1444</f>
        <v>0.722987468473627</v>
      </c>
      <c r="J1444" s="12" t="n">
        <f aca="false">Sens!$G$1444</f>
        <v>0.722987468473627</v>
      </c>
      <c r="K1444" s="12" t="n">
        <f aca="false">Sens!$G$1444</f>
        <v>0.722987468473627</v>
      </c>
      <c r="L1444" s="12" t="n">
        <f aca="false">Sens!$G$1444</f>
        <v>0.722987468473627</v>
      </c>
      <c r="M1444" s="12" t="n">
        <f aca="false">Sens!$G$1444</f>
        <v>0.722987468473627</v>
      </c>
      <c r="N1444" s="12" t="n">
        <f aca="false">Q!$N$5/(Q!$N$5+Q!$N$6)</f>
        <v>0.733030935041352</v>
      </c>
      <c r="O1444" s="12" t="n">
        <f aca="false">Q!$O$5/(Q!$O$5+Q!$O$6)</f>
        <v>0.718066283041511</v>
      </c>
      <c r="P1444" s="8" t="s">
        <v>636</v>
      </c>
    </row>
    <row r="1445" customFormat="false" ht="17.15" hidden="false" customHeight="false" outlineLevel="0" collapsed="false">
      <c r="A1445" s="1" t="s">
        <v>472</v>
      </c>
      <c r="B1445" s="8" t="s">
        <v>73</v>
      </c>
      <c r="C1445" s="38" t="n">
        <f aca="false">Q!$D$5</f>
        <v>387.497</v>
      </c>
      <c r="D1445" s="38" t="n">
        <f aca="false">Q!$E$5</f>
        <v>426.305</v>
      </c>
      <c r="E1445" s="38" t="n">
        <f aca="false">Q!$P$5</f>
        <v>220.32</v>
      </c>
      <c r="F1445" s="38" t="n">
        <f aca="false">Sens!$F$1443*Sens!$F$1444</f>
        <v>256.304015003807</v>
      </c>
      <c r="G1445" s="38" t="n">
        <f aca="false">Sens!$E$1445+Sens!$F$1445</f>
        <v>476.624015003807</v>
      </c>
      <c r="H1445" s="38" t="n">
        <f aca="false">Sens!$H$1443*Sens!$H$1444</f>
        <v>527.734391091543</v>
      </c>
      <c r="I1445" s="38" t="n">
        <f aca="false">Sens!$I$1443*Sens!$I$1444</f>
        <v>577.157693029577</v>
      </c>
      <c r="J1445" s="38" t="n">
        <f aca="false">Sens!$J$1443*Sens!$J$1444</f>
        <v>623.024923663827</v>
      </c>
      <c r="K1445" s="38" t="n">
        <f aca="false">Sens!$K$1443*Sens!$K$1444</f>
        <v>663.382568393781</v>
      </c>
      <c r="L1445" s="38" t="n">
        <f aca="false">Sens!$L$1443*Sens!$L$1444</f>
        <v>706.564873010432</v>
      </c>
      <c r="M1445" s="38" t="n">
        <f aca="false">Sens!$M$1443*Sens!$M$1444</f>
        <v>752.784687406019</v>
      </c>
      <c r="N1445" s="38" t="n">
        <f aca="false">Q!$N$5</f>
        <v>192.955</v>
      </c>
      <c r="O1445" s="38" t="n">
        <f aca="false">Q!$O$5</f>
        <v>233.35</v>
      </c>
      <c r="P1445" s="5" t="s">
        <v>637</v>
      </c>
    </row>
    <row r="1446" customFormat="false" ht="17.15" hidden="false" customHeight="false" outlineLevel="0" collapsed="false">
      <c r="A1446" s="1" t="s">
        <v>475</v>
      </c>
      <c r="B1446" s="8" t="s">
        <v>73</v>
      </c>
      <c r="C1446" s="38" t="n">
        <f aca="false">Q!$D$6</f>
        <v>142.906</v>
      </c>
      <c r="D1446" s="38" t="n">
        <f aca="false">Q!$E$6</f>
        <v>161.894</v>
      </c>
      <c r="E1446" s="38" t="n">
        <f aca="false">Q!$P$6</f>
        <v>81.986</v>
      </c>
      <c r="F1446" s="38" t="n">
        <f aca="false">Sens!$F$1443*(1-Sens!$F$1444)</f>
        <v>100.632414204623</v>
      </c>
      <c r="G1446" s="38" t="n">
        <f aca="false">Sens!$E$1446+Sens!$F$1446</f>
        <v>182.618414204623</v>
      </c>
      <c r="H1446" s="38" t="n">
        <f aca="false">Sens!$H$1443*(1-Sens!$H$1444)</f>
        <v>202.201346530158</v>
      </c>
      <c r="I1446" s="38" t="n">
        <f aca="false">Sens!$I$1443*(1-Sens!$I$1444)</f>
        <v>221.137876668296</v>
      </c>
      <c r="J1446" s="38" t="n">
        <f aca="false">Sens!$J$1443*(1-Sens!$J$1444)</f>
        <v>238.711898661958</v>
      </c>
      <c r="K1446" s="38" t="n">
        <f aca="false">Sens!$K$1443*(1-Sens!$K$1444)</f>
        <v>254.174923708144</v>
      </c>
      <c r="L1446" s="38" t="n">
        <f aca="false">Sens!$L$1443*(1-Sens!$L$1444)</f>
        <v>270.720216732733</v>
      </c>
      <c r="M1446" s="38" t="n">
        <f aca="false">Sens!$M$1443*(1-Sens!$M$1444)</f>
        <v>288.429331137484</v>
      </c>
      <c r="N1446" s="38" t="n">
        <f aca="false">Q!$N$6</f>
        <v>70.274</v>
      </c>
      <c r="O1446" s="38" t="n">
        <f aca="false">Q!$O$6</f>
        <v>91.62</v>
      </c>
      <c r="P1446" s="5" t="s">
        <v>638</v>
      </c>
    </row>
    <row r="1447" customFormat="false" ht="17.15" hidden="false" customHeight="false" outlineLevel="0" collapsed="false">
      <c r="A1447" s="5" t="s">
        <v>639</v>
      </c>
      <c r="B1447" s="0" t="s">
        <v>73</v>
      </c>
      <c r="C1447" s="38" t="n">
        <f aca="false">Sens!$C$1437*Sens!$C$1444</f>
        <v>41.0683128828457</v>
      </c>
      <c r="D1447" s="38" t="n">
        <f aca="false">Sens!$D$1437*Sens!$D$1444</f>
        <v>49.7441234599175</v>
      </c>
      <c r="E1447" s="38" t="n">
        <f aca="false">Sens!$E$1437*Sens!$E$1444</f>
        <v>27.0034224924414</v>
      </c>
      <c r="F1447" s="38" t="n">
        <f aca="false">Sens!$F$1437*Sens!$F$1444</f>
        <v>34.5772885649197</v>
      </c>
      <c r="G1447" s="38" t="n">
        <f aca="false">Sens!$G$1437*Sens!$G$1444</f>
        <v>61.6023917531772</v>
      </c>
      <c r="H1447" s="38" t="n">
        <f aca="false">Sens!$H$1437*Sens!$H$1444</f>
        <v>73.9568187320519</v>
      </c>
      <c r="I1447" s="38" t="n">
        <f aca="false">Sens!$I$1437*Sens!$I$1444</f>
        <v>86.3101265625461</v>
      </c>
      <c r="J1447" s="38" t="n">
        <f aca="false">Sens!$J$1437*Sens!$J$1444</f>
        <v>97.8339983977065</v>
      </c>
      <c r="K1447" s="38" t="n">
        <f aca="false">Sens!$K$1437*Sens!$K$1444</f>
        <v>107.617398237477</v>
      </c>
      <c r="L1447" s="38" t="n">
        <f aca="false">Sens!$L$1437*Sens!$L$1444</f>
        <v>118.379138061225</v>
      </c>
      <c r="M1447" s="38" t="n">
        <f aca="false">Sens!$M$1437*Sens!$M$1444</f>
        <v>130.217051867347</v>
      </c>
      <c r="N1447" s="38" t="n">
        <f aca="false">Sens!$N$1437*Sens!$N$1444</f>
        <v>21.7087111412496</v>
      </c>
      <c r="O1447" s="38" t="n">
        <f aca="false">Sens!$O$1437*Sens!$O$1444</f>
        <v>28.0189463642798</v>
      </c>
      <c r="P1447" s="5" t="s">
        <v>640</v>
      </c>
    </row>
    <row r="1448" customFormat="false" ht="15" hidden="false" customHeight="false" outlineLevel="0" collapsed="false">
      <c r="A1448" s="5" t="s">
        <v>641</v>
      </c>
      <c r="B1448" s="0" t="s">
        <v>73</v>
      </c>
      <c r="C1448" s="38" t="n">
        <f aca="false">Sens!$C$1437-Sens!$C$1447</f>
        <v>15.1456871171543</v>
      </c>
      <c r="D1448" s="38" t="n">
        <f aca="false">Sens!$D$1437-Sens!$D$1447</f>
        <v>18.8908765400825</v>
      </c>
      <c r="E1448" s="38" t="n">
        <f aca="false">Sens!$E$1437-Sens!$E$1447</f>
        <v>10.0485775075586</v>
      </c>
      <c r="F1448" s="38" t="n">
        <f aca="false">Sens!$F$1437-Sens!$F$1447</f>
        <v>13.5760496178185</v>
      </c>
      <c r="G1448" s="38" t="n">
        <f aca="false">Sens!$G$1437-Sens!$G$1447</f>
        <v>23.6029464295611</v>
      </c>
      <c r="H1448" s="38" t="n">
        <f aca="false">Sens!$H$1437-Sens!$H$1447</f>
        <v>28.3365431268884</v>
      </c>
      <c r="I1448" s="38" t="n">
        <f aca="false">Sens!$I$1437-Sens!$I$1447</f>
        <v>33.0697110226949</v>
      </c>
      <c r="J1448" s="38" t="n">
        <f aca="false">Sens!$J$1437-Sens!$J$1447</f>
        <v>37.4850806511378</v>
      </c>
      <c r="K1448" s="38" t="n">
        <f aca="false">Sens!$K$1437-Sens!$K$1447</f>
        <v>41.2335887162515</v>
      </c>
      <c r="L1448" s="38" t="n">
        <f aca="false">Sens!$L$1437-Sens!$L$1447</f>
        <v>45.3569475878767</v>
      </c>
      <c r="M1448" s="38" t="n">
        <f aca="false">Sens!$M$1437-Sens!$M$1447</f>
        <v>49.8926423466644</v>
      </c>
      <c r="N1448" s="38" t="n">
        <f aca="false">Sens!$N$1437-Sens!$N$1447</f>
        <v>7.90628885875037</v>
      </c>
      <c r="O1448" s="38" t="n">
        <f aca="false">Sens!$O$1437-Sens!$O$1447</f>
        <v>11.0010536357202</v>
      </c>
    </row>
    <row r="1449" customFormat="false" ht="19.4" hidden="false" customHeight="false" outlineLevel="0" collapsed="false">
      <c r="A1449" s="31" t="s">
        <v>1074</v>
      </c>
    </row>
    <row r="1450" customFormat="false" ht="17.15" hidden="false" customHeight="false" outlineLevel="0" collapsed="false">
      <c r="A1450" s="6" t="s">
        <v>16</v>
      </c>
      <c r="B1450" s="6" t="s">
        <v>17</v>
      </c>
      <c r="C1450" s="20" t="s">
        <v>457</v>
      </c>
      <c r="D1450" s="20" t="s">
        <v>458</v>
      </c>
      <c r="E1450" s="20" t="s">
        <v>540</v>
      </c>
      <c r="F1450" s="20" t="s">
        <v>541</v>
      </c>
      <c r="G1450" s="20" t="s">
        <v>542</v>
      </c>
      <c r="H1450" s="20" t="s">
        <v>543</v>
      </c>
      <c r="I1450" s="20" t="s">
        <v>544</v>
      </c>
      <c r="J1450" s="20" t="s">
        <v>545</v>
      </c>
      <c r="K1450" s="20" t="s">
        <v>546</v>
      </c>
      <c r="L1450" s="20" t="s">
        <v>547</v>
      </c>
      <c r="M1450" s="20" t="s">
        <v>548</v>
      </c>
      <c r="N1450" s="20" t="s">
        <v>549</v>
      </c>
      <c r="O1450" s="20" t="s">
        <v>550</v>
      </c>
      <c r="P1450" s="6" t="s">
        <v>23</v>
      </c>
      <c r="R1450" s="20" t="n">
        <v>2023</v>
      </c>
      <c r="S1450" s="20" t="n">
        <v>2024</v>
      </c>
      <c r="T1450" s="20" t="n">
        <v>2025</v>
      </c>
      <c r="U1450" s="20" t="n">
        <v>2026</v>
      </c>
      <c r="V1450" s="20" t="n">
        <v>2027</v>
      </c>
      <c r="W1450" s="20" t="n">
        <v>2028</v>
      </c>
      <c r="X1450" s="20" t="n">
        <v>2029</v>
      </c>
      <c r="Y1450" s="20" t="n">
        <v>2030</v>
      </c>
      <c r="Z1450" s="20" t="n">
        <v>2031</v>
      </c>
      <c r="AA1450" s="20" t="n">
        <v>2032</v>
      </c>
    </row>
    <row r="1451" customFormat="false" ht="17.15" hidden="false" customHeight="false" outlineLevel="0" collapsed="false">
      <c r="A1451" s="1" t="s">
        <v>551</v>
      </c>
    </row>
    <row r="1452" customFormat="false" ht="17.15" hidden="false" customHeight="false" outlineLevel="0" collapsed="false">
      <c r="A1452" s="14" t="s">
        <v>552</v>
      </c>
      <c r="B1452" s="13" t="s">
        <v>108</v>
      </c>
      <c r="C1452" s="32" t="n">
        <f aca="false">mw_ye24</f>
        <v>360</v>
      </c>
      <c r="D1452" s="32" t="n">
        <f aca="false">mw_ye25</f>
        <v>1440</v>
      </c>
      <c r="E1452" s="32" t="n">
        <f aca="false">mw_open</f>
        <v>2080</v>
      </c>
      <c r="F1452" s="32" t="n">
        <f aca="false">Sens!$E$1452+(pace_B*1.25)*0.5</f>
        <v>4351.4375</v>
      </c>
      <c r="G1452" s="32" t="n">
        <f aca="false">Sens!$F$1452</f>
        <v>4351.4375</v>
      </c>
      <c r="H1452" s="32" t="n">
        <f aca="false">Sens!$G$1452+(pace_B*1.25)</f>
        <v>8894.3125</v>
      </c>
      <c r="I1452" s="32" t="n">
        <f aca="false">Sens!$H$1452+(pace_B*1.25)</f>
        <v>13437.1875</v>
      </c>
      <c r="J1452" s="32" t="n">
        <f aca="false">Sens!$I$1452+(pace_B*1.25)</f>
        <v>17980.0625</v>
      </c>
      <c r="K1452" s="32" t="n">
        <f aca="false">Sens!$J$1452+(pace_B*1.25)</f>
        <v>22522.9375</v>
      </c>
      <c r="L1452" s="32" t="n">
        <f aca="false">Sens!$K$1452+(pace_B*1.25)</f>
        <v>27065.8125</v>
      </c>
      <c r="M1452" s="32" t="n">
        <f aca="false">Sens!$L$1452+(pace_B*1.25)</f>
        <v>31608.6875</v>
      </c>
      <c r="N1452" s="32" t="n">
        <f aca="false">(mw_ye24+mw_ye25)/2</f>
        <v>900</v>
      </c>
      <c r="O1452" s="32" t="n">
        <f aca="false">mw_ye25</f>
        <v>1440</v>
      </c>
      <c r="P1452" s="5" t="s">
        <v>553</v>
      </c>
    </row>
    <row r="1453" customFormat="false" ht="17.15" hidden="false" customHeight="false" outlineLevel="0" collapsed="false">
      <c r="A1453" s="5" t="s">
        <v>554</v>
      </c>
      <c r="B1453" s="0" t="s">
        <v>108</v>
      </c>
      <c r="C1453" s="33" t="n">
        <f aca="false">(mw_ye23+mw_ye24)/2</f>
        <v>240</v>
      </c>
      <c r="D1453" s="33" t="n">
        <f aca="false">(Sens!$C$1452+Sens!$D$1452)/2</f>
        <v>900</v>
      </c>
      <c r="E1453" s="33" t="n">
        <f aca="false">(Sens!$D$1452+Sens!$E$1452)/2</f>
        <v>1760</v>
      </c>
      <c r="F1453" s="33" t="n">
        <f aca="false">(Sens!$E$1452+Sens!$F$1452)/2</f>
        <v>3215.71875</v>
      </c>
      <c r="G1453" s="33" t="n">
        <f aca="false">(Sens!$E$1453+Sens!$F$1453)/2</f>
        <v>2487.859375</v>
      </c>
      <c r="H1453" s="33" t="n">
        <f aca="false">(Sens!$G$1452+Sens!$H$1452)/2</f>
        <v>6622.875</v>
      </c>
      <c r="I1453" s="33" t="n">
        <f aca="false">(Sens!$H$1452+Sens!$I$1452)/2</f>
        <v>11165.75</v>
      </c>
      <c r="J1453" s="33" t="n">
        <f aca="false">(Sens!$I$1452+Sens!$J$1452)/2</f>
        <v>15708.625</v>
      </c>
      <c r="K1453" s="33" t="n">
        <f aca="false">(Sens!$J$1452+Sens!$K$1452)/2</f>
        <v>20251.5</v>
      </c>
      <c r="L1453" s="33" t="n">
        <f aca="false">(Sens!$K$1452+Sens!$L$1452)/2</f>
        <v>24794.375</v>
      </c>
      <c r="M1453" s="33" t="n">
        <f aca="false">(Sens!$L$1452+Sens!$M$1452)/2</f>
        <v>29337.25</v>
      </c>
      <c r="N1453" s="33" t="n">
        <f aca="false">(Sens!$C$1452+Sens!$N$1452)/2</f>
        <v>630</v>
      </c>
      <c r="O1453" s="33" t="n">
        <f aca="false">(Sens!$N$1452+Sens!$O$1452)/2</f>
        <v>1170</v>
      </c>
    </row>
    <row r="1454" customFormat="false" ht="15" hidden="false" customHeight="false" outlineLevel="0" collapsed="false">
      <c r="A1454" s="5" t="s">
        <v>555</v>
      </c>
      <c r="B1454" s="5" t="s">
        <v>102</v>
      </c>
      <c r="C1454" s="34" t="n">
        <v>1</v>
      </c>
      <c r="D1454" s="34" t="n">
        <v>1</v>
      </c>
      <c r="E1454" s="34" t="n">
        <v>0.5</v>
      </c>
      <c r="F1454" s="34" t="n">
        <v>0.5</v>
      </c>
      <c r="G1454" s="34" t="n">
        <v>1</v>
      </c>
      <c r="H1454" s="34" t="n">
        <v>1</v>
      </c>
      <c r="I1454" s="34" t="n">
        <v>1</v>
      </c>
      <c r="J1454" s="34" t="n">
        <v>1</v>
      </c>
      <c r="K1454" s="34" t="n">
        <v>1</v>
      </c>
      <c r="L1454" s="34" t="n">
        <v>1</v>
      </c>
      <c r="M1454" s="34" t="n">
        <v>1</v>
      </c>
      <c r="N1454" s="34" t="n">
        <v>0.5</v>
      </c>
      <c r="O1454" s="34" t="n">
        <v>0.5</v>
      </c>
    </row>
    <row r="1455" customFormat="false" ht="17.15" hidden="false" customHeight="false" outlineLevel="0" collapsed="false">
      <c r="A1455" s="5" t="s">
        <v>556</v>
      </c>
      <c r="B1455" s="0" t="s">
        <v>108</v>
      </c>
      <c r="C1455" s="33" t="n">
        <f aca="false">Sens!$C$1452-mw_ye23</f>
        <v>240</v>
      </c>
      <c r="D1455" s="33" t="n">
        <f aca="false">Sens!$D$1452-Sens!$C$1452</f>
        <v>1080</v>
      </c>
      <c r="E1455" s="33" t="n">
        <f aca="false">Sens!$E$1452-Sens!$D$1452</f>
        <v>640</v>
      </c>
      <c r="F1455" s="33" t="n">
        <f aca="false">Sens!$F$1452-Sens!$E$1452</f>
        <v>2271.4375</v>
      </c>
      <c r="G1455" s="33" t="n">
        <f aca="false">Sens!$E$1455+Sens!$F$1455</f>
        <v>2911.4375</v>
      </c>
      <c r="H1455" s="33" t="n">
        <f aca="false">Sens!$H$1452-Sens!$G$1452</f>
        <v>4542.875</v>
      </c>
      <c r="I1455" s="33" t="n">
        <f aca="false">Sens!$I$1452-Sens!$H$1452</f>
        <v>4542.875</v>
      </c>
      <c r="J1455" s="33" t="n">
        <f aca="false">Sens!$J$1452-Sens!$I$1452</f>
        <v>4542.875</v>
      </c>
      <c r="K1455" s="33" t="n">
        <f aca="false">Sens!$K$1452-Sens!$J$1452</f>
        <v>4542.875</v>
      </c>
      <c r="L1455" s="33" t="n">
        <f aca="false">Sens!$L$1452-Sens!$K$1452</f>
        <v>4542.875</v>
      </c>
      <c r="M1455" s="33" t="n">
        <f aca="false">Sens!$M$1452-Sens!$L$1452</f>
        <v>4542.875</v>
      </c>
      <c r="N1455" s="33" t="n">
        <f aca="false">Sens!$N$1452-Sens!$C$1452</f>
        <v>540</v>
      </c>
      <c r="O1455" s="33" t="n">
        <f aca="false">Sens!$O$1452-Sens!$N$1452</f>
        <v>540</v>
      </c>
    </row>
    <row r="1456" customFormat="false" ht="17.15" hidden="false" customHeight="false" outlineLevel="0" collapsed="false">
      <c r="A1456" s="5" t="s">
        <v>557</v>
      </c>
      <c r="B1456" s="0" t="s">
        <v>108</v>
      </c>
      <c r="C1456" s="33" t="n">
        <f aca="false">Sens!$C$1455/ext_sh</f>
        <v>300</v>
      </c>
      <c r="D1456" s="33" t="n">
        <f aca="false">Sens!$D$1455/ext_sh</f>
        <v>1350</v>
      </c>
      <c r="E1456" s="33" t="n">
        <f aca="false">Sens!$E$1455/ext_sh</f>
        <v>800</v>
      </c>
      <c r="F1456" s="33" t="n">
        <f aca="false">Sens!$F$1455/ext_sh</f>
        <v>2839.296875</v>
      </c>
      <c r="G1456" s="33" t="n">
        <f aca="false">Sens!$G$1455/ext_sh</f>
        <v>3639.296875</v>
      </c>
      <c r="H1456" s="33" t="n">
        <f aca="false">Sens!$H$1455/ext_sh</f>
        <v>5678.59375</v>
      </c>
      <c r="I1456" s="33" t="n">
        <f aca="false">Sens!$I$1455/ext_sh</f>
        <v>5678.59375</v>
      </c>
      <c r="J1456" s="33" t="n">
        <f aca="false">Sens!$J$1455/ext_sh</f>
        <v>5678.59375</v>
      </c>
      <c r="K1456" s="33" t="n">
        <f aca="false">Sens!$K$1455/ext_sh</f>
        <v>5678.59375</v>
      </c>
      <c r="L1456" s="33" t="n">
        <f aca="false">Sens!$L$1455/ext_sh</f>
        <v>5678.59375</v>
      </c>
      <c r="M1456" s="33" t="n">
        <f aca="false">Sens!$M$1455/ext_sh</f>
        <v>5678.59375</v>
      </c>
      <c r="N1456" s="33" t="n">
        <f aca="false">Sens!$N$1455/ext_sh</f>
        <v>675</v>
      </c>
      <c r="O1456" s="33" t="n">
        <f aca="false">Sens!$O$1455/ext_sh</f>
        <v>675</v>
      </c>
      <c r="P1456" s="8" t="s">
        <v>558</v>
      </c>
      <c r="R1456" s="33" t="n">
        <f aca="false">mw_ye23/ext_sh</f>
        <v>150</v>
      </c>
      <c r="S1456" s="33" t="n">
        <f aca="false">Sens!$C$1456</f>
        <v>300</v>
      </c>
      <c r="T1456" s="33" t="n">
        <f aca="false">Sens!$D$1456</f>
        <v>1350</v>
      </c>
      <c r="U1456" s="33" t="n">
        <f aca="false">Sens!$G$1456</f>
        <v>3639.296875</v>
      </c>
      <c r="V1456" s="33" t="n">
        <f aca="false">Sens!$H$1456</f>
        <v>5678.59375</v>
      </c>
      <c r="W1456" s="33" t="n">
        <f aca="false">Sens!$I$1456</f>
        <v>5678.59375</v>
      </c>
      <c r="X1456" s="33" t="n">
        <f aca="false">Sens!$J$1456</f>
        <v>5678.59375</v>
      </c>
      <c r="Y1456" s="33" t="n">
        <f aca="false">Sens!$K$1456</f>
        <v>5678.59375</v>
      </c>
      <c r="Z1456" s="33" t="n">
        <f aca="false">Sens!$L$1456</f>
        <v>5678.59375</v>
      </c>
      <c r="AA1456" s="33" t="n">
        <f aca="false">Sens!$M$1456</f>
        <v>5678.59375</v>
      </c>
    </row>
    <row r="1457" customFormat="false" ht="17.15" hidden="false" customHeight="false" outlineLevel="0" collapsed="false">
      <c r="A1457" s="1" t="s">
        <v>559</v>
      </c>
    </row>
    <row r="1458" customFormat="false" ht="17.15" hidden="false" customHeight="false" outlineLevel="0" collapsed="false">
      <c r="A1458" s="0" t="s">
        <v>560</v>
      </c>
      <c r="B1458" s="0" t="s">
        <v>52</v>
      </c>
      <c r="F1458" s="35" t="n">
        <f aca="false">na_vr26</f>
        <v>0</v>
      </c>
      <c r="G1458" s="35" t="n">
        <f aca="false">na_vr26</f>
        <v>0</v>
      </c>
      <c r="H1458" s="35" t="n">
        <f aca="false">na_vr27</f>
        <v>0.5</v>
      </c>
      <c r="I1458" s="35" t="n">
        <f aca="false">na_vr28</f>
        <v>1</v>
      </c>
      <c r="J1458" s="35" t="n">
        <f aca="false">na_vr28</f>
        <v>1</v>
      </c>
      <c r="K1458" s="35" t="n">
        <f aca="false">na_vr28</f>
        <v>1</v>
      </c>
      <c r="L1458" s="35" t="n">
        <f aca="false">na_vr28</f>
        <v>1</v>
      </c>
      <c r="M1458" s="35" t="n">
        <f aca="false">na_vr28</f>
        <v>1</v>
      </c>
    </row>
    <row r="1459" customFormat="false" ht="17.15" hidden="false" customHeight="false" outlineLevel="0" collapsed="false">
      <c r="A1459" s="5" t="s">
        <v>561</v>
      </c>
      <c r="B1459" s="0" t="s">
        <v>151</v>
      </c>
      <c r="F1459" s="36" t="n">
        <f aca="false">cust_sh*tk_he_gb300*cf_chip+(1-cust_sh)*((1-Sens!$F$1458)*tk_he_gb300+Sens!$F$1458*tk_he_vr200)</f>
        <v>10.8864110021101</v>
      </c>
      <c r="G1459" s="36" t="n">
        <f aca="false">cust_sh*tk_he_gb300*cf_chip+(1-cust_sh)*((1-Sens!$G$1458)*tk_he_gb300+Sens!$G$1458*tk_he_vr200)</f>
        <v>10.8864110021101</v>
      </c>
      <c r="H1459" s="36" t="n">
        <f aca="false">cust_sh*tk_he_gb300*cf_chip+(1-cust_sh)*((1-Sens!$H$1458)*tk_he_gb300+Sens!$H$1458*tk_he_vr200)</f>
        <v>11.2211760027286</v>
      </c>
      <c r="I1459" s="36" t="n">
        <f aca="false">cust_sh*tk_he_gb300*cf_chip+(1-cust_sh)*((1-Sens!$I$1458)*tk_he_gb300+Sens!$I$1458*tk_he_vr200)</f>
        <v>11.5559410033471</v>
      </c>
      <c r="J1459" s="36" t="n">
        <f aca="false">cust_sh*tk_he_gb300*cf_chip+(1-cust_sh)*((1-Sens!$J$1458)*tk_he_gb300+Sens!$J$1458*tk_he_vr200)</f>
        <v>11.5559410033471</v>
      </c>
      <c r="K1459" s="36" t="n">
        <f aca="false">cust_sh*tk_he_gb300*cf_chip+(1-cust_sh)*((1-Sens!$K$1458)*tk_he_gb300+Sens!$K$1458*tk_he_vr200)</f>
        <v>11.5559410033471</v>
      </c>
      <c r="L1459" s="36" t="n">
        <f aca="false">cust_sh*tk_he_gb300*cf_chip+(1-cust_sh)*((1-Sens!$L$1458)*tk_he_gb300+Sens!$L$1458*tk_he_vr200)</f>
        <v>11.5559410033471</v>
      </c>
      <c r="M1459" s="36" t="n">
        <f aca="false">cust_sh*tk_he_gb300*cf_chip+(1-cust_sh)*((1-Sens!$M$1458)*tk_he_gb300+Sens!$M$1458*tk_he_vr200)</f>
        <v>11.5559410033471</v>
      </c>
    </row>
    <row r="1460" customFormat="false" ht="17.15" hidden="false" customHeight="false" outlineLevel="0" collapsed="false">
      <c r="A1460" s="5" t="s">
        <v>562</v>
      </c>
      <c r="B1460" s="0" t="s">
        <v>151</v>
      </c>
      <c r="F1460" s="36" t="n">
        <f aca="false">cust_sh*tk_ox_gb300+(1-cust_sh)*((1-Sens!$F$1458)*tk_ox_gb300+Sens!$F$1458*tk_ox_vr200)</f>
        <v>1.98263481314457</v>
      </c>
      <c r="G1460" s="36" t="n">
        <f aca="false">cust_sh*tk_ox_gb300+(1-cust_sh)*((1-Sens!$G$1458)*tk_ox_gb300+Sens!$G$1458*tk_ox_vr200)</f>
        <v>1.98263481314457</v>
      </c>
      <c r="H1460" s="36" t="n">
        <f aca="false">cust_sh*tk_ox_gb300+(1-cust_sh)*((1-Sens!$H$1458)*tk_ox_gb300+Sens!$H$1458*tk_ox_vr200)</f>
        <v>2.01034999693694</v>
      </c>
      <c r="I1460" s="36" t="n">
        <f aca="false">cust_sh*tk_ox_gb300+(1-cust_sh)*((1-Sens!$I$1458)*tk_ox_gb300+Sens!$I$1458*tk_ox_vr200)</f>
        <v>2.0380651807293</v>
      </c>
      <c r="J1460" s="36" t="n">
        <f aca="false">cust_sh*tk_ox_gb300+(1-cust_sh)*((1-Sens!$J$1458)*tk_ox_gb300+Sens!$J$1458*tk_ox_vr200)</f>
        <v>2.0380651807293</v>
      </c>
      <c r="K1460" s="36" t="n">
        <f aca="false">cust_sh*tk_ox_gb300+(1-cust_sh)*((1-Sens!$K$1458)*tk_ox_gb300+Sens!$K$1458*tk_ox_vr200)</f>
        <v>2.0380651807293</v>
      </c>
      <c r="L1460" s="36" t="n">
        <f aca="false">cust_sh*tk_ox_gb300+(1-cust_sh)*((1-Sens!$L$1458)*tk_ox_gb300+Sens!$L$1458*tk_ox_vr200)</f>
        <v>2.0380651807293</v>
      </c>
      <c r="M1460" s="36" t="n">
        <f aca="false">cust_sh*tk_ox_gb300+(1-cust_sh)*((1-Sens!$M$1458)*tk_ox_gb300+Sens!$M$1458*tk_ox_vr200)</f>
        <v>2.0380651807293</v>
      </c>
    </row>
    <row r="1461" customFormat="false" ht="17.15" hidden="false" customHeight="false" outlineLevel="0" collapsed="false">
      <c r="A1461" s="5" t="s">
        <v>563</v>
      </c>
      <c r="B1461" s="0" t="s">
        <v>170</v>
      </c>
      <c r="F1461" s="36" t="n">
        <f aca="false">cust_sh*tk_cx_gb300*cf_cx+(1-cust_sh)*((1-Sens!$F$1458)*tk_cx_gb300+Sens!$F$1458*tk_cx_vr200)</f>
        <v>32.237224</v>
      </c>
      <c r="G1461" s="36" t="n">
        <f aca="false">cust_sh*tk_cx_gb300*cf_cx+(1-cust_sh)*((1-Sens!$G$1458)*tk_cx_gb300+Sens!$G$1458*tk_cx_vr200)</f>
        <v>32.237224</v>
      </c>
      <c r="H1461" s="36" t="n">
        <f aca="false">cust_sh*tk_cx_gb300*cf_cx+(1-cust_sh)*((1-Sens!$H$1458)*tk_cx_gb300+Sens!$H$1458*tk_cx_vr200)</f>
        <v>33.574506</v>
      </c>
      <c r="I1461" s="36" t="n">
        <f aca="false">cust_sh*tk_cx_gb300*cf_cx+(1-cust_sh)*((1-Sens!$I$1458)*tk_cx_gb300+Sens!$I$1458*tk_cx_vr200)</f>
        <v>34.911788</v>
      </c>
      <c r="J1461" s="36" t="n">
        <f aca="false">cust_sh*tk_cx_gb300*cf_cx+(1-cust_sh)*((1-Sens!$J$1458)*tk_cx_gb300+Sens!$J$1458*tk_cx_vr200)</f>
        <v>34.911788</v>
      </c>
      <c r="K1461" s="36" t="n">
        <f aca="false">cust_sh*tk_cx_gb300*cf_cx+(1-cust_sh)*((1-Sens!$K$1458)*tk_cx_gb300+Sens!$K$1458*tk_cx_vr200)</f>
        <v>34.911788</v>
      </c>
      <c r="L1461" s="36" t="n">
        <f aca="false">cust_sh*tk_cx_gb300*cf_cx+(1-cust_sh)*((1-Sens!$L$1458)*tk_cx_gb300+Sens!$L$1458*tk_cx_vr200)</f>
        <v>34.911788</v>
      </c>
      <c r="M1461" s="36" t="n">
        <f aca="false">cust_sh*tk_cx_gb300*cf_cx+(1-cust_sh)*((1-Sens!$M$1458)*tk_cx_gb300+Sens!$M$1458*tk_cx_vr200)</f>
        <v>34.911788</v>
      </c>
    </row>
    <row r="1462" customFormat="false" ht="17.15" hidden="false" customHeight="false" outlineLevel="0" collapsed="false">
      <c r="A1462" s="5" t="s">
        <v>564</v>
      </c>
      <c r="B1462" s="0" t="s">
        <v>108</v>
      </c>
      <c r="F1462" s="33" t="n">
        <f aca="false">Sens!$F$1452-mw_open</f>
        <v>2271.4375</v>
      </c>
      <c r="G1462" s="33" t="n">
        <f aca="false">Sens!$F$1462</f>
        <v>2271.4375</v>
      </c>
      <c r="H1462" s="33" t="n">
        <f aca="false">Sens!$H$1452-mw_open</f>
        <v>6814.3125</v>
      </c>
      <c r="I1462" s="33" t="n">
        <f aca="false">Sens!$I$1452-mw_open</f>
        <v>11357.1875</v>
      </c>
      <c r="J1462" s="33" t="n">
        <f aca="false">Sens!$J$1452-mw_open</f>
        <v>15900.0625</v>
      </c>
      <c r="K1462" s="33" t="n">
        <f aca="false">Sens!$K$1452-mw_open</f>
        <v>20442.9375</v>
      </c>
      <c r="L1462" s="33" t="n">
        <f aca="false">Sens!$L$1452-mw_open</f>
        <v>24985.8125</v>
      </c>
      <c r="M1462" s="33" t="n">
        <f aca="false">Sens!$M$1452-mw_open</f>
        <v>29528.6875</v>
      </c>
    </row>
    <row r="1463" customFormat="false" ht="17.15" hidden="false" customHeight="false" outlineLevel="0" collapsed="false">
      <c r="A1463" s="0" t="s">
        <v>565</v>
      </c>
      <c r="B1463" s="0" t="s">
        <v>566</v>
      </c>
      <c r="F1463" s="33" t="n">
        <f aca="false">Sens!$F$1455*Sens!$F$1459</f>
        <v>24727.8021906055</v>
      </c>
      <c r="G1463" s="33" t="n">
        <f aca="false">Sens!$F$1463</f>
        <v>24727.8021906055</v>
      </c>
      <c r="H1463" s="33" t="n">
        <f aca="false">Sens!$G$1463+Sens!$H$1455*Sens!$H$1459</f>
        <v>75704.2021240012</v>
      </c>
      <c r="I1463" s="33" t="n">
        <f aca="false">Sens!$H$1463+Sens!$I$1455*Sens!$I$1459</f>
        <v>128201.397609582</v>
      </c>
      <c r="J1463" s="33" t="n">
        <f aca="false">Sens!$I$1463+Sens!$J$1455*Sens!$J$1459</f>
        <v>180698.593095162</v>
      </c>
      <c r="K1463" s="33" t="n">
        <f aca="false">Sens!$J$1463+Sens!$K$1455*Sens!$K$1459</f>
        <v>233195.788580743</v>
      </c>
      <c r="L1463" s="33" t="n">
        <f aca="false">Sens!$K$1463+Sens!$L$1455*Sens!$L$1459</f>
        <v>285692.984066323</v>
      </c>
      <c r="M1463" s="33" t="n">
        <f aca="false">Sens!$L$1463+Sens!$M$1455*Sens!$M$1459</f>
        <v>338190.179551904</v>
      </c>
    </row>
    <row r="1464" customFormat="false" ht="17.15" hidden="false" customHeight="false" outlineLevel="0" collapsed="false">
      <c r="A1464" s="0" t="s">
        <v>567</v>
      </c>
      <c r="B1464" s="0" t="s">
        <v>566</v>
      </c>
      <c r="F1464" s="33" t="n">
        <f aca="false">Sens!$F$1455*Sens!$F$1460</f>
        <v>4503.43106338207</v>
      </c>
      <c r="G1464" s="33" t="n">
        <f aca="false">Sens!$F$1464</f>
        <v>4503.43106338207</v>
      </c>
      <c r="H1464" s="33" t="n">
        <f aca="false">Sens!$G$1464+Sens!$H$1455*Sens!$H$1460</f>
        <v>13636.1998057169</v>
      </c>
      <c r="I1464" s="33" t="n">
        <f aca="false">Sens!$H$1464+Sens!$I$1455*Sens!$I$1460</f>
        <v>22894.8751636226</v>
      </c>
      <c r="J1464" s="33" t="n">
        <f aca="false">Sens!$I$1464+Sens!$J$1455*Sens!$J$1460</f>
        <v>32153.5505215282</v>
      </c>
      <c r="K1464" s="33" t="n">
        <f aca="false">Sens!$J$1464+Sens!$K$1455*Sens!$K$1460</f>
        <v>41412.2258794338</v>
      </c>
      <c r="L1464" s="33" t="n">
        <f aca="false">Sens!$K$1464+Sens!$L$1455*Sens!$L$1460</f>
        <v>50670.9012373394</v>
      </c>
      <c r="M1464" s="33" t="n">
        <f aca="false">Sens!$L$1464+Sens!$M$1455*Sens!$M$1460</f>
        <v>59929.576595245</v>
      </c>
    </row>
    <row r="1465" customFormat="false" ht="17.15" hidden="false" customHeight="false" outlineLevel="0" collapsed="false">
      <c r="A1465" s="5" t="s">
        <v>568</v>
      </c>
      <c r="B1465" s="0" t="s">
        <v>151</v>
      </c>
      <c r="F1465" s="36" t="n">
        <f aca="false">IF(Sens!$F$1462&gt;0,Sens!$F$1463/Sens!$F$1462,Sens!$F$1459)</f>
        <v>10.8864110021101</v>
      </c>
      <c r="G1465" s="36" t="n">
        <f aca="false">IF(Sens!$G$1462&gt;0,Sens!$G$1463/Sens!$G$1462,Sens!$G$1459)</f>
        <v>10.8864110021101</v>
      </c>
      <c r="H1465" s="36" t="n">
        <f aca="false">IF(Sens!$H$1462&gt;0,Sens!$H$1463/Sens!$H$1462,Sens!$H$1459)</f>
        <v>11.1095876691891</v>
      </c>
      <c r="I1465" s="36" t="n">
        <f aca="false">IF(Sens!$I$1462&gt;0,Sens!$I$1463/Sens!$I$1462,Sens!$I$1459)</f>
        <v>11.2881290028523</v>
      </c>
      <c r="J1465" s="36" t="n">
        <f aca="false">IF(Sens!$J$1462&gt;0,Sens!$J$1463/Sens!$J$1462,Sens!$J$1459)</f>
        <v>11.3646467172794</v>
      </c>
      <c r="K1465" s="36" t="n">
        <f aca="false">IF(Sens!$K$1462&gt;0,Sens!$K$1463/Sens!$K$1462,Sens!$K$1459)</f>
        <v>11.4071565586278</v>
      </c>
      <c r="L1465" s="36" t="n">
        <f aca="false">IF(Sens!$L$1462&gt;0,Sens!$L$1463/Sens!$L$1462,Sens!$L$1459)</f>
        <v>11.4342082758495</v>
      </c>
      <c r="M1465" s="36" t="n">
        <f aca="false">IF(Sens!$M$1462&gt;0,Sens!$M$1463/Sens!$M$1462,Sens!$M$1459)</f>
        <v>11.4529363877722</v>
      </c>
    </row>
    <row r="1466" customFormat="false" ht="17.15" hidden="false" customHeight="false" outlineLevel="0" collapsed="false">
      <c r="A1466" s="5" t="s">
        <v>569</v>
      </c>
      <c r="B1466" s="0" t="s">
        <v>151</v>
      </c>
      <c r="F1466" s="36" t="n">
        <f aca="false">IF(Sens!$F$1462&gt;0,Sens!$F$1464/Sens!$F$1462,Sens!$F$1460)</f>
        <v>1.98263481314457</v>
      </c>
      <c r="G1466" s="36" t="n">
        <f aca="false">IF(Sens!$G$1462&gt;0,Sens!$G$1464/Sens!$G$1462,Sens!$G$1460)</f>
        <v>1.98263481314457</v>
      </c>
      <c r="H1466" s="36" t="n">
        <f aca="false">IF(Sens!$H$1462&gt;0,Sens!$H$1464/Sens!$H$1462,Sens!$H$1460)</f>
        <v>2.00111160233948</v>
      </c>
      <c r="I1466" s="36" t="n">
        <f aca="false">IF(Sens!$I$1462&gt;0,Sens!$I$1464/Sens!$I$1462,Sens!$I$1460)</f>
        <v>2.01589303369541</v>
      </c>
      <c r="J1466" s="36" t="n">
        <f aca="false">IF(Sens!$J$1462&gt;0,Sens!$J$1464/Sens!$J$1462,Sens!$J$1460)</f>
        <v>2.02222793284795</v>
      </c>
      <c r="K1466" s="36" t="n">
        <f aca="false">IF(Sens!$K$1462&gt;0,Sens!$K$1464/Sens!$K$1462,Sens!$K$1460)</f>
        <v>2.02574732126603</v>
      </c>
      <c r="L1466" s="36" t="n">
        <f aca="false">IF(Sens!$L$1462&gt;0,Sens!$L$1464/Sens!$L$1462,Sens!$L$1460)</f>
        <v>2.02798693207753</v>
      </c>
      <c r="M1466" s="36" t="n">
        <f aca="false">IF(Sens!$M$1462&gt;0,Sens!$M$1464/Sens!$M$1462,Sens!$M$1460)</f>
        <v>2.02953743187011</v>
      </c>
    </row>
    <row r="1467" customFormat="false" ht="17.15" hidden="false" customHeight="false" outlineLevel="0" collapsed="false">
      <c r="A1467" s="14" t="s">
        <v>570</v>
      </c>
      <c r="B1467" s="13" t="s">
        <v>151</v>
      </c>
      <c r="C1467" s="13"/>
      <c r="D1467" s="13"/>
      <c r="E1467" s="13"/>
      <c r="F1467" s="37" t="n">
        <f aca="false">Sens!$F$1465*k_B</f>
        <v>10.7987645808025</v>
      </c>
      <c r="G1467" s="37" t="n">
        <f aca="false">Sens!$G$1465*k_B</f>
        <v>10.7987645808025</v>
      </c>
      <c r="H1467" s="37" t="n">
        <f aca="false">Sens!$H$1465*k_B</f>
        <v>11.0201444540452</v>
      </c>
      <c r="I1467" s="37" t="n">
        <f aca="false">Sens!$I$1465*k_B</f>
        <v>11.1972483526393</v>
      </c>
      <c r="J1467" s="37" t="n">
        <f aca="false">Sens!$J$1465*k_B</f>
        <v>11.2731500234653</v>
      </c>
      <c r="K1467" s="37" t="n">
        <f aca="false">Sens!$K$1465*k_B</f>
        <v>11.3153176183687</v>
      </c>
      <c r="L1467" s="37" t="n">
        <f aca="false">Sens!$L$1465*k_B</f>
        <v>11.3421515423981</v>
      </c>
      <c r="M1467" s="37" t="n">
        <f aca="false">Sens!$M$1465*k_B</f>
        <v>11.3607288744184</v>
      </c>
      <c r="N1467" s="13"/>
      <c r="O1467" s="13"/>
      <c r="P1467" s="5" t="s">
        <v>571</v>
      </c>
    </row>
    <row r="1468" customFormat="false" ht="17.15" hidden="false" customHeight="false" outlineLevel="0" collapsed="false">
      <c r="A1468" s="5" t="s">
        <v>572</v>
      </c>
      <c r="B1468" s="0" t="s">
        <v>108</v>
      </c>
      <c r="F1468" s="33" t="n">
        <f aca="false">Sens!$F$1462/2</f>
        <v>1135.71875</v>
      </c>
      <c r="H1468" s="33" t="n">
        <f aca="false">(Sens!$G$1462+Sens!$H$1462)/2</f>
        <v>4542.875</v>
      </c>
      <c r="I1468" s="33" t="n">
        <f aca="false">(Sens!$H$1462+Sens!$I$1462)/2</f>
        <v>9085.75</v>
      </c>
      <c r="J1468" s="33" t="n">
        <f aca="false">(Sens!$I$1462+Sens!$J$1462)/2</f>
        <v>13628.625</v>
      </c>
      <c r="K1468" s="33" t="n">
        <f aca="false">(Sens!$J$1462+Sens!$K$1462)/2</f>
        <v>18171.5</v>
      </c>
      <c r="L1468" s="33" t="n">
        <f aca="false">(Sens!$K$1462+Sens!$L$1462)/2</f>
        <v>22714.375</v>
      </c>
      <c r="M1468" s="33" t="n">
        <f aca="false">(Sens!$L$1462+Sens!$M$1462)/2</f>
        <v>27257.25</v>
      </c>
    </row>
    <row r="1469" customFormat="false" ht="17.15" hidden="false" customHeight="false" outlineLevel="0" collapsed="false">
      <c r="A1469" s="1" t="s">
        <v>573</v>
      </c>
    </row>
    <row r="1470" customFormat="false" ht="17.15" hidden="false" customHeight="false" outlineLevel="0" collapsed="false">
      <c r="A1470" s="1" t="s">
        <v>574</v>
      </c>
      <c r="B1470" s="8" t="s">
        <v>73</v>
      </c>
      <c r="C1470" s="38" t="n">
        <f aca="false">Sens!$C$1453*rpm_open*Sens!$C$1454/1000</f>
        <v>2.32100535697364</v>
      </c>
      <c r="D1470" s="38" t="n">
        <f aca="false">Sens!$D$1453*rpm_open*Sens!$D$1454/1000</f>
        <v>8.70377008865116</v>
      </c>
      <c r="E1470" s="38" t="n">
        <f aca="false">Sens!$E$1453*rpm_open*Sens!$E$1454/1000</f>
        <v>8.51035297557002</v>
      </c>
      <c r="F1470" s="38" t="n">
        <f aca="false">(mw_open*rpm_open+Sens!$F$1468*Sens!$F$1467)*Sens!$F$1454/1000</f>
        <v>16.1898695858458</v>
      </c>
      <c r="G1470" s="38" t="n">
        <f aca="false">Sens!$E$1470+Sens!$F$1470</f>
        <v>24.7002225614158</v>
      </c>
      <c r="H1470" s="38" t="n">
        <f aca="false">(mw_open*rpm_open+Sens!$H$1468*Sens!$H$1467)/1000</f>
        <v>70.1785184971087</v>
      </c>
      <c r="I1470" s="38" t="n">
        <f aca="false">(mw_open*rpm_open+Sens!$I$1468*Sens!$I$1467)/1000</f>
        <v>121.85077898043</v>
      </c>
      <c r="J1470" s="38" t="n">
        <f aca="false">(mw_open*rpm_open+Sens!$J$1468*Sens!$J$1467)/1000</f>
        <v>173.752913998988</v>
      </c>
      <c r="K1470" s="38" t="n">
        <f aca="false">(mw_open*rpm_open+Sens!$K$1468*Sens!$K$1467)/1000</f>
        <v>225.731673862625</v>
      </c>
      <c r="L1470" s="38" t="n">
        <f aca="false">(mw_open*rpm_open+Sens!$L$1468*Sens!$L$1467)/1000</f>
        <v>277.745263201297</v>
      </c>
      <c r="M1470" s="38" t="n">
        <f aca="false">(mw_open*rpm_open+Sens!$M$1468*Sens!$M$1467)/1000</f>
        <v>329.77760687268</v>
      </c>
      <c r="N1470" s="38" t="n">
        <f aca="false">Sens!$N$1453*rpm_open*Sens!$N$1454/1000</f>
        <v>3.04631953102791</v>
      </c>
      <c r="O1470" s="38" t="n">
        <f aca="false">Sens!$O$1453*rpm_open*Sens!$O$1454/1000</f>
        <v>5.65745055762326</v>
      </c>
      <c r="P1470" s="5" t="s">
        <v>575</v>
      </c>
    </row>
    <row r="1471" customFormat="false" ht="17.15" hidden="false" customHeight="false" outlineLevel="0" collapsed="false">
      <c r="A1471" s="5" t="s">
        <v>576</v>
      </c>
      <c r="B1471" s="0" t="s">
        <v>151</v>
      </c>
      <c r="C1471" s="36" t="n">
        <f aca="false">Sens!$C$1470*1000/(Sens!$C$1453*Sens!$C$1454)</f>
        <v>9.67085565405685</v>
      </c>
      <c r="D1471" s="36" t="n">
        <f aca="false">Sens!$D$1470*1000/(Sens!$D$1453*Sens!$D$1454)</f>
        <v>9.67085565405685</v>
      </c>
      <c r="E1471" s="36" t="n">
        <f aca="false">Sens!$E$1470*1000/(Sens!$E$1453*Sens!$E$1454)</f>
        <v>9.67085565405685</v>
      </c>
      <c r="F1471" s="36" t="n">
        <f aca="false">Sens!$F$1470*1000/(Sens!$F$1453*Sens!$F$1454)</f>
        <v>10.0692074428747</v>
      </c>
      <c r="G1471" s="36" t="n">
        <f aca="false">Sens!$G$1470*1000/(Sens!$G$1453*Sens!$G$1454)</f>
        <v>9.92830334769859</v>
      </c>
      <c r="H1471" s="36" t="n">
        <f aca="false">Sens!$H$1470*1000/(Sens!$H$1453*Sens!$H$1454)</f>
        <v>10.5963827638463</v>
      </c>
      <c r="I1471" s="36" t="n">
        <f aca="false">Sens!$I$1470*1000/(Sens!$I$1453*Sens!$I$1454)</f>
        <v>10.9129058935074</v>
      </c>
      <c r="J1471" s="36" t="n">
        <f aca="false">Sens!$J$1470*1000/(Sens!$J$1453*Sens!$J$1454)</f>
        <v>11.0609880876899</v>
      </c>
      <c r="K1471" s="36" t="n">
        <f aca="false">Sens!$K$1470*1000/(Sens!$K$1453*Sens!$K$1454)</f>
        <v>11.1464174931548</v>
      </c>
      <c r="L1471" s="36" t="n">
        <f aca="false">Sens!$L$1470*1000/(Sens!$L$1453*Sens!$L$1454)</f>
        <v>11.2019465383296</v>
      </c>
      <c r="M1471" s="36" t="n">
        <f aca="false">Sens!$M$1470*1000/(Sens!$M$1453*Sens!$M$1454)</f>
        <v>11.2409174981527</v>
      </c>
      <c r="N1471" s="36" t="n">
        <f aca="false">Sens!$N$1470*1000/(Sens!$N$1453*Sens!$N$1454)</f>
        <v>9.67085565405685</v>
      </c>
      <c r="O1471" s="36" t="n">
        <f aca="false">Sens!$O$1470*1000/(Sens!$O$1453*Sens!$O$1454)</f>
        <v>9.67085565405685</v>
      </c>
    </row>
    <row r="1472" customFormat="false" ht="17.15" hidden="false" customHeight="false" outlineLevel="0" collapsed="false">
      <c r="A1472" s="0" t="s">
        <v>577</v>
      </c>
      <c r="B1472" s="0" t="s">
        <v>73</v>
      </c>
      <c r="C1472" s="38" t="n">
        <f aca="false">Sens!$C$1453/ext_sh*(ox_open+rent_mw)*Sens!$C$1454/1000</f>
        <v>0.642569210675032</v>
      </c>
      <c r="D1472" s="38" t="n">
        <f aca="false">Sens!$D$1453/ext_sh*(ox_open+rent_mw)*Sens!$D$1454/1000</f>
        <v>2.40963454003137</v>
      </c>
      <c r="E1472" s="38" t="n">
        <f aca="false">Sens!$E$1453/ext_sh*(ox_open+rent_mw)*Sens!$E$1454/1000</f>
        <v>2.35608710580845</v>
      </c>
      <c r="F1472" s="38" t="n">
        <f aca="false">((mw_open*ox_open+Sens!$F$1468*Sens!$F$1466)/ext_sh+Sens!$F$1453/ext_sh*rent_mw)*Sens!$F$1454/1000</f>
        <v>4.37165824392995</v>
      </c>
      <c r="G1472" s="38" t="n">
        <f aca="false">Sens!$E$1472+Sens!$F$1472</f>
        <v>6.7277453497384</v>
      </c>
      <c r="H1472" s="38" t="n">
        <f aca="false">((mw_open*ox_open+Sens!$H$1468*Sens!$H$1466)/ext_sh+Sens!$H$1453/ext_sh*rent_mw)*Sens!$H$1454/1000</f>
        <v>18.3713886535311</v>
      </c>
      <c r="I1472" s="38" t="n">
        <f aca="false">((mw_open*ox_open+Sens!$I$1468*Sens!$I$1466)/ext_sh+Sens!$I$1453/ext_sh*rent_mw)*Sens!$I$1454/1000</f>
        <v>31.3417196353062</v>
      </c>
      <c r="J1472" s="38" t="n">
        <f aca="false">((mw_open*ox_open+Sens!$J$1468*Sens!$J$1466)/ext_sh+Sens!$J$1453/ext_sh*rent_mw)*Sens!$J$1454/1000</f>
        <v>44.336032829571</v>
      </c>
      <c r="K1472" s="38" t="n">
        <f aca="false">((mw_open*ox_open+Sens!$K$1468*Sens!$K$1466)/ext_sh+Sens!$K$1453/ext_sh*rent_mw)*Sens!$K$1454/1000</f>
        <v>57.3383400946656</v>
      </c>
      <c r="L1472" s="38" t="n">
        <f aca="false">((mw_open*ox_open+Sens!$L$1468*Sens!$L$1466)/ext_sh+Sens!$L$1453/ext_sh*rent_mw)*Sens!$L$1454/1000</f>
        <v>70.3442810283193</v>
      </c>
      <c r="M1472" s="38" t="n">
        <f aca="false">((mw_open*ox_open+Sens!$M$1468*Sens!$M$1466)/ext_sh+Sens!$M$1453/ext_sh*rent_mw)*Sens!$M$1454/1000</f>
        <v>83.3521785527356</v>
      </c>
      <c r="N1472" s="38" t="n">
        <f aca="false">Sens!$N$1453/ext_sh*(ox_open+rent_mw)*Sens!$N$1454/1000</f>
        <v>0.84337208901098</v>
      </c>
      <c r="O1472" s="38" t="n">
        <f aca="false">Sens!$O$1453/ext_sh*(ox_open+rent_mw)*Sens!$O$1454/1000</f>
        <v>1.56626245102039</v>
      </c>
    </row>
    <row r="1473" customFormat="false" ht="17.15" hidden="false" customHeight="false" outlineLevel="0" collapsed="false">
      <c r="A1473" s="0" t="s">
        <v>578</v>
      </c>
      <c r="B1473" s="0" t="s">
        <v>73</v>
      </c>
      <c r="C1473" s="38" t="n">
        <f aca="false">Q!$D$7</f>
        <v>107.556</v>
      </c>
      <c r="D1473" s="38" t="n">
        <f aca="false">Q!$E$7</f>
        <v>128.725</v>
      </c>
      <c r="E1473" s="38" t="n">
        <f aca="false">Q!$P$7</f>
        <v>79.819</v>
      </c>
      <c r="N1473" s="38" t="n">
        <f aca="false">Q!$N$7</f>
        <v>60.14</v>
      </c>
      <c r="O1473" s="38" t="n">
        <f aca="false">Q!$O$7</f>
        <v>68.585</v>
      </c>
    </row>
    <row r="1474" customFormat="false" ht="17.15" hidden="false" customHeight="false" outlineLevel="0" collapsed="false">
      <c r="A1474" s="1" t="s">
        <v>579</v>
      </c>
      <c r="B1474" s="8" t="s">
        <v>73</v>
      </c>
      <c r="C1474" s="38" t="n">
        <f aca="false">Sens!$C$1473-Sens!$C$1470</f>
        <v>105.234994643026</v>
      </c>
      <c r="D1474" s="38" t="n">
        <f aca="false">Sens!$D$1473-Sens!$D$1470</f>
        <v>120.021229911349</v>
      </c>
      <c r="E1474" s="38" t="n">
        <f aca="false">Sens!$E$1473-Sens!$E$1470</f>
        <v>71.30864702443</v>
      </c>
      <c r="F1474" s="38" t="n">
        <f aca="false">Sens!$O$1474*(1+Sens!$F$1475)</f>
        <v>78.5950104186653</v>
      </c>
      <c r="G1474" s="38" t="n">
        <f aca="false">Sens!$E$1474+Sens!$F$1474</f>
        <v>149.903657443095</v>
      </c>
      <c r="H1474" s="38" t="n">
        <f aca="false">Sens!$G$1474*(1+Sens!$H$1475)</f>
        <v>180.893560768142</v>
      </c>
      <c r="I1474" s="38" t="n">
        <f aca="false">Sens!$H$1474*(1+Sens!$I$1475)</f>
        <v>210.64839721501</v>
      </c>
      <c r="J1474" s="38" t="n">
        <f aca="false">Sens!$I$1474*(1+Sens!$J$1475)</f>
        <v>236.398909446495</v>
      </c>
      <c r="K1474" s="38" t="n">
        <f aca="false">Sens!$J$1474*(1+Sens!$K$1475)</f>
        <v>255.310822202215</v>
      </c>
      <c r="L1474" s="38" t="n">
        <f aca="false">Sens!$K$1474*(1+Sens!$L$1475)</f>
        <v>275.735687978392</v>
      </c>
      <c r="M1474" s="38" t="n">
        <f aca="false">Sens!$L$1474*(1+Sens!$M$1475)</f>
        <v>297.794543016663</v>
      </c>
      <c r="N1474" s="38" t="n">
        <f aca="false">Sens!$N$1473-Sens!$N$1470</f>
        <v>57.0936804689721</v>
      </c>
      <c r="O1474" s="38" t="n">
        <f aca="false">Sens!$O$1473-Sens!$O$1470</f>
        <v>62.9275494423768</v>
      </c>
      <c r="P1474" s="5" t="s">
        <v>580</v>
      </c>
    </row>
    <row r="1475" customFormat="false" ht="17.15" hidden="false" customHeight="false" outlineLevel="0" collapsed="false">
      <c r="A1475" s="0" t="s">
        <v>581</v>
      </c>
      <c r="B1475" s="0" t="s">
        <v>52</v>
      </c>
      <c r="E1475" s="12" t="n">
        <f aca="false">Sens!$E$1474/Sens!$N$1474-1</f>
        <v>0.248976181579029</v>
      </c>
      <c r="F1475" s="12" t="n">
        <f aca="false">Sens!$E$1475</f>
        <v>0.248976181579029</v>
      </c>
      <c r="G1475" s="12" t="n">
        <f aca="false">Sens!$G$1474/Sens!$D$1474-1</f>
        <v>0.248976181579029</v>
      </c>
      <c r="H1475" s="12" t="n">
        <f aca="false">Sens!$E$1475+(g_awso_lt-Sens!$E$1475)*1/4</f>
        <v>0.206732136184272</v>
      </c>
      <c r="I1475" s="12" t="n">
        <f aca="false">Sens!$E$1475+(g_awso_lt-Sens!$E$1475)*2/4</f>
        <v>0.164488090789515</v>
      </c>
      <c r="J1475" s="12" t="n">
        <f aca="false">Sens!$E$1475+(g_awso_lt-Sens!$E$1475)*3/4</f>
        <v>0.122244045394757</v>
      </c>
      <c r="K1475" s="12" t="n">
        <f aca="false">Sens!$E$1475+(g_awso_lt-Sens!$E$1475)*4/4</f>
        <v>0.08</v>
      </c>
      <c r="L1475" s="12" t="n">
        <f aca="false">g_awso_lt</f>
        <v>0.08</v>
      </c>
      <c r="M1475" s="12" t="n">
        <f aca="false">g_awso_lt</f>
        <v>0.08</v>
      </c>
      <c r="P1475" s="8" t="s">
        <v>582</v>
      </c>
    </row>
    <row r="1476" customFormat="false" ht="17.15" hidden="false" customHeight="false" outlineLevel="0" collapsed="false">
      <c r="A1476" s="1" t="s">
        <v>583</v>
      </c>
    </row>
    <row r="1477" customFormat="false" ht="17.15" hidden="false" customHeight="false" outlineLevel="0" collapsed="false">
      <c r="A1477" s="0" t="s">
        <v>584</v>
      </c>
      <c r="B1477" s="0" t="s">
        <v>73</v>
      </c>
      <c r="F1477" s="38" t="n">
        <f aca="false">cx_rt*Sens!$F$1443+cx_awso*Sens!$F$1474</f>
        <v>36.8045765066526</v>
      </c>
    </row>
    <row r="1478" customFormat="false" ht="17.15" hidden="false" customHeight="false" outlineLevel="0" collapsed="false">
      <c r="A1478" s="0" t="s">
        <v>585</v>
      </c>
      <c r="B1478" s="0" t="s">
        <v>52</v>
      </c>
      <c r="C1478" s="12" t="n">
        <f aca="false">tk_cx_h100/(tk_cx_h100+tk_fac*(1-colo_sh))</f>
        <v>0.730756458006641</v>
      </c>
      <c r="D1478" s="12" t="n">
        <f aca="false">tk_cx_h100/(tk_cx_h100+tk_fac*(1-colo_sh))</f>
        <v>0.730756458006641</v>
      </c>
      <c r="E1478" s="12" t="n">
        <f aca="false">Sens!$F$1478</f>
        <v>0.760792334328868</v>
      </c>
      <c r="F1478" s="12" t="n">
        <f aca="false">Sens!$F$1461/(Sens!$F$1461+tk_fac*(1-colo_sh))</f>
        <v>0.760792334328868</v>
      </c>
      <c r="G1478" s="12" t="n">
        <f aca="false">Sens!$G$1461/(Sens!$G$1461+tk_fac*(1-colo_sh))</f>
        <v>0.760792334328868</v>
      </c>
      <c r="H1478" s="12" t="n">
        <f aca="false">Sens!$H$1461/(Sens!$H$1461+tk_fac*(1-colo_sh))</f>
        <v>0.768110668862996</v>
      </c>
      <c r="I1478" s="12" t="n">
        <f aca="false">Sens!$I$1461/(Sens!$I$1461+tk_fac*(1-colo_sh))</f>
        <v>0.77499450139483</v>
      </c>
      <c r="J1478" s="12" t="n">
        <f aca="false">Sens!$J$1461/(Sens!$J$1461+tk_fac*(1-colo_sh))</f>
        <v>0.77499450139483</v>
      </c>
      <c r="K1478" s="12" t="n">
        <f aca="false">Sens!$K$1461/(Sens!$K$1461+tk_fac*(1-colo_sh))</f>
        <v>0.77499450139483</v>
      </c>
      <c r="L1478" s="12" t="n">
        <f aca="false">Sens!$L$1461/(Sens!$L$1461+tk_fac*(1-colo_sh))</f>
        <v>0.77499450139483</v>
      </c>
      <c r="M1478" s="12" t="n">
        <f aca="false">Sens!$M$1461/(Sens!$M$1461+tk_fac*(1-colo_sh))</f>
        <v>0.77499450139483</v>
      </c>
    </row>
    <row r="1479" customFormat="false" ht="17.15" hidden="false" customHeight="false" outlineLevel="0" collapsed="false">
      <c r="A1479" s="1" t="s">
        <v>586</v>
      </c>
      <c r="B1479" s="8" t="s">
        <v>73</v>
      </c>
      <c r="C1479" s="38" t="n">
        <f aca="false">Q!$D$46-cx_rt*Q!$D$16-cx_awso*Sens!$C$1474</f>
        <v>25.2781053077374</v>
      </c>
      <c r="D1479" s="38" t="n">
        <f aca="false">Q!$E$46-cx_rt*Q!$E$16-cx_awso*Sens!$D$1474</f>
        <v>69.5686316310026</v>
      </c>
      <c r="E1479" s="38" t="n">
        <f aca="false">Q!$P$46-cx_rt*Q!$P$16-cx_awso*Sens!$E$1474</f>
        <v>64.1899206485108</v>
      </c>
      <c r="F1479" s="38" t="n">
        <f aca="false">MAX(Sens!$F$1456*(Sens!$F$1461+tk_fac*(1-colo_sh))/1000,capex_g26-Q!$P$46-Sens!$F$1477)</f>
        <v>120.310162486875</v>
      </c>
      <c r="G1479" s="38" t="n">
        <f aca="false">Sens!$E$1479+Sens!$F$1479</f>
        <v>184.500083135386</v>
      </c>
      <c r="H1479" s="38" t="n">
        <f aca="false">Sens!$H$1456*(Sens!$H$1461+tk_fac*(1-colo_sh))/1000+Sens!$H$1480</f>
        <v>248.214206180938</v>
      </c>
      <c r="I1479" s="38" t="n">
        <f aca="false">Sens!$I$1456*(Sens!$I$1461+tk_fac*(1-colo_sh))/1000+Sens!$I$1480</f>
        <v>255.808087388125</v>
      </c>
      <c r="J1479" s="38" t="n">
        <f aca="false">Sens!$J$1456*(Sens!$J$1461+tk_fac*(1-colo_sh))/1000+Sens!$J$1480</f>
        <v>261.044855588125</v>
      </c>
      <c r="K1479" s="38" t="n">
        <f aca="false">Sens!$K$1456*(Sens!$K$1461+tk_fac*(1-colo_sh))/1000+Sens!$K$1480</f>
        <v>266.281623788125</v>
      </c>
      <c r="L1479" s="38" t="n">
        <f aca="false">Sens!$L$1456*(Sens!$L$1461+tk_fac*(1-colo_sh))/1000+Sens!$L$1480</f>
        <v>302.939001188125</v>
      </c>
      <c r="M1479" s="38" t="n">
        <f aca="false">Sens!$M$1456*(Sens!$M$1461+tk_fac*(1-colo_sh))/1000+Sens!$M$1480</f>
        <v>382.862448357188</v>
      </c>
      <c r="P1479" s="5" t="s">
        <v>587</v>
      </c>
      <c r="R1479" s="38" t="n">
        <f aca="false">Q!$C$46-cx_rt*Q!$C$16-cx_awso*(Q!$C$7-mw_ye23/2*rpm_open/1000)</f>
        <v>1.50429979529945</v>
      </c>
      <c r="S1479" s="38" t="n">
        <f aca="false">Sens!$C$1479</f>
        <v>25.2781053077374</v>
      </c>
      <c r="T1479" s="38" t="n">
        <f aca="false">Sens!$D$1479</f>
        <v>69.5686316310026</v>
      </c>
      <c r="U1479" s="38" t="n">
        <f aca="false">Sens!$G$1479</f>
        <v>184.500083135386</v>
      </c>
      <c r="V1479" s="38" t="n">
        <f aca="false">Sens!$H$1479</f>
        <v>248.214206180938</v>
      </c>
      <c r="W1479" s="38" t="n">
        <f aca="false">Sens!$I$1479</f>
        <v>255.808087388125</v>
      </c>
      <c r="X1479" s="38" t="n">
        <f aca="false">Sens!$J$1479</f>
        <v>261.044855588125</v>
      </c>
      <c r="Y1479" s="38" t="n">
        <f aca="false">Sens!$K$1479</f>
        <v>266.281623788125</v>
      </c>
      <c r="Z1479" s="38" t="n">
        <f aca="false">Sens!$L$1479</f>
        <v>302.939001188125</v>
      </c>
      <c r="AA1479" s="38" t="n">
        <f aca="false">Sens!$M$1479</f>
        <v>382.862448357188</v>
      </c>
    </row>
    <row r="1480" customFormat="false" ht="17.15" hidden="false" customHeight="false" outlineLevel="0" collapsed="false">
      <c r="A1480" s="0" t="s">
        <v>588</v>
      </c>
      <c r="B1480" s="0" t="s">
        <v>73</v>
      </c>
      <c r="H1480" s="38" t="n">
        <f aca="false">SUMPRODUCT(--(Sens!$R$1450:$AA$1450=2027-tk_life),Sens!$R$1456:$AA$1456)*Sens!$H$1461/1000</f>
        <v>0</v>
      </c>
      <c r="I1480" s="38" t="n">
        <f aca="false">SUMPRODUCT(--(Sens!$R$1450:$AA$1450=2028-tk_life),Sens!$R$1456:$AA$1456)*Sens!$I$1461/1000</f>
        <v>0</v>
      </c>
      <c r="J1480" s="38" t="n">
        <f aca="false">SUMPRODUCT(--(Sens!$R$1450:$AA$1450=2029-tk_life),Sens!$R$1456:$AA$1456)*Sens!$J$1461/1000</f>
        <v>5.2367682</v>
      </c>
      <c r="K1480" s="38" t="n">
        <f aca="false">SUMPRODUCT(--(Sens!$R$1450:$AA$1450=2030-tk_life),Sens!$R$1456:$AA$1456)*Sens!$K$1461/1000</f>
        <v>10.4735364</v>
      </c>
      <c r="L1480" s="38" t="n">
        <f aca="false">SUMPRODUCT(--(Sens!$R$1450:$AA$1450=2031-tk_life),Sens!$R$1456:$AA$1456)*Sens!$L$1461/1000</f>
        <v>47.1309138</v>
      </c>
      <c r="M1480" s="38" t="n">
        <f aca="false">SUMPRODUCT(--(Sens!$R$1450:$AA$1450=2032-tk_life),Sens!$R$1456:$AA$1456)*Sens!$M$1461/1000</f>
        <v>127.054360969063</v>
      </c>
    </row>
    <row r="1481" customFormat="false" ht="17.15" hidden="false" customHeight="false" outlineLevel="0" collapsed="false">
      <c r="A1481" s="5" t="s">
        <v>589</v>
      </c>
      <c r="B1481" s="0" t="s">
        <v>73</v>
      </c>
      <c r="C1481" s="38" t="n">
        <f aca="false">Sens!$C$1479*Sens!$C$1478</f>
        <v>18.472138699801</v>
      </c>
      <c r="D1481" s="38" t="n">
        <f aca="false">Sens!$D$1479*Sens!$D$1478</f>
        <v>50.8377268390402</v>
      </c>
      <c r="E1481" s="38" t="n">
        <f aca="false">Sens!$E$1479*Sens!$E$1478</f>
        <v>48.8351995705653</v>
      </c>
      <c r="F1481" s="38" t="n">
        <f aca="false">Sens!$F$1479*Sens!$F$1478</f>
        <v>91.531049361875</v>
      </c>
      <c r="G1481" s="38" t="n">
        <f aca="false">Sens!$E$1481+Sens!$F$1481</f>
        <v>140.36624893244</v>
      </c>
      <c r="H1481" s="38" t="n">
        <f aca="false">(Sens!$H$1479-Sens!$H$1480)*Sens!$H$1478+Sens!$H$1480</f>
        <v>190.655979930938</v>
      </c>
      <c r="I1481" s="38" t="n">
        <f aca="false">(Sens!$I$1479-Sens!$I$1480)*Sens!$I$1478+Sens!$I$1480</f>
        <v>198.249861138125</v>
      </c>
      <c r="J1481" s="38" t="n">
        <f aca="false">(Sens!$J$1479-Sens!$J$1480)*Sens!$J$1478+Sens!$J$1480</f>
        <v>203.486629338125</v>
      </c>
      <c r="K1481" s="38" t="n">
        <f aca="false">(Sens!$K$1479-Sens!$K$1480)*Sens!$K$1478+Sens!$K$1480</f>
        <v>208.723397538125</v>
      </c>
      <c r="L1481" s="38" t="n">
        <f aca="false">(Sens!$L$1479-Sens!$L$1480)*Sens!$L$1478+Sens!$L$1480</f>
        <v>245.380774938125</v>
      </c>
      <c r="M1481" s="38" t="n">
        <f aca="false">(Sens!$M$1479-Sens!$M$1480)*Sens!$M$1478+Sens!$M$1480</f>
        <v>325.304222107188</v>
      </c>
      <c r="R1481" s="38" t="n">
        <f aca="false">Sens!$R$1479*Sens!$C$1478</f>
        <v>1.09927679019314</v>
      </c>
      <c r="S1481" s="38" t="n">
        <f aca="false">Sens!$C$1481</f>
        <v>18.472138699801</v>
      </c>
      <c r="T1481" s="38" t="n">
        <f aca="false">Sens!$D$1481</f>
        <v>50.8377268390402</v>
      </c>
      <c r="U1481" s="38" t="n">
        <f aca="false">Sens!$G$1481</f>
        <v>140.36624893244</v>
      </c>
      <c r="V1481" s="38" t="n">
        <f aca="false">Sens!$H$1481</f>
        <v>190.655979930938</v>
      </c>
      <c r="W1481" s="38" t="n">
        <f aca="false">Sens!$I$1481</f>
        <v>198.249861138125</v>
      </c>
      <c r="X1481" s="38" t="n">
        <f aca="false">Sens!$J$1481</f>
        <v>203.486629338125</v>
      </c>
      <c r="Y1481" s="38" t="n">
        <f aca="false">Sens!$K$1481</f>
        <v>208.723397538125</v>
      </c>
      <c r="Z1481" s="38" t="n">
        <f aca="false">Sens!$L$1481</f>
        <v>245.380774938125</v>
      </c>
      <c r="AA1481" s="38" t="n">
        <f aca="false">Sens!$M$1481</f>
        <v>325.304222107188</v>
      </c>
    </row>
    <row r="1482" customFormat="false" ht="15" hidden="false" customHeight="false" outlineLevel="0" collapsed="false">
      <c r="A1482" s="5" t="s">
        <v>590</v>
      </c>
      <c r="B1482" s="0" t="s">
        <v>73</v>
      </c>
      <c r="R1482" s="38" t="n">
        <f aca="false">Sens!$R$1479-Sens!$R$1481</f>
        <v>0.405023005106309</v>
      </c>
      <c r="S1482" s="38" t="n">
        <f aca="false">Sens!$S$1479-Sens!$S$1481</f>
        <v>6.80596660793636</v>
      </c>
      <c r="T1482" s="38" t="n">
        <f aca="false">Sens!$T$1479-Sens!$T$1481</f>
        <v>18.7309047919624</v>
      </c>
      <c r="U1482" s="38" t="n">
        <f aca="false">Sens!$U$1479-Sens!$U$1481</f>
        <v>44.1338342029455</v>
      </c>
      <c r="V1482" s="38" t="n">
        <f aca="false">Sens!$V$1479-Sens!$V$1481</f>
        <v>57.55822625</v>
      </c>
      <c r="W1482" s="38" t="n">
        <f aca="false">Sens!$W$1479-Sens!$W$1481</f>
        <v>57.55822625</v>
      </c>
      <c r="X1482" s="38" t="n">
        <f aca="false">Sens!$X$1479-Sens!$X$1481</f>
        <v>57.55822625</v>
      </c>
      <c r="Y1482" s="38" t="n">
        <f aca="false">Sens!$Y$1479-Sens!$Y$1481</f>
        <v>57.55822625</v>
      </c>
      <c r="Z1482" s="38" t="n">
        <f aca="false">Sens!$Z$1479-Sens!$Z$1481</f>
        <v>57.55822625</v>
      </c>
      <c r="AA1482" s="38" t="n">
        <f aca="false">Sens!$AA$1479-Sens!$AA$1481</f>
        <v>57.55822625</v>
      </c>
    </row>
    <row r="1483" customFormat="false" ht="17.15" hidden="false" customHeight="false" outlineLevel="0" collapsed="false">
      <c r="A1483" s="0" t="s">
        <v>591</v>
      </c>
      <c r="B1483" s="0" t="s">
        <v>73</v>
      </c>
      <c r="C1483" s="38" t="n">
        <f aca="false">Sens!$S$1483</f>
        <v>0.183212798365523</v>
      </c>
      <c r="D1483" s="38" t="n">
        <f aca="false">Sens!$T$1483</f>
        <v>3.2619025816657</v>
      </c>
      <c r="E1483" s="38" t="n">
        <f aca="false">Sens!$G$1483/2</f>
        <v>5.86742852741953</v>
      </c>
      <c r="F1483" s="38" t="n">
        <f aca="false">Sens!$G$1483/2</f>
        <v>5.86742852741953</v>
      </c>
      <c r="G1483" s="38" t="n">
        <f aca="false">Sens!$U$1483</f>
        <v>11.7348570548391</v>
      </c>
      <c r="H1483" s="38" t="n">
        <f aca="false">Sens!$V$1483</f>
        <v>35.1292318769125</v>
      </c>
      <c r="I1483" s="38" t="n">
        <f aca="false">Sens!$W$1483</f>
        <v>66.9052285320687</v>
      </c>
      <c r="J1483" s="38" t="n">
        <f aca="false">Sens!$X$1483</f>
        <v>99.9468720550895</v>
      </c>
      <c r="K1483" s="38" t="n">
        <f aca="false">Sens!$Y$1483</f>
        <v>133.678097479745</v>
      </c>
      <c r="L1483" s="38" t="n">
        <f aca="false">Sens!$Z$1483</f>
        <v>165.386640619466</v>
      </c>
      <c r="M1483" s="38" t="n">
        <f aca="false">Sens!$AA$1483</f>
        <v>197.810481969313</v>
      </c>
      <c r="N1483" s="38" t="n">
        <f aca="false">Sens!$D$1483/2</f>
        <v>1.63095129083285</v>
      </c>
      <c r="O1483" s="38" t="n">
        <f aca="false">Sens!$D$1483/2</f>
        <v>1.63095129083285</v>
      </c>
      <c r="R1483" s="38" t="n">
        <f aca="false">SUMPRODUCT(--(Sens!$R$1450:$AA$1450&lt;Sens!R$1450),--(Sens!$R$1450:$AA$1450&gt;=Sens!R$1450-tk_life),Sens!$R$1481:$AA$1481)/tk_life</f>
        <v>0</v>
      </c>
      <c r="S1483" s="38" t="n">
        <f aca="false">SUMPRODUCT(--(Sens!$R$1450:$AA$1450&lt;Sens!S$1450),--(Sens!$R$1450:$AA$1450&gt;=Sens!S$1450-tk_life),Sens!$R$1481:$AA$1481)/tk_life</f>
        <v>0.183212798365523</v>
      </c>
      <c r="T1483" s="38" t="n">
        <f aca="false">SUMPRODUCT(--(Sens!$R$1450:$AA$1450&lt;Sens!T$1450),--(Sens!$R$1450:$AA$1450&gt;=Sens!T$1450-tk_life),Sens!$R$1481:$AA$1481)/tk_life</f>
        <v>3.2619025816657</v>
      </c>
      <c r="U1483" s="38" t="n">
        <f aca="false">SUMPRODUCT(--(Sens!$R$1450:$AA$1450&lt;Sens!U$1450),--(Sens!$R$1450:$AA$1450&gt;=Sens!U$1450-tk_life),Sens!$R$1481:$AA$1481)/tk_life</f>
        <v>11.7348570548391</v>
      </c>
      <c r="V1483" s="38" t="n">
        <f aca="false">SUMPRODUCT(--(Sens!$R$1450:$AA$1450&lt;Sens!V$1450),--(Sens!$R$1450:$AA$1450&gt;=Sens!V$1450-tk_life),Sens!$R$1481:$AA$1481)/tk_life</f>
        <v>35.1292318769125</v>
      </c>
      <c r="W1483" s="38" t="n">
        <f aca="false">SUMPRODUCT(--(Sens!$R$1450:$AA$1450&lt;Sens!W$1450),--(Sens!$R$1450:$AA$1450&gt;=Sens!W$1450-tk_life),Sens!$R$1481:$AA$1481)/tk_life</f>
        <v>66.9052285320687</v>
      </c>
      <c r="X1483" s="38" t="n">
        <f aca="false">SUMPRODUCT(--(Sens!$R$1450:$AA$1450&lt;Sens!X$1450),--(Sens!$R$1450:$AA$1450&gt;=Sens!X$1450-tk_life),Sens!$R$1481:$AA$1481)/tk_life</f>
        <v>99.9468720550895</v>
      </c>
      <c r="Y1483" s="38" t="n">
        <f aca="false">SUMPRODUCT(--(Sens!$R$1450:$AA$1450&lt;Sens!Y$1450),--(Sens!$R$1450:$AA$1450&gt;=Sens!Y$1450-tk_life),Sens!$R$1481:$AA$1481)/tk_life</f>
        <v>133.678097479745</v>
      </c>
      <c r="Z1483" s="38" t="n">
        <f aca="false">SUMPRODUCT(--(Sens!$R$1450:$AA$1450&lt;Sens!Z$1450),--(Sens!$R$1450:$AA$1450&gt;=Sens!Z$1450-tk_life),Sens!$R$1481:$AA$1481)/tk_life</f>
        <v>165.386640619466</v>
      </c>
      <c r="AA1483" s="38" t="n">
        <f aca="false">SUMPRODUCT(--(Sens!$R$1450:$AA$1450&lt;Sens!AA$1450),--(Sens!$R$1450:$AA$1450&gt;=Sens!AA$1450-tk_life),Sens!$R$1481:$AA$1481)/tk_life</f>
        <v>197.810481969313</v>
      </c>
    </row>
    <row r="1484" customFormat="false" ht="17.15" hidden="false" customHeight="false" outlineLevel="0" collapsed="false">
      <c r="A1484" s="0" t="s">
        <v>592</v>
      </c>
      <c r="B1484" s="0" t="s">
        <v>73</v>
      </c>
      <c r="C1484" s="38" t="n">
        <f aca="false">Sens!$S$1484</f>
        <v>0.0202511502553155</v>
      </c>
      <c r="D1484" s="38" t="n">
        <f aca="false">Sens!$T$1484</f>
        <v>0.360549480652134</v>
      </c>
      <c r="E1484" s="38" t="n">
        <f aca="false">Sens!$G$1484/2</f>
        <v>0.648547360125127</v>
      </c>
      <c r="F1484" s="38" t="n">
        <f aca="false">Sens!$G$1484/2</f>
        <v>0.648547360125127</v>
      </c>
      <c r="G1484" s="38" t="n">
        <f aca="false">Sens!$U$1484</f>
        <v>1.29709472025025</v>
      </c>
      <c r="H1484" s="38" t="n">
        <f aca="false">Sens!$V$1484</f>
        <v>3.50378643039753</v>
      </c>
      <c r="I1484" s="38" t="n">
        <f aca="false">Sens!$W$1484</f>
        <v>6.38169774289753</v>
      </c>
      <c r="J1484" s="38" t="n">
        <f aca="false">Sens!$X$1484</f>
        <v>9.25960905539753</v>
      </c>
      <c r="K1484" s="38" t="n">
        <f aca="false">Sens!$Y$1484</f>
        <v>12.1375203678975</v>
      </c>
      <c r="L1484" s="38" t="n">
        <f aca="false">Sens!$Z$1484</f>
        <v>15.0154316803975</v>
      </c>
      <c r="M1484" s="38" t="n">
        <f aca="false">Sens!$AA$1484</f>
        <v>17.8933429928975</v>
      </c>
      <c r="N1484" s="38" t="n">
        <f aca="false">Sens!$D$1484/2</f>
        <v>0.180274740326067</v>
      </c>
      <c r="O1484" s="38" t="n">
        <f aca="false">Sens!$D$1484/2</f>
        <v>0.180274740326067</v>
      </c>
      <c r="R1484" s="38" t="n">
        <f aca="false">SUMPRODUCT(--(Sens!$R$1450:$AA$1450&lt;Sens!R$1450),Sens!$R$1482:$AA$1482)/fac_life</f>
        <v>0</v>
      </c>
      <c r="S1484" s="38" t="n">
        <f aca="false">SUMPRODUCT(--(Sens!$R$1450:$AA$1450&lt;Sens!S$1450),Sens!$R$1482:$AA$1482)/fac_life</f>
        <v>0.0202511502553155</v>
      </c>
      <c r="T1484" s="38" t="n">
        <f aca="false">SUMPRODUCT(--(Sens!$R$1450:$AA$1450&lt;Sens!T$1450),Sens!$R$1482:$AA$1482)/fac_life</f>
        <v>0.360549480652134</v>
      </c>
      <c r="U1484" s="38" t="n">
        <f aca="false">SUMPRODUCT(--(Sens!$R$1450:$AA$1450&lt;Sens!U$1450),Sens!$R$1482:$AA$1482)/fac_life</f>
        <v>1.29709472025025</v>
      </c>
      <c r="V1484" s="38" t="n">
        <f aca="false">SUMPRODUCT(--(Sens!$R$1450:$AA$1450&lt;Sens!V$1450),Sens!$R$1482:$AA$1482)/fac_life</f>
        <v>3.50378643039753</v>
      </c>
      <c r="W1484" s="38" t="n">
        <f aca="false">SUMPRODUCT(--(Sens!$R$1450:$AA$1450&lt;Sens!W$1450),Sens!$R$1482:$AA$1482)/fac_life</f>
        <v>6.38169774289753</v>
      </c>
      <c r="X1484" s="38" t="n">
        <f aca="false">SUMPRODUCT(--(Sens!$R$1450:$AA$1450&lt;Sens!X$1450),Sens!$R$1482:$AA$1482)/fac_life</f>
        <v>9.25960905539753</v>
      </c>
      <c r="Y1484" s="38" t="n">
        <f aca="false">SUMPRODUCT(--(Sens!$R$1450:$AA$1450&lt;Sens!Y$1450),Sens!$R$1482:$AA$1482)/fac_life</f>
        <v>12.1375203678975</v>
      </c>
      <c r="Z1484" s="38" t="n">
        <f aca="false">SUMPRODUCT(--(Sens!$R$1450:$AA$1450&lt;Sens!Z$1450),Sens!$R$1482:$AA$1482)/fac_life</f>
        <v>15.0154316803975</v>
      </c>
      <c r="AA1484" s="38" t="n">
        <f aca="false">SUMPRODUCT(--(Sens!$R$1450:$AA$1450&lt;Sens!AA$1450),Sens!$R$1482:$AA$1482)/fac_life</f>
        <v>17.8933429928975</v>
      </c>
    </row>
    <row r="1485" customFormat="false" ht="17.15" hidden="false" customHeight="false" outlineLevel="0" collapsed="false">
      <c r="A1485" s="1" t="s">
        <v>593</v>
      </c>
      <c r="B1485" s="8" t="s">
        <v>73</v>
      </c>
      <c r="C1485" s="38" t="n">
        <f aca="false">Sens!$C$1483+Sens!$C$1484</f>
        <v>0.203463948620839</v>
      </c>
      <c r="D1485" s="38" t="n">
        <f aca="false">Sens!$D$1483+Sens!$D$1484</f>
        <v>3.62245206231783</v>
      </c>
      <c r="E1485" s="38" t="n">
        <f aca="false">Sens!$E$1483+Sens!$E$1484</f>
        <v>6.51597588754466</v>
      </c>
      <c r="F1485" s="38" t="n">
        <f aca="false">Sens!$F$1483+Sens!$F$1484</f>
        <v>6.51597588754466</v>
      </c>
      <c r="G1485" s="38" t="n">
        <f aca="false">Sens!$G$1483+Sens!$G$1484</f>
        <v>13.0319517750893</v>
      </c>
      <c r="H1485" s="38" t="n">
        <f aca="false">Sens!$H$1483+Sens!$H$1484</f>
        <v>38.63301830731</v>
      </c>
      <c r="I1485" s="38" t="n">
        <f aca="false">Sens!$I$1483+Sens!$I$1484</f>
        <v>73.2869262749662</v>
      </c>
      <c r="J1485" s="38" t="n">
        <f aca="false">Sens!$J$1483+Sens!$J$1484</f>
        <v>109.206481110487</v>
      </c>
      <c r="K1485" s="38" t="n">
        <f aca="false">Sens!$K$1483+Sens!$K$1484</f>
        <v>145.815617847642</v>
      </c>
      <c r="L1485" s="38" t="n">
        <f aca="false">Sens!$L$1483+Sens!$L$1484</f>
        <v>180.402072299863</v>
      </c>
      <c r="M1485" s="38" t="n">
        <f aca="false">Sens!$M$1483+Sens!$M$1484</f>
        <v>215.703824962211</v>
      </c>
      <c r="N1485" s="38" t="n">
        <f aca="false">Sens!$N$1483+Sens!$N$1484</f>
        <v>1.81122603115892</v>
      </c>
      <c r="O1485" s="38" t="n">
        <f aca="false">Sens!$O$1483+Sens!$O$1484</f>
        <v>1.81122603115892</v>
      </c>
      <c r="R1485" s="38" t="n">
        <f aca="false">Sens!$R$1483+Sens!$R$1484</f>
        <v>0</v>
      </c>
      <c r="S1485" s="38" t="n">
        <f aca="false">Sens!$S$1483+Sens!$S$1484</f>
        <v>0.203463948620839</v>
      </c>
      <c r="T1485" s="38" t="n">
        <f aca="false">Sens!$T$1483+Sens!$T$1484</f>
        <v>3.62245206231783</v>
      </c>
      <c r="U1485" s="38" t="n">
        <f aca="false">Sens!$U$1483+Sens!$U$1484</f>
        <v>13.0319517750893</v>
      </c>
      <c r="V1485" s="38" t="n">
        <f aca="false">Sens!$V$1483+Sens!$V$1484</f>
        <v>38.63301830731</v>
      </c>
      <c r="W1485" s="38" t="n">
        <f aca="false">Sens!$W$1483+Sens!$W$1484</f>
        <v>73.2869262749662</v>
      </c>
      <c r="X1485" s="38" t="n">
        <f aca="false">Sens!$X$1483+Sens!$X$1484</f>
        <v>109.206481110487</v>
      </c>
      <c r="Y1485" s="38" t="n">
        <f aca="false">Sens!$Y$1483+Sens!$Y$1484</f>
        <v>145.815617847642</v>
      </c>
      <c r="Z1485" s="38" t="n">
        <f aca="false">Sens!$Z$1483+Sens!$Z$1484</f>
        <v>180.402072299863</v>
      </c>
      <c r="AA1485" s="38" t="n">
        <f aca="false">Sens!$AA$1483+Sens!$AA$1484</f>
        <v>215.703824962211</v>
      </c>
    </row>
    <row r="1486" customFormat="false" ht="17.15" hidden="false" customHeight="false" outlineLevel="0" collapsed="false">
      <c r="A1486" s="0" t="s">
        <v>594</v>
      </c>
      <c r="B1486" s="0" t="s">
        <v>73</v>
      </c>
      <c r="C1486" s="38" t="n">
        <f aca="false">Sens!$S$1486</f>
        <v>26.578941154416</v>
      </c>
      <c r="D1486" s="38" t="n">
        <f aca="false">Sens!$T$1486</f>
        <v>92.5251207231008</v>
      </c>
      <c r="G1486" s="38" t="n">
        <f aca="false">Sens!$U$1486</f>
        <v>263.993252083397</v>
      </c>
      <c r="H1486" s="38" t="n">
        <f aca="false">Sens!$V$1486</f>
        <v>473.574439957025</v>
      </c>
      <c r="I1486" s="38" t="n">
        <f aca="false">Sens!$W$1486</f>
        <v>656.095601070184</v>
      </c>
      <c r="J1486" s="38" t="n">
        <f aca="false">Sens!$X$1486</f>
        <v>807.933975547822</v>
      </c>
      <c r="K1486" s="38" t="n">
        <f aca="false">Sens!$Y$1486</f>
        <v>928.399981488304</v>
      </c>
      <c r="L1486" s="38" t="n">
        <f aca="false">Sens!$Z$1486</f>
        <v>1050.93691037657</v>
      </c>
      <c r="M1486" s="38" t="n">
        <f aca="false">Sens!$AA$1486</f>
        <v>1218.09553377154</v>
      </c>
      <c r="R1486" s="38" t="n">
        <f aca="false">SUM(Sens!$R$1479:$R$1479)-SUM(Sens!$R$1485:$R$1485)</f>
        <v>1.50429979529945</v>
      </c>
      <c r="S1486" s="38" t="n">
        <f aca="false">SUM(Sens!$R$1479:$S$1479)-SUM(Sens!$R$1485:$S$1485)</f>
        <v>26.578941154416</v>
      </c>
      <c r="T1486" s="38" t="n">
        <f aca="false">SUM(Sens!$R$1479:$T$1479)-SUM(Sens!$R$1485:$T$1485)</f>
        <v>92.5251207231008</v>
      </c>
      <c r="U1486" s="38" t="n">
        <f aca="false">SUM(Sens!$R$1479:$U$1479)-SUM(Sens!$R$1485:$U$1485)</f>
        <v>263.993252083397</v>
      </c>
      <c r="V1486" s="38" t="n">
        <f aca="false">SUM(Sens!$R$1479:$V$1479)-SUM(Sens!$R$1485:$V$1485)</f>
        <v>473.574439957025</v>
      </c>
      <c r="W1486" s="38" t="n">
        <f aca="false">SUM(Sens!$R$1479:$W$1479)-SUM(Sens!$R$1485:$W$1485)</f>
        <v>656.095601070184</v>
      </c>
      <c r="X1486" s="38" t="n">
        <f aca="false">SUM(Sens!$R$1479:$X$1479)-SUM(Sens!$R$1485:$X$1485)</f>
        <v>807.933975547822</v>
      </c>
      <c r="Y1486" s="38" t="n">
        <f aca="false">SUM(Sens!$R$1479:$Y$1479)-SUM(Sens!$R$1485:$Y$1485)</f>
        <v>928.399981488304</v>
      </c>
      <c r="Z1486" s="38" t="n">
        <f aca="false">SUM(Sens!$R$1479:$Z$1479)-SUM(Sens!$R$1485:$Z$1485)</f>
        <v>1050.93691037657</v>
      </c>
      <c r="AA1486" s="38" t="n">
        <f aca="false">SUM(Sens!$R$1479:$AA$1479)-SUM(Sens!$R$1485:$AA$1485)</f>
        <v>1218.09553377154</v>
      </c>
    </row>
    <row r="1487" customFormat="false" ht="17.15" hidden="false" customHeight="false" outlineLevel="0" collapsed="false">
      <c r="A1487" s="1" t="s">
        <v>595</v>
      </c>
    </row>
    <row r="1488" customFormat="false" ht="17.15" hidden="false" customHeight="false" outlineLevel="0" collapsed="false">
      <c r="A1488" s="0" t="s">
        <v>596</v>
      </c>
      <c r="B1488" s="0" t="s">
        <v>73</v>
      </c>
      <c r="C1488" s="38" t="n">
        <f aca="false">Sens!$C$1470-ext_sh*Sens!$C$1472</f>
        <v>1.80694998843362</v>
      </c>
      <c r="D1488" s="38" t="n">
        <f aca="false">Sens!$D$1470-ext_sh*Sens!$D$1472</f>
        <v>6.77606245662607</v>
      </c>
      <c r="E1488" s="38" t="n">
        <f aca="false">Sens!$E$1470-ext_sh*Sens!$E$1472</f>
        <v>6.62548329092326</v>
      </c>
      <c r="F1488" s="38" t="n">
        <f aca="false">Sens!$F$1470-ext_sh*Sens!$F$1472</f>
        <v>12.6925429907018</v>
      </c>
      <c r="G1488" s="38" t="n">
        <f aca="false">Sens!$G$1470-ext_sh*Sens!$G$1472</f>
        <v>19.3180262816251</v>
      </c>
      <c r="H1488" s="38" t="n">
        <f aca="false">Sens!$H$1470-ext_sh*Sens!$H$1472</f>
        <v>55.4814075742838</v>
      </c>
      <c r="I1488" s="38" t="n">
        <f aca="false">Sens!$I$1470-ext_sh*Sens!$I$1472</f>
        <v>96.7774032721855</v>
      </c>
      <c r="J1488" s="38" t="n">
        <f aca="false">Sens!$J$1470-ext_sh*Sens!$J$1472</f>
        <v>138.284087735331</v>
      </c>
      <c r="K1488" s="38" t="n">
        <f aca="false">Sens!$K$1470-ext_sh*Sens!$K$1472</f>
        <v>179.861001786892</v>
      </c>
      <c r="L1488" s="38" t="n">
        <f aca="false">Sens!$L$1470-ext_sh*Sens!$L$1472</f>
        <v>221.469838378641</v>
      </c>
      <c r="M1488" s="38" t="n">
        <f aca="false">Sens!$M$1470-ext_sh*Sens!$M$1472</f>
        <v>263.095864030492</v>
      </c>
      <c r="N1488" s="38" t="n">
        <f aca="false">Sens!$N$1470-ext_sh*Sens!$N$1472</f>
        <v>2.37162185981912</v>
      </c>
      <c r="O1488" s="38" t="n">
        <f aca="false">Sens!$O$1470-ext_sh*Sens!$O$1472</f>
        <v>4.40444059680694</v>
      </c>
    </row>
    <row r="1489" customFormat="false" ht="17.15" hidden="false" customHeight="false" outlineLevel="0" collapsed="false">
      <c r="A1489" s="1" t="s">
        <v>597</v>
      </c>
      <c r="B1489" s="8" t="s">
        <v>73</v>
      </c>
      <c r="C1489" s="38" t="n">
        <f aca="false">Sens!$C$1488-ext_sh*Sens!$C$1485</f>
        <v>1.64417882953695</v>
      </c>
      <c r="D1489" s="38" t="n">
        <f aca="false">Sens!$D$1488-ext_sh*Sens!$D$1485</f>
        <v>3.8781008067718</v>
      </c>
      <c r="E1489" s="38" t="n">
        <f aca="false">Sens!$E$1488-ext_sh*Sens!$E$1485</f>
        <v>1.41270258088753</v>
      </c>
      <c r="F1489" s="38" t="n">
        <f aca="false">Sens!$F$1488-ext_sh*Sens!$F$1485</f>
        <v>7.4797622806661</v>
      </c>
      <c r="G1489" s="38" t="n">
        <f aca="false">Sens!$G$1488-ext_sh*Sens!$G$1485</f>
        <v>8.89246486155363</v>
      </c>
      <c r="H1489" s="38" t="n">
        <f aca="false">Sens!$H$1488-ext_sh*Sens!$H$1485</f>
        <v>24.5749929284358</v>
      </c>
      <c r="I1489" s="38" t="n">
        <f aca="false">Sens!$I$1488-ext_sh*Sens!$I$1485</f>
        <v>38.1478622522126</v>
      </c>
      <c r="J1489" s="38" t="n">
        <f aca="false">Sens!$J$1488-ext_sh*Sens!$J$1485</f>
        <v>50.9189028469417</v>
      </c>
      <c r="K1489" s="38" t="n">
        <f aca="false">Sens!$K$1488-ext_sh*Sens!$K$1485</f>
        <v>63.2085075087781</v>
      </c>
      <c r="L1489" s="38" t="n">
        <f aca="false">Sens!$L$1488-ext_sh*Sens!$L$1485</f>
        <v>77.1481805387507</v>
      </c>
      <c r="M1489" s="38" t="n">
        <f aca="false">Sens!$M$1488-ext_sh*Sens!$M$1485</f>
        <v>90.5328040607234</v>
      </c>
      <c r="N1489" s="38" t="n">
        <f aca="false">Sens!$N$1488-ext_sh*Sens!$N$1485</f>
        <v>0.92264103489199</v>
      </c>
      <c r="O1489" s="38" t="n">
        <f aca="false">Sens!$O$1488-ext_sh*Sens!$O$1485</f>
        <v>2.95545977187981</v>
      </c>
    </row>
    <row r="1490" customFormat="false" ht="17.15" hidden="false" customHeight="false" outlineLevel="0" collapsed="false">
      <c r="A1490" s="0" t="s">
        <v>598</v>
      </c>
      <c r="B1490" s="0" t="s">
        <v>52</v>
      </c>
      <c r="C1490" s="12" t="n">
        <f aca="false">Sens!$C$1489/Sens!$C$1470</f>
        <v>0.708390794789371</v>
      </c>
      <c r="D1490" s="12" t="n">
        <f aca="false">Sens!$D$1489/Sens!$D$1470</f>
        <v>0.445565630441968</v>
      </c>
      <c r="E1490" s="12" t="n">
        <f aca="false">Sens!$E$1489/Sens!$E$1470</f>
        <v>0.165998118402711</v>
      </c>
      <c r="F1490" s="12" t="n">
        <f aca="false">Sens!$F$1489/Sens!$F$1470</f>
        <v>0.462002627075229</v>
      </c>
      <c r="G1490" s="12" t="n">
        <f aca="false">Sens!$G$1489/Sens!$G$1470</f>
        <v>0.360015576355354</v>
      </c>
      <c r="H1490" s="12" t="n">
        <f aca="false">Sens!$H$1489/Sens!$H$1470</f>
        <v>0.350178280401407</v>
      </c>
      <c r="I1490" s="12" t="n">
        <f aca="false">Sens!$I$1489/Sens!$I$1470</f>
        <v>0.313070319052611</v>
      </c>
      <c r="J1490" s="12" t="n">
        <f aca="false">Sens!$J$1489/Sens!$J$1470</f>
        <v>0.293053518787249</v>
      </c>
      <c r="K1490" s="12" t="n">
        <f aca="false">Sens!$K$1489/Sens!$K$1470</f>
        <v>0.280016120144688</v>
      </c>
      <c r="L1490" s="12" t="n">
        <f aca="false">Sens!$L$1489/Sens!$L$1470</f>
        <v>0.27776596313305</v>
      </c>
      <c r="M1490" s="12" t="n">
        <f aca="false">Sens!$M$1489/Sens!$M$1470</f>
        <v>0.274526839221306</v>
      </c>
      <c r="N1490" s="12" t="n">
        <f aca="false">Sens!$N$1489/Sens!$N$1470</f>
        <v>0.302870734830849</v>
      </c>
      <c r="O1490" s="12" t="n">
        <f aca="false">Sens!$O$1489/Sens!$O$1470</f>
        <v>0.52240134346334</v>
      </c>
    </row>
    <row r="1491" customFormat="false" ht="17.15" hidden="false" customHeight="false" outlineLevel="0" collapsed="false">
      <c r="A1491" s="5" t="s">
        <v>599</v>
      </c>
      <c r="B1491" s="0" t="s">
        <v>73</v>
      </c>
      <c r="C1491" s="38" t="n">
        <f aca="false">rd2*(1-ext_sh)/ext_sh*Sens!$C$1453*he_open*Sens!$C$1454/1000</f>
        <v>0</v>
      </c>
      <c r="D1491" s="38" t="n">
        <f aca="false">rd2*(1-ext_sh)/ext_sh*Sens!$D$1453*he_open*Sens!$D$1454/1000</f>
        <v>0</v>
      </c>
      <c r="E1491" s="38" t="n">
        <f aca="false">rd2*(1-ext_sh)/ext_sh*Sens!$E$1453*he_open*Sens!$E$1454/1000</f>
        <v>0</v>
      </c>
      <c r="F1491" s="38" t="n">
        <f aca="false">rd2*(1-ext_sh)/ext_sh*(mw_open*he_open+Sens!$F$1468*Sens!$F$1465)*Sens!$F$1454/1000</f>
        <v>0</v>
      </c>
      <c r="G1491" s="38" t="n">
        <f aca="false">Sens!$E$1491+Sens!$F$1491</f>
        <v>0</v>
      </c>
      <c r="H1491" s="38" t="n">
        <f aca="false">rd2*(1-ext_sh)/ext_sh*(mw_open*he_open+Sens!$H$1468*Sens!$H$1465)*Sens!$H$1454/1000</f>
        <v>0</v>
      </c>
      <c r="I1491" s="38" t="n">
        <f aca="false">rd2*(1-ext_sh)/ext_sh*(mw_open*he_open+Sens!$I$1468*Sens!$I$1465)*Sens!$I$1454/1000</f>
        <v>0</v>
      </c>
      <c r="J1491" s="38" t="n">
        <f aca="false">rd2*(1-ext_sh)/ext_sh*(mw_open*he_open+Sens!$J$1468*Sens!$J$1465)*Sens!$J$1454/1000</f>
        <v>0</v>
      </c>
      <c r="K1491" s="38" t="n">
        <f aca="false">rd2*(1-ext_sh)/ext_sh*(mw_open*he_open+Sens!$K$1468*Sens!$K$1465)*Sens!$K$1454/1000</f>
        <v>0</v>
      </c>
      <c r="L1491" s="38" t="n">
        <f aca="false">rd2*(1-ext_sh)/ext_sh*(mw_open*he_open+Sens!$L$1468*Sens!$L$1465)*Sens!$L$1454/1000</f>
        <v>0</v>
      </c>
      <c r="M1491" s="38" t="n">
        <f aca="false">rd2*(1-ext_sh)/ext_sh*(mw_open*he_open+Sens!$M$1468*Sens!$M$1465)*Sens!$M$1454/1000</f>
        <v>0</v>
      </c>
      <c r="N1491" s="38" t="n">
        <f aca="false">rd2*(1-ext_sh)/ext_sh*Sens!$N$1453*he_open*Sens!$N$1454/1000</f>
        <v>0</v>
      </c>
      <c r="O1491" s="38" t="n">
        <f aca="false">rd2*(1-ext_sh)/ext_sh*Sens!$O$1453*he_open*Sens!$O$1454/1000</f>
        <v>0</v>
      </c>
      <c r="P1491" s="8" t="s">
        <v>600</v>
      </c>
    </row>
    <row r="1492" customFormat="false" ht="17.15" hidden="false" customHeight="false" outlineLevel="0" collapsed="false">
      <c r="A1492" s="5" t="s">
        <v>601</v>
      </c>
      <c r="B1492" s="0" t="s">
        <v>73</v>
      </c>
      <c r="C1492" s="38" t="n">
        <f aca="false">(1-ext_sh)*(Sens!$C$1472+Sens!$C$1485)-Sens!$C$1491</f>
        <v>0.169206631859174</v>
      </c>
      <c r="D1492" s="38" t="n">
        <f aca="false">(1-ext_sh)*(Sens!$D$1472+Sens!$D$1485)-Sens!$D$1491</f>
        <v>1.20641732046984</v>
      </c>
      <c r="E1492" s="38" t="n">
        <f aca="false">(1-ext_sh)*(Sens!$E$1472+Sens!$E$1485)-Sens!$E$1491</f>
        <v>1.77441259867062</v>
      </c>
      <c r="F1492" s="38" t="n">
        <f aca="false">(1-ext_sh)*(Sens!$F$1472+Sens!$F$1485)-Sens!$F$1491</f>
        <v>2.17752682629492</v>
      </c>
      <c r="G1492" s="38" t="n">
        <f aca="false">(1-ext_sh)*(Sens!$G$1472+Sens!$G$1485)-Sens!$G$1491</f>
        <v>3.95193942496554</v>
      </c>
      <c r="H1492" s="38" t="n">
        <f aca="false">(1-ext_sh)*(Sens!$H$1472+Sens!$H$1485)-Sens!$H$1491</f>
        <v>11.4008813921682</v>
      </c>
      <c r="I1492" s="38" t="n">
        <f aca="false">(1-ext_sh)*(Sens!$I$1472+Sens!$I$1485)-Sens!$I$1491</f>
        <v>20.9257291820545</v>
      </c>
      <c r="J1492" s="38" t="n">
        <f aca="false">(1-ext_sh)*(Sens!$J$1472+Sens!$J$1485)-Sens!$J$1491</f>
        <v>30.7085027880116</v>
      </c>
      <c r="K1492" s="38" t="n">
        <f aca="false">(1-ext_sh)*(Sens!$K$1472+Sens!$K$1485)-Sens!$K$1491</f>
        <v>40.6307915884616</v>
      </c>
      <c r="L1492" s="38" t="n">
        <f aca="false">(1-ext_sh)*(Sens!$L$1472+Sens!$L$1485)-Sens!$L$1491</f>
        <v>50.1492706656365</v>
      </c>
      <c r="M1492" s="38" t="n">
        <f aca="false">(1-ext_sh)*(Sens!$M$1472+Sens!$M$1485)-Sens!$M$1491</f>
        <v>59.8112007029892</v>
      </c>
      <c r="N1492" s="38" t="n">
        <f aca="false">(1-ext_sh)*(Sens!$N$1472+Sens!$N$1485)-Sens!$N$1491</f>
        <v>0.530919624033979</v>
      </c>
      <c r="O1492" s="38" t="n">
        <f aca="false">(1-ext_sh)*(Sens!$O$1472+Sens!$O$1485)-Sens!$O$1491</f>
        <v>0.675497696435861</v>
      </c>
    </row>
    <row r="1493" customFormat="false" ht="17.15" hidden="false" customHeight="false" outlineLevel="0" collapsed="false">
      <c r="A1493" s="0" t="s">
        <v>602</v>
      </c>
      <c r="B1493" s="0" t="s">
        <v>73</v>
      </c>
      <c r="C1493" s="38" t="n">
        <f aca="false">Q!$D$24</f>
        <v>39.834</v>
      </c>
      <c r="D1493" s="38" t="n">
        <f aca="false">Q!$E$24</f>
        <v>45.606</v>
      </c>
      <c r="E1493" s="38" t="n">
        <f aca="false">Q!$P$24</f>
        <v>30.782</v>
      </c>
      <c r="N1493" s="38" t="n">
        <f aca="false">Q!$N$24</f>
        <v>21.707</v>
      </c>
      <c r="O1493" s="38" t="n">
        <f aca="false">Q!$O$24</f>
        <v>23.899</v>
      </c>
    </row>
    <row r="1494" customFormat="false" ht="17.15" hidden="false" customHeight="false" outlineLevel="0" collapsed="false">
      <c r="A1494" s="0" t="s">
        <v>603</v>
      </c>
      <c r="B1494" s="0" t="s">
        <v>73</v>
      </c>
      <c r="C1494" s="38" t="n">
        <f aca="false">Sens!$C$1493-Sens!$C$1489</f>
        <v>38.1898211704631</v>
      </c>
      <c r="D1494" s="38" t="n">
        <f aca="false">Sens!$D$1493-Sens!$D$1489</f>
        <v>41.7278991932282</v>
      </c>
      <c r="E1494" s="38" t="n">
        <f aca="false">Sens!$E$1493-Sens!$E$1489</f>
        <v>29.3692974191125</v>
      </c>
      <c r="F1494" s="38" t="n">
        <f aca="false">Sens!$F$1474*Sens!$F$1495</f>
        <v>29.458060516894</v>
      </c>
      <c r="G1494" s="38" t="n">
        <f aca="false">Sens!$E$1494+Sens!$F$1494</f>
        <v>58.8273579360065</v>
      </c>
      <c r="H1494" s="38" t="n">
        <f aca="false">Sens!$H$1474*Sens!$H$1495</f>
        <v>67.8004040185081</v>
      </c>
      <c r="I1494" s="38" t="n">
        <f aca="false">Sens!$I$1474*Sens!$I$1495</f>
        <v>78.9527630302702</v>
      </c>
      <c r="J1494" s="38" t="n">
        <f aca="false">Sens!$J$1474*Sens!$J$1495</f>
        <v>88.6042681781841</v>
      </c>
      <c r="K1494" s="38" t="n">
        <f aca="false">Sens!$K$1474*Sens!$K$1495</f>
        <v>95.6926096324389</v>
      </c>
      <c r="L1494" s="38" t="n">
        <f aca="false">Sens!$L$1474*Sens!$L$1495</f>
        <v>103.348018403034</v>
      </c>
      <c r="M1494" s="38" t="n">
        <f aca="false">Sens!$M$1474*Sens!$M$1495</f>
        <v>111.615859875277</v>
      </c>
      <c r="N1494" s="38" t="n">
        <f aca="false">Sens!$N$1493-Sens!$N$1489</f>
        <v>20.784358965108</v>
      </c>
      <c r="O1494" s="38" t="n">
        <f aca="false">Sens!$O$1493-Sens!$O$1489</f>
        <v>20.9435402281202</v>
      </c>
      <c r="P1494" s="5" t="s">
        <v>604</v>
      </c>
    </row>
    <row r="1495" customFormat="false" ht="17.15" hidden="false" customHeight="false" outlineLevel="0" collapsed="false">
      <c r="A1495" s="0" t="s">
        <v>605</v>
      </c>
      <c r="B1495" s="0" t="s">
        <v>52</v>
      </c>
      <c r="C1495" s="12" t="n">
        <f aca="false">Sens!$C$1494/Sens!$C$1474</f>
        <v>0.362900395443635</v>
      </c>
      <c r="D1495" s="12" t="n">
        <f aca="false">Sens!$D$1494/Sens!$D$1474</f>
        <v>0.34767098474203</v>
      </c>
      <c r="E1495" s="12" t="n">
        <f aca="false">Sens!$E$1494/Sens!$E$1474</f>
        <v>0.411861655558416</v>
      </c>
      <c r="F1495" s="12" t="n">
        <f aca="false">(Sens!$O$1494+Sens!$E$1494)/(Sens!$O$1474+Sens!$E$1474)</f>
        <v>0.37480827803158</v>
      </c>
      <c r="G1495" s="12" t="n">
        <f aca="false">Sens!$G$1494/Sens!$G$1474</f>
        <v>0.392434440489471</v>
      </c>
      <c r="H1495" s="12" t="n">
        <f aca="false">Sens!$F$1495</f>
        <v>0.37480827803158</v>
      </c>
      <c r="I1495" s="12" t="n">
        <f aca="false">Sens!$F$1495</f>
        <v>0.37480827803158</v>
      </c>
      <c r="J1495" s="12" t="n">
        <f aca="false">Sens!$F$1495</f>
        <v>0.37480827803158</v>
      </c>
      <c r="K1495" s="12" t="n">
        <f aca="false">Sens!$F$1495</f>
        <v>0.37480827803158</v>
      </c>
      <c r="L1495" s="12" t="n">
        <f aca="false">Sens!$F$1495</f>
        <v>0.37480827803158</v>
      </c>
      <c r="M1495" s="12" t="n">
        <f aca="false">Sens!$F$1495</f>
        <v>0.37480827803158</v>
      </c>
      <c r="N1495" s="12" t="n">
        <f aca="false">Sens!$N$1494/Sens!$N$1474</f>
        <v>0.364039571356823</v>
      </c>
      <c r="O1495" s="12" t="n">
        <f aca="false">Sens!$O$1494/Sens!$O$1474</f>
        <v>0.332819892300086</v>
      </c>
      <c r="P1495" s="8" t="s">
        <v>606</v>
      </c>
    </row>
    <row r="1496" customFormat="false" ht="17.15" hidden="false" customHeight="false" outlineLevel="0" collapsed="false">
      <c r="A1496" s="0" t="s">
        <v>607</v>
      </c>
      <c r="B1496" s="0" t="s">
        <v>52</v>
      </c>
      <c r="D1496" s="12" t="n">
        <f aca="false">(Q!$E$31-ext_sh*Sens!$D$1485)/Sens!$D$1474</f>
        <v>0.154572973163571</v>
      </c>
    </row>
    <row r="1497" customFormat="false" ht="17.15" hidden="false" customHeight="false" outlineLevel="0" collapsed="false">
      <c r="A1497" s="0" t="s">
        <v>608</v>
      </c>
      <c r="B1497" s="0" t="s">
        <v>73</v>
      </c>
      <c r="C1497" s="38" t="n">
        <f aca="false">Q!$D$31</f>
        <v>13.32</v>
      </c>
      <c r="D1497" s="38" t="n">
        <f aca="false">Q!$E$31</f>
        <v>21.45</v>
      </c>
      <c r="E1497" s="38" t="n">
        <f aca="false">Q!$P$31</f>
        <v>15.353</v>
      </c>
      <c r="F1497" s="38" t="n">
        <f aca="false">ext_sh*Sens!$F$1485+Sens!$D$1496*Sens!$F$1474</f>
        <v>17.3614451462707</v>
      </c>
      <c r="G1497" s="38" t="n">
        <f aca="false">Sens!$E$1497+Sens!$F$1497</f>
        <v>32.7144451462707</v>
      </c>
      <c r="H1497" s="38" t="n">
        <f aca="false">ext_sh*Sens!$H$1485+Sens!$D$1496*Sens!$H$1474</f>
        <v>58.8676701599248</v>
      </c>
      <c r="I1497" s="38" t="n">
        <f aca="false">ext_sh*Sens!$I$1485+Sens!$D$1496*Sens!$I$1474</f>
        <v>91.1900900696381</v>
      </c>
      <c r="J1497" s="38" t="n">
        <f aca="false">ext_sh*Sens!$J$1485+Sens!$D$1496*Sens!$J$1474</f>
        <v>123.90606717416</v>
      </c>
      <c r="K1497" s="38" t="n">
        <f aca="false">ext_sh*Sens!$K$1485+Sens!$D$1496*Sens!$K$1474</f>
        <v>156.116647146746</v>
      </c>
      <c r="L1497" s="38" t="n">
        <f aca="false">ext_sh*Sens!$L$1485+Sens!$D$1496*Sens!$L$1474</f>
        <v>186.942942938013</v>
      </c>
      <c r="M1497" s="38" t="n">
        <f aca="false">ext_sh*Sens!$M$1485+Sens!$D$1496*Sens!$M$1474</f>
        <v>218.594047875741</v>
      </c>
      <c r="N1497" s="38" t="n">
        <f aca="false">Q!$N$31</f>
        <v>9.234</v>
      </c>
      <c r="O1497" s="38" t="n">
        <f aca="false">Q!$O$31</f>
        <v>12.216</v>
      </c>
    </row>
    <row r="1498" customFormat="false" ht="17.15" hidden="false" customHeight="false" outlineLevel="0" collapsed="false">
      <c r="A1498" s="1" t="s">
        <v>609</v>
      </c>
    </row>
    <row r="1499" customFormat="false" ht="17.15" hidden="false" customHeight="false" outlineLevel="0" collapsed="false">
      <c r="A1499" s="14" t="s">
        <v>610</v>
      </c>
      <c r="B1499" s="13" t="s">
        <v>52</v>
      </c>
      <c r="C1499" s="13"/>
      <c r="D1499" s="13"/>
      <c r="E1499" s="13"/>
      <c r="F1499" s="13"/>
      <c r="G1499" s="16" t="n">
        <f aca="false">Sens!$G$1489*(1-tax)/(ext_sh*(Sens!$D$1486+Sens!$G$1486)/2)</f>
        <v>0.051532200852769</v>
      </c>
      <c r="H1499" s="16" t="n">
        <f aca="false">Sens!$H$1489*(1-tax)/(ext_sh*(Sens!$G$1486+Sens!$H$1486)/2)</f>
        <v>0.0688382728575549</v>
      </c>
      <c r="I1499" s="16" t="n">
        <f aca="false">Sens!$I$1489*(1-tax)/(ext_sh*(Sens!$H$1486+Sens!$I$1486)/2)</f>
        <v>0.06976812364806</v>
      </c>
      <c r="J1499" s="16" t="n">
        <f aca="false">Sens!$J$1489*(1-tax)/(ext_sh*(Sens!$I$1486+Sens!$J$1486)/2)</f>
        <v>0.0718567607380601</v>
      </c>
      <c r="K1499" s="16" t="n">
        <f aca="false">Sens!$K$1489*(1-tax)/(ext_sh*(Sens!$J$1486+Sens!$K$1486)/2)</f>
        <v>0.0752108896488029</v>
      </c>
      <c r="L1499" s="16" t="n">
        <f aca="false">Sens!$L$1489*(1-tax)/(ext_sh*(Sens!$K$1486+Sens!$L$1486)/2)</f>
        <v>0.0805275372806658</v>
      </c>
      <c r="M1499" s="16" t="n">
        <f aca="false">Sens!$M$1489*(1-tax)/(ext_sh*(Sens!$L$1486+Sens!$M$1486)/2)</f>
        <v>0.082433495295677</v>
      </c>
      <c r="N1499" s="13"/>
      <c r="O1499" s="13"/>
      <c r="P1499" s="8" t="s">
        <v>611</v>
      </c>
    </row>
    <row r="1500" customFormat="false" ht="17.15" hidden="false" customHeight="false" outlineLevel="0" collapsed="false">
      <c r="A1500" s="5" t="s">
        <v>612</v>
      </c>
      <c r="B1500" s="0" t="s">
        <v>57</v>
      </c>
      <c r="H1500" s="36" t="n">
        <f aca="false">Sens!$H$1470*1000/(mw_open*he_open+Sens!$H$1468*Sens!$H$1465)</f>
        <v>0.991949006767192</v>
      </c>
      <c r="I1500" s="36" t="n">
        <f aca="false">Sens!$I$1470*1000/(mw_open*he_open+Sens!$I$1468*Sens!$I$1465)</f>
        <v>0.991949006767191</v>
      </c>
      <c r="J1500" s="36" t="n">
        <f aca="false">Sens!$J$1470*1000/(mw_open*he_open+Sens!$J$1468*Sens!$J$1465)</f>
        <v>0.991949006767191</v>
      </c>
      <c r="K1500" s="36" t="n">
        <f aca="false">Sens!$K$1470*1000/(mw_open*he_open+Sens!$K$1468*Sens!$K$1465)</f>
        <v>0.991949006767191</v>
      </c>
      <c r="L1500" s="36" t="n">
        <f aca="false">Sens!$L$1470*1000/(mw_open*he_open+Sens!$L$1468*Sens!$L$1465)</f>
        <v>0.991949006767191</v>
      </c>
      <c r="M1500" s="36" t="n">
        <f aca="false">Sens!$M$1470*1000/(mw_open*he_open+Sens!$M$1468*Sens!$M$1465)</f>
        <v>0.991949006767191</v>
      </c>
    </row>
    <row r="1501" customFormat="false" ht="17.15" hidden="false" customHeight="false" outlineLevel="0" collapsed="false">
      <c r="A1501" s="5" t="s">
        <v>613</v>
      </c>
      <c r="B1501" s="0" t="s">
        <v>57</v>
      </c>
      <c r="H1501" s="36" t="n">
        <f aca="false">Sens!$H$1500*(Sens!$H$1470+wacc*ext_sh*(Sens!$G$1486+Sens!$H$1486)/2/(1-tax)-Sens!$H$1489)/Sens!$H$1470</f>
        <v>1.27475029477629</v>
      </c>
      <c r="I1501" s="36" t="n">
        <f aca="false">Sens!$I$1500*(Sens!$I$1470+wacc*ext_sh*(Sens!$H$1486+Sens!$I$1486)/2/(1-tax)-Sens!$I$1489)/Sens!$I$1470</f>
        <v>1.2372735735797</v>
      </c>
      <c r="J1501" s="36" t="n">
        <f aca="false">Sens!$J$1500*(Sens!$J$1470+wacc*ext_sh*(Sens!$I$1486+Sens!$J$1486)/2/(1-tax)-Sens!$J$1489)/Sens!$J$1470</f>
        <v>1.20646387745514</v>
      </c>
      <c r="K1501" s="36" t="n">
        <f aca="false">Sens!$K$1500*(Sens!$K$1470+wacc*ext_sh*(Sens!$J$1486+Sens!$K$1486)/2/(1-tax)-Sens!$K$1489)/Sens!$K$1470</f>
        <v>1.1753923899807</v>
      </c>
      <c r="L1501" s="36" t="n">
        <f aca="false">Sens!$L$1500*(Sens!$L$1470+wacc*ext_sh*(Sens!$K$1486+Sens!$L$1486)/2/(1-tax)-Sens!$L$1489)/Sens!$L$1470</f>
        <v>1.14371294576543</v>
      </c>
      <c r="M1501" s="36" t="n">
        <f aca="false">Sens!$M$1500*(Sens!$M$1470+wacc*ext_sh*(Sens!$L$1486+Sens!$M$1486)/2/(1-tax)-Sens!$M$1489)/Sens!$M$1470</f>
        <v>1.13217885923515</v>
      </c>
    </row>
    <row r="1502" customFormat="false" ht="17.15" hidden="false" customHeight="false" outlineLevel="0" collapsed="false">
      <c r="A1502" s="5" t="s">
        <v>614</v>
      </c>
      <c r="B1502" s="0" t="s">
        <v>52</v>
      </c>
      <c r="C1502" s="12" t="n">
        <f aca="false">Sens!$C$1471/tk_pq</f>
        <v>0.195316432429398</v>
      </c>
      <c r="D1502" s="12" t="n">
        <f aca="false">Sens!$D$1471/tk_pq</f>
        <v>0.195316432429398</v>
      </c>
      <c r="E1502" s="12" t="n">
        <f aca="false">Sens!$E$1471/tk_pq</f>
        <v>0.195316432429398</v>
      </c>
      <c r="F1502" s="12" t="n">
        <f aca="false">Sens!$F$1471/tk_pq</f>
        <v>0.203361702985279</v>
      </c>
      <c r="G1502" s="12" t="n">
        <f aca="false">Sens!$G$1471/tk_pq</f>
        <v>0.200515948052215</v>
      </c>
      <c r="H1502" s="12" t="n">
        <f aca="false">Sens!$H$1471/tk_pq</f>
        <v>0.21400874463705</v>
      </c>
      <c r="I1502" s="12" t="n">
        <f aca="false">Sens!$I$1471/tk_pq</f>
        <v>0.22040137117169</v>
      </c>
      <c r="J1502" s="12" t="n">
        <f aca="false">Sens!$J$1471/tk_pq</f>
        <v>0.223392097836285</v>
      </c>
      <c r="K1502" s="12" t="n">
        <f aca="false">Sens!$K$1471/tk_pq</f>
        <v>0.2251174639566</v>
      </c>
      <c r="L1502" s="12" t="n">
        <f aca="false">Sens!$L$1471/tk_pq</f>
        <v>0.226238950553829</v>
      </c>
      <c r="M1502" s="12" t="n">
        <f aca="false">Sens!$M$1471/tk_pq</f>
        <v>0.2270260234989</v>
      </c>
      <c r="N1502" s="12" t="n">
        <f aca="false">Sens!$N$1471/tk_pq</f>
        <v>0.195316432429398</v>
      </c>
      <c r="O1502" s="12" t="n">
        <f aca="false">Sens!$O$1471/tk_pq</f>
        <v>0.195316432429398</v>
      </c>
      <c r="P1502" s="5" t="s">
        <v>615</v>
      </c>
    </row>
    <row r="1505" customFormat="false" ht="17.15" hidden="false" customHeight="false" outlineLevel="0" collapsed="false">
      <c r="A1505" s="1" t="s">
        <v>642</v>
      </c>
    </row>
    <row r="1506" customFormat="false" ht="17.15" hidden="false" customHeight="false" outlineLevel="0" collapsed="false">
      <c r="A1506" s="0" t="s">
        <v>643</v>
      </c>
      <c r="B1506" s="0" t="s">
        <v>73</v>
      </c>
      <c r="C1506" s="38" t="n">
        <f aca="false">Sens!$C$1470</f>
        <v>2.32100535697364</v>
      </c>
      <c r="D1506" s="38" t="n">
        <f aca="false">Sens!$D$1470</f>
        <v>8.70377008865116</v>
      </c>
      <c r="E1506" s="38" t="n">
        <f aca="false">Sens!$E$1470</f>
        <v>8.51035297557002</v>
      </c>
      <c r="F1506" s="38" t="n">
        <f aca="false">Sens!$F$1470</f>
        <v>16.1898695858458</v>
      </c>
      <c r="G1506" s="38" t="n">
        <f aca="false">Sens!$G$1470</f>
        <v>24.7002225614158</v>
      </c>
      <c r="H1506" s="38" t="n">
        <f aca="false">Sens!$H$1470</f>
        <v>70.1785184971087</v>
      </c>
      <c r="I1506" s="38" t="n">
        <f aca="false">Sens!$I$1470</f>
        <v>121.85077898043</v>
      </c>
      <c r="J1506" s="38" t="n">
        <f aca="false">Sens!$J$1470</f>
        <v>173.752913998988</v>
      </c>
      <c r="K1506" s="38" t="n">
        <f aca="false">Sens!$K$1470</f>
        <v>225.731673862625</v>
      </c>
      <c r="L1506" s="38" t="n">
        <f aca="false">Sens!$L$1470</f>
        <v>277.745263201297</v>
      </c>
      <c r="M1506" s="38" t="n">
        <f aca="false">Sens!$M$1470</f>
        <v>329.77760687268</v>
      </c>
      <c r="N1506" s="38" t="n">
        <f aca="false">Sens!$N$1470</f>
        <v>3.04631953102791</v>
      </c>
      <c r="O1506" s="38" t="n">
        <f aca="false">Sens!$O$1470</f>
        <v>5.65745055762326</v>
      </c>
      <c r="P1506" s="8" t="s">
        <v>644</v>
      </c>
    </row>
    <row r="1507" customFormat="false" ht="17.15" hidden="false" customHeight="false" outlineLevel="0" collapsed="false">
      <c r="A1507" s="0" t="s">
        <v>645</v>
      </c>
      <c r="B1507" s="0" t="s">
        <v>73</v>
      </c>
      <c r="C1507" s="38" t="n">
        <f aca="false">Sens!$C$1474</f>
        <v>105.234994643026</v>
      </c>
      <c r="D1507" s="38" t="n">
        <f aca="false">Sens!$D$1474</f>
        <v>120.021229911349</v>
      </c>
      <c r="E1507" s="38" t="n">
        <f aca="false">Sens!$E$1474</f>
        <v>71.30864702443</v>
      </c>
      <c r="F1507" s="38" t="n">
        <f aca="false">Sens!$F$1474</f>
        <v>78.5950104186653</v>
      </c>
      <c r="G1507" s="38" t="n">
        <f aca="false">Sens!$G$1474</f>
        <v>149.903657443095</v>
      </c>
      <c r="H1507" s="38" t="n">
        <f aca="false">Sens!$H$1474</f>
        <v>180.893560768142</v>
      </c>
      <c r="I1507" s="38" t="n">
        <f aca="false">Sens!$I$1474</f>
        <v>210.64839721501</v>
      </c>
      <c r="J1507" s="38" t="n">
        <f aca="false">Sens!$J$1474</f>
        <v>236.398909446495</v>
      </c>
      <c r="K1507" s="38" t="n">
        <f aca="false">Sens!$K$1474</f>
        <v>255.310822202215</v>
      </c>
      <c r="L1507" s="38" t="n">
        <f aca="false">Sens!$L$1474</f>
        <v>275.735687978392</v>
      </c>
      <c r="M1507" s="38" t="n">
        <f aca="false">Sens!$M$1474</f>
        <v>297.794543016663</v>
      </c>
      <c r="N1507" s="38" t="n">
        <f aca="false">Sens!$N$1474</f>
        <v>57.0936804689721</v>
      </c>
      <c r="O1507" s="38" t="n">
        <f aca="false">Sens!$O$1474</f>
        <v>62.9275494423768</v>
      </c>
      <c r="P1507" s="8" t="s">
        <v>644</v>
      </c>
    </row>
    <row r="1508" customFormat="false" ht="17.15" hidden="false" customHeight="false" outlineLevel="0" collapsed="false">
      <c r="A1508" s="1" t="s">
        <v>476</v>
      </c>
      <c r="B1508" s="8" t="s">
        <v>73</v>
      </c>
      <c r="C1508" s="38" t="n">
        <f aca="false">Q!$D$7</f>
        <v>107.556</v>
      </c>
      <c r="D1508" s="38" t="n">
        <f aca="false">Q!$E$7</f>
        <v>128.725</v>
      </c>
      <c r="E1508" s="38" t="n">
        <f aca="false">Q!$P$7</f>
        <v>79.819</v>
      </c>
      <c r="F1508" s="38" t="n">
        <f aca="false">Sens!$F$1506+Sens!$F$1507</f>
        <v>94.7848800045111</v>
      </c>
      <c r="G1508" s="38" t="n">
        <f aca="false">Sens!$G$1506+Sens!$G$1507</f>
        <v>174.603880004511</v>
      </c>
      <c r="H1508" s="38" t="n">
        <f aca="false">Sens!$H$1506+Sens!$H$1507</f>
        <v>251.07207926525</v>
      </c>
      <c r="I1508" s="38" t="n">
        <f aca="false">Sens!$I$1506+Sens!$I$1507</f>
        <v>332.499176195441</v>
      </c>
      <c r="J1508" s="38" t="n">
        <f aca="false">Sens!$J$1506+Sens!$J$1507</f>
        <v>410.151823445483</v>
      </c>
      <c r="K1508" s="38" t="n">
        <f aca="false">Sens!$K$1506+Sens!$K$1507</f>
        <v>481.042496064839</v>
      </c>
      <c r="L1508" s="38" t="n">
        <f aca="false">Sens!$L$1506+Sens!$L$1507</f>
        <v>553.480951179688</v>
      </c>
      <c r="M1508" s="38" t="n">
        <f aca="false">Sens!$M$1506+Sens!$M$1507</f>
        <v>627.572149889343</v>
      </c>
      <c r="N1508" s="38" t="n">
        <f aca="false">Q!$N$7</f>
        <v>60.14</v>
      </c>
      <c r="O1508" s="38" t="n">
        <f aca="false">Q!$O$7</f>
        <v>68.585</v>
      </c>
      <c r="P1508" s="5" t="s">
        <v>646</v>
      </c>
    </row>
    <row r="1509" customFormat="false" ht="15" hidden="false" customHeight="false" outlineLevel="0" collapsed="false">
      <c r="A1509" s="3" t="s">
        <v>647</v>
      </c>
      <c r="B1509" s="8" t="s">
        <v>73</v>
      </c>
      <c r="C1509" s="38" t="n">
        <f aca="false">Q!$D$8</f>
        <v>637.959</v>
      </c>
      <c r="D1509" s="38" t="n">
        <f aca="false">Q!$E$8</f>
        <v>716.924</v>
      </c>
      <c r="E1509" s="38" t="n">
        <f aca="false">Q!$P$8</f>
        <v>382.125</v>
      </c>
      <c r="F1509" s="38" t="n">
        <f aca="false">Sens!$F$1443+Sens!$F$1508</f>
        <v>451.721309212941</v>
      </c>
      <c r="G1509" s="38" t="n">
        <f aca="false">Sens!$G$1443+Sens!$G$1508</f>
        <v>833.846309212941</v>
      </c>
      <c r="H1509" s="38" t="n">
        <f aca="false">Sens!$H$1443+Sens!$H$1508</f>
        <v>981.007816886951</v>
      </c>
      <c r="I1509" s="38" t="n">
        <f aca="false">Sens!$I$1443+Sens!$I$1508</f>
        <v>1130.79474589331</v>
      </c>
      <c r="J1509" s="38" t="n">
        <f aca="false">Sens!$J$1443+Sens!$J$1508</f>
        <v>1271.88864577127</v>
      </c>
      <c r="K1509" s="38" t="n">
        <f aca="false">Sens!$K$1443+Sens!$K$1508</f>
        <v>1398.59998816676</v>
      </c>
      <c r="L1509" s="38" t="n">
        <f aca="false">Sens!$L$1443+Sens!$L$1508</f>
        <v>1530.76604092285</v>
      </c>
      <c r="M1509" s="38" t="n">
        <f aca="false">Sens!$M$1443+Sens!$M$1508</f>
        <v>1668.78616843285</v>
      </c>
      <c r="N1509" s="38" t="n">
        <f aca="false">Q!$N$8</f>
        <v>323.369</v>
      </c>
      <c r="O1509" s="38" t="n">
        <f aca="false">Q!$O$8</f>
        <v>393.555</v>
      </c>
    </row>
    <row r="1510" customFormat="false" ht="17.15" hidden="false" customHeight="false" outlineLevel="0" collapsed="false">
      <c r="A1510" s="24" t="s">
        <v>655</v>
      </c>
      <c r="B1510" s="25" t="s">
        <v>73</v>
      </c>
      <c r="C1510" s="39" t="n">
        <f aca="false">Sens!$C$1443-(Sens!$C$1445+Sens!$C$1446)</f>
        <v>0</v>
      </c>
      <c r="D1510" s="39" t="n">
        <f aca="false">Sens!$D$1443-(Sens!$D$1445+Sens!$D$1446)</f>
        <v>0</v>
      </c>
      <c r="E1510" s="39" t="n">
        <f aca="false">Sens!$E$1443-(Sens!$E$1445+Sens!$E$1446)</f>
        <v>0</v>
      </c>
      <c r="F1510" s="39" t="n">
        <f aca="false">Sens!$F$1443-(Sens!$F$1445+Sens!$F$1446)</f>
        <v>0</v>
      </c>
      <c r="G1510" s="39" t="n">
        <f aca="false">Sens!$G$1443-(Sens!$G$1445+Sens!$G$1446)</f>
        <v>0</v>
      </c>
      <c r="H1510" s="39" t="n">
        <f aca="false">Sens!$H$1443-(Sens!$H$1445+Sens!$H$1446)</f>
        <v>0</v>
      </c>
      <c r="I1510" s="39" t="n">
        <f aca="false">Sens!$I$1443-(Sens!$I$1445+Sens!$I$1446)</f>
        <v>0</v>
      </c>
      <c r="J1510" s="39" t="n">
        <f aca="false">Sens!$J$1443-(Sens!$J$1445+Sens!$J$1446)</f>
        <v>0</v>
      </c>
      <c r="K1510" s="39" t="n">
        <f aca="false">Sens!$K$1443-(Sens!$K$1445+Sens!$K$1446)</f>
        <v>0</v>
      </c>
      <c r="L1510" s="39" t="n">
        <f aca="false">Sens!$L$1443-(Sens!$L$1445+Sens!$L$1446)</f>
        <v>0</v>
      </c>
      <c r="M1510" s="39" t="n">
        <f aca="false">Sens!$M$1443-(Sens!$M$1445+Sens!$M$1446)</f>
        <v>0</v>
      </c>
      <c r="N1510" s="39" t="n">
        <f aca="false">Sens!$N$1443-(Sens!$N$1445+Sens!$N$1446)</f>
        <v>0</v>
      </c>
      <c r="O1510" s="39" t="n">
        <f aca="false">Sens!$O$1443-(Sens!$O$1445+Sens!$O$1446)</f>
        <v>0</v>
      </c>
    </row>
    <row r="1511" customFormat="false" ht="17.15" hidden="false" customHeight="false" outlineLevel="0" collapsed="false">
      <c r="A1511" s="24" t="s">
        <v>656</v>
      </c>
      <c r="B1511" s="25" t="s">
        <v>73</v>
      </c>
      <c r="C1511" s="39" t="n">
        <f aca="false">Sens!$C$1506+Sens!$C$1507-Sens!$C$1508</f>
        <v>0</v>
      </c>
      <c r="D1511" s="39" t="n">
        <f aca="false">Sens!$D$1506+Sens!$D$1507-Sens!$D$1508</f>
        <v>0</v>
      </c>
      <c r="E1511" s="39" t="n">
        <f aca="false">Sens!$E$1506+Sens!$E$1507-Sens!$E$1508</f>
        <v>0</v>
      </c>
      <c r="F1511" s="39" t="n">
        <f aca="false">Sens!$F$1506+Sens!$F$1507-Sens!$F$1508</f>
        <v>0</v>
      </c>
      <c r="G1511" s="39" t="n">
        <f aca="false">Sens!$G$1506+Sens!$G$1507-Sens!$G$1508</f>
        <v>0</v>
      </c>
      <c r="H1511" s="39" t="n">
        <f aca="false">Sens!$H$1506+Sens!$H$1507-Sens!$H$1508</f>
        <v>0</v>
      </c>
      <c r="I1511" s="39" t="n">
        <f aca="false">Sens!$I$1506+Sens!$I$1507-Sens!$I$1508</f>
        <v>0</v>
      </c>
      <c r="J1511" s="39" t="n">
        <f aca="false">Sens!$J$1506+Sens!$J$1507-Sens!$J$1508</f>
        <v>0</v>
      </c>
      <c r="K1511" s="39" t="n">
        <f aca="false">Sens!$K$1506+Sens!$K$1507-Sens!$K$1508</f>
        <v>0</v>
      </c>
      <c r="L1511" s="39" t="n">
        <f aca="false">Sens!$L$1506+Sens!$L$1507-Sens!$L$1508</f>
        <v>0</v>
      </c>
      <c r="M1511" s="39" t="n">
        <f aca="false">Sens!$M$1506+Sens!$M$1507-Sens!$M$1508</f>
        <v>0</v>
      </c>
      <c r="N1511" s="39" t="n">
        <f aca="false">Sens!$N$1506+Sens!$N$1507-Sens!$N$1508</f>
        <v>0</v>
      </c>
      <c r="O1511" s="39" t="n">
        <f aca="false">Sens!$O$1506+Sens!$O$1507-Sens!$O$1508</f>
        <v>0</v>
      </c>
    </row>
    <row r="1512" customFormat="false" ht="17.15" hidden="false" customHeight="false" outlineLevel="0" collapsed="false">
      <c r="A1512" s="24" t="s">
        <v>657</v>
      </c>
      <c r="B1512" s="25" t="s">
        <v>73</v>
      </c>
      <c r="C1512" s="39" t="n">
        <f aca="false">Sens!$C$1445+Sens!$C$1446+Sens!$C$1508-Sens!$C$1509</f>
        <v>0</v>
      </c>
      <c r="D1512" s="39" t="n">
        <f aca="false">Sens!$D$1445+Sens!$D$1446+Sens!$D$1508-Sens!$D$1509</f>
        <v>0</v>
      </c>
      <c r="E1512" s="39" t="n">
        <f aca="false">Sens!$E$1445+Sens!$E$1446+Sens!$E$1508-Sens!$E$1509</f>
        <v>0</v>
      </c>
      <c r="F1512" s="39" t="n">
        <f aca="false">Sens!$F$1445+Sens!$F$1446+Sens!$F$1508-Sens!$F$1509</f>
        <v>0</v>
      </c>
      <c r="G1512" s="39" t="n">
        <f aca="false">Sens!$G$1445+Sens!$G$1446+Sens!$G$1508-Sens!$G$1509</f>
        <v>0</v>
      </c>
      <c r="H1512" s="39" t="n">
        <f aca="false">Sens!$H$1445+Sens!$H$1446+Sens!$H$1508-Sens!$H$1509</f>
        <v>0</v>
      </c>
      <c r="I1512" s="39" t="n">
        <f aca="false">Sens!$I$1445+Sens!$I$1446+Sens!$I$1508-Sens!$I$1509</f>
        <v>0</v>
      </c>
      <c r="J1512" s="39" t="n">
        <f aca="false">Sens!$J$1445+Sens!$J$1446+Sens!$J$1508-Sens!$J$1509</f>
        <v>0</v>
      </c>
      <c r="K1512" s="39" t="n">
        <f aca="false">Sens!$K$1445+Sens!$K$1446+Sens!$K$1508-Sens!$K$1509</f>
        <v>0</v>
      </c>
      <c r="L1512" s="39" t="n">
        <f aca="false">Sens!$L$1445+Sens!$L$1446+Sens!$L$1508-Sens!$L$1509</f>
        <v>0</v>
      </c>
      <c r="M1512" s="39" t="n">
        <f aca="false">Sens!$M$1445+Sens!$M$1446+Sens!$M$1508-Sens!$M$1509</f>
        <v>0</v>
      </c>
      <c r="N1512" s="39" t="n">
        <f aca="false">Sens!$N$1445+Sens!$N$1446+Sens!$N$1508-Sens!$N$1509</f>
        <v>0</v>
      </c>
      <c r="O1512" s="39" t="n">
        <f aca="false">Sens!$O$1445+Sens!$O$1446+Sens!$O$1508-Sens!$O$1509</f>
        <v>0</v>
      </c>
    </row>
    <row r="1513" customFormat="false" ht="15" hidden="false" customHeight="false" outlineLevel="0" collapsed="false">
      <c r="A1513" s="5" t="s">
        <v>651</v>
      </c>
      <c r="B1513" s="0" t="s">
        <v>52</v>
      </c>
      <c r="G1513" s="12" t="n">
        <f aca="false">Sens!$G$1509/Sens!$D$1509-1</f>
        <v>0.163088847929405</v>
      </c>
      <c r="H1513" s="12" t="n">
        <f aca="false">Sens!$H$1509/Sens!$G$1509-1</f>
        <v>0.176485170046401</v>
      </c>
      <c r="I1513" s="12" t="n">
        <f aca="false">Sens!$I$1509/Sens!$H$1509-1</f>
        <v>0.152686784374139</v>
      </c>
      <c r="J1513" s="12" t="n">
        <f aca="false">Sens!$J$1509/Sens!$I$1509-1</f>
        <v>0.124774102807218</v>
      </c>
      <c r="K1513" s="12" t="n">
        <f aca="false">Sens!$K$1509/Sens!$J$1509-1</f>
        <v>0.0996245566125471</v>
      </c>
      <c r="L1513" s="12" t="n">
        <f aca="false">Sens!$L$1509/Sens!$K$1509-1</f>
        <v>0.094498823018959</v>
      </c>
      <c r="M1513" s="12" t="n">
        <f aca="false">Sens!$M$1509/Sens!$L$1509-1</f>
        <v>0.090164090279129</v>
      </c>
    </row>
    <row r="1514" customFormat="false" ht="17.15" hidden="false" customHeight="false" outlineLevel="0" collapsed="false">
      <c r="A1514" s="0" t="s">
        <v>652</v>
      </c>
      <c r="B1514" s="0" t="s">
        <v>52</v>
      </c>
      <c r="C1514" s="12" t="n">
        <f aca="false">Sens!$C$1508/Sens!$C$1509</f>
        <v>0.168593906504964</v>
      </c>
      <c r="D1514" s="12" t="n">
        <f aca="false">Sens!$D$1508/Sens!$D$1509</f>
        <v>0.179551807444025</v>
      </c>
      <c r="E1514" s="12" t="n">
        <f aca="false">Sens!$E$1508/Sens!$E$1509</f>
        <v>0.208881910369643</v>
      </c>
      <c r="F1514" s="12" t="n">
        <f aca="false">Sens!$F$1508/Sens!$F$1509</f>
        <v>0.209830437642315</v>
      </c>
      <c r="G1514" s="12" t="n">
        <f aca="false">Sens!$G$1508/Sens!$G$1509</f>
        <v>0.209395758037615</v>
      </c>
      <c r="H1514" s="12" t="n">
        <f aca="false">Sens!$H$1508/Sens!$H$1509</f>
        <v>0.25593280190364</v>
      </c>
      <c r="I1514" s="12" t="n">
        <f aca="false">Sens!$I$1508/Sens!$I$1509</f>
        <v>0.294040255672368</v>
      </c>
      <c r="J1514" s="12" t="n">
        <f aca="false">Sens!$J$1508/Sens!$J$1509</f>
        <v>0.322474632358062</v>
      </c>
      <c r="K1514" s="12" t="n">
        <f aca="false">Sens!$K$1508/Sens!$K$1509</f>
        <v>0.343945731542135</v>
      </c>
      <c r="L1514" s="12" t="n">
        <f aca="false">Sens!$L$1508/Sens!$L$1509</f>
        <v>0.361571224068971</v>
      </c>
      <c r="M1514" s="12" t="n">
        <f aca="false">Sens!$M$1508/Sens!$M$1509</f>
        <v>0.376065047614036</v>
      </c>
      <c r="N1514" s="12" t="n">
        <f aca="false">Sens!$N$1508/Sens!$N$1509</f>
        <v>0.185979484737251</v>
      </c>
      <c r="O1514" s="12" t="n">
        <f aca="false">Sens!$O$1508/Sens!$O$1509</f>
        <v>0.174270432341096</v>
      </c>
    </row>
    <row r="1515" customFormat="false" ht="17.15" hidden="false" customHeight="false" outlineLevel="0" collapsed="false">
      <c r="A1515" s="0" t="s">
        <v>653</v>
      </c>
      <c r="B1515" s="0" t="s">
        <v>52</v>
      </c>
      <c r="C1515" s="12" t="n">
        <f aca="false">Sens!$C$1506/Sens!$C$1508</f>
        <v>0.0215795060896058</v>
      </c>
      <c r="D1515" s="12" t="n">
        <f aca="false">Sens!$D$1506/Sens!$D$1508</f>
        <v>0.0676152269462122</v>
      </c>
      <c r="E1515" s="12" t="n">
        <f aca="false">Sens!$E$1506/Sens!$E$1508</f>
        <v>0.106620641395783</v>
      </c>
      <c r="F1515" s="12" t="n">
        <f aca="false">Sens!$F$1506/Sens!$F$1508</f>
        <v>0.17080645758137</v>
      </c>
      <c r="G1515" s="12" t="n">
        <f aca="false">Sens!$G$1506/Sens!$G$1508</f>
        <v>0.141464339513977</v>
      </c>
      <c r="H1515" s="12" t="n">
        <f aca="false">Sens!$H$1506/Sens!$H$1508</f>
        <v>0.279515423230184</v>
      </c>
      <c r="I1515" s="12" t="n">
        <f aca="false">Sens!$I$1506/Sens!$I$1508</f>
        <v>0.366469416179267</v>
      </c>
      <c r="J1515" s="12" t="n">
        <f aca="false">Sens!$J$1506/Sens!$J$1508</f>
        <v>0.423630724202018</v>
      </c>
      <c r="K1515" s="12" t="n">
        <f aca="false">Sens!$K$1506/Sens!$K$1508</f>
        <v>0.469255160841753</v>
      </c>
      <c r="L1515" s="12" t="n">
        <f aca="false">Sens!$L$1506/Sens!$L$1508</f>
        <v>0.501815396915306</v>
      </c>
      <c r="M1515" s="12" t="n">
        <f aca="false">Sens!$M$1506/Sens!$M$1508</f>
        <v>0.525481583162714</v>
      </c>
      <c r="N1515" s="12" t="n">
        <f aca="false">Sens!$N$1506/Sens!$N$1508</f>
        <v>0.0506537999838362</v>
      </c>
      <c r="O1515" s="12" t="n">
        <f aca="false">Sens!$O$1506/Sens!$O$1508</f>
        <v>0.0824881615167056</v>
      </c>
    </row>
    <row r="1518" customFormat="false" ht="19.4" hidden="false" customHeight="false" outlineLevel="0" collapsed="false">
      <c r="A1518" s="31" t="s">
        <v>1075</v>
      </c>
    </row>
    <row r="1519" customFormat="false" ht="17.15" hidden="false" customHeight="false" outlineLevel="0" collapsed="false">
      <c r="A1519" s="6" t="s">
        <v>16</v>
      </c>
      <c r="B1519" s="6" t="s">
        <v>17</v>
      </c>
      <c r="C1519" s="20" t="s">
        <v>457</v>
      </c>
      <c r="D1519" s="20" t="s">
        <v>458</v>
      </c>
      <c r="E1519" s="20" t="s">
        <v>540</v>
      </c>
      <c r="F1519" s="20" t="s">
        <v>541</v>
      </c>
      <c r="G1519" s="20" t="s">
        <v>542</v>
      </c>
      <c r="H1519" s="20" t="s">
        <v>543</v>
      </c>
      <c r="I1519" s="20" t="s">
        <v>544</v>
      </c>
      <c r="J1519" s="20" t="s">
        <v>545</v>
      </c>
      <c r="K1519" s="20" t="s">
        <v>546</v>
      </c>
      <c r="L1519" s="20" t="s">
        <v>547</v>
      </c>
      <c r="M1519" s="20" t="s">
        <v>548</v>
      </c>
      <c r="N1519" s="20" t="s">
        <v>549</v>
      </c>
      <c r="O1519" s="20" t="s">
        <v>550</v>
      </c>
      <c r="P1519" s="6" t="s">
        <v>23</v>
      </c>
      <c r="R1519" s="20" t="n">
        <v>2023</v>
      </c>
      <c r="S1519" s="20" t="n">
        <v>2024</v>
      </c>
      <c r="T1519" s="20" t="n">
        <v>2025</v>
      </c>
      <c r="U1519" s="20" t="n">
        <v>2026</v>
      </c>
      <c r="V1519" s="20" t="n">
        <v>2027</v>
      </c>
      <c r="W1519" s="20" t="n">
        <v>2028</v>
      </c>
      <c r="X1519" s="20" t="n">
        <v>2029</v>
      </c>
      <c r="Y1519" s="20" t="n">
        <v>2030</v>
      </c>
      <c r="Z1519" s="20" t="n">
        <v>2031</v>
      </c>
      <c r="AA1519" s="20" t="n">
        <v>2032</v>
      </c>
    </row>
    <row r="1520" customFormat="false" ht="17.15" hidden="false" customHeight="false" outlineLevel="0" collapsed="false">
      <c r="A1520" s="1" t="s">
        <v>668</v>
      </c>
    </row>
    <row r="1521" customFormat="false" ht="15" hidden="false" customHeight="false" outlineLevel="0" collapsed="false">
      <c r="A1521" s="0" t="s">
        <v>479</v>
      </c>
      <c r="B1521" s="0" t="s">
        <v>73</v>
      </c>
      <c r="C1521" s="38" t="n">
        <f aca="false">Sens!$C$1431</f>
        <v>247.029</v>
      </c>
      <c r="D1521" s="38" t="n">
        <f aca="false">Sens!$D$1431</f>
        <v>269.287</v>
      </c>
      <c r="E1521" s="38" t="n">
        <f aca="false">Sens!$E$1431</f>
        <v>134.686</v>
      </c>
      <c r="F1521" s="38" t="n">
        <f aca="false">Sens!$F$1431</f>
        <v>160.728085930082</v>
      </c>
      <c r="G1521" s="38" t="n">
        <f aca="false">Sens!$G$1431</f>
        <v>295.414085930082</v>
      </c>
      <c r="H1521" s="38" t="n">
        <f aca="false">Sens!$H$1431</f>
        <v>320.828163943375</v>
      </c>
      <c r="I1521" s="38" t="n">
        <f aca="false">Sens!$I$1431</f>
        <v>344.575578072228</v>
      </c>
      <c r="J1521" s="38" t="n">
        <f aca="false">Sens!$J$1431</f>
        <v>365.942555779681</v>
      </c>
      <c r="K1521" s="38" t="n">
        <f aca="false">Sens!$K$1431</f>
        <v>384.239683568665</v>
      </c>
      <c r="L1521" s="38" t="n">
        <f aca="false">Sens!$L$1431</f>
        <v>403.451667747098</v>
      </c>
      <c r="M1521" s="38" t="n">
        <f aca="false">Sens!$M$1431</f>
        <v>423.624251134453</v>
      </c>
      <c r="N1521" s="38" t="n">
        <f aca="false">Sens!$N$1431</f>
        <v>118.892</v>
      </c>
      <c r="O1521" s="38" t="n">
        <f aca="false">Sens!$O$1431</f>
        <v>150.395</v>
      </c>
    </row>
    <row r="1522" customFormat="false" ht="15" hidden="false" customHeight="false" outlineLevel="0" collapsed="false">
      <c r="A1522" s="0" t="s">
        <v>480</v>
      </c>
      <c r="B1522" s="0" t="s">
        <v>73</v>
      </c>
      <c r="C1522" s="38" t="n">
        <f aca="false">Sens!$C$1433</f>
        <v>21.215</v>
      </c>
      <c r="D1522" s="38" t="n">
        <f aca="false">Sens!$D$1433</f>
        <v>22.561</v>
      </c>
      <c r="E1522" s="38" t="n">
        <f aca="false">Sens!$E$1433</f>
        <v>11.579</v>
      </c>
      <c r="F1522" s="38" t="n">
        <f aca="false">Sens!$F$1433</f>
        <v>12.0952613121125</v>
      </c>
      <c r="G1522" s="38" t="n">
        <f aca="false">Sens!$G$1433</f>
        <v>23.6742613121125</v>
      </c>
      <c r="H1522" s="38" t="n">
        <f aca="false">Sens!$H$1433</f>
        <v>24.8803243963206</v>
      </c>
      <c r="I1522" s="38" t="n">
        <f aca="false">Sens!$I$1433</f>
        <v>25.9741308664154</v>
      </c>
      <c r="J1522" s="38" t="n">
        <f aca="false">Sens!$J$1433</f>
        <v>26.9346894124267</v>
      </c>
      <c r="K1522" s="38" t="n">
        <f aca="false">Sens!$K$1433</f>
        <v>27.7427300947995</v>
      </c>
      <c r="L1522" s="38" t="n">
        <f aca="false">Sens!$L$1433</f>
        <v>28.5750119976435</v>
      </c>
      <c r="M1522" s="38" t="n">
        <f aca="false">Sens!$M$1433</f>
        <v>29.4322623575728</v>
      </c>
      <c r="N1522" s="38" t="n">
        <f aca="false">Sens!$N$1433</f>
        <v>11.128</v>
      </c>
      <c r="O1522" s="38" t="n">
        <f aca="false">Sens!$O$1433</f>
        <v>11.433</v>
      </c>
    </row>
    <row r="1523" customFormat="false" ht="15" hidden="false" customHeight="false" outlineLevel="0" collapsed="false">
      <c r="A1523" s="0" t="s">
        <v>481</v>
      </c>
      <c r="B1523" s="0" t="s">
        <v>73</v>
      </c>
      <c r="C1523" s="38" t="n">
        <f aca="false">Sens!$C$1435</f>
        <v>156.146</v>
      </c>
      <c r="D1523" s="38" t="n">
        <f aca="false">Sens!$D$1435</f>
        <v>172.162</v>
      </c>
      <c r="E1523" s="38" t="n">
        <f aca="false">Sens!$E$1435</f>
        <v>88.358</v>
      </c>
      <c r="F1523" s="38" t="n">
        <f aca="false">Sens!$F$1435</f>
        <v>103.62028337149</v>
      </c>
      <c r="G1523" s="38" t="n">
        <f aca="false">Sens!$G$1435</f>
        <v>191.97828337149</v>
      </c>
      <c r="H1523" s="38" t="n">
        <f aca="false">Sens!$H$1435</f>
        <v>212.128608444755</v>
      </c>
      <c r="I1523" s="38" t="n">
        <f aca="false">Sens!$I$1435</f>
        <v>231.92183134134</v>
      </c>
      <c r="J1523" s="38" t="n">
        <f aca="false">Sens!$J$1435</f>
        <v>250.859136487863</v>
      </c>
      <c r="K1523" s="38" t="n">
        <f aca="false">Sens!$K$1435</f>
        <v>268.419276042014</v>
      </c>
      <c r="L1523" s="38" t="n">
        <f aca="false">Sens!$L$1435</f>
        <v>287.208625364954</v>
      </c>
      <c r="M1523" s="38" t="n">
        <f aca="false">Sens!$M$1435</f>
        <v>307.313229140501</v>
      </c>
      <c r="N1523" s="38" t="n">
        <f aca="false">Sens!$N$1435</f>
        <v>76.86</v>
      </c>
      <c r="O1523" s="38" t="n">
        <f aca="false">Sens!$O$1435</f>
        <v>95.302</v>
      </c>
    </row>
    <row r="1524" customFormat="false" ht="15" hidden="false" customHeight="false" outlineLevel="0" collapsed="false">
      <c r="A1524" s="0" t="s">
        <v>482</v>
      </c>
      <c r="B1524" s="0" t="s">
        <v>73</v>
      </c>
      <c r="C1524" s="38" t="n">
        <f aca="false">Sens!$C$1437</f>
        <v>56.214</v>
      </c>
      <c r="D1524" s="38" t="n">
        <f aca="false">Sens!$D$1437</f>
        <v>68.635</v>
      </c>
      <c r="E1524" s="38" t="n">
        <f aca="false">Sens!$E$1437</f>
        <v>37.052</v>
      </c>
      <c r="F1524" s="38" t="n">
        <f aca="false">Sens!$F$1437</f>
        <v>48.1533381827382</v>
      </c>
      <c r="G1524" s="38" t="n">
        <f aca="false">Sens!$G$1437</f>
        <v>85.2053381827382</v>
      </c>
      <c r="H1524" s="38" t="n">
        <f aca="false">Sens!$H$1437</f>
        <v>102.29336185894</v>
      </c>
      <c r="I1524" s="38" t="n">
        <f aca="false">Sens!$I$1437</f>
        <v>119.379837585241</v>
      </c>
      <c r="J1524" s="38" t="n">
        <f aca="false">Sens!$J$1437</f>
        <v>135.319079048844</v>
      </c>
      <c r="K1524" s="38" t="n">
        <f aca="false">Sens!$K$1437</f>
        <v>148.850986953729</v>
      </c>
      <c r="L1524" s="38" t="n">
        <f aca="false">Sens!$L$1437</f>
        <v>163.736085649102</v>
      </c>
      <c r="M1524" s="38" t="n">
        <f aca="false">Sens!$M$1437</f>
        <v>180.109694214012</v>
      </c>
      <c r="N1524" s="38" t="n">
        <f aca="false">Sens!$N$1437</f>
        <v>29.615</v>
      </c>
      <c r="O1524" s="38" t="n">
        <f aca="false">Sens!$O$1437</f>
        <v>39.02</v>
      </c>
    </row>
    <row r="1525" customFormat="false" ht="15" hidden="false" customHeight="false" outlineLevel="0" collapsed="false">
      <c r="A1525" s="0" t="s">
        <v>483</v>
      </c>
      <c r="B1525" s="0" t="s">
        <v>73</v>
      </c>
      <c r="C1525" s="38" t="n">
        <f aca="false">Sens!$C$1439</f>
        <v>44.374</v>
      </c>
      <c r="D1525" s="38" t="n">
        <f aca="false">Sens!$D$1439</f>
        <v>49.619</v>
      </c>
      <c r="E1525" s="38" t="n">
        <f aca="false">Sens!$E$1439</f>
        <v>27.157</v>
      </c>
      <c r="F1525" s="38" t="n">
        <f aca="false">Sens!$F$1439</f>
        <v>28.9776360923374</v>
      </c>
      <c r="G1525" s="38" t="n">
        <f aca="false">Sens!$G$1439</f>
        <v>56.1346360923374</v>
      </c>
      <c r="H1525" s="38" t="n">
        <f aca="false">Sens!$H$1439</f>
        <v>62.4937078946075</v>
      </c>
      <c r="I1525" s="38" t="n">
        <f aca="false">Sens!$I$1439</f>
        <v>68.6715233062498</v>
      </c>
      <c r="J1525" s="38" t="n">
        <f aca="false">Sens!$J$1439</f>
        <v>74.4692882949818</v>
      </c>
      <c r="K1525" s="38" t="n">
        <f aca="false">Sens!$K$1439</f>
        <v>79.6821384756306</v>
      </c>
      <c r="L1525" s="38" t="n">
        <f aca="false">Sens!$L$1439</f>
        <v>85.2598881689247</v>
      </c>
      <c r="M1525" s="38" t="n">
        <f aca="false">Sens!$M$1439</f>
        <v>91.2280803407494</v>
      </c>
      <c r="N1525" s="38" t="n">
        <f aca="false">Sens!$N$1439</f>
        <v>23.923</v>
      </c>
      <c r="O1525" s="38" t="n">
        <f aca="false">Sens!$O$1439</f>
        <v>25.696</v>
      </c>
    </row>
    <row r="1526" customFormat="false" ht="15" hidden="false" customHeight="false" outlineLevel="0" collapsed="false">
      <c r="A1526" s="0" t="s">
        <v>484</v>
      </c>
      <c r="B1526" s="0" t="s">
        <v>73</v>
      </c>
      <c r="C1526" s="38" t="n">
        <f aca="false">Sens!$C$1441</f>
        <v>5.425</v>
      </c>
      <c r="D1526" s="38" t="n">
        <f aca="false">Sens!$D$1441</f>
        <v>5.935</v>
      </c>
      <c r="E1526" s="38" t="n">
        <f aca="false">Sens!$E$1441</f>
        <v>3.474</v>
      </c>
      <c r="F1526" s="38" t="n">
        <f aca="false">Sens!$F$1441</f>
        <v>3.36182431966931</v>
      </c>
      <c r="G1526" s="38" t="n">
        <f aca="false">Sens!$G$1441</f>
        <v>6.83582431966931</v>
      </c>
      <c r="H1526" s="38" t="n">
        <f aca="false">Sens!$H$1441</f>
        <v>7.31157108370141</v>
      </c>
      <c r="I1526" s="38" t="n">
        <f aca="false">Sens!$I$1441</f>
        <v>7.77266852639815</v>
      </c>
      <c r="J1526" s="38" t="n">
        <f aca="false">Sens!$J$1441</f>
        <v>8.2120733019884</v>
      </c>
      <c r="K1526" s="38" t="n">
        <f aca="false">Sens!$K$1441</f>
        <v>8.62267696708783</v>
      </c>
      <c r="L1526" s="38" t="n">
        <f aca="false">Sens!$L$1441</f>
        <v>9.05381081544222</v>
      </c>
      <c r="M1526" s="38" t="n">
        <f aca="false">Sens!$M$1441</f>
        <v>9.50650135621433</v>
      </c>
      <c r="N1526" s="38" t="n">
        <f aca="false">Sens!$N$1441</f>
        <v>2.811</v>
      </c>
      <c r="O1526" s="38" t="n">
        <f aca="false">Sens!$O$1441</f>
        <v>3.124</v>
      </c>
    </row>
    <row r="1527" customFormat="false" ht="17.15" hidden="false" customHeight="false" outlineLevel="0" collapsed="false">
      <c r="A1527" s="0" t="s">
        <v>669</v>
      </c>
      <c r="B1527" s="0" t="s">
        <v>73</v>
      </c>
      <c r="C1527" s="38" t="n">
        <f aca="false">Sens!$C$1508</f>
        <v>107.556</v>
      </c>
      <c r="D1527" s="38" t="n">
        <f aca="false">Sens!$D$1508</f>
        <v>128.725</v>
      </c>
      <c r="E1527" s="38" t="n">
        <f aca="false">Sens!$E$1508</f>
        <v>79.819</v>
      </c>
      <c r="F1527" s="38" t="n">
        <f aca="false">Sens!$F$1508</f>
        <v>94.7848800045111</v>
      </c>
      <c r="G1527" s="38" t="n">
        <f aca="false">Sens!$G$1508</f>
        <v>174.603880004511</v>
      </c>
      <c r="H1527" s="38" t="n">
        <f aca="false">Sens!$H$1508</f>
        <v>251.07207926525</v>
      </c>
      <c r="I1527" s="38" t="n">
        <f aca="false">Sens!$I$1508</f>
        <v>332.499176195441</v>
      </c>
      <c r="J1527" s="38" t="n">
        <f aca="false">Sens!$J$1508</f>
        <v>410.151823445483</v>
      </c>
      <c r="K1527" s="38" t="n">
        <f aca="false">Sens!$K$1508</f>
        <v>481.042496064839</v>
      </c>
      <c r="L1527" s="38" t="n">
        <f aca="false">Sens!$L$1508</f>
        <v>553.480951179688</v>
      </c>
      <c r="M1527" s="38" t="n">
        <f aca="false">Sens!$M$1508</f>
        <v>627.572149889343</v>
      </c>
      <c r="N1527" s="38" t="n">
        <f aca="false">Sens!$N$1508</f>
        <v>60.14</v>
      </c>
      <c r="O1527" s="38" t="n">
        <f aca="false">Sens!$O$1508</f>
        <v>68.585</v>
      </c>
    </row>
    <row r="1528" customFormat="false" ht="15" hidden="false" customHeight="false" outlineLevel="0" collapsed="false">
      <c r="A1528" s="1" t="s">
        <v>472</v>
      </c>
      <c r="B1528" s="8" t="s">
        <v>73</v>
      </c>
      <c r="C1528" s="38" t="n">
        <f aca="false">Sens!$C$1445</f>
        <v>387.497</v>
      </c>
      <c r="D1528" s="38" t="n">
        <f aca="false">Sens!$D$1445</f>
        <v>426.305</v>
      </c>
      <c r="E1528" s="38" t="n">
        <f aca="false">Sens!$E$1445</f>
        <v>220.32</v>
      </c>
      <c r="F1528" s="38" t="n">
        <f aca="false">Sens!$F$1445</f>
        <v>256.304015003807</v>
      </c>
      <c r="G1528" s="38" t="n">
        <f aca="false">Sens!$G$1445</f>
        <v>476.624015003807</v>
      </c>
      <c r="H1528" s="38" t="n">
        <f aca="false">Sens!$H$1445</f>
        <v>527.734391091543</v>
      </c>
      <c r="I1528" s="38" t="n">
        <f aca="false">Sens!$I$1445</f>
        <v>577.157693029577</v>
      </c>
      <c r="J1528" s="38" t="n">
        <f aca="false">Sens!$J$1445</f>
        <v>623.024923663827</v>
      </c>
      <c r="K1528" s="38" t="n">
        <f aca="false">Sens!$K$1445</f>
        <v>663.382568393781</v>
      </c>
      <c r="L1528" s="38" t="n">
        <f aca="false">Sens!$L$1445</f>
        <v>706.564873010432</v>
      </c>
      <c r="M1528" s="38" t="n">
        <f aca="false">Sens!$M$1445</f>
        <v>752.784687406019</v>
      </c>
      <c r="N1528" s="38" t="n">
        <f aca="false">Sens!$N$1445</f>
        <v>192.955</v>
      </c>
      <c r="O1528" s="38" t="n">
        <f aca="false">Sens!$O$1445</f>
        <v>233.35</v>
      </c>
    </row>
    <row r="1529" customFormat="false" ht="15" hidden="false" customHeight="false" outlineLevel="0" collapsed="false">
      <c r="A1529" s="1" t="s">
        <v>475</v>
      </c>
      <c r="B1529" s="8" t="s">
        <v>73</v>
      </c>
      <c r="C1529" s="38" t="n">
        <f aca="false">Sens!$C$1446</f>
        <v>142.906</v>
      </c>
      <c r="D1529" s="38" t="n">
        <f aca="false">Sens!$D$1446</f>
        <v>161.894</v>
      </c>
      <c r="E1529" s="38" t="n">
        <f aca="false">Sens!$E$1446</f>
        <v>81.986</v>
      </c>
      <c r="F1529" s="38" t="n">
        <f aca="false">Sens!$F$1446</f>
        <v>100.632414204623</v>
      </c>
      <c r="G1529" s="38" t="n">
        <f aca="false">Sens!$G$1446</f>
        <v>182.618414204623</v>
      </c>
      <c r="H1529" s="38" t="n">
        <f aca="false">Sens!$H$1446</f>
        <v>202.201346530158</v>
      </c>
      <c r="I1529" s="38" t="n">
        <f aca="false">Sens!$I$1446</f>
        <v>221.137876668296</v>
      </c>
      <c r="J1529" s="38" t="n">
        <f aca="false">Sens!$J$1446</f>
        <v>238.711898661958</v>
      </c>
      <c r="K1529" s="38" t="n">
        <f aca="false">Sens!$K$1446</f>
        <v>254.174923708144</v>
      </c>
      <c r="L1529" s="38" t="n">
        <f aca="false">Sens!$L$1446</f>
        <v>270.720216732733</v>
      </c>
      <c r="M1529" s="38" t="n">
        <f aca="false">Sens!$M$1446</f>
        <v>288.429331137484</v>
      </c>
      <c r="N1529" s="38" t="n">
        <f aca="false">Sens!$N$1446</f>
        <v>70.274</v>
      </c>
      <c r="O1529" s="38" t="n">
        <f aca="false">Sens!$O$1446</f>
        <v>91.62</v>
      </c>
    </row>
    <row r="1530" customFormat="false" ht="15" hidden="false" customHeight="false" outlineLevel="0" collapsed="false">
      <c r="A1530" s="1" t="s">
        <v>476</v>
      </c>
      <c r="B1530" s="8" t="s">
        <v>73</v>
      </c>
      <c r="C1530" s="38" t="n">
        <f aca="false">Sens!$C$1508</f>
        <v>107.556</v>
      </c>
      <c r="D1530" s="38" t="n">
        <f aca="false">Sens!$D$1508</f>
        <v>128.725</v>
      </c>
      <c r="E1530" s="38" t="n">
        <f aca="false">Sens!$E$1508</f>
        <v>79.819</v>
      </c>
      <c r="F1530" s="38" t="n">
        <f aca="false">Sens!$F$1508</f>
        <v>94.7848800045111</v>
      </c>
      <c r="G1530" s="38" t="n">
        <f aca="false">Sens!$G$1508</f>
        <v>174.603880004511</v>
      </c>
      <c r="H1530" s="38" t="n">
        <f aca="false">Sens!$H$1508</f>
        <v>251.07207926525</v>
      </c>
      <c r="I1530" s="38" t="n">
        <f aca="false">Sens!$I$1508</f>
        <v>332.499176195441</v>
      </c>
      <c r="J1530" s="38" t="n">
        <f aca="false">Sens!$J$1508</f>
        <v>410.151823445483</v>
      </c>
      <c r="K1530" s="38" t="n">
        <f aca="false">Sens!$K$1508</f>
        <v>481.042496064839</v>
      </c>
      <c r="L1530" s="38" t="n">
        <f aca="false">Sens!$L$1508</f>
        <v>553.480951179688</v>
      </c>
      <c r="M1530" s="38" t="n">
        <f aca="false">Sens!$M$1508</f>
        <v>627.572149889343</v>
      </c>
      <c r="N1530" s="38" t="n">
        <f aca="false">Sens!$N$1508</f>
        <v>60.14</v>
      </c>
      <c r="O1530" s="38" t="n">
        <f aca="false">Sens!$O$1508</f>
        <v>68.585</v>
      </c>
    </row>
    <row r="1531" customFormat="false" ht="17.15" hidden="false" customHeight="false" outlineLevel="0" collapsed="false">
      <c r="A1531" s="0" t="s">
        <v>643</v>
      </c>
      <c r="B1531" s="0" t="s">
        <v>73</v>
      </c>
      <c r="C1531" s="38" t="n">
        <f aca="false">Sens!$C$1506</f>
        <v>2.32100535697364</v>
      </c>
      <c r="D1531" s="38" t="n">
        <f aca="false">Sens!$D$1506</f>
        <v>8.70377008865116</v>
      </c>
      <c r="E1531" s="38" t="n">
        <f aca="false">Sens!$E$1506</f>
        <v>8.51035297557002</v>
      </c>
      <c r="F1531" s="38" t="n">
        <f aca="false">Sens!$F$1506</f>
        <v>16.1898695858458</v>
      </c>
      <c r="G1531" s="38" t="n">
        <f aca="false">Sens!$G$1506</f>
        <v>24.7002225614158</v>
      </c>
      <c r="H1531" s="38" t="n">
        <f aca="false">Sens!$H$1506</f>
        <v>70.1785184971087</v>
      </c>
      <c r="I1531" s="38" t="n">
        <f aca="false">Sens!$I$1506</f>
        <v>121.85077898043</v>
      </c>
      <c r="J1531" s="38" t="n">
        <f aca="false">Sens!$J$1506</f>
        <v>173.752913998988</v>
      </c>
      <c r="K1531" s="38" t="n">
        <f aca="false">Sens!$K$1506</f>
        <v>225.731673862625</v>
      </c>
      <c r="L1531" s="38" t="n">
        <f aca="false">Sens!$L$1506</f>
        <v>277.745263201297</v>
      </c>
      <c r="M1531" s="38" t="n">
        <f aca="false">Sens!$M$1506</f>
        <v>329.77760687268</v>
      </c>
      <c r="N1531" s="38" t="n">
        <f aca="false">Sens!$N$1506</f>
        <v>3.04631953102791</v>
      </c>
      <c r="O1531" s="38" t="n">
        <f aca="false">Sens!$O$1506</f>
        <v>5.65745055762326</v>
      </c>
    </row>
    <row r="1532" customFormat="false" ht="17.15" hidden="false" customHeight="false" outlineLevel="0" collapsed="false">
      <c r="A1532" s="0" t="s">
        <v>645</v>
      </c>
      <c r="B1532" s="0" t="s">
        <v>73</v>
      </c>
      <c r="C1532" s="38" t="n">
        <f aca="false">Sens!$C$1507</f>
        <v>105.234994643026</v>
      </c>
      <c r="D1532" s="38" t="n">
        <f aca="false">Sens!$D$1507</f>
        <v>120.021229911349</v>
      </c>
      <c r="E1532" s="38" t="n">
        <f aca="false">Sens!$E$1507</f>
        <v>71.30864702443</v>
      </c>
      <c r="F1532" s="38" t="n">
        <f aca="false">Sens!$F$1507</f>
        <v>78.5950104186653</v>
      </c>
      <c r="G1532" s="38" t="n">
        <f aca="false">Sens!$G$1507</f>
        <v>149.903657443095</v>
      </c>
      <c r="H1532" s="38" t="n">
        <f aca="false">Sens!$H$1507</f>
        <v>180.893560768142</v>
      </c>
      <c r="I1532" s="38" t="n">
        <f aca="false">Sens!$I$1507</f>
        <v>210.64839721501</v>
      </c>
      <c r="J1532" s="38" t="n">
        <f aca="false">Sens!$J$1507</f>
        <v>236.398909446495</v>
      </c>
      <c r="K1532" s="38" t="n">
        <f aca="false">Sens!$K$1507</f>
        <v>255.310822202215</v>
      </c>
      <c r="L1532" s="38" t="n">
        <f aca="false">Sens!$L$1507</f>
        <v>275.735687978392</v>
      </c>
      <c r="M1532" s="38" t="n">
        <f aca="false">Sens!$M$1507</f>
        <v>297.794543016663</v>
      </c>
      <c r="N1532" s="38" t="n">
        <f aca="false">Sens!$N$1507</f>
        <v>57.0936804689721</v>
      </c>
      <c r="O1532" s="38" t="n">
        <f aca="false">Sens!$O$1507</f>
        <v>62.9275494423768</v>
      </c>
    </row>
    <row r="1533" customFormat="false" ht="15" hidden="false" customHeight="false" outlineLevel="0" collapsed="false">
      <c r="A1533" s="3" t="s">
        <v>477</v>
      </c>
      <c r="B1533" s="8" t="s">
        <v>73</v>
      </c>
      <c r="C1533" s="38" t="n">
        <f aca="false">Sens!$C$1509</f>
        <v>637.959</v>
      </c>
      <c r="D1533" s="38" t="n">
        <f aca="false">Sens!$D$1509</f>
        <v>716.924</v>
      </c>
      <c r="E1533" s="38" t="n">
        <f aca="false">Sens!$E$1509</f>
        <v>382.125</v>
      </c>
      <c r="F1533" s="38" t="n">
        <f aca="false">Sens!$F$1509</f>
        <v>451.721309212941</v>
      </c>
      <c r="G1533" s="38" t="n">
        <f aca="false">Sens!$G$1509</f>
        <v>833.846309212941</v>
      </c>
      <c r="H1533" s="38" t="n">
        <f aca="false">Sens!$H$1509</f>
        <v>981.007816886951</v>
      </c>
      <c r="I1533" s="38" t="n">
        <f aca="false">Sens!$I$1509</f>
        <v>1130.79474589331</v>
      </c>
      <c r="J1533" s="38" t="n">
        <f aca="false">Sens!$J$1509</f>
        <v>1271.88864577127</v>
      </c>
      <c r="K1533" s="38" t="n">
        <f aca="false">Sens!$K$1509</f>
        <v>1398.59998816676</v>
      </c>
      <c r="L1533" s="38" t="n">
        <f aca="false">Sens!$L$1509</f>
        <v>1530.76604092285</v>
      </c>
      <c r="M1533" s="38" t="n">
        <f aca="false">Sens!$M$1509</f>
        <v>1668.78616843285</v>
      </c>
      <c r="N1533" s="38" t="n">
        <f aca="false">Sens!$N$1509</f>
        <v>323.369</v>
      </c>
      <c r="O1533" s="38" t="n">
        <f aca="false">Sens!$O$1509</f>
        <v>393.555</v>
      </c>
    </row>
    <row r="1534" customFormat="false" ht="17.15" hidden="false" customHeight="false" outlineLevel="0" collapsed="false">
      <c r="A1534" s="24" t="s">
        <v>655</v>
      </c>
      <c r="B1534" s="25" t="s">
        <v>73</v>
      </c>
      <c r="C1534" s="39" t="n">
        <f aca="false">Sens!$C$1521+Sens!$C$1522+Sens!$C$1523+Sens!$C$1524+Sens!$C$1525+Sens!$C$1526-(Sens!$C$1528+Sens!$C$1529)</f>
        <v>0</v>
      </c>
      <c r="D1534" s="39" t="n">
        <f aca="false">Sens!$D$1521+Sens!$D$1522+Sens!$D$1523+Sens!$D$1524+Sens!$D$1525+Sens!$D$1526-(Sens!$D$1528+Sens!$D$1529)</f>
        <v>0</v>
      </c>
      <c r="E1534" s="39" t="n">
        <f aca="false">Sens!$E$1521+Sens!$E$1522+Sens!$E$1523+Sens!$E$1524+Sens!$E$1525+Sens!$E$1526-(Sens!$E$1528+Sens!$E$1529)</f>
        <v>0</v>
      </c>
      <c r="F1534" s="39" t="n">
        <f aca="false">Sens!$F$1521+Sens!$F$1522+Sens!$F$1523+Sens!$F$1524+Sens!$F$1525+Sens!$F$1526-(Sens!$F$1528+Sens!$F$1529)</f>
        <v>0</v>
      </c>
      <c r="G1534" s="39" t="n">
        <f aca="false">Sens!$G$1521+Sens!$G$1522+Sens!$G$1523+Sens!$G$1524+Sens!$G$1525+Sens!$G$1526-(Sens!$G$1528+Sens!$G$1529)</f>
        <v>0</v>
      </c>
      <c r="H1534" s="39" t="n">
        <f aca="false">Sens!$H$1521+Sens!$H$1522+Sens!$H$1523+Sens!$H$1524+Sens!$H$1525+Sens!$H$1526-(Sens!$H$1528+Sens!$H$1529)</f>
        <v>0</v>
      </c>
      <c r="I1534" s="39" t="n">
        <f aca="false">Sens!$I$1521+Sens!$I$1522+Sens!$I$1523+Sens!$I$1524+Sens!$I$1525+Sens!$I$1526-(Sens!$I$1528+Sens!$I$1529)</f>
        <v>0</v>
      </c>
      <c r="J1534" s="39" t="n">
        <f aca="false">Sens!$J$1521+Sens!$J$1522+Sens!$J$1523+Sens!$J$1524+Sens!$J$1525+Sens!$J$1526-(Sens!$J$1528+Sens!$J$1529)</f>
        <v>0</v>
      </c>
      <c r="K1534" s="39" t="n">
        <f aca="false">Sens!$K$1521+Sens!$K$1522+Sens!$K$1523+Sens!$K$1524+Sens!$K$1525+Sens!$K$1526-(Sens!$K$1528+Sens!$K$1529)</f>
        <v>0</v>
      </c>
      <c r="L1534" s="39" t="n">
        <f aca="false">Sens!$L$1521+Sens!$L$1522+Sens!$L$1523+Sens!$L$1524+Sens!$L$1525+Sens!$L$1526-(Sens!$L$1528+Sens!$L$1529)</f>
        <v>0</v>
      </c>
      <c r="M1534" s="39" t="n">
        <f aca="false">Sens!$M$1521+Sens!$M$1522+Sens!$M$1523+Sens!$M$1524+Sens!$M$1525+Sens!$M$1526-(Sens!$M$1528+Sens!$M$1529)</f>
        <v>0</v>
      </c>
      <c r="N1534" s="39" t="n">
        <f aca="false">Sens!$N$1521+Sens!$N$1522+Sens!$N$1523+Sens!$N$1524+Sens!$N$1525+Sens!$N$1526-(Sens!$N$1528+Sens!$N$1529)</f>
        <v>0</v>
      </c>
      <c r="O1534" s="39" t="n">
        <f aca="false">Sens!$O$1521+Sens!$O$1522+Sens!$O$1523+Sens!$O$1524+Sens!$O$1525+Sens!$O$1526-(Sens!$O$1528+Sens!$O$1529)</f>
        <v>0</v>
      </c>
    </row>
    <row r="1535" customFormat="false" ht="17.15" hidden="false" customHeight="false" outlineLevel="0" collapsed="false">
      <c r="A1535" s="24" t="s">
        <v>656</v>
      </c>
      <c r="B1535" s="25" t="s">
        <v>73</v>
      </c>
      <c r="C1535" s="39" t="n">
        <f aca="false">Sens!$C$1531+Sens!$C$1532-Sens!$C$1530</f>
        <v>0</v>
      </c>
      <c r="D1535" s="39" t="n">
        <f aca="false">Sens!$D$1531+Sens!$D$1532-Sens!$D$1530</f>
        <v>0</v>
      </c>
      <c r="E1535" s="39" t="n">
        <f aca="false">Sens!$E$1531+Sens!$E$1532-Sens!$E$1530</f>
        <v>0</v>
      </c>
      <c r="F1535" s="39" t="n">
        <f aca="false">Sens!$F$1531+Sens!$F$1532-Sens!$F$1530</f>
        <v>0</v>
      </c>
      <c r="G1535" s="39" t="n">
        <f aca="false">Sens!$G$1531+Sens!$G$1532-Sens!$G$1530</f>
        <v>0</v>
      </c>
      <c r="H1535" s="39" t="n">
        <f aca="false">Sens!$H$1531+Sens!$H$1532-Sens!$H$1530</f>
        <v>0</v>
      </c>
      <c r="I1535" s="39" t="n">
        <f aca="false">Sens!$I$1531+Sens!$I$1532-Sens!$I$1530</f>
        <v>0</v>
      </c>
      <c r="J1535" s="39" t="n">
        <f aca="false">Sens!$J$1531+Sens!$J$1532-Sens!$J$1530</f>
        <v>0</v>
      </c>
      <c r="K1535" s="39" t="n">
        <f aca="false">Sens!$K$1531+Sens!$K$1532-Sens!$K$1530</f>
        <v>0</v>
      </c>
      <c r="L1535" s="39" t="n">
        <f aca="false">Sens!$L$1531+Sens!$L$1532-Sens!$L$1530</f>
        <v>0</v>
      </c>
      <c r="M1535" s="39" t="n">
        <f aca="false">Sens!$M$1531+Sens!$M$1532-Sens!$M$1530</f>
        <v>0</v>
      </c>
      <c r="N1535" s="39" t="n">
        <f aca="false">Sens!$N$1531+Sens!$N$1532-Sens!$N$1530</f>
        <v>0</v>
      </c>
      <c r="O1535" s="39" t="n">
        <f aca="false">Sens!$O$1531+Sens!$O$1532-Sens!$O$1530</f>
        <v>0</v>
      </c>
    </row>
    <row r="1536" customFormat="false" ht="17.15" hidden="false" customHeight="false" outlineLevel="0" collapsed="false">
      <c r="A1536" s="24" t="s">
        <v>710</v>
      </c>
      <c r="B1536" s="25" t="s">
        <v>73</v>
      </c>
      <c r="C1536" s="39" t="n">
        <f aca="false">Sens!$C$1521+Sens!$C$1522+Sens!$C$1523+Sens!$C$1524+Sens!$C$1525+Sens!$C$1526+Sens!$C$1527-Sens!$C$1533</f>
        <v>0</v>
      </c>
      <c r="D1536" s="39" t="n">
        <f aca="false">Sens!$D$1521+Sens!$D$1522+Sens!$D$1523+Sens!$D$1524+Sens!$D$1525+Sens!$D$1526+Sens!$D$1527-Sens!$D$1533</f>
        <v>0</v>
      </c>
      <c r="E1536" s="39" t="n">
        <f aca="false">Sens!$E$1521+Sens!$E$1522+Sens!$E$1523+Sens!$E$1524+Sens!$E$1525+Sens!$E$1526+Sens!$E$1527-Sens!$E$1533</f>
        <v>0</v>
      </c>
      <c r="F1536" s="39" t="n">
        <f aca="false">Sens!$F$1521+Sens!$F$1522+Sens!$F$1523+Sens!$F$1524+Sens!$F$1525+Sens!$F$1526+Sens!$F$1527-Sens!$F$1533</f>
        <v>0</v>
      </c>
      <c r="G1536" s="39" t="n">
        <f aca="false">Sens!$G$1521+Sens!$G$1522+Sens!$G$1523+Sens!$G$1524+Sens!$G$1525+Sens!$G$1526+Sens!$G$1527-Sens!$G$1533</f>
        <v>0</v>
      </c>
      <c r="H1536" s="39" t="n">
        <f aca="false">Sens!$H$1521+Sens!$H$1522+Sens!$H$1523+Sens!$H$1524+Sens!$H$1525+Sens!$H$1526+Sens!$H$1527-Sens!$H$1533</f>
        <v>0</v>
      </c>
      <c r="I1536" s="39" t="n">
        <f aca="false">Sens!$I$1521+Sens!$I$1522+Sens!$I$1523+Sens!$I$1524+Sens!$I$1525+Sens!$I$1526+Sens!$I$1527-Sens!$I$1533</f>
        <v>0</v>
      </c>
      <c r="J1536" s="39" t="n">
        <f aca="false">Sens!$J$1521+Sens!$J$1522+Sens!$J$1523+Sens!$J$1524+Sens!$J$1525+Sens!$J$1526+Sens!$J$1527-Sens!$J$1533</f>
        <v>0</v>
      </c>
      <c r="K1536" s="39" t="n">
        <f aca="false">Sens!$K$1521+Sens!$K$1522+Sens!$K$1523+Sens!$K$1524+Sens!$K$1525+Sens!$K$1526+Sens!$K$1527-Sens!$K$1533</f>
        <v>0</v>
      </c>
      <c r="L1536" s="39" t="n">
        <f aca="false">Sens!$L$1521+Sens!$L$1522+Sens!$L$1523+Sens!$L$1524+Sens!$L$1525+Sens!$L$1526+Sens!$L$1527-Sens!$L$1533</f>
        <v>0</v>
      </c>
      <c r="M1536" s="39" t="n">
        <f aca="false">Sens!$M$1521+Sens!$M$1522+Sens!$M$1523+Sens!$M$1524+Sens!$M$1525+Sens!$M$1526+Sens!$M$1527-Sens!$M$1533</f>
        <v>0</v>
      </c>
      <c r="N1536" s="39" t="n">
        <f aca="false">Sens!$N$1521+Sens!$N$1522+Sens!$N$1523+Sens!$N$1524+Sens!$N$1525+Sens!$N$1526+Sens!$N$1527-Sens!$N$1533</f>
        <v>0</v>
      </c>
      <c r="O1536" s="39" t="n">
        <f aca="false">Sens!$O$1521+Sens!$O$1522+Sens!$O$1523+Sens!$O$1524+Sens!$O$1525+Sens!$O$1526+Sens!$O$1527-Sens!$O$1533</f>
        <v>0</v>
      </c>
    </row>
    <row r="1537" customFormat="false" ht="17.15" hidden="false" customHeight="false" outlineLevel="0" collapsed="false">
      <c r="A1537" s="24" t="s">
        <v>657</v>
      </c>
      <c r="B1537" s="25" t="s">
        <v>73</v>
      </c>
      <c r="C1537" s="39" t="n">
        <f aca="false">Sens!$C$1528+Sens!$C$1529+Sens!$C$1530-Sens!$C$1533</f>
        <v>0</v>
      </c>
      <c r="D1537" s="39" t="n">
        <f aca="false">Sens!$D$1528+Sens!$D$1529+Sens!$D$1530-Sens!$D$1533</f>
        <v>0</v>
      </c>
      <c r="E1537" s="39" t="n">
        <f aca="false">Sens!$E$1528+Sens!$E$1529+Sens!$E$1530-Sens!$E$1533</f>
        <v>0</v>
      </c>
      <c r="F1537" s="39" t="n">
        <f aca="false">Sens!$F$1528+Sens!$F$1529+Sens!$F$1530-Sens!$F$1533</f>
        <v>0</v>
      </c>
      <c r="G1537" s="39" t="n">
        <f aca="false">Sens!$G$1528+Sens!$G$1529+Sens!$G$1530-Sens!$G$1533</f>
        <v>0</v>
      </c>
      <c r="H1537" s="39" t="n">
        <f aca="false">Sens!$H$1528+Sens!$H$1529+Sens!$H$1530-Sens!$H$1533</f>
        <v>0</v>
      </c>
      <c r="I1537" s="39" t="n">
        <f aca="false">Sens!$I$1528+Sens!$I$1529+Sens!$I$1530-Sens!$I$1533</f>
        <v>0</v>
      </c>
      <c r="J1537" s="39" t="n">
        <f aca="false">Sens!$J$1528+Sens!$J$1529+Sens!$J$1530-Sens!$J$1533</f>
        <v>0</v>
      </c>
      <c r="K1537" s="39" t="n">
        <f aca="false">Sens!$K$1528+Sens!$K$1529+Sens!$K$1530-Sens!$K$1533</f>
        <v>0</v>
      </c>
      <c r="L1537" s="39" t="n">
        <f aca="false">Sens!$L$1528+Sens!$L$1529+Sens!$L$1530-Sens!$L$1533</f>
        <v>0</v>
      </c>
      <c r="M1537" s="39" t="n">
        <f aca="false">Sens!$M$1528+Sens!$M$1529+Sens!$M$1530-Sens!$M$1533</f>
        <v>0</v>
      </c>
      <c r="N1537" s="39" t="n">
        <f aca="false">Sens!$N$1528+Sens!$N$1529+Sens!$N$1530-Sens!$N$1533</f>
        <v>0</v>
      </c>
      <c r="O1537" s="39" t="n">
        <f aca="false">Sens!$O$1528+Sens!$O$1529+Sens!$O$1530-Sens!$O$1533</f>
        <v>0</v>
      </c>
    </row>
    <row r="1538" customFormat="false" ht="17.15" hidden="false" customHeight="false" outlineLevel="0" collapsed="false">
      <c r="A1538" s="1" t="s">
        <v>671</v>
      </c>
    </row>
    <row r="1539" customFormat="false" ht="17.15" hidden="false" customHeight="false" outlineLevel="0" collapsed="false">
      <c r="A1539" s="0" t="s">
        <v>672</v>
      </c>
      <c r="B1539" s="0" t="s">
        <v>73</v>
      </c>
      <c r="C1539" s="38" t="n">
        <f aca="false">Sens!$C$1447*m_ad</f>
        <v>20.5341564414228</v>
      </c>
      <c r="D1539" s="38" t="n">
        <f aca="false">Sens!$D$1447*m_ad</f>
        <v>24.8720617299587</v>
      </c>
      <c r="E1539" s="38" t="n">
        <f aca="false">Sens!$E$1447*m_ad</f>
        <v>13.5017112462207</v>
      </c>
      <c r="F1539" s="38" t="n">
        <f aca="false">Sens!$F$1447*m_ad</f>
        <v>17.2886442824599</v>
      </c>
      <c r="G1539" s="38" t="n">
        <f aca="false">Sens!$G$1447*m_ad</f>
        <v>30.8011958765886</v>
      </c>
      <c r="H1539" s="38" t="n">
        <f aca="false">Sens!$H$1447*m_ad</f>
        <v>36.978409366026</v>
      </c>
      <c r="I1539" s="38" t="n">
        <f aca="false">Sens!$I$1447*m_ad</f>
        <v>43.155063281273</v>
      </c>
      <c r="J1539" s="38" t="n">
        <f aca="false">Sens!$J$1447*m_ad</f>
        <v>48.9169991988532</v>
      </c>
      <c r="K1539" s="38" t="n">
        <f aca="false">Sens!$K$1447*m_ad</f>
        <v>53.8086991187386</v>
      </c>
      <c r="L1539" s="38" t="n">
        <f aca="false">Sens!$L$1447*m_ad</f>
        <v>59.1895690306124</v>
      </c>
      <c r="M1539" s="38" t="n">
        <f aca="false">Sens!$M$1447*m_ad</f>
        <v>65.1085259336737</v>
      </c>
      <c r="N1539" s="38" t="n">
        <f aca="false">Sens!$N$1447*m_ad</f>
        <v>10.8543555706248</v>
      </c>
      <c r="O1539" s="38" t="n">
        <f aca="false">Sens!$O$1447*m_ad</f>
        <v>14.0094731821399</v>
      </c>
    </row>
    <row r="1540" customFormat="false" ht="17.15" hidden="false" customHeight="false" outlineLevel="0" collapsed="false">
      <c r="A1540" s="0" t="s">
        <v>673</v>
      </c>
      <c r="B1540" s="0" t="s">
        <v>73</v>
      </c>
      <c r="C1540" s="38" t="n">
        <f aca="false">Sens!$C$1445-Sens!$C$1447</f>
        <v>346.428687117154</v>
      </c>
      <c r="D1540" s="38" t="n">
        <f aca="false">Sens!$D$1445-Sens!$D$1447</f>
        <v>376.560876540083</v>
      </c>
      <c r="E1540" s="38" t="n">
        <f aca="false">Sens!$E$1445-Sens!$E$1447</f>
        <v>193.316577507559</v>
      </c>
      <c r="F1540" s="38" t="n">
        <f aca="false">Sens!$F$1445-Sens!$F$1447</f>
        <v>221.726726438887</v>
      </c>
      <c r="G1540" s="38" t="n">
        <f aca="false">Sens!$G$1445-Sens!$G$1447</f>
        <v>415.02162325063</v>
      </c>
      <c r="H1540" s="38" t="n">
        <f aca="false">Sens!$H$1445-Sens!$H$1447</f>
        <v>453.777572359491</v>
      </c>
      <c r="I1540" s="38" t="n">
        <f aca="false">Sens!$I$1445-Sens!$I$1447</f>
        <v>490.847566467031</v>
      </c>
      <c r="J1540" s="38" t="n">
        <f aca="false">Sens!$J$1445-Sens!$J$1447</f>
        <v>525.190925266121</v>
      </c>
      <c r="K1540" s="38" t="n">
        <f aca="false">Sens!$K$1445-Sens!$K$1447</f>
        <v>555.765170156304</v>
      </c>
      <c r="L1540" s="38" t="n">
        <f aca="false">Sens!$L$1445-Sens!$L$1447</f>
        <v>588.185734949207</v>
      </c>
      <c r="M1540" s="38" t="n">
        <f aca="false">Sens!$M$1445-Sens!$M$1447</f>
        <v>622.567635538672</v>
      </c>
      <c r="N1540" s="38" t="n">
        <f aca="false">Sens!$N$1445-Sens!$N$1447</f>
        <v>171.24628885875</v>
      </c>
      <c r="O1540" s="38" t="n">
        <f aca="false">Sens!$O$1445-Sens!$O$1447</f>
        <v>205.33105363572</v>
      </c>
    </row>
    <row r="1541" customFormat="false" ht="17.15" hidden="false" customHeight="false" outlineLevel="0" collapsed="false">
      <c r="A1541" s="0" t="s">
        <v>674</v>
      </c>
      <c r="B1541" s="0" t="s">
        <v>73</v>
      </c>
      <c r="C1541" s="38" t="n">
        <f aca="false">Sens!$C$1492*Sens!$C$1444</f>
        <v>0.123617442257179</v>
      </c>
      <c r="D1541" s="38" t="n">
        <f aca="false">Sens!$D$1492*Sens!$D$1444</f>
        <v>0.874366899302609</v>
      </c>
      <c r="E1541" s="38" t="n">
        <f aca="false">Sens!$E$1492*Sens!$E$1444</f>
        <v>1.29318830502574</v>
      </c>
      <c r="F1541" s="38" t="n">
        <f aca="false">Sens!$F$1492*Sens!$F$1444</f>
        <v>1.56360859438077</v>
      </c>
      <c r="G1541" s="38" t="n">
        <f aca="false">Sens!$G$1492*Sens!$G$1444</f>
        <v>2.85720268041696</v>
      </c>
      <c r="H1541" s="38" t="n">
        <f aca="false">Sens!$H$1492*Sens!$H$1444</f>
        <v>8.24269437609177</v>
      </c>
      <c r="I1541" s="38" t="n">
        <f aca="false">Sens!$I$1492*Sens!$I$1444</f>
        <v>15.1290399672983</v>
      </c>
      <c r="J1541" s="38" t="n">
        <f aca="false">Sens!$J$1492*Sens!$J$1444</f>
        <v>22.2018626913198</v>
      </c>
      <c r="K1541" s="38" t="n">
        <f aca="false">Sens!$K$1492*Sens!$K$1444</f>
        <v>29.3755531526214</v>
      </c>
      <c r="L1541" s="38" t="n">
        <f aca="false">Sens!$L$1492*Sens!$L$1444</f>
        <v>36.2572942443472</v>
      </c>
      <c r="M1541" s="38" t="n">
        <f aca="false">Sens!$M$1492*Sens!$M$1444</f>
        <v>43.2427485826222</v>
      </c>
      <c r="N1541" s="38" t="n">
        <f aca="false">Sens!$N$1492*Sens!$N$1444</f>
        <v>0.389180508437431</v>
      </c>
      <c r="O1541" s="38" t="n">
        <f aca="false">Sens!$O$1492*Sens!$O$1444</f>
        <v>0.485052120082802</v>
      </c>
    </row>
    <row r="1542" customFormat="false" ht="17.15" hidden="false" customHeight="false" outlineLevel="0" collapsed="false">
      <c r="A1542" s="0" t="s">
        <v>675</v>
      </c>
      <c r="B1542" s="0" t="s">
        <v>52</v>
      </c>
      <c r="C1542" s="28" t="n">
        <f aca="false">(Sens!$C$1543-Sens!$C$1539+Sens!$C$1541)/Sens!$C$1540</f>
        <v>0.0131526665379575</v>
      </c>
      <c r="D1542" s="28" t="n">
        <f aca="false">(Sens!$D$1543-Sens!$D$1539+Sens!$D$1541)/Sens!$D$1540</f>
        <v>0.0149280116962589</v>
      </c>
      <c r="E1542" s="28" t="n">
        <f aca="false">(Sens!$E$1543-Sens!$E$1539+Sens!$E$1541)/Sens!$E$1540</f>
        <v>0.0268030663774938</v>
      </c>
      <c r="F1542" s="28" t="n">
        <f aca="false">Sens!$O$1542+(Sens!$E$1542-Sens!$N$1542)</f>
        <v>0.0232379346966962</v>
      </c>
      <c r="G1542" s="28" t="n">
        <f aca="false">(Sens!$G$1543-Sens!$G$1539+Sens!$G$1541)/Sens!$G$1540</f>
        <v>0.0248746405080013</v>
      </c>
      <c r="H1542" s="28" t="n">
        <f aca="false">Sens!$G$1542+step_na</f>
        <v>0.0278746405080013</v>
      </c>
      <c r="I1542" s="28" t="n">
        <f aca="false">Sens!$H$1542+step_na</f>
        <v>0.0308746405080013</v>
      </c>
      <c r="J1542" s="28" t="n">
        <f aca="false">Sens!$I$1542+step_na</f>
        <v>0.0338746405080013</v>
      </c>
      <c r="K1542" s="28" t="n">
        <f aca="false">Sens!$J$1542+step_na</f>
        <v>0.0368746405080013</v>
      </c>
      <c r="L1542" s="28" t="n">
        <f aca="false">Sens!$K$1542</f>
        <v>0.0368746405080013</v>
      </c>
      <c r="M1542" s="28" t="n">
        <f aca="false">Sens!$L$1542</f>
        <v>0.0368746405080013</v>
      </c>
      <c r="N1542" s="28" t="n">
        <f aca="false">(Sens!$N$1543-Sens!$N$1539+Sens!$N$1541)/Sens!$N$1540</f>
        <v>0.0168927744775755</v>
      </c>
      <c r="O1542" s="28" t="n">
        <f aca="false">(Sens!$O$1543-Sens!$O$1539+Sens!$O$1541)/Sens!$O$1540</f>
        <v>0.0133276427967779</v>
      </c>
      <c r="P1542" s="8" t="s">
        <v>676</v>
      </c>
    </row>
    <row r="1543" customFormat="false" ht="17.15" hidden="false" customHeight="false" outlineLevel="0" collapsed="false">
      <c r="A1543" s="1" t="s">
        <v>677</v>
      </c>
      <c r="B1543" s="8" t="s">
        <v>73</v>
      </c>
      <c r="C1543" s="38" t="n">
        <f aca="false">Q!$D$22</f>
        <v>24.967</v>
      </c>
      <c r="D1543" s="38" t="n">
        <f aca="false">Q!$E$22</f>
        <v>29.619</v>
      </c>
      <c r="E1543" s="38" t="n">
        <f aca="false">Q!$P$22</f>
        <v>17.39</v>
      </c>
      <c r="F1543" s="38" t="n">
        <f aca="false">Sens!$F$1539+Sens!$F$1540*Sens!$F$1542-Sens!$F$1541</f>
        <v>20.8775068775782</v>
      </c>
      <c r="G1543" s="38" t="n">
        <f aca="false">Sens!$E$1543+Sens!$F$1543</f>
        <v>38.2675068775782</v>
      </c>
      <c r="H1543" s="38" t="n">
        <f aca="false">Sens!$H$1539+Sens!$H$1540*Sens!$H$1542-Sens!$H$1541</f>
        <v>41.3846016900485</v>
      </c>
      <c r="I1543" s="38" t="n">
        <f aca="false">Sens!$I$1539+Sens!$I$1540*Sens!$I$1542-Sens!$I$1541</f>
        <v>43.1807654728716</v>
      </c>
      <c r="J1543" s="38" t="n">
        <f aca="false">Sens!$J$1539+Sens!$J$1540*Sens!$J$1542-Sens!$J$1541</f>
        <v>44.5057902989878</v>
      </c>
      <c r="K1543" s="38" t="n">
        <f aca="false">Sens!$K$1539+Sens!$K$1540*Sens!$K$1542-Sens!$K$1541</f>
        <v>44.9267868224991</v>
      </c>
      <c r="L1543" s="38" t="n">
        <f aca="false">Sens!$L$1539+Sens!$L$1540*Sens!$L$1542-Sens!$L$1541</f>
        <v>44.6214123144518</v>
      </c>
      <c r="M1543" s="38" t="n">
        <f aca="false">Sens!$M$1539+Sens!$M$1540*Sens!$M$1542-Sens!$M$1541</f>
        <v>44.8227351034564</v>
      </c>
      <c r="N1543" s="38" t="n">
        <f aca="false">Q!$N$22</f>
        <v>13.358</v>
      </c>
      <c r="O1543" s="38" t="n">
        <f aca="false">Q!$O$22</f>
        <v>16.261</v>
      </c>
    </row>
    <row r="1544" customFormat="false" ht="17.15" hidden="false" customHeight="false" outlineLevel="0" collapsed="false">
      <c r="A1544" s="0" t="s">
        <v>678</v>
      </c>
      <c r="B1544" s="0" t="s">
        <v>73</v>
      </c>
      <c r="C1544" s="38" t="n">
        <f aca="false">Sens!$C$1448*m_ad</f>
        <v>7.57284355857716</v>
      </c>
      <c r="D1544" s="38" t="n">
        <f aca="false">Sens!$D$1448*m_ad</f>
        <v>9.44543827004127</v>
      </c>
      <c r="E1544" s="38" t="n">
        <f aca="false">Sens!$E$1448*m_ad</f>
        <v>5.02428875377928</v>
      </c>
      <c r="F1544" s="38" t="n">
        <f aca="false">Sens!$F$1448*m_ad</f>
        <v>6.78802480890925</v>
      </c>
      <c r="G1544" s="38" t="n">
        <f aca="false">Sens!$G$1448*m_ad</f>
        <v>11.8014732147805</v>
      </c>
      <c r="H1544" s="38" t="n">
        <f aca="false">Sens!$H$1448*m_ad</f>
        <v>14.1682715634442</v>
      </c>
      <c r="I1544" s="38" t="n">
        <f aca="false">Sens!$I$1448*m_ad</f>
        <v>16.5348555113474</v>
      </c>
      <c r="J1544" s="38" t="n">
        <f aca="false">Sens!$J$1448*m_ad</f>
        <v>18.7425403255689</v>
      </c>
      <c r="K1544" s="38" t="n">
        <f aca="false">Sens!$K$1448*m_ad</f>
        <v>20.6167943581258</v>
      </c>
      <c r="L1544" s="38" t="n">
        <f aca="false">Sens!$L$1448*m_ad</f>
        <v>22.6784737939383</v>
      </c>
      <c r="M1544" s="38" t="n">
        <f aca="false">Sens!$M$1448*m_ad</f>
        <v>24.9463211733322</v>
      </c>
      <c r="N1544" s="38" t="n">
        <f aca="false">Sens!$N$1448*m_ad</f>
        <v>3.95314442937518</v>
      </c>
      <c r="O1544" s="38" t="n">
        <f aca="false">Sens!$O$1448*m_ad</f>
        <v>5.50052681786011</v>
      </c>
    </row>
    <row r="1545" customFormat="false" ht="17.15" hidden="false" customHeight="false" outlineLevel="0" collapsed="false">
      <c r="A1545" s="0" t="s">
        <v>679</v>
      </c>
      <c r="B1545" s="0" t="s">
        <v>73</v>
      </c>
      <c r="C1545" s="38" t="n">
        <f aca="false">Sens!$C$1446-Sens!$C$1448</f>
        <v>127.760312882846</v>
      </c>
      <c r="D1545" s="38" t="n">
        <f aca="false">Sens!$D$1446-Sens!$D$1448</f>
        <v>143.003123459917</v>
      </c>
      <c r="E1545" s="38" t="n">
        <f aca="false">Sens!$E$1446-Sens!$E$1448</f>
        <v>71.9374224924414</v>
      </c>
      <c r="F1545" s="38" t="n">
        <f aca="false">Sens!$F$1446-Sens!$F$1448</f>
        <v>87.0563645868046</v>
      </c>
      <c r="G1545" s="38" t="n">
        <f aca="false">Sens!$G$1446-Sens!$G$1448</f>
        <v>159.015467775062</v>
      </c>
      <c r="H1545" s="38" t="n">
        <f aca="false">Sens!$H$1446-Sens!$H$1448</f>
        <v>173.864803403269</v>
      </c>
      <c r="I1545" s="38" t="n">
        <f aca="false">Sens!$I$1446-Sens!$I$1448</f>
        <v>188.068165645601</v>
      </c>
      <c r="J1545" s="38" t="n">
        <f aca="false">Sens!$J$1446-Sens!$J$1448</f>
        <v>201.22681801082</v>
      </c>
      <c r="K1545" s="38" t="n">
        <f aca="false">Sens!$K$1446-Sens!$K$1448</f>
        <v>212.941334991893</v>
      </c>
      <c r="L1545" s="38" t="n">
        <f aca="false">Sens!$L$1446-Sens!$L$1448</f>
        <v>225.363269144856</v>
      </c>
      <c r="M1545" s="38" t="n">
        <f aca="false">Sens!$M$1446-Sens!$M$1448</f>
        <v>238.536688790819</v>
      </c>
      <c r="N1545" s="38" t="n">
        <f aca="false">Sens!$N$1446-Sens!$N$1448</f>
        <v>62.3677111412496</v>
      </c>
      <c r="O1545" s="38" t="n">
        <f aca="false">Sens!$O$1446-Sens!$O$1448</f>
        <v>80.6189463642798</v>
      </c>
    </row>
    <row r="1546" customFormat="false" ht="17.15" hidden="false" customHeight="false" outlineLevel="0" collapsed="false">
      <c r="A1546" s="0" t="s">
        <v>680</v>
      </c>
      <c r="B1546" s="0" t="s">
        <v>73</v>
      </c>
      <c r="C1546" s="38" t="n">
        <f aca="false">Sens!$C$1492*(1-Sens!$C$1444)</f>
        <v>0.0455891896019953</v>
      </c>
      <c r="D1546" s="38" t="n">
        <f aca="false">Sens!$D$1492*(1-Sens!$D$1444)</f>
        <v>0.332050421167231</v>
      </c>
      <c r="E1546" s="38" t="n">
        <f aca="false">Sens!$E$1492*(1-Sens!$E$1444)</f>
        <v>0.481224293644882</v>
      </c>
      <c r="F1546" s="38" t="n">
        <f aca="false">Sens!$F$1492*(1-Sens!$F$1444)</f>
        <v>0.613918231914149</v>
      </c>
      <c r="G1546" s="38" t="n">
        <f aca="false">Sens!$G$1492*(1-Sens!$G$1444)</f>
        <v>1.09473674454858</v>
      </c>
      <c r="H1546" s="38" t="n">
        <f aca="false">Sens!$H$1492*(1-Sens!$H$1444)</f>
        <v>3.15818701607644</v>
      </c>
      <c r="I1546" s="38" t="n">
        <f aca="false">Sens!$I$1492*(1-Sens!$I$1444)</f>
        <v>5.79668921475621</v>
      </c>
      <c r="J1546" s="38" t="n">
        <f aca="false">Sens!$J$1492*(1-Sens!$J$1444)</f>
        <v>8.50664009669178</v>
      </c>
      <c r="K1546" s="38" t="n">
        <f aca="false">Sens!$K$1492*(1-Sens!$K$1444)</f>
        <v>11.2552384358402</v>
      </c>
      <c r="L1546" s="38" t="n">
        <f aca="false">Sens!$L$1492*(1-Sens!$L$1444)</f>
        <v>13.8919764212892</v>
      </c>
      <c r="M1546" s="38" t="n">
        <f aca="false">Sens!$M$1492*(1-Sens!$M$1444)</f>
        <v>16.568452120367</v>
      </c>
      <c r="N1546" s="38" t="n">
        <f aca="false">Sens!$N$1492*(1-Sens!$N$1444)</f>
        <v>0.141739115596548</v>
      </c>
      <c r="O1546" s="38" t="n">
        <f aca="false">Sens!$O$1492*(1-Sens!$O$1444)</f>
        <v>0.190445576353059</v>
      </c>
    </row>
    <row r="1547" customFormat="false" ht="17.15" hidden="false" customHeight="false" outlineLevel="0" collapsed="false">
      <c r="A1547" s="0" t="s">
        <v>681</v>
      </c>
      <c r="B1547" s="0" t="s">
        <v>52</v>
      </c>
      <c r="C1547" s="28" t="n">
        <f aca="false">(Sens!$C$1548-Sens!$C$1544+Sens!$C$1546)/Sens!$C$1545</f>
        <v>-0.0292364215826579</v>
      </c>
      <c r="D1547" s="28" t="n">
        <f aca="false">(Sens!$D$1548-Sens!$D$1544+Sens!$D$1546)/Sens!$D$1545</f>
        <v>-0.0305125352740778</v>
      </c>
      <c r="E1547" s="28" t="n">
        <f aca="false">(Sens!$E$1548-Sens!$E$1544+Sens!$E$1546)/Sens!$E$1545</f>
        <v>-0.019490056934994</v>
      </c>
      <c r="F1547" s="28" t="n">
        <f aca="false">Sens!$O$1547+(Sens!$E$1547-Sens!$N$1547)</f>
        <v>-0.0367332293992226</v>
      </c>
      <c r="G1547" s="28" t="n">
        <f aca="false">(Sens!$G$1548-Sens!$G$1544+Sens!$G$1546)/Sens!$G$1545</f>
        <v>-0.0288619174504359</v>
      </c>
      <c r="H1547" s="28" t="n">
        <f aca="false">Sens!$G$1547+step_in</f>
        <v>-0.0288619174504359</v>
      </c>
      <c r="I1547" s="28" t="n">
        <f aca="false">Sens!$H$1547+step_in</f>
        <v>-0.0288619174504359</v>
      </c>
      <c r="J1547" s="28" t="n">
        <f aca="false">Sens!$I$1547+step_in</f>
        <v>-0.0288619174504359</v>
      </c>
      <c r="K1547" s="28" t="n">
        <f aca="false">Sens!$J$1547+step_in</f>
        <v>-0.0288619174504359</v>
      </c>
      <c r="L1547" s="28" t="n">
        <f aca="false">Sens!$K$1547</f>
        <v>-0.0288619174504359</v>
      </c>
      <c r="M1547" s="28" t="n">
        <f aca="false">Sens!$L$1547</f>
        <v>-0.0288619174504359</v>
      </c>
      <c r="N1547" s="28" t="n">
        <f aca="false">(Sens!$N$1548-Sens!$N$1544+Sens!$N$1546)/Sens!$N$1545</f>
        <v>-0.02085061789158</v>
      </c>
      <c r="O1547" s="28" t="n">
        <f aca="false">(Sens!$O$1548-Sens!$O$1544+Sens!$O$1546)/Sens!$O$1545</f>
        <v>-0.0380937903558086</v>
      </c>
      <c r="P1547" s="8" t="s">
        <v>676</v>
      </c>
    </row>
    <row r="1548" customFormat="false" ht="17.15" hidden="false" customHeight="false" outlineLevel="0" collapsed="false">
      <c r="A1548" s="1" t="s">
        <v>682</v>
      </c>
      <c r="B1548" s="8" t="s">
        <v>73</v>
      </c>
      <c r="C1548" s="38" t="n">
        <f aca="false">Q!$D$23</f>
        <v>3.792</v>
      </c>
      <c r="D1548" s="38" t="n">
        <f aca="false">Q!$E$23</f>
        <v>4.75</v>
      </c>
      <c r="E1548" s="38" t="n">
        <f aca="false">Q!$P$23</f>
        <v>3.141</v>
      </c>
      <c r="F1548" s="38" t="n">
        <f aca="false">Sens!$F$1544+Sens!$F$1545*Sens!$F$1547-Sens!$F$1546</f>
        <v>2.97624516596565</v>
      </c>
      <c r="G1548" s="38" t="n">
        <f aca="false">Sens!$E$1548+Sens!$F$1548</f>
        <v>6.11724516596565</v>
      </c>
      <c r="H1548" s="38" t="n">
        <f aca="false">Sens!$H$1544+Sens!$H$1545*Sens!$H$1547-Sens!$H$1546</f>
        <v>5.99201294400633</v>
      </c>
      <c r="I1548" s="38" t="n">
        <f aca="false">Sens!$I$1544+Sens!$I$1545*Sens!$I$1547-Sens!$I$1546</f>
        <v>5.31015842467297</v>
      </c>
      <c r="J1548" s="38" t="n">
        <f aca="false">Sens!$J$1544+Sens!$J$1545*Sens!$J$1547-Sens!$J$1546</f>
        <v>4.4281084186349</v>
      </c>
      <c r="K1548" s="38" t="n">
        <f aca="false">Sens!$K$1544+Sens!$K$1545*Sens!$K$1547-Sens!$K$1546</f>
        <v>3.21566068996391</v>
      </c>
      <c r="L1548" s="38" t="n">
        <f aca="false">Sens!$L$1544+Sens!$L$1545*Sens!$L$1547-Sens!$L$1546</f>
        <v>2.28208130222988</v>
      </c>
      <c r="M1548" s="38" t="n">
        <f aca="false">Sens!$M$1544+Sens!$M$1545*Sens!$M$1547-Sens!$M$1546</f>
        <v>1.4932428321842</v>
      </c>
      <c r="N1548" s="38" t="n">
        <f aca="false">Q!$N$23</f>
        <v>2.511</v>
      </c>
      <c r="O1548" s="38" t="n">
        <f aca="false">Q!$O$23</f>
        <v>2.239</v>
      </c>
    </row>
    <row r="1549" customFormat="false" ht="17.15" hidden="false" customHeight="false" outlineLevel="0" collapsed="false">
      <c r="A1549" s="0" t="s">
        <v>683</v>
      </c>
      <c r="B1549" s="0" t="s">
        <v>73</v>
      </c>
      <c r="C1549" s="38" t="n">
        <f aca="false">Sens!$C$1489</f>
        <v>1.64417882953695</v>
      </c>
      <c r="D1549" s="38" t="n">
        <f aca="false">Sens!$D$1489</f>
        <v>3.8781008067718</v>
      </c>
      <c r="E1549" s="38" t="n">
        <f aca="false">Sens!$E$1489</f>
        <v>1.41270258088753</v>
      </c>
      <c r="F1549" s="38" t="n">
        <f aca="false">Sens!$F$1489</f>
        <v>7.4797622806661</v>
      </c>
      <c r="G1549" s="38" t="n">
        <f aca="false">Sens!$G$1489</f>
        <v>8.89246486155363</v>
      </c>
      <c r="H1549" s="38" t="n">
        <f aca="false">Sens!$H$1489</f>
        <v>24.5749929284358</v>
      </c>
      <c r="I1549" s="38" t="n">
        <f aca="false">Sens!$I$1489</f>
        <v>38.1478622522126</v>
      </c>
      <c r="J1549" s="38" t="n">
        <f aca="false">Sens!$J$1489</f>
        <v>50.9189028469417</v>
      </c>
      <c r="K1549" s="38" t="n">
        <f aca="false">Sens!$K$1489</f>
        <v>63.2085075087781</v>
      </c>
      <c r="L1549" s="38" t="n">
        <f aca="false">Sens!$L$1489</f>
        <v>77.1481805387507</v>
      </c>
      <c r="M1549" s="38" t="n">
        <f aca="false">Sens!$M$1489</f>
        <v>90.5328040607234</v>
      </c>
      <c r="N1549" s="38" t="n">
        <f aca="false">Sens!$N$1489</f>
        <v>0.92264103489199</v>
      </c>
      <c r="O1549" s="38" t="n">
        <f aca="false">Sens!$O$1489</f>
        <v>2.95545977187981</v>
      </c>
    </row>
    <row r="1550" customFormat="false" ht="17.15" hidden="false" customHeight="false" outlineLevel="0" collapsed="false">
      <c r="A1550" s="0" t="s">
        <v>603</v>
      </c>
      <c r="B1550" s="0" t="s">
        <v>73</v>
      </c>
      <c r="C1550" s="38" t="n">
        <f aca="false">Sens!$C$1494</f>
        <v>38.1898211704631</v>
      </c>
      <c r="D1550" s="38" t="n">
        <f aca="false">Sens!$D$1494</f>
        <v>41.7278991932282</v>
      </c>
      <c r="E1550" s="38" t="n">
        <f aca="false">Sens!$E$1494</f>
        <v>29.3692974191125</v>
      </c>
      <c r="F1550" s="38" t="n">
        <f aca="false">Sens!$F$1494</f>
        <v>29.458060516894</v>
      </c>
      <c r="G1550" s="38" t="n">
        <f aca="false">Sens!$G$1494</f>
        <v>58.8273579360065</v>
      </c>
      <c r="H1550" s="38" t="n">
        <f aca="false">Sens!$H$1494</f>
        <v>67.8004040185081</v>
      </c>
      <c r="I1550" s="38" t="n">
        <f aca="false">Sens!$I$1494</f>
        <v>78.9527630302702</v>
      </c>
      <c r="J1550" s="38" t="n">
        <f aca="false">Sens!$J$1494</f>
        <v>88.6042681781841</v>
      </c>
      <c r="K1550" s="38" t="n">
        <f aca="false">Sens!$K$1494</f>
        <v>95.6926096324389</v>
      </c>
      <c r="L1550" s="38" t="n">
        <f aca="false">Sens!$L$1494</f>
        <v>103.348018403034</v>
      </c>
      <c r="M1550" s="38" t="n">
        <f aca="false">Sens!$M$1494</f>
        <v>111.615859875277</v>
      </c>
      <c r="N1550" s="38" t="n">
        <f aca="false">Sens!$N$1494</f>
        <v>20.784358965108</v>
      </c>
      <c r="O1550" s="38" t="n">
        <f aca="false">Sens!$O$1494</f>
        <v>20.9435402281202</v>
      </c>
    </row>
    <row r="1551" customFormat="false" ht="17.15" hidden="false" customHeight="false" outlineLevel="0" collapsed="false">
      <c r="A1551" s="1" t="s">
        <v>684</v>
      </c>
      <c r="B1551" s="8" t="s">
        <v>73</v>
      </c>
      <c r="C1551" s="38" t="n">
        <f aca="false">Q!$D$24</f>
        <v>39.834</v>
      </c>
      <c r="D1551" s="38" t="n">
        <f aca="false">Q!$E$24</f>
        <v>45.606</v>
      </c>
      <c r="E1551" s="38" t="n">
        <f aca="false">Q!$P$24</f>
        <v>30.782</v>
      </c>
      <c r="F1551" s="38" t="n">
        <f aca="false">Sens!$F$1549+Sens!$F$1550</f>
        <v>36.9378227975601</v>
      </c>
      <c r="G1551" s="38" t="n">
        <f aca="false">Sens!$G$1549+Sens!$G$1550</f>
        <v>67.7198227975601</v>
      </c>
      <c r="H1551" s="38" t="n">
        <f aca="false">Sens!$H$1549+Sens!$H$1550</f>
        <v>92.3753969469439</v>
      </c>
      <c r="I1551" s="38" t="n">
        <f aca="false">Sens!$I$1549+Sens!$I$1550</f>
        <v>117.100625282483</v>
      </c>
      <c r="J1551" s="38" t="n">
        <f aca="false">Sens!$J$1549+Sens!$J$1550</f>
        <v>139.523171025126</v>
      </c>
      <c r="K1551" s="38" t="n">
        <f aca="false">Sens!$K$1549+Sens!$K$1550</f>
        <v>158.901117141217</v>
      </c>
      <c r="L1551" s="38" t="n">
        <f aca="false">Sens!$L$1549+Sens!$L$1550</f>
        <v>180.496198941785</v>
      </c>
      <c r="M1551" s="38" t="n">
        <f aca="false">Sens!$M$1549+Sens!$M$1550</f>
        <v>202.148663936</v>
      </c>
      <c r="N1551" s="38" t="n">
        <f aca="false">Q!$N$24</f>
        <v>21.707</v>
      </c>
      <c r="O1551" s="38" t="n">
        <f aca="false">Q!$O$24</f>
        <v>23.899</v>
      </c>
    </row>
    <row r="1552" customFormat="false" ht="17.15" hidden="false" customHeight="false" outlineLevel="0" collapsed="false">
      <c r="A1552" s="5" t="s">
        <v>685</v>
      </c>
      <c r="B1552" s="0" t="s">
        <v>73</v>
      </c>
      <c r="C1552" s="38" t="n">
        <f aca="false">Q!$D$26</f>
        <v>0</v>
      </c>
      <c r="D1552" s="38" t="n">
        <f aca="false">Q!$E$26</f>
        <v>0</v>
      </c>
      <c r="E1552" s="38" t="n">
        <f aca="false">Q!$P$26</f>
        <v>0</v>
      </c>
      <c r="F1552" s="41" t="n">
        <v>0</v>
      </c>
      <c r="G1552" s="38" t="n">
        <f aca="false">Sens!$E$1552+Sens!$F$1552</f>
        <v>0</v>
      </c>
      <c r="H1552" s="41" t="n">
        <v>0</v>
      </c>
      <c r="I1552" s="41" t="n">
        <v>0</v>
      </c>
      <c r="J1552" s="41" t="n">
        <v>0</v>
      </c>
      <c r="K1552" s="41" t="n">
        <v>0</v>
      </c>
      <c r="L1552" s="41" t="n">
        <v>0</v>
      </c>
      <c r="M1552" s="41" t="n">
        <v>0</v>
      </c>
      <c r="N1552" s="38" t="n">
        <f aca="false">Q!$N$26</f>
        <v>0</v>
      </c>
      <c r="O1552" s="38" t="n">
        <f aca="false">Q!$O$26</f>
        <v>0</v>
      </c>
    </row>
    <row r="1553" customFormat="false" ht="15" hidden="false" customHeight="false" outlineLevel="0" collapsed="false">
      <c r="A1553" s="3" t="s">
        <v>494</v>
      </c>
      <c r="B1553" s="8" t="s">
        <v>73</v>
      </c>
      <c r="C1553" s="38" t="n">
        <f aca="false">Q!$D$25</f>
        <v>68.593</v>
      </c>
      <c r="D1553" s="38" t="n">
        <f aca="false">Q!$E$25</f>
        <v>79.975</v>
      </c>
      <c r="E1553" s="38" t="n">
        <f aca="false">Q!$P$25</f>
        <v>51.313</v>
      </c>
      <c r="F1553" s="38" t="n">
        <f aca="false">Sens!$F$1543+Sens!$F$1548+Sens!$F$1551+Sens!$F$1552</f>
        <v>60.7915748411039</v>
      </c>
      <c r="G1553" s="38" t="n">
        <f aca="false">Sens!$G$1543+Sens!$G$1548+Sens!$G$1551+Sens!$G$1552</f>
        <v>112.104574841104</v>
      </c>
      <c r="H1553" s="38" t="n">
        <f aca="false">Sens!$H$1543+Sens!$H$1548+Sens!$H$1551+Sens!$H$1552</f>
        <v>139.752011580999</v>
      </c>
      <c r="I1553" s="38" t="n">
        <f aca="false">Sens!$I$1543+Sens!$I$1548+Sens!$I$1551+Sens!$I$1552</f>
        <v>165.591549180027</v>
      </c>
      <c r="J1553" s="38" t="n">
        <f aca="false">Sens!$J$1543+Sens!$J$1548+Sens!$J$1551+Sens!$J$1552</f>
        <v>188.457069742749</v>
      </c>
      <c r="K1553" s="38" t="n">
        <f aca="false">Sens!$K$1543+Sens!$K$1548+Sens!$K$1551+Sens!$K$1552</f>
        <v>207.04356465368</v>
      </c>
      <c r="L1553" s="38" t="n">
        <f aca="false">Sens!$L$1543+Sens!$L$1548+Sens!$L$1551+Sens!$L$1552</f>
        <v>227.399692558466</v>
      </c>
      <c r="M1553" s="38" t="n">
        <f aca="false">Sens!$M$1543+Sens!$M$1548+Sens!$M$1551+Sens!$M$1552</f>
        <v>248.464641871641</v>
      </c>
      <c r="N1553" s="38" t="n">
        <f aca="false">Q!$N$25</f>
        <v>37.576</v>
      </c>
      <c r="O1553" s="38" t="n">
        <f aca="false">Q!$O$25</f>
        <v>42.399</v>
      </c>
    </row>
    <row r="1554" customFormat="false" ht="17.15" hidden="false" customHeight="false" outlineLevel="0" collapsed="false">
      <c r="A1554" s="24" t="s">
        <v>711</v>
      </c>
      <c r="B1554" s="25" t="s">
        <v>73</v>
      </c>
      <c r="C1554" s="39" t="n">
        <f aca="false">Sens!$C$1543+Sens!$C$1548+Sens!$C$1551+Sens!$C$1552-Sens!$C$1553</f>
        <v>0</v>
      </c>
      <c r="D1554" s="39" t="n">
        <f aca="false">Sens!$D$1543+Sens!$D$1548+Sens!$D$1551+Sens!$D$1552-Sens!$D$1553</f>
        <v>0</v>
      </c>
      <c r="E1554" s="39" t="n">
        <f aca="false">Sens!$E$1543+Sens!$E$1548+Sens!$E$1551+Sens!$E$1552-Sens!$E$1553</f>
        <v>0</v>
      </c>
      <c r="F1554" s="39" t="n">
        <f aca="false">Sens!$F$1543+Sens!$F$1548+Sens!$F$1551+Sens!$F$1552-Sens!$F$1553</f>
        <v>0</v>
      </c>
      <c r="G1554" s="39" t="n">
        <f aca="false">Sens!$G$1543+Sens!$G$1548+Sens!$G$1551+Sens!$G$1552-Sens!$G$1553</f>
        <v>0</v>
      </c>
      <c r="H1554" s="39" t="n">
        <f aca="false">Sens!$H$1543+Sens!$H$1548+Sens!$H$1551+Sens!$H$1552-Sens!$H$1553</f>
        <v>0</v>
      </c>
      <c r="I1554" s="39" t="n">
        <f aca="false">Sens!$I$1543+Sens!$I$1548+Sens!$I$1551+Sens!$I$1552-Sens!$I$1553</f>
        <v>0</v>
      </c>
      <c r="J1554" s="39" t="n">
        <f aca="false">Sens!$J$1543+Sens!$J$1548+Sens!$J$1551+Sens!$J$1552-Sens!$J$1553</f>
        <v>0</v>
      </c>
      <c r="K1554" s="39" t="n">
        <f aca="false">Sens!$K$1543+Sens!$K$1548+Sens!$K$1551+Sens!$K$1552-Sens!$K$1553</f>
        <v>0</v>
      </c>
      <c r="L1554" s="39" t="n">
        <f aca="false">Sens!$L$1543+Sens!$L$1548+Sens!$L$1551+Sens!$L$1552-Sens!$L$1553</f>
        <v>0</v>
      </c>
      <c r="M1554" s="39" t="n">
        <f aca="false">Sens!$M$1543+Sens!$M$1548+Sens!$M$1551+Sens!$M$1552-Sens!$M$1553</f>
        <v>0</v>
      </c>
      <c r="N1554" s="39" t="n">
        <f aca="false">Sens!$N$1543+Sens!$N$1548+Sens!$N$1551+Sens!$N$1552-Sens!$N$1553</f>
        <v>0</v>
      </c>
      <c r="O1554" s="39" t="n">
        <f aca="false">Sens!$O$1543+Sens!$O$1548+Sens!$O$1551+Sens!$O$1552-Sens!$O$1553</f>
        <v>0</v>
      </c>
    </row>
    <row r="1555" customFormat="false" ht="17.15" hidden="false" customHeight="false" outlineLevel="0" collapsed="false">
      <c r="A1555" s="0" t="s">
        <v>687</v>
      </c>
      <c r="B1555" s="0" t="s">
        <v>52</v>
      </c>
      <c r="C1555" s="12" t="n">
        <f aca="false">Sens!$C$1543/Sens!$C$1528</f>
        <v>0.0644314665661928</v>
      </c>
      <c r="D1555" s="12" t="n">
        <f aca="false">Sens!$D$1543/Sens!$D$1528</f>
        <v>0.0694784250712518</v>
      </c>
      <c r="E1555" s="12" t="n">
        <f aca="false">Sens!$E$1543/Sens!$E$1528</f>
        <v>0.0789306463326071</v>
      </c>
      <c r="F1555" s="12" t="n">
        <f aca="false">Sens!$F$1543/Sens!$F$1528</f>
        <v>0.0814560274339366</v>
      </c>
      <c r="G1555" s="12" t="n">
        <f aca="false">Sens!$G$1543/Sens!$G$1528</f>
        <v>0.0802886671106418</v>
      </c>
      <c r="H1555" s="12" t="n">
        <f aca="false">Sens!$H$1543/Sens!$H$1528</f>
        <v>0.078419376088889</v>
      </c>
      <c r="I1555" s="12" t="n">
        <f aca="false">Sens!$I$1543/Sens!$I$1528</f>
        <v>0.0748162347905476</v>
      </c>
      <c r="J1555" s="12" t="n">
        <f aca="false">Sens!$J$1543/Sens!$J$1528</f>
        <v>0.0714350078280373</v>
      </c>
      <c r="K1555" s="12" t="n">
        <f aca="false">Sens!$K$1543/Sens!$K$1528</f>
        <v>0.0677237976440628</v>
      </c>
      <c r="L1555" s="12" t="n">
        <f aca="false">Sens!$L$1543/Sens!$L$1528</f>
        <v>0.0631526049750183</v>
      </c>
      <c r="M1555" s="12" t="n">
        <f aca="false">Sens!$M$1543/Sens!$M$1528</f>
        <v>0.059542570210758</v>
      </c>
      <c r="N1555" s="12" t="n">
        <f aca="false">Sens!$N$1543/Sens!$N$1528</f>
        <v>0.069228576611127</v>
      </c>
      <c r="O1555" s="12" t="n">
        <f aca="false">Sens!$O$1543/Sens!$O$1528</f>
        <v>0.069685022498393</v>
      </c>
    </row>
    <row r="1556" customFormat="false" ht="17.15" hidden="false" customHeight="false" outlineLevel="0" collapsed="false">
      <c r="A1556" s="0" t="s">
        <v>688</v>
      </c>
      <c r="B1556" s="0" t="s">
        <v>52</v>
      </c>
      <c r="C1556" s="12" t="n">
        <f aca="false">Sens!$C$1548/Sens!$C$1529</f>
        <v>0.026534925055631</v>
      </c>
      <c r="D1556" s="12" t="n">
        <f aca="false">Sens!$D$1548/Sens!$D$1529</f>
        <v>0.0293401855535103</v>
      </c>
      <c r="E1556" s="12" t="n">
        <f aca="false">Sens!$E$1548/Sens!$E$1529</f>
        <v>0.03831141902276</v>
      </c>
      <c r="F1556" s="12" t="n">
        <f aca="false">Sens!$F$1548/Sens!$F$1529</f>
        <v>0.0295754125496169</v>
      </c>
      <c r="G1556" s="12" t="n">
        <f aca="false">Sens!$G$1548/Sens!$G$1529</f>
        <v>0.0334974169642679</v>
      </c>
      <c r="H1556" s="12" t="n">
        <f aca="false">Sens!$H$1548/Sens!$H$1529</f>
        <v>0.0296338923891026</v>
      </c>
      <c r="I1556" s="12" t="n">
        <f aca="false">Sens!$I$1548/Sens!$I$1529</f>
        <v>0.024012885104428</v>
      </c>
      <c r="J1556" s="12" t="n">
        <f aca="false">Sens!$J$1548/Sens!$J$1529</f>
        <v>0.0185500113042357</v>
      </c>
      <c r="K1556" s="12" t="n">
        <f aca="false">Sens!$K$1548/Sens!$K$1529</f>
        <v>0.0126513687623107</v>
      </c>
      <c r="L1556" s="12" t="n">
        <f aca="false">Sens!$L$1548/Sens!$L$1529</f>
        <v>0.00842966709236516</v>
      </c>
      <c r="M1556" s="12" t="n">
        <f aca="false">Sens!$M$1548/Sens!$M$1529</f>
        <v>0.00517715319137368</v>
      </c>
      <c r="N1556" s="12" t="n">
        <f aca="false">Sens!$N$1548/Sens!$N$1529</f>
        <v>0.0357315650169337</v>
      </c>
      <c r="O1556" s="12" t="n">
        <f aca="false">Sens!$O$1548/Sens!$O$1529</f>
        <v>0.0244378956559703</v>
      </c>
    </row>
    <row r="1557" customFormat="false" ht="17.15" hidden="false" customHeight="false" outlineLevel="0" collapsed="false">
      <c r="A1557" s="13" t="s">
        <v>689</v>
      </c>
      <c r="B1557" s="13" t="s">
        <v>52</v>
      </c>
      <c r="C1557" s="16" t="n">
        <f aca="false">Sens!$C$1551/Sens!$C$1530</f>
        <v>0.370355907620217</v>
      </c>
      <c r="D1557" s="16" t="n">
        <f aca="false">Sens!$D$1551/Sens!$D$1530</f>
        <v>0.35429015342785</v>
      </c>
      <c r="E1557" s="16" t="n">
        <f aca="false">Sens!$E$1551/Sens!$E$1530</f>
        <v>0.385647527531039</v>
      </c>
      <c r="F1557" s="16" t="n">
        <f aca="false">Sens!$F$1551/Sens!$F$1530</f>
        <v>0.389701635912839</v>
      </c>
      <c r="G1557" s="16" t="n">
        <f aca="false">Sens!$G$1551/Sens!$G$1530</f>
        <v>0.387848327286945</v>
      </c>
      <c r="H1557" s="16" t="n">
        <f aca="false">Sens!$H$1551/Sens!$H$1530</f>
        <v>0.367923813819824</v>
      </c>
      <c r="I1557" s="16" t="n">
        <f aca="false">Sens!$I$1551/Sens!$I$1530</f>
        <v>0.352183204248458</v>
      </c>
      <c r="J1557" s="16" t="n">
        <f aca="false">Sens!$J$1551/Sens!$J$1530</f>
        <v>0.340174450165942</v>
      </c>
      <c r="K1557" s="16" t="n">
        <f aca="false">Sens!$K$1551/Sens!$K$1530</f>
        <v>0.330326568735829</v>
      </c>
      <c r="L1557" s="16" t="n">
        <f aca="false">Sens!$L$1551/Sens!$L$1530</f>
        <v>0.326110950263194</v>
      </c>
      <c r="M1557" s="16" t="n">
        <f aca="false">Sens!$M$1551/Sens!$M$1530</f>
        <v>0.322112228803722</v>
      </c>
      <c r="N1557" s="16" t="n">
        <f aca="false">Sens!$N$1551/Sens!$N$1530</f>
        <v>0.360941137346192</v>
      </c>
      <c r="O1557" s="16" t="n">
        <f aca="false">Sens!$O$1551/Sens!$O$1530</f>
        <v>0.348458117664212</v>
      </c>
    </row>
    <row r="1558" customFormat="false" ht="17.15" hidden="false" customHeight="false" outlineLevel="0" collapsed="false">
      <c r="A1558" s="0" t="s">
        <v>690</v>
      </c>
      <c r="B1558" s="0" t="s">
        <v>52</v>
      </c>
      <c r="C1558" s="12" t="n">
        <f aca="false">Sens!$C$1549/Sens!$C$1531</f>
        <v>0.708390794789371</v>
      </c>
      <c r="D1558" s="12" t="n">
        <f aca="false">Sens!$D$1549/Sens!$D$1531</f>
        <v>0.445565630441968</v>
      </c>
      <c r="E1558" s="12" t="n">
        <f aca="false">Sens!$E$1549/Sens!$E$1531</f>
        <v>0.165998118402711</v>
      </c>
      <c r="F1558" s="12" t="n">
        <f aca="false">Sens!$F$1549/Sens!$F$1531</f>
        <v>0.462002627075229</v>
      </c>
      <c r="G1558" s="12" t="n">
        <f aca="false">Sens!$G$1549/Sens!$G$1531</f>
        <v>0.360015576355354</v>
      </c>
      <c r="H1558" s="12" t="n">
        <f aca="false">Sens!$H$1549/Sens!$H$1531</f>
        <v>0.350178280401407</v>
      </c>
      <c r="I1558" s="12" t="n">
        <f aca="false">Sens!$I$1549/Sens!$I$1531</f>
        <v>0.313070319052611</v>
      </c>
      <c r="J1558" s="12" t="n">
        <f aca="false">Sens!$J$1549/Sens!$J$1531</f>
        <v>0.293053518787249</v>
      </c>
      <c r="K1558" s="12" t="n">
        <f aca="false">Sens!$K$1549/Sens!$K$1531</f>
        <v>0.280016120144688</v>
      </c>
      <c r="L1558" s="12" t="n">
        <f aca="false">Sens!$L$1549/Sens!$L$1531</f>
        <v>0.27776596313305</v>
      </c>
      <c r="M1558" s="12" t="n">
        <f aca="false">Sens!$M$1549/Sens!$M$1531</f>
        <v>0.274526839221306</v>
      </c>
      <c r="N1558" s="12" t="n">
        <f aca="false">Sens!$N$1549/Sens!$N$1531</f>
        <v>0.302870734830849</v>
      </c>
      <c r="O1558" s="12" t="n">
        <f aca="false">Sens!$O$1549/Sens!$O$1531</f>
        <v>0.52240134346334</v>
      </c>
    </row>
    <row r="1559" customFormat="false" ht="15" hidden="false" customHeight="false" outlineLevel="0" collapsed="false">
      <c r="A1559" s="5" t="s">
        <v>691</v>
      </c>
      <c r="B1559" s="0" t="s">
        <v>52</v>
      </c>
      <c r="C1559" s="12" t="n">
        <f aca="false">Sens!$C$1553/Sens!$C$1533</f>
        <v>0.107519448742004</v>
      </c>
      <c r="D1559" s="12" t="n">
        <f aca="false">Sens!$D$1553/Sens!$D$1533</f>
        <v>0.111552967957552</v>
      </c>
      <c r="E1559" s="12" t="n">
        <f aca="false">Sens!$E$1553/Sens!$E$1533</f>
        <v>0.13428328426562</v>
      </c>
      <c r="F1559" s="12" t="n">
        <f aca="false">Sens!$F$1553/Sens!$F$1533</f>
        <v>0.134577611463636</v>
      </c>
      <c r="G1559" s="12" t="n">
        <f aca="false">Sens!$G$1553/Sens!$G$1533</f>
        <v>0.134442730755645</v>
      </c>
      <c r="H1559" s="12" t="n">
        <f aca="false">Sens!$H$1553/Sens!$H$1533</f>
        <v>0.142457592259026</v>
      </c>
      <c r="I1559" s="12" t="n">
        <f aca="false">Sens!$I$1553/Sens!$I$1533</f>
        <v>0.146438201788081</v>
      </c>
      <c r="J1559" s="12" t="n">
        <f aca="false">Sens!$J$1553/Sens!$J$1533</f>
        <v>0.14817104498049</v>
      </c>
      <c r="K1559" s="12" t="n">
        <f aca="false">Sens!$K$1553/Sens!$K$1533</f>
        <v>0.148036298016179</v>
      </c>
      <c r="L1559" s="12" t="n">
        <f aca="false">Sens!$L$1553/Sens!$L$1533</f>
        <v>0.148552872535227</v>
      </c>
      <c r="M1559" s="12" t="n">
        <f aca="false">Sens!$M$1553/Sens!$M$1533</f>
        <v>0.148889442261481</v>
      </c>
      <c r="N1559" s="12" t="n">
        <f aca="false">Sens!$N$1553/Sens!$N$1533</f>
        <v>0.116201614873411</v>
      </c>
      <c r="O1559" s="12" t="n">
        <f aca="false">Sens!$O$1553/Sens!$O$1533</f>
        <v>0.107733353660861</v>
      </c>
    </row>
    <row r="1560" customFormat="false" ht="17.15" hidden="false" customHeight="false" outlineLevel="0" collapsed="false">
      <c r="A1560" s="1" t="s">
        <v>692</v>
      </c>
    </row>
    <row r="1561" customFormat="false" ht="17.15" hidden="false" customHeight="false" outlineLevel="0" collapsed="false">
      <c r="A1561" s="5" t="s">
        <v>693</v>
      </c>
      <c r="B1561" s="0" t="s">
        <v>52</v>
      </c>
      <c r="D1561" s="28" t="n">
        <f aca="false">(Q!$E$29+Q!$E$30-(1-ext_sh)*Sens!$D$1485)/Sens!$D$1443</f>
        <v>0.0334674312393194</v>
      </c>
    </row>
    <row r="1562" customFormat="false" ht="17.15" hidden="false" customHeight="false" outlineLevel="0" collapsed="false">
      <c r="A1562" s="0" t="s">
        <v>498</v>
      </c>
      <c r="B1562" s="0" t="s">
        <v>73</v>
      </c>
      <c r="C1562" s="38" t="n">
        <f aca="false">Q!$D$29</f>
        <v>14.285</v>
      </c>
      <c r="D1562" s="38" t="n">
        <f aca="false">Q!$E$29</f>
        <v>15.503</v>
      </c>
      <c r="E1562" s="38" t="n">
        <f aca="false">Q!$P$29</f>
        <v>8.78</v>
      </c>
      <c r="F1562" s="38" t="n">
        <f aca="false">(Sens!$D$1561*Sens!$F$1443+(1-ext_sh)*Sens!$F$1485)*Sens!$F$1444</f>
        <v>9.51361751569285</v>
      </c>
      <c r="G1562" s="38" t="n">
        <f aca="false">Sens!$E$1562+Sens!$F$1562</f>
        <v>18.2936175156929</v>
      </c>
      <c r="H1562" s="38" t="n">
        <f aca="false">(Sens!$D$1561*Sens!$H$1443+(1-ext_sh)*Sens!$H$1485)*Sens!$H$1444</f>
        <v>23.2481520675798</v>
      </c>
      <c r="I1562" s="38" t="n">
        <f aca="false">(Sens!$D$1561*Sens!$I$1443+(1-ext_sh)*Sens!$I$1485)*Sens!$I$1444</f>
        <v>29.9130912656618</v>
      </c>
      <c r="J1562" s="38" t="n">
        <f aca="false">(Sens!$D$1561*Sens!$J$1443+(1-ext_sh)*Sens!$J$1485)*Sens!$J$1444</f>
        <v>36.6420272568981</v>
      </c>
      <c r="K1562" s="38" t="n">
        <f aca="false">(Sens!$D$1561*Sens!$K$1443+(1-ext_sh)*Sens!$K$1485)*Sens!$K$1444</f>
        <v>43.2862833753989</v>
      </c>
      <c r="L1562" s="38" t="n">
        <f aca="false">(Sens!$D$1561*Sens!$L$1443+(1-ext_sh)*Sens!$L$1485)*Sens!$L$1444</f>
        <v>49.7325988154899</v>
      </c>
      <c r="M1562" s="38" t="n">
        <f aca="false">(Sens!$D$1561*Sens!$M$1443+(1-ext_sh)*Sens!$M$1485)*Sens!$M$1444</f>
        <v>56.3840022336749</v>
      </c>
      <c r="N1562" s="38" t="n">
        <f aca="false">Q!$N$29</f>
        <v>7.272</v>
      </c>
      <c r="O1562" s="38" t="n">
        <f aca="false">Q!$O$29</f>
        <v>8.231</v>
      </c>
    </row>
    <row r="1563" customFormat="false" ht="17.15" hidden="false" customHeight="false" outlineLevel="0" collapsed="false">
      <c r="A1563" s="0" t="s">
        <v>500</v>
      </c>
      <c r="B1563" s="0" t="s">
        <v>73</v>
      </c>
      <c r="C1563" s="38" t="n">
        <f aca="false">Q!$D$30</f>
        <v>4.462</v>
      </c>
      <c r="D1563" s="38" t="n">
        <f aca="false">Q!$E$30</f>
        <v>4.907</v>
      </c>
      <c r="E1563" s="38" t="n">
        <f aca="false">Q!$P$30</f>
        <v>2.57</v>
      </c>
      <c r="F1563" s="38" t="n">
        <f aca="false">(Sens!$D$1561*Sens!$F$1443+(1-ext_sh)*Sens!$F$1485)*(1-Sens!$F$1444)</f>
        <v>3.7353230631574</v>
      </c>
      <c r="G1563" s="38" t="n">
        <f aca="false">Sens!$E$1563+Sens!$F$1563</f>
        <v>6.3053230631574</v>
      </c>
      <c r="H1563" s="38" t="n">
        <f aca="false">(Sens!$D$1561*Sens!$H$1443+(1-ext_sh)*Sens!$H$1485)*(1-Sens!$H$1444)</f>
        <v>8.90752570185838</v>
      </c>
      <c r="I1563" s="38" t="n">
        <f aca="false">(Sens!$D$1561*Sens!$I$1443+(1-ext_sh)*Sens!$I$1485)*(1-Sens!$I$1444)</f>
        <v>11.4611960768483</v>
      </c>
      <c r="J1563" s="38" t="n">
        <f aca="false">(Sens!$D$1561*Sens!$J$1443+(1-ext_sh)*Sens!$J$1485)*(1-Sens!$J$1444)</f>
        <v>14.0393868127771</v>
      </c>
      <c r="K1563" s="38" t="n">
        <f aca="false">(Sens!$D$1561*Sens!$K$1443+(1-ext_sh)*Sens!$K$1485)*(1-Sens!$K$1444)</f>
        <v>16.5851324691731</v>
      </c>
      <c r="L1563" s="38" t="n">
        <f aca="false">(Sens!$D$1561*Sens!$L$1443+(1-ext_sh)*Sens!$L$1485)*(1-Sens!$L$1444)</f>
        <v>19.0550371866742</v>
      </c>
      <c r="M1563" s="38" t="n">
        <f aca="false">(Sens!$D$1561*Sens!$M$1443+(1-ext_sh)*Sens!$M$1485)*(1-Sens!$M$1444)</f>
        <v>21.6035213297873</v>
      </c>
      <c r="N1563" s="38" t="n">
        <f aca="false">Q!$N$30</f>
        <v>2.316</v>
      </c>
      <c r="O1563" s="38" t="n">
        <f aca="false">Q!$O$30</f>
        <v>2.591</v>
      </c>
    </row>
    <row r="1564" customFormat="false" ht="17.15" hidden="false" customHeight="false" outlineLevel="0" collapsed="false">
      <c r="A1564" s="0" t="s">
        <v>501</v>
      </c>
      <c r="B1564" s="0" t="s">
        <v>73</v>
      </c>
      <c r="C1564" s="38" t="n">
        <f aca="false">Sens!$C$1497</f>
        <v>13.32</v>
      </c>
      <c r="D1564" s="38" t="n">
        <f aca="false">Sens!$D$1497</f>
        <v>21.45</v>
      </c>
      <c r="E1564" s="38" t="n">
        <f aca="false">Sens!$E$1497</f>
        <v>15.353</v>
      </c>
      <c r="F1564" s="38" t="n">
        <f aca="false">Sens!$F$1497</f>
        <v>17.3614451462707</v>
      </c>
      <c r="G1564" s="38" t="n">
        <f aca="false">Sens!$G$1497</f>
        <v>32.7144451462707</v>
      </c>
      <c r="H1564" s="38" t="n">
        <f aca="false">Sens!$H$1497</f>
        <v>58.8676701599248</v>
      </c>
      <c r="I1564" s="38" t="n">
        <f aca="false">Sens!$I$1497</f>
        <v>91.1900900696381</v>
      </c>
      <c r="J1564" s="38" t="n">
        <f aca="false">Sens!$J$1497</f>
        <v>123.90606717416</v>
      </c>
      <c r="K1564" s="38" t="n">
        <f aca="false">Sens!$K$1497</f>
        <v>156.116647146746</v>
      </c>
      <c r="L1564" s="38" t="n">
        <f aca="false">Sens!$L$1497</f>
        <v>186.942942938013</v>
      </c>
      <c r="M1564" s="38" t="n">
        <f aca="false">Sens!$M$1497</f>
        <v>218.594047875741</v>
      </c>
      <c r="N1564" s="38" t="n">
        <f aca="false">Sens!$N$1497</f>
        <v>9.234</v>
      </c>
      <c r="O1564" s="38" t="n">
        <f aca="false">Sens!$O$1497</f>
        <v>12.216</v>
      </c>
    </row>
    <row r="1565" customFormat="false" ht="17.15" hidden="false" customHeight="false" outlineLevel="0" collapsed="false">
      <c r="A1565" s="5" t="s">
        <v>694</v>
      </c>
      <c r="B1565" s="0" t="s">
        <v>73</v>
      </c>
      <c r="C1565" s="38" t="n">
        <f aca="false">Sens!$C$1562+Sens!$C$1563+Sens!$C$1564</f>
        <v>32.067</v>
      </c>
      <c r="D1565" s="38" t="n">
        <f aca="false">Sens!$D$1562+Sens!$D$1563+Sens!$D$1564</f>
        <v>41.86</v>
      </c>
      <c r="E1565" s="38" t="n">
        <f aca="false">Sens!$E$1562+Sens!$E$1563+Sens!$E$1564</f>
        <v>26.703</v>
      </c>
      <c r="F1565" s="38" t="n">
        <f aca="false">Sens!$F$1562+Sens!$F$1563+Sens!$F$1564</f>
        <v>30.6103857251209</v>
      </c>
      <c r="G1565" s="38" t="n">
        <f aca="false">Sens!$G$1562+Sens!$G$1563+Sens!$G$1564</f>
        <v>57.3133857251209</v>
      </c>
      <c r="H1565" s="38" t="n">
        <f aca="false">Sens!$H$1562+Sens!$H$1563+Sens!$H$1564</f>
        <v>91.0233479293629</v>
      </c>
      <c r="I1565" s="38" t="n">
        <f aca="false">Sens!$I$1562+Sens!$I$1563+Sens!$I$1564</f>
        <v>132.564377412148</v>
      </c>
      <c r="J1565" s="38" t="n">
        <f aca="false">Sens!$J$1562+Sens!$J$1563+Sens!$J$1564</f>
        <v>174.587481243835</v>
      </c>
      <c r="K1565" s="38" t="n">
        <f aca="false">Sens!$K$1562+Sens!$K$1563+Sens!$K$1564</f>
        <v>215.988062991318</v>
      </c>
      <c r="L1565" s="38" t="n">
        <f aca="false">Sens!$L$1562+Sens!$L$1563+Sens!$L$1564</f>
        <v>255.730578940177</v>
      </c>
      <c r="M1565" s="38" t="n">
        <f aca="false">Sens!$M$1562+Sens!$M$1563+Sens!$M$1564</f>
        <v>296.581571439203</v>
      </c>
      <c r="N1565" s="38" t="n">
        <f aca="false">Sens!$N$1562+Sens!$N$1563+Sens!$N$1564</f>
        <v>18.822</v>
      </c>
      <c r="O1565" s="38" t="n">
        <f aca="false">Sens!$O$1562+Sens!$O$1563+Sens!$O$1564</f>
        <v>23.038</v>
      </c>
    </row>
    <row r="1566" customFormat="false" ht="17.15" hidden="false" customHeight="false" outlineLevel="0" collapsed="false">
      <c r="A1566" s="0" t="s">
        <v>695</v>
      </c>
      <c r="B1566" s="0" t="s">
        <v>73</v>
      </c>
      <c r="C1566" s="38" t="n">
        <f aca="false">Sens!$C$1539+Sens!$C$1544</f>
        <v>28.107</v>
      </c>
      <c r="D1566" s="38" t="n">
        <f aca="false">Sens!$D$1539+Sens!$D$1544</f>
        <v>34.3175</v>
      </c>
      <c r="E1566" s="38" t="n">
        <f aca="false">Sens!$E$1539+Sens!$E$1544</f>
        <v>18.526</v>
      </c>
      <c r="F1566" s="38" t="n">
        <f aca="false">Sens!$F$1539+Sens!$F$1544</f>
        <v>24.0766690913691</v>
      </c>
      <c r="G1566" s="38" t="n">
        <f aca="false">Sens!$G$1539+Sens!$G$1544</f>
        <v>42.6026690913691</v>
      </c>
      <c r="H1566" s="38" t="n">
        <f aca="false">Sens!$H$1539+Sens!$H$1544</f>
        <v>51.1466809294702</v>
      </c>
      <c r="I1566" s="38" t="n">
        <f aca="false">Sens!$I$1539+Sens!$I$1544</f>
        <v>59.6899187926205</v>
      </c>
      <c r="J1566" s="38" t="n">
        <f aca="false">Sens!$J$1539+Sens!$J$1544</f>
        <v>67.6595395244221</v>
      </c>
      <c r="K1566" s="38" t="n">
        <f aca="false">Sens!$K$1539+Sens!$K$1544</f>
        <v>74.4254934768643</v>
      </c>
      <c r="L1566" s="38" t="n">
        <f aca="false">Sens!$L$1539+Sens!$L$1544</f>
        <v>81.8680428245508</v>
      </c>
      <c r="M1566" s="38" t="n">
        <f aca="false">Sens!$M$1539+Sens!$M$1544</f>
        <v>90.0548471070059</v>
      </c>
      <c r="N1566" s="38" t="n">
        <f aca="false">Sens!$N$1539+Sens!$N$1544</f>
        <v>14.8075</v>
      </c>
      <c r="O1566" s="38" t="n">
        <f aca="false">Sens!$O$1539+Sens!$O$1544</f>
        <v>19.51</v>
      </c>
    </row>
    <row r="1567" customFormat="false" ht="17.15" hidden="false" customHeight="false" outlineLevel="0" collapsed="false">
      <c r="A1567" s="0" t="s">
        <v>696</v>
      </c>
      <c r="B1567" s="0" t="s">
        <v>73</v>
      </c>
      <c r="C1567" s="38" t="n">
        <f aca="false">Sens!$C$1543+Sens!$C$1548+Sens!$C$1562+Sens!$C$1563-Sens!$C$1566</f>
        <v>19.399</v>
      </c>
      <c r="D1567" s="38" t="n">
        <f aca="false">Sens!$D$1543+Sens!$D$1548+Sens!$D$1562+Sens!$D$1563-Sens!$D$1566</f>
        <v>20.4615</v>
      </c>
      <c r="E1567" s="38" t="n">
        <f aca="false">Sens!$E$1543+Sens!$E$1548+Sens!$E$1562+Sens!$E$1563-Sens!$E$1566</f>
        <v>13.355</v>
      </c>
      <c r="F1567" s="38" t="n">
        <f aca="false">Sens!$F$1543+Sens!$F$1548+Sens!$F$1562+Sens!$F$1563-Sens!$F$1566</f>
        <v>13.026023531025</v>
      </c>
      <c r="G1567" s="38" t="n">
        <f aca="false">Sens!$G$1543+Sens!$G$1548+Sens!$G$1562+Sens!$G$1563-Sens!$G$1566</f>
        <v>26.381023531025</v>
      </c>
      <c r="H1567" s="38" t="n">
        <f aca="false">Sens!$H$1543+Sens!$H$1548+Sens!$H$1562+Sens!$H$1563-Sens!$H$1566</f>
        <v>28.3856114740228</v>
      </c>
      <c r="I1567" s="38" t="n">
        <f aca="false">Sens!$I$1543+Sens!$I$1548+Sens!$I$1562+Sens!$I$1563-Sens!$I$1566</f>
        <v>30.1752924474342</v>
      </c>
      <c r="J1567" s="38" t="n">
        <f aca="false">Sens!$J$1543+Sens!$J$1548+Sens!$J$1562+Sens!$J$1563-Sens!$J$1566</f>
        <v>31.9557732628758</v>
      </c>
      <c r="K1567" s="38" t="n">
        <f aca="false">Sens!$K$1543+Sens!$K$1548+Sens!$K$1562+Sens!$K$1563-Sens!$K$1566</f>
        <v>33.5883698801706</v>
      </c>
      <c r="L1567" s="38" t="n">
        <f aca="false">Sens!$L$1543+Sens!$L$1548+Sens!$L$1562+Sens!$L$1563-Sens!$L$1566</f>
        <v>33.8230867942949</v>
      </c>
      <c r="M1567" s="38" t="n">
        <f aca="false">Sens!$M$1543+Sens!$M$1548+Sens!$M$1562+Sens!$M$1563-Sens!$M$1566</f>
        <v>34.2486543920969</v>
      </c>
      <c r="N1567" s="38" t="n">
        <f aca="false">Sens!$N$1543+Sens!$N$1548+Sens!$N$1562+Sens!$N$1563-Sens!$N$1566</f>
        <v>10.6495</v>
      </c>
      <c r="O1567" s="38" t="n">
        <f aca="false">Sens!$O$1543+Sens!$O$1548+Sens!$O$1562+Sens!$O$1563-Sens!$O$1566</f>
        <v>9.81200000000001</v>
      </c>
    </row>
    <row r="1568" customFormat="false" ht="17.15" hidden="false" customHeight="false" outlineLevel="0" collapsed="false">
      <c r="A1568" s="0" t="s">
        <v>697</v>
      </c>
      <c r="B1568" s="0" t="s">
        <v>73</v>
      </c>
      <c r="C1568" s="38" t="n">
        <f aca="false">Sens!$C$1550+Sens!$C$1564-ext_sh*Sens!$C$1485</f>
        <v>51.3470500115664</v>
      </c>
      <c r="D1568" s="38" t="n">
        <f aca="false">Sens!$D$1550+Sens!$D$1564-ext_sh*Sens!$D$1485</f>
        <v>60.2799375433739</v>
      </c>
      <c r="E1568" s="38" t="n">
        <f aca="false">Sens!$E$1550+Sens!$E$1564-ext_sh*Sens!$E$1485</f>
        <v>39.5095167090767</v>
      </c>
      <c r="F1568" s="38" t="n">
        <f aca="false">Sens!$F$1550+Sens!$F$1564-ext_sh*Sens!$F$1485</f>
        <v>41.606724953129</v>
      </c>
      <c r="G1568" s="38" t="n">
        <f aca="false">Sens!$G$1550+Sens!$G$1564-ext_sh*Sens!$G$1485</f>
        <v>81.1162416622057</v>
      </c>
      <c r="H1568" s="38" t="n">
        <f aca="false">Sens!$H$1550+Sens!$H$1564-ext_sh*Sens!$H$1485</f>
        <v>95.7616595325849</v>
      </c>
      <c r="I1568" s="38" t="n">
        <f aca="false">Sens!$I$1550+Sens!$I$1564-ext_sh*Sens!$I$1485</f>
        <v>111.513312079935</v>
      </c>
      <c r="J1568" s="38" t="n">
        <f aca="false">Sens!$J$1550+Sens!$J$1564-ext_sh*Sens!$J$1485</f>
        <v>125.145150463955</v>
      </c>
      <c r="K1568" s="38" t="n">
        <f aca="false">Sens!$K$1550+Sens!$K$1564-ext_sh*Sens!$K$1485</f>
        <v>135.156762501071</v>
      </c>
      <c r="L1568" s="38" t="n">
        <f aca="false">Sens!$L$1550+Sens!$L$1564-ext_sh*Sens!$L$1485</f>
        <v>145.969303501157</v>
      </c>
      <c r="M1568" s="38" t="n">
        <f aca="false">Sens!$M$1550+Sens!$M$1564-ext_sh*Sens!$M$1485</f>
        <v>157.646847781249</v>
      </c>
      <c r="N1568" s="38" t="n">
        <f aca="false">Sens!$N$1550+Sens!$N$1564-ext_sh*Sens!$N$1485</f>
        <v>28.5693781401809</v>
      </c>
      <c r="O1568" s="38" t="n">
        <f aca="false">Sens!$O$1550+Sens!$O$1564-ext_sh*Sens!$O$1485</f>
        <v>31.7105594031931</v>
      </c>
    </row>
    <row r="1569" customFormat="false" ht="17.15" hidden="false" customHeight="false" outlineLevel="0" collapsed="false">
      <c r="A1569" s="0" t="s">
        <v>698</v>
      </c>
      <c r="B1569" s="0" t="s">
        <v>73</v>
      </c>
      <c r="C1569" s="38" t="n">
        <f aca="false">Sens!$C$1488</f>
        <v>1.80694998843362</v>
      </c>
      <c r="D1569" s="38" t="n">
        <f aca="false">Sens!$D$1488</f>
        <v>6.77606245662607</v>
      </c>
      <c r="E1569" s="38" t="n">
        <f aca="false">Sens!$E$1488</f>
        <v>6.62548329092326</v>
      </c>
      <c r="F1569" s="38" t="n">
        <f aca="false">Sens!$F$1488</f>
        <v>12.6925429907018</v>
      </c>
      <c r="G1569" s="38" t="n">
        <f aca="false">Sens!$G$1488</f>
        <v>19.3180262816251</v>
      </c>
      <c r="H1569" s="38" t="n">
        <f aca="false">Sens!$H$1488</f>
        <v>55.4814075742838</v>
      </c>
      <c r="I1569" s="38" t="n">
        <f aca="false">Sens!$I$1488</f>
        <v>96.7774032721855</v>
      </c>
      <c r="J1569" s="38" t="n">
        <f aca="false">Sens!$J$1488</f>
        <v>138.284087735331</v>
      </c>
      <c r="K1569" s="38" t="n">
        <f aca="false">Sens!$K$1488</f>
        <v>179.861001786892</v>
      </c>
      <c r="L1569" s="38" t="n">
        <f aca="false">Sens!$L$1488</f>
        <v>221.469838378641</v>
      </c>
      <c r="M1569" s="38" t="n">
        <f aca="false">Sens!$M$1488</f>
        <v>263.095864030492</v>
      </c>
      <c r="N1569" s="38" t="n">
        <f aca="false">Sens!$N$1488</f>
        <v>2.37162185981912</v>
      </c>
      <c r="O1569" s="38" t="n">
        <f aca="false">Sens!$O$1488</f>
        <v>4.40444059680694</v>
      </c>
    </row>
    <row r="1570" customFormat="false" ht="17.15" hidden="false" customHeight="false" outlineLevel="0" collapsed="false">
      <c r="A1570" s="0" t="s">
        <v>699</v>
      </c>
      <c r="B1570" s="0" t="s">
        <v>73</v>
      </c>
      <c r="C1570" s="38" t="n">
        <f aca="false">Sens!$C$1553+Sens!$C$1565</f>
        <v>100.66</v>
      </c>
      <c r="D1570" s="38" t="n">
        <f aca="false">Sens!$D$1553+Sens!$D$1565</f>
        <v>121.835</v>
      </c>
      <c r="E1570" s="38" t="n">
        <f aca="false">Sens!$E$1553+Sens!$E$1565</f>
        <v>78.016</v>
      </c>
      <c r="F1570" s="38" t="n">
        <f aca="false">Sens!$F$1553+Sens!$F$1565</f>
        <v>91.4019605662249</v>
      </c>
      <c r="G1570" s="38" t="n">
        <f aca="false">Sens!$G$1553+Sens!$G$1565</f>
        <v>169.417960566225</v>
      </c>
      <c r="H1570" s="38" t="n">
        <f aca="false">Sens!$H$1553+Sens!$H$1565</f>
        <v>230.775359510362</v>
      </c>
      <c r="I1570" s="38" t="n">
        <f aca="false">Sens!$I$1553+Sens!$I$1565</f>
        <v>298.155926592176</v>
      </c>
      <c r="J1570" s="38" t="n">
        <f aca="false">Sens!$J$1553+Sens!$J$1565</f>
        <v>363.044550986584</v>
      </c>
      <c r="K1570" s="38" t="n">
        <f aca="false">Sens!$K$1553+Sens!$K$1565</f>
        <v>423.031627644998</v>
      </c>
      <c r="L1570" s="38" t="n">
        <f aca="false">Sens!$L$1553+Sens!$L$1565</f>
        <v>483.130271498644</v>
      </c>
      <c r="M1570" s="38" t="n">
        <f aca="false">Sens!$M$1553+Sens!$M$1565</f>
        <v>545.046213310844</v>
      </c>
      <c r="N1570" s="38" t="n">
        <f aca="false">Sens!$N$1553+Sens!$N$1565</f>
        <v>56.398</v>
      </c>
      <c r="O1570" s="38" t="n">
        <f aca="false">Sens!$O$1553+Sens!$O$1565</f>
        <v>65.437</v>
      </c>
    </row>
    <row r="1571" customFormat="false" ht="17.15" hidden="false" customHeight="false" outlineLevel="0" collapsed="false">
      <c r="A1571" s="1" t="s">
        <v>700</v>
      </c>
    </row>
    <row r="1572" customFormat="false" ht="15" hidden="false" customHeight="false" outlineLevel="0" collapsed="false">
      <c r="A1572" s="5" t="s">
        <v>504</v>
      </c>
      <c r="B1572" s="0" t="s">
        <v>73</v>
      </c>
      <c r="C1572" s="38" t="n">
        <f aca="false">Q!$D$34</f>
        <v>2.406</v>
      </c>
      <c r="D1572" s="38" t="n">
        <f aca="false">Q!$E$34</f>
        <v>2.274</v>
      </c>
      <c r="E1572" s="38" t="n">
        <f aca="false">Q!$P$34</f>
        <v>2.114</v>
      </c>
      <c r="F1572" s="38" t="n">
        <f aca="false">Sens!$F$1608</f>
        <v>3.24888964316061</v>
      </c>
      <c r="G1572" s="38" t="n">
        <f aca="false">Sens!$E$1572+Sens!$F$1572</f>
        <v>5.36288964316061</v>
      </c>
      <c r="H1572" s="38" t="n">
        <f aca="false">Sens!$H$1608</f>
        <v>7.42354178632123</v>
      </c>
      <c r="I1572" s="38" t="n">
        <f aca="false">Sens!$I$1608</f>
        <v>11.7347393462162</v>
      </c>
      <c r="J1572" s="38" t="n">
        <f aca="false">Sens!$J$1608</f>
        <v>14.4904067268854</v>
      </c>
      <c r="K1572" s="38" t="n">
        <f aca="false">Sens!$K$1608</f>
        <v>14.4904067268854</v>
      </c>
      <c r="L1572" s="38" t="n">
        <f aca="false">Sens!$L$1608</f>
        <v>14.4904067268854</v>
      </c>
      <c r="M1572" s="38" t="n">
        <f aca="false">Sens!$M$1608</f>
        <v>14.4904067268854</v>
      </c>
      <c r="N1572" s="38" t="n">
        <f aca="false">Q!$N$34</f>
        <v>1.057</v>
      </c>
      <c r="O1572" s="38" t="n">
        <f aca="false">Q!$O$34</f>
        <v>1.217</v>
      </c>
    </row>
    <row r="1573" customFormat="false" ht="15" hidden="false" customHeight="false" outlineLevel="0" collapsed="false">
      <c r="A1573" s="5" t="s">
        <v>701</v>
      </c>
      <c r="B1573" s="0" t="s">
        <v>73</v>
      </c>
      <c r="F1573" s="38" t="n">
        <f aca="false">Sens!$F$1609</f>
        <v>2.59</v>
      </c>
      <c r="H1573" s="38" t="n">
        <f aca="false">Sens!$H$1609</f>
        <v>3.02981766534029</v>
      </c>
      <c r="I1573" s="38" t="n">
        <f aca="false">Sens!$I$1609</f>
        <v>2.10589651022864</v>
      </c>
      <c r="J1573" s="38" t="n">
        <f aca="false">Sens!$J$1609</f>
        <v>2.10589651022864</v>
      </c>
      <c r="K1573" s="38" t="n">
        <f aca="false">Sens!$K$1609</f>
        <v>2.36611266738698</v>
      </c>
      <c r="L1573" s="38" t="n">
        <f aca="false">Sens!$L$1609</f>
        <v>4.70412140576357</v>
      </c>
      <c r="M1573" s="38" t="n">
        <f aca="false">Sens!$M$1609</f>
        <v>7.84664299265608</v>
      </c>
    </row>
    <row r="1574" customFormat="false" ht="17.15" hidden="false" customHeight="false" outlineLevel="0" collapsed="false">
      <c r="A1574" s="5" t="s">
        <v>702</v>
      </c>
      <c r="B1574" s="0" t="s">
        <v>73</v>
      </c>
      <c r="C1574" s="38" t="n">
        <f aca="false">Q!$D$39</f>
        <v>2.427</v>
      </c>
      <c r="D1574" s="38" t="n">
        <f aca="false">Q!$E$39</f>
        <v>19.61</v>
      </c>
      <c r="E1574" s="38" t="n">
        <f aca="false">Q!$P$39</f>
        <v>71.492</v>
      </c>
      <c r="F1574" s="41" t="n">
        <v>0</v>
      </c>
      <c r="G1574" s="38" t="n">
        <f aca="false">Sens!$E$1574+Sens!$F$1574</f>
        <v>71.492</v>
      </c>
      <c r="H1574" s="41" t="n">
        <v>0</v>
      </c>
      <c r="I1574" s="41" t="n">
        <v>0</v>
      </c>
      <c r="J1574" s="41" t="n">
        <v>0</v>
      </c>
      <c r="K1574" s="41" t="n">
        <v>0</v>
      </c>
      <c r="L1574" s="41" t="n">
        <v>0</v>
      </c>
      <c r="M1574" s="41" t="n">
        <v>0</v>
      </c>
      <c r="N1574" s="38" t="n">
        <f aca="false">Q!$N$39</f>
        <v>6.017</v>
      </c>
      <c r="O1574" s="38" t="n">
        <f aca="false">Q!$O$39</f>
        <v>13.593</v>
      </c>
      <c r="P1574" s="5" t="s">
        <v>703</v>
      </c>
    </row>
    <row r="1575" customFormat="false" ht="15" hidden="false" customHeight="false" outlineLevel="0" collapsed="false">
      <c r="A1575" s="5" t="s">
        <v>507</v>
      </c>
      <c r="B1575" s="0" t="s">
        <v>73</v>
      </c>
      <c r="C1575" s="38" t="n">
        <f aca="false">Q!$D$36</f>
        <v>68.614</v>
      </c>
      <c r="D1575" s="38" t="n">
        <f aca="false">Q!$E$36</f>
        <v>97.311</v>
      </c>
      <c r="E1575" s="38" t="n">
        <f aca="false">Q!$P$36</f>
        <v>120.691</v>
      </c>
      <c r="F1575" s="38" t="n">
        <f aca="false">Sens!$F$1553-Sens!$F$1572+Sens!$F$1573+Sens!$F$1574</f>
        <v>60.1326851979433</v>
      </c>
      <c r="G1575" s="38" t="n">
        <f aca="false">Sens!$E$1575+Sens!$F$1575</f>
        <v>180.823685197943</v>
      </c>
      <c r="H1575" s="38" t="n">
        <f aca="false">Sens!$H$1553-Sens!$H$1572+Sens!$H$1573+Sens!$H$1574</f>
        <v>135.358287460018</v>
      </c>
      <c r="I1575" s="38" t="n">
        <f aca="false">Sens!$I$1553-Sens!$I$1572+Sens!$I$1573+Sens!$I$1574</f>
        <v>155.96270634404</v>
      </c>
      <c r="J1575" s="38" t="n">
        <f aca="false">Sens!$J$1553-Sens!$J$1572+Sens!$J$1573+Sens!$J$1574</f>
        <v>176.072559526092</v>
      </c>
      <c r="K1575" s="38" t="n">
        <f aca="false">Sens!$K$1553-Sens!$K$1572+Sens!$K$1573+Sens!$K$1574</f>
        <v>194.919270594182</v>
      </c>
      <c r="L1575" s="38" t="n">
        <f aca="false">Sens!$L$1553-Sens!$L$1572+Sens!$L$1573+Sens!$L$1574</f>
        <v>217.613407237344</v>
      </c>
      <c r="M1575" s="38" t="n">
        <f aca="false">Sens!$M$1553-Sens!$M$1572+Sens!$M$1573+Sens!$M$1574</f>
        <v>241.820878137411</v>
      </c>
      <c r="N1575" s="38" t="n">
        <f aca="false">Q!$N$36</f>
        <v>42.536</v>
      </c>
      <c r="O1575" s="38" t="n">
        <f aca="false">Q!$O$36</f>
        <v>54.775</v>
      </c>
    </row>
    <row r="1576" customFormat="false" ht="15" hidden="false" customHeight="false" outlineLevel="0" collapsed="false">
      <c r="A1576" s="5" t="s">
        <v>508</v>
      </c>
      <c r="B1576" s="0" t="s">
        <v>73</v>
      </c>
      <c r="C1576" s="38" t="n">
        <f aca="false">Q!$D$37</f>
        <v>9.265</v>
      </c>
      <c r="D1576" s="38" t="n">
        <f aca="false">Q!$E$37</f>
        <v>19.087</v>
      </c>
      <c r="E1576" s="38" t="n">
        <f aca="false">Q!$P$37</f>
        <v>27.759</v>
      </c>
      <c r="F1576" s="38" t="n">
        <f aca="false">Sens!$F$1575*tax</f>
        <v>10.4381036945362</v>
      </c>
      <c r="G1576" s="38" t="n">
        <f aca="false">Sens!$E$1576+Sens!$F$1576</f>
        <v>38.1971036945362</v>
      </c>
      <c r="H1576" s="38" t="n">
        <f aca="false">Sens!$H$1575*tax</f>
        <v>23.4961042529799</v>
      </c>
      <c r="I1576" s="38" t="n">
        <f aca="false">Sens!$I$1575*tax</f>
        <v>27.0727125512642</v>
      </c>
      <c r="J1576" s="38" t="n">
        <f aca="false">Sens!$J$1575*tax</f>
        <v>30.563471896289</v>
      </c>
      <c r="K1576" s="38" t="n">
        <f aca="false">Sens!$K$1575*tax</f>
        <v>33.8349693154066</v>
      </c>
      <c r="L1576" s="38" t="n">
        <f aca="false">Sens!$L$1575*tax</f>
        <v>37.774320281683</v>
      </c>
      <c r="M1576" s="38" t="n">
        <f aca="false">Sens!$M$1575*tax</f>
        <v>41.9763626585633</v>
      </c>
      <c r="N1576" s="38" t="n">
        <f aca="false">Q!$N$37</f>
        <v>7.231</v>
      </c>
      <c r="O1576" s="38" t="n">
        <f aca="false">Q!$O$37</f>
        <v>11.856</v>
      </c>
    </row>
    <row r="1577" customFormat="false" ht="15" hidden="false" customHeight="false" outlineLevel="0" collapsed="false">
      <c r="A1577" s="3" t="s">
        <v>509</v>
      </c>
      <c r="B1577" s="8" t="s">
        <v>73</v>
      </c>
      <c r="C1577" s="38" t="n">
        <f aca="false">Q!$D$38</f>
        <v>59.248</v>
      </c>
      <c r="D1577" s="38" t="n">
        <f aca="false">Q!$E$38</f>
        <v>77.67</v>
      </c>
      <c r="E1577" s="38" t="n">
        <f aca="false">Q!$P$38</f>
        <v>92.902</v>
      </c>
      <c r="F1577" s="38" t="n">
        <f aca="false">Sens!$F$1575-Sens!$F$1576</f>
        <v>49.6945815034072</v>
      </c>
      <c r="G1577" s="38" t="n">
        <f aca="false">Sens!$E$1577+Sens!$F$1577</f>
        <v>142.596581503407</v>
      </c>
      <c r="H1577" s="38" t="n">
        <f aca="false">Sens!$H$1575-Sens!$H$1576</f>
        <v>111.862183207038</v>
      </c>
      <c r="I1577" s="38" t="n">
        <f aca="false">Sens!$I$1575-Sens!$I$1576</f>
        <v>128.889993792776</v>
      </c>
      <c r="J1577" s="38" t="n">
        <f aca="false">Sens!$J$1575-Sens!$J$1576</f>
        <v>145.509087629803</v>
      </c>
      <c r="K1577" s="38" t="n">
        <f aca="false">Sens!$K$1575-Sens!$K$1576</f>
        <v>161.084301278775</v>
      </c>
      <c r="L1577" s="38" t="n">
        <f aca="false">Sens!$L$1575-Sens!$L$1576</f>
        <v>179.839086955662</v>
      </c>
      <c r="M1577" s="38" t="n">
        <f aca="false">Sens!$M$1575-Sens!$M$1576</f>
        <v>199.844515478848</v>
      </c>
      <c r="N1577" s="38" t="n">
        <f aca="false">Q!$N$38</f>
        <v>35.291</v>
      </c>
      <c r="O1577" s="38" t="n">
        <f aca="false">Q!$O$38</f>
        <v>42.379</v>
      </c>
    </row>
    <row r="1578" customFormat="false" ht="17.15" hidden="false" customHeight="false" outlineLevel="0" collapsed="false">
      <c r="A1578" s="5" t="s">
        <v>512</v>
      </c>
      <c r="B1578" s="5" t="s">
        <v>33</v>
      </c>
      <c r="C1578" s="22" t="n">
        <f aca="false">Q!$D$41</f>
        <v>10.721</v>
      </c>
      <c r="D1578" s="22" t="n">
        <f aca="false">Q!$E$41</f>
        <v>10.827</v>
      </c>
      <c r="E1578" s="22" t="n">
        <f aca="false">(Q!$L$41+Q!$M$41)/2</f>
        <v>10.8885</v>
      </c>
      <c r="F1578" s="22" t="n">
        <f aca="false">Sens!$G$1578</f>
        <v>10.924806</v>
      </c>
      <c r="G1578" s="22" t="n">
        <f aca="false">Q!$M$41*(1+sh_g*0.25)</f>
        <v>10.924806</v>
      </c>
      <c r="H1578" s="22" t="n">
        <f aca="false">Sens!$G$1578*(1+sh_g)</f>
        <v>11.012204448</v>
      </c>
      <c r="I1578" s="22" t="n">
        <f aca="false">Sens!$H$1578*(1+sh_g)</f>
        <v>11.100302083584</v>
      </c>
      <c r="J1578" s="22" t="n">
        <f aca="false">Sens!$I$1578*(1+sh_g)</f>
        <v>11.1891045002527</v>
      </c>
      <c r="K1578" s="22" t="n">
        <f aca="false">Sens!$J$1578*(1+sh_g)</f>
        <v>11.2786173362547</v>
      </c>
      <c r="L1578" s="22" t="n">
        <f aca="false">Sens!$K$1578*(1+sh_g)</f>
        <v>11.3688462749447</v>
      </c>
      <c r="M1578" s="22" t="n">
        <f aca="false">Sens!$L$1578*(1+sh_g)</f>
        <v>11.4597970451443</v>
      </c>
      <c r="P1578" s="5" t="s">
        <v>704</v>
      </c>
    </row>
    <row r="1579" customFormat="false" ht="17.15" hidden="false" customHeight="false" outlineLevel="0" collapsed="false">
      <c r="A1579" s="42" t="s">
        <v>705</v>
      </c>
      <c r="B1579" s="13" t="s">
        <v>27</v>
      </c>
      <c r="C1579" s="43" t="n">
        <f aca="false">Sens!$C$1577/Sens!$C$1578</f>
        <v>5.52635015390355</v>
      </c>
      <c r="D1579" s="43" t="n">
        <f aca="false">Sens!$D$1577/Sens!$D$1578</f>
        <v>7.1737323358271</v>
      </c>
      <c r="E1579" s="43" t="n">
        <f aca="false">Sens!$E$1577/Sens!$E$1578</f>
        <v>8.53212104513937</v>
      </c>
      <c r="F1579" s="13"/>
      <c r="G1579" s="43" t="n">
        <f aca="false">Sens!$G$1577/Sens!$G$1578</f>
        <v>13.052550452924</v>
      </c>
      <c r="H1579" s="43" t="n">
        <f aca="false">Sens!$H$1577/Sens!$H$1578</f>
        <v>10.1580191082771</v>
      </c>
      <c r="I1579" s="43" t="n">
        <f aca="false">Sens!$I$1577/Sens!$I$1578</f>
        <v>11.6113951514336</v>
      </c>
      <c r="J1579" s="43" t="n">
        <f aca="false">Sens!$J$1577/Sens!$J$1578</f>
        <v>13.0045337968304</v>
      </c>
      <c r="K1579" s="43" t="n">
        <f aca="false">Sens!$K$1577/Sens!$K$1578</f>
        <v>14.2822738351957</v>
      </c>
      <c r="L1579" s="43" t="n">
        <f aca="false">Sens!$L$1577/Sens!$L$1578</f>
        <v>15.8185872696687</v>
      </c>
      <c r="M1579" s="43" t="n">
        <f aca="false">Sens!$M$1577/Sens!$M$1578</f>
        <v>17.438748233637</v>
      </c>
      <c r="N1579" s="13"/>
      <c r="O1579" s="13"/>
    </row>
    <row r="1580" customFormat="false" ht="17.15" hidden="false" customHeight="false" outlineLevel="0" collapsed="false">
      <c r="A1580" s="0" t="s">
        <v>706</v>
      </c>
      <c r="B1580" s="0" t="s">
        <v>27</v>
      </c>
      <c r="C1580" s="30" t="n">
        <f aca="false">(Sens!$C$1577-Sens!$C$1574*(1-tax))/Sens!$C$1578</f>
        <v>5.33926775917445</v>
      </c>
      <c r="D1580" s="30" t="n">
        <f aca="false">(Sens!$D$1577-Sens!$D$1574*(1-tax))/Sens!$D$1578</f>
        <v>5.67691812755503</v>
      </c>
      <c r="E1580" s="30" t="n">
        <f aca="false">(Sens!$E$1577-Sens!$E$1574*(1-tax))/Sens!$E$1578</f>
        <v>3.10602057006846</v>
      </c>
      <c r="G1580" s="30" t="n">
        <f aca="false">(Sens!$G$1577-Sens!$G$1574*(1-tax))/Sens!$G$1578</f>
        <v>7.64448233502705</v>
      </c>
      <c r="H1580" s="30" t="n">
        <f aca="false">(Sens!$H$1577-Sens!$H$1574*(1-tax))/Sens!$H$1578</f>
        <v>10.1580191082771</v>
      </c>
      <c r="I1580" s="30" t="n">
        <f aca="false">(Sens!$I$1577-Sens!$I$1574*(1-tax))/Sens!$I$1578</f>
        <v>11.6113951514336</v>
      </c>
      <c r="J1580" s="30" t="n">
        <f aca="false">(Sens!$J$1577-Sens!$J$1574*(1-tax))/Sens!$J$1578</f>
        <v>13.0045337968304</v>
      </c>
      <c r="K1580" s="30" t="n">
        <f aca="false">(Sens!$K$1577-Sens!$K$1574*(1-tax))/Sens!$K$1578</f>
        <v>14.2822738351957</v>
      </c>
      <c r="L1580" s="30" t="n">
        <f aca="false">(Sens!$L$1577-Sens!$L$1574*(1-tax))/Sens!$L$1578</f>
        <v>15.8185872696687</v>
      </c>
      <c r="M1580" s="30" t="n">
        <f aca="false">(Sens!$M$1577-Sens!$M$1574*(1-tax))/Sens!$M$1578</f>
        <v>17.438748233637</v>
      </c>
      <c r="P1580" s="5" t="s">
        <v>707</v>
      </c>
    </row>
    <row r="1581" customFormat="false" ht="17.15" hidden="false" customHeight="false" outlineLevel="0" collapsed="false">
      <c r="A1581" s="0" t="s">
        <v>708</v>
      </c>
      <c r="B1581" s="0" t="s">
        <v>52</v>
      </c>
      <c r="H1581" s="12" t="n">
        <f aca="false">Sens!$H$1579/Sens!$G$1579-1</f>
        <v>-0.221759828095398</v>
      </c>
      <c r="I1581" s="12" t="n">
        <f aca="false">Sens!$I$1579/Sens!$H$1579-1</f>
        <v>0.143076718764218</v>
      </c>
      <c r="J1581" s="12" t="n">
        <f aca="false">Sens!$J$1579/Sens!$I$1579-1</f>
        <v>0.119980297563534</v>
      </c>
      <c r="K1581" s="12" t="n">
        <f aca="false">Sens!$K$1579/Sens!$J$1579-1</f>
        <v>0.0982534290215564</v>
      </c>
      <c r="L1581" s="12" t="n">
        <f aca="false">Sens!$L$1579/Sens!$K$1579-1</f>
        <v>0.107567846142756</v>
      </c>
      <c r="M1581" s="12" t="n">
        <f aca="false">Sens!$M$1579/Sens!$L$1579-1</f>
        <v>0.102421343723583</v>
      </c>
    </row>
    <row r="1584" customFormat="false" ht="19.4" hidden="false" customHeight="false" outlineLevel="0" collapsed="false">
      <c r="A1584" s="31" t="s">
        <v>1076</v>
      </c>
    </row>
    <row r="1585" customFormat="false" ht="17.15" hidden="false" customHeight="false" outlineLevel="0" collapsed="false">
      <c r="A1585" s="6" t="s">
        <v>16</v>
      </c>
      <c r="B1585" s="6" t="s">
        <v>17</v>
      </c>
      <c r="C1585" s="20" t="s">
        <v>457</v>
      </c>
      <c r="D1585" s="20" t="s">
        <v>458</v>
      </c>
      <c r="E1585" s="20" t="s">
        <v>540</v>
      </c>
      <c r="F1585" s="20" t="s">
        <v>541</v>
      </c>
      <c r="G1585" s="20" t="s">
        <v>542</v>
      </c>
      <c r="H1585" s="20" t="s">
        <v>543</v>
      </c>
      <c r="I1585" s="20" t="s">
        <v>544</v>
      </c>
      <c r="J1585" s="20" t="s">
        <v>545</v>
      </c>
      <c r="K1585" s="20" t="s">
        <v>546</v>
      </c>
      <c r="L1585" s="20" t="s">
        <v>547</v>
      </c>
      <c r="M1585" s="20" t="s">
        <v>548</v>
      </c>
      <c r="N1585" s="20" t="s">
        <v>549</v>
      </c>
      <c r="O1585" s="20" t="s">
        <v>550</v>
      </c>
      <c r="P1585" s="6" t="s">
        <v>23</v>
      </c>
      <c r="R1585" s="20" t="n">
        <v>2023</v>
      </c>
      <c r="S1585" s="20" t="n">
        <v>2024</v>
      </c>
      <c r="T1585" s="20" t="n">
        <v>2025</v>
      </c>
      <c r="U1585" s="20" t="n">
        <v>2026</v>
      </c>
      <c r="V1585" s="20" t="n">
        <v>2027</v>
      </c>
      <c r="W1585" s="20" t="n">
        <v>2028</v>
      </c>
      <c r="X1585" s="20" t="n">
        <v>2029</v>
      </c>
      <c r="Y1585" s="20" t="n">
        <v>2030</v>
      </c>
      <c r="Z1585" s="20" t="n">
        <v>2031</v>
      </c>
      <c r="AA1585" s="20" t="n">
        <v>2032</v>
      </c>
    </row>
    <row r="1586" customFormat="false" ht="15" hidden="false" customHeight="false" outlineLevel="0" collapsed="false">
      <c r="A1586" s="5" t="s">
        <v>509</v>
      </c>
      <c r="B1586" s="0" t="s">
        <v>73</v>
      </c>
      <c r="C1586" s="38" t="n">
        <f aca="false">Sens!$C$1577</f>
        <v>59.248</v>
      </c>
      <c r="D1586" s="38" t="n">
        <f aca="false">Sens!$D$1577</f>
        <v>77.67</v>
      </c>
      <c r="E1586" s="38" t="n">
        <f aca="false">Sens!$E$1577</f>
        <v>92.902</v>
      </c>
      <c r="F1586" s="38" t="n">
        <f aca="false">Sens!$F$1577</f>
        <v>49.6945815034072</v>
      </c>
      <c r="G1586" s="38" t="n">
        <f aca="false">Sens!$G$1577</f>
        <v>142.596581503407</v>
      </c>
      <c r="H1586" s="38" t="n">
        <f aca="false">Sens!$H$1577</f>
        <v>111.862183207038</v>
      </c>
      <c r="I1586" s="38" t="n">
        <f aca="false">Sens!$I$1577</f>
        <v>128.889993792776</v>
      </c>
      <c r="J1586" s="38" t="n">
        <f aca="false">Sens!$J$1577</f>
        <v>145.509087629803</v>
      </c>
      <c r="K1586" s="38" t="n">
        <f aca="false">Sens!$K$1577</f>
        <v>161.084301278775</v>
      </c>
      <c r="L1586" s="38" t="n">
        <f aca="false">Sens!$L$1577</f>
        <v>179.839086955662</v>
      </c>
      <c r="M1586" s="38" t="n">
        <f aca="false">Sens!$M$1577</f>
        <v>199.844515478848</v>
      </c>
    </row>
    <row r="1587" customFormat="false" ht="17.15" hidden="false" customHeight="false" outlineLevel="0" collapsed="false">
      <c r="A1587" s="5" t="s">
        <v>730</v>
      </c>
      <c r="B1587" s="0" t="s">
        <v>73</v>
      </c>
      <c r="C1587" s="38" t="n">
        <f aca="false">Sens!$C$1565</f>
        <v>32.067</v>
      </c>
      <c r="D1587" s="38" t="n">
        <f aca="false">Sens!$D$1565</f>
        <v>41.86</v>
      </c>
      <c r="E1587" s="38" t="n">
        <f aca="false">Sens!$E$1565</f>
        <v>26.703</v>
      </c>
      <c r="F1587" s="38" t="n">
        <f aca="false">Sens!$F$1565</f>
        <v>30.6103857251209</v>
      </c>
      <c r="G1587" s="38" t="n">
        <f aca="false">Sens!$G$1565</f>
        <v>57.3133857251209</v>
      </c>
      <c r="H1587" s="38" t="n">
        <f aca="false">Sens!$H$1565</f>
        <v>91.0233479293629</v>
      </c>
      <c r="I1587" s="38" t="n">
        <f aca="false">Sens!$I$1565</f>
        <v>132.564377412148</v>
      </c>
      <c r="J1587" s="38" t="n">
        <f aca="false">Sens!$J$1565</f>
        <v>174.587481243835</v>
      </c>
      <c r="K1587" s="38" t="n">
        <f aca="false">Sens!$K$1565</f>
        <v>215.988062991318</v>
      </c>
      <c r="L1587" s="38" t="n">
        <f aca="false">Sens!$L$1565</f>
        <v>255.730578940177</v>
      </c>
      <c r="M1587" s="38" t="n">
        <f aca="false">Sens!$M$1565</f>
        <v>296.581571439203</v>
      </c>
    </row>
    <row r="1588" customFormat="false" ht="15" hidden="false" customHeight="false" outlineLevel="0" collapsed="false">
      <c r="A1588" s="5" t="s">
        <v>731</v>
      </c>
      <c r="B1588" s="0" t="s">
        <v>73</v>
      </c>
      <c r="C1588" s="38" t="n">
        <f aca="false">Q!$D$48</f>
        <v>22.011</v>
      </c>
      <c r="D1588" s="38" t="n">
        <f aca="false">Q!$E$48</f>
        <v>19.467</v>
      </c>
      <c r="E1588" s="38" t="n">
        <f aca="false">Q!$P$48</f>
        <v>10.07</v>
      </c>
      <c r="F1588" s="38" t="n">
        <f aca="false">sbc_r*Sens!$F$1509</f>
        <v>11.2476090219404</v>
      </c>
      <c r="G1588" s="38" t="n">
        <f aca="false">Sens!$E$1588+Sens!$F$1588</f>
        <v>21.3176090219404</v>
      </c>
      <c r="H1588" s="38" t="n">
        <f aca="false">sbc_r*Sens!$H$1509</f>
        <v>24.4265482871217</v>
      </c>
      <c r="I1588" s="38" t="n">
        <f aca="false">sbc_r*Sens!$I$1509</f>
        <v>28.156159398442</v>
      </c>
      <c r="J1588" s="38" t="n">
        <f aca="false">sbc_r*Sens!$J$1509</f>
        <v>31.6693189258796</v>
      </c>
      <c r="K1588" s="38" t="n">
        <f aca="false">sbc_r*Sens!$K$1509</f>
        <v>34.8243607820917</v>
      </c>
      <c r="L1588" s="38" t="n">
        <f aca="false">sbc_r*Sens!$L$1509</f>
        <v>38.1152218883869</v>
      </c>
      <c r="M1588" s="38" t="n">
        <f aca="false">sbc_r*Sens!$M$1509</f>
        <v>41.5518461957405</v>
      </c>
    </row>
    <row r="1589" customFormat="false" ht="17.15" hidden="false" customHeight="false" outlineLevel="0" collapsed="false">
      <c r="A1589" s="5" t="s">
        <v>732</v>
      </c>
      <c r="B1589" s="0" t="s">
        <v>73</v>
      </c>
      <c r="C1589" s="38" t="n">
        <f aca="false">Q!$D$44-Sens!$C$1586-Sens!$C$1587-Sens!$C$1588</f>
        <v>2.551</v>
      </c>
      <c r="D1589" s="38" t="n">
        <f aca="false">Q!$E$44-Sens!$D$1586-Sens!$D$1587-Sens!$D$1588</f>
        <v>0.51700000000001</v>
      </c>
      <c r="E1589" s="38" t="n">
        <f aca="false">Q!$P$44-Sens!$E$1586-Sens!$E$1587-Sens!$E$1588</f>
        <v>-58.256</v>
      </c>
      <c r="F1589" s="38" t="n">
        <f aca="false">wc_2h26+oth_r*Sens!$F$1509</f>
        <v>7.36069074013854</v>
      </c>
      <c r="G1589" s="38" t="n">
        <f aca="false">Sens!$E$1589+Sens!$F$1589</f>
        <v>-50.8953092598615</v>
      </c>
      <c r="H1589" s="38" t="n">
        <f aca="false">oth_r*Sens!$H$1509</f>
        <v>11.7569679046973</v>
      </c>
      <c r="I1589" s="38" t="n">
        <f aca="false">oth_r*Sens!$I$1509</f>
        <v>13.5521015280555</v>
      </c>
      <c r="J1589" s="38" t="n">
        <f aca="false">oth_r*Sens!$J$1509</f>
        <v>15.243052837371</v>
      </c>
      <c r="K1589" s="38" t="n">
        <f aca="false">oth_r*Sens!$K$1509</f>
        <v>16.7616352177157</v>
      </c>
      <c r="L1589" s="38" t="n">
        <f aca="false">oth_r*Sens!$L$1509</f>
        <v>18.345590017663</v>
      </c>
      <c r="M1589" s="38" t="n">
        <f aca="false">oth_r*Sens!$M$1509</f>
        <v>19.9997034522394</v>
      </c>
      <c r="P1589" s="8" t="s">
        <v>733</v>
      </c>
    </row>
    <row r="1590" customFormat="false" ht="15" hidden="false" customHeight="false" outlineLevel="0" collapsed="false">
      <c r="A1590" s="3" t="s">
        <v>515</v>
      </c>
      <c r="B1590" s="8" t="s">
        <v>73</v>
      </c>
      <c r="C1590" s="38" t="n">
        <f aca="false">Q!$D$44</f>
        <v>115.877</v>
      </c>
      <c r="D1590" s="38" t="n">
        <f aca="false">Q!$E$44</f>
        <v>139.514</v>
      </c>
      <c r="E1590" s="38" t="n">
        <f aca="false">Q!$P$44</f>
        <v>71.419</v>
      </c>
      <c r="F1590" s="38" t="n">
        <f aca="false">Sens!$F$1586+Sens!$F$1587+Sens!$F$1588+Sens!$F$1589</f>
        <v>98.913266990607</v>
      </c>
      <c r="G1590" s="38" t="n">
        <f aca="false">Sens!$E$1590+Sens!$F$1590</f>
        <v>170.332266990607</v>
      </c>
      <c r="H1590" s="38" t="n">
        <f aca="false">Sens!$H$1586+Sens!$H$1587+Sens!$H$1588+Sens!$H$1589</f>
        <v>239.06904732822</v>
      </c>
      <c r="I1590" s="38" t="n">
        <f aca="false">Sens!$I$1586+Sens!$I$1587+Sens!$I$1588+Sens!$I$1589</f>
        <v>303.162632131421</v>
      </c>
      <c r="J1590" s="38" t="n">
        <f aca="false">Sens!$J$1586+Sens!$J$1587+Sens!$J$1588+Sens!$J$1589</f>
        <v>367.008940636889</v>
      </c>
      <c r="K1590" s="38" t="n">
        <f aca="false">Sens!$K$1586+Sens!$K$1587+Sens!$K$1588+Sens!$K$1589</f>
        <v>428.6583602699</v>
      </c>
      <c r="L1590" s="38" t="n">
        <f aca="false">Sens!$L$1586+Sens!$L$1587+Sens!$L$1588+Sens!$L$1589</f>
        <v>492.030477801889</v>
      </c>
      <c r="M1590" s="38" t="n">
        <f aca="false">Sens!$M$1586+Sens!$M$1587+Sens!$M$1588+Sens!$M$1589</f>
        <v>557.977636566031</v>
      </c>
    </row>
    <row r="1591" customFormat="false" ht="17.15" hidden="false" customHeight="false" outlineLevel="0" collapsed="false">
      <c r="A1591" s="5" t="s">
        <v>734</v>
      </c>
      <c r="B1591" s="0" t="s">
        <v>73</v>
      </c>
      <c r="C1591" s="38" t="n">
        <f aca="false">Sens!$C$1479</f>
        <v>25.2781053077374</v>
      </c>
      <c r="D1591" s="38" t="n">
        <f aca="false">Sens!$D$1479</f>
        <v>69.5686316310026</v>
      </c>
      <c r="E1591" s="38" t="n">
        <f aca="false">Sens!$E$1479</f>
        <v>64.1899206485108</v>
      </c>
      <c r="F1591" s="38" t="n">
        <f aca="false">Sens!$F$1479</f>
        <v>120.310162486875</v>
      </c>
      <c r="G1591" s="38" t="n">
        <f aca="false">Sens!$G$1479</f>
        <v>184.500083135386</v>
      </c>
      <c r="H1591" s="38" t="n">
        <f aca="false">Sens!$H$1479</f>
        <v>248.214206180938</v>
      </c>
      <c r="I1591" s="38" t="n">
        <f aca="false">Sens!$I$1479</f>
        <v>255.808087388125</v>
      </c>
      <c r="J1591" s="38" t="n">
        <f aca="false">Sens!$J$1479</f>
        <v>261.044855588125</v>
      </c>
      <c r="K1591" s="38" t="n">
        <f aca="false">Sens!$K$1479</f>
        <v>266.281623788125</v>
      </c>
      <c r="L1591" s="38" t="n">
        <f aca="false">Sens!$L$1479</f>
        <v>302.939001188125</v>
      </c>
      <c r="M1591" s="38" t="n">
        <f aca="false">Sens!$M$1479</f>
        <v>382.862448357188</v>
      </c>
    </row>
    <row r="1592" customFormat="false" ht="17.15" hidden="false" customHeight="false" outlineLevel="0" collapsed="false">
      <c r="A1592" s="5" t="s">
        <v>735</v>
      </c>
      <c r="B1592" s="0" t="s">
        <v>73</v>
      </c>
      <c r="C1592" s="38" t="n">
        <f aca="false">cx_awso*Sens!$C$1507</f>
        <v>21.0469989286053</v>
      </c>
      <c r="D1592" s="38" t="n">
        <f aca="false">cx_awso*Sens!$D$1507</f>
        <v>24.0042459822698</v>
      </c>
      <c r="E1592" s="38" t="n">
        <f aca="false">cx_awso*Sens!$E$1507</f>
        <v>14.261729404886</v>
      </c>
      <c r="F1592" s="38" t="n">
        <f aca="false">cx_awso*Sens!$F$1507</f>
        <v>15.7190020837331</v>
      </c>
      <c r="G1592" s="38" t="n">
        <f aca="false">Sens!$E$1592+Sens!$F$1592</f>
        <v>29.9807314886191</v>
      </c>
      <c r="H1592" s="38" t="n">
        <f aca="false">cx_awso*Sens!$H$1507</f>
        <v>36.1787121536283</v>
      </c>
      <c r="I1592" s="38" t="n">
        <f aca="false">cx_awso*Sens!$I$1507</f>
        <v>42.1296794430021</v>
      </c>
      <c r="J1592" s="38" t="n">
        <f aca="false">cx_awso*Sens!$J$1507</f>
        <v>47.279781889299</v>
      </c>
      <c r="K1592" s="38" t="n">
        <f aca="false">cx_awso*Sens!$K$1507</f>
        <v>51.0621644404429</v>
      </c>
      <c r="L1592" s="38" t="n">
        <f aca="false">cx_awso*Sens!$L$1507</f>
        <v>55.1471375956783</v>
      </c>
      <c r="M1592" s="38" t="n">
        <f aca="false">cx_awso*Sens!$M$1507</f>
        <v>59.5589086033326</v>
      </c>
    </row>
    <row r="1593" customFormat="false" ht="17.15" hidden="false" customHeight="false" outlineLevel="0" collapsed="false">
      <c r="A1593" s="5" t="s">
        <v>736</v>
      </c>
      <c r="B1593" s="0" t="s">
        <v>73</v>
      </c>
      <c r="C1593" s="38" t="n">
        <f aca="false">Q!$D$46-Sens!$C$1591-Sens!$C$1592</f>
        <v>31.3328957636573</v>
      </c>
      <c r="D1593" s="38" t="n">
        <f aca="false">Q!$E$46-Sens!$D$1591-Sens!$D$1592</f>
        <v>34.7471223867276</v>
      </c>
      <c r="E1593" s="38" t="n">
        <f aca="false">Q!$P$46-Sens!$E$1591-Sens!$E$1592</f>
        <v>17.8583499466032</v>
      </c>
      <c r="F1593" s="38" t="n">
        <f aca="false">cx_rt*Sens!$F$1443</f>
        <v>21.0855744229195</v>
      </c>
      <c r="G1593" s="38" t="n">
        <f aca="false">Sens!$E$1593+Sens!$F$1593</f>
        <v>38.9439243695228</v>
      </c>
      <c r="H1593" s="38" t="n">
        <f aca="false">cx_rt*Sens!$H$1443</f>
        <v>43.1200434029767</v>
      </c>
      <c r="I1593" s="38" t="n">
        <f aca="false">cx_rt*Sens!$I$1443</f>
        <v>47.1583152318763</v>
      </c>
      <c r="J1593" s="38" t="n">
        <f aca="false">cx_rt*Sens!$J$1443</f>
        <v>50.9060281137911</v>
      </c>
      <c r="K1593" s="38" t="n">
        <f aca="false">cx_rt*Sens!$K$1443</f>
        <v>54.2035645673053</v>
      </c>
      <c r="L1593" s="38" t="n">
        <f aca="false">cx_rt*Sens!$L$1443</f>
        <v>57.7318979121519</v>
      </c>
      <c r="M1593" s="38" t="n">
        <f aca="false">cx_rt*Sens!$M$1443</f>
        <v>61.5084196557756</v>
      </c>
    </row>
    <row r="1594" customFormat="false" ht="15" hidden="false" customHeight="false" outlineLevel="0" collapsed="false">
      <c r="A1594" s="3" t="s">
        <v>737</v>
      </c>
      <c r="B1594" s="8" t="s">
        <v>73</v>
      </c>
      <c r="C1594" s="38" t="n">
        <f aca="false">Q!$D$46</f>
        <v>77.658</v>
      </c>
      <c r="D1594" s="38" t="n">
        <f aca="false">Q!$E$46</f>
        <v>128.32</v>
      </c>
      <c r="E1594" s="38" t="n">
        <f aca="false">Q!$P$46</f>
        <v>96.31</v>
      </c>
      <c r="F1594" s="38" t="n">
        <f aca="false">Sens!$F$1591+Sens!$F$1592+Sens!$F$1593</f>
        <v>157.114738993528</v>
      </c>
      <c r="G1594" s="38" t="n">
        <f aca="false">Sens!$E$1594+Sens!$F$1594</f>
        <v>253.424738993528</v>
      </c>
      <c r="H1594" s="38" t="n">
        <f aca="false">Sens!$H$1591+Sens!$H$1592+Sens!$H$1593</f>
        <v>327.512961737543</v>
      </c>
      <c r="I1594" s="38" t="n">
        <f aca="false">Sens!$I$1591+Sens!$I$1592+Sens!$I$1593</f>
        <v>345.096082063003</v>
      </c>
      <c r="J1594" s="38" t="n">
        <f aca="false">Sens!$J$1591+Sens!$J$1592+Sens!$J$1593</f>
        <v>359.230665591215</v>
      </c>
      <c r="K1594" s="38" t="n">
        <f aca="false">Sens!$K$1591+Sens!$K$1592+Sens!$K$1593</f>
        <v>371.547352795873</v>
      </c>
      <c r="L1594" s="38" t="n">
        <f aca="false">Sens!$L$1591+Sens!$L$1592+Sens!$L$1593</f>
        <v>415.818036695955</v>
      </c>
      <c r="M1594" s="38" t="n">
        <f aca="false">Sens!$M$1591+Sens!$M$1592+Sens!$M$1593</f>
        <v>503.929776616296</v>
      </c>
    </row>
    <row r="1595" customFormat="false" ht="17.15" hidden="false" customHeight="false" outlineLevel="0" collapsed="false">
      <c r="A1595" s="5" t="s">
        <v>523</v>
      </c>
      <c r="B1595" s="0" t="s">
        <v>73</v>
      </c>
      <c r="C1595" s="38" t="n">
        <f aca="false">Q!$D$50</f>
        <v>2.043</v>
      </c>
      <c r="D1595" s="38" t="n">
        <f aca="false">Q!$E$50</f>
        <v>1.557</v>
      </c>
      <c r="E1595" s="38" t="n">
        <f aca="false">lease_pr/2</f>
        <v>0.8</v>
      </c>
      <c r="F1595" s="38" t="n">
        <f aca="false">lease_pr/2</f>
        <v>0.8</v>
      </c>
      <c r="G1595" s="38" t="n">
        <f aca="false">Sens!$E$1595+Sens!$F$1595</f>
        <v>1.6</v>
      </c>
      <c r="H1595" s="38" t="n">
        <f aca="false">lease_pr</f>
        <v>1.6</v>
      </c>
      <c r="I1595" s="38" t="n">
        <f aca="false">lease_pr</f>
        <v>1.6</v>
      </c>
      <c r="J1595" s="38" t="n">
        <f aca="false">lease_pr</f>
        <v>1.6</v>
      </c>
      <c r="K1595" s="38" t="n">
        <f aca="false">lease_pr</f>
        <v>1.6</v>
      </c>
      <c r="L1595" s="38" t="n">
        <f aca="false">lease_pr</f>
        <v>1.6</v>
      </c>
      <c r="M1595" s="38" t="n">
        <f aca="false">lease_pr</f>
        <v>1.6</v>
      </c>
      <c r="P1595" s="8" t="s">
        <v>738</v>
      </c>
    </row>
    <row r="1596" customFormat="false" ht="15" hidden="false" customHeight="false" outlineLevel="0" collapsed="false">
      <c r="A1596" s="46" t="s">
        <v>739</v>
      </c>
      <c r="B1596" s="13" t="s">
        <v>73</v>
      </c>
      <c r="C1596" s="47" t="n">
        <f aca="false">Sens!$C$1590-Sens!$C$1594-Sens!$C$1595</f>
        <v>36.176</v>
      </c>
      <c r="D1596" s="47" t="n">
        <f aca="false">Sens!$D$1590-Sens!$D$1594-Sens!$D$1595</f>
        <v>9.63700000000002</v>
      </c>
      <c r="E1596" s="47" t="n">
        <f aca="false">Sens!$E$1590-Sens!$E$1594-Sens!$E$1595</f>
        <v>-25.691</v>
      </c>
      <c r="F1596" s="47" t="n">
        <f aca="false">Sens!$F$1590-Sens!$F$1594-Sens!$F$1595</f>
        <v>-59.0014720029206</v>
      </c>
      <c r="G1596" s="47" t="n">
        <f aca="false">Sens!$G$1590-Sens!$G$1594-Sens!$G$1595</f>
        <v>-84.6924720029206</v>
      </c>
      <c r="H1596" s="47" t="n">
        <f aca="false">Sens!$H$1590-Sens!$H$1594-Sens!$H$1595</f>
        <v>-90.0439144093226</v>
      </c>
      <c r="I1596" s="47" t="n">
        <f aca="false">Sens!$I$1590-Sens!$I$1594-Sens!$I$1595</f>
        <v>-43.5334499315822</v>
      </c>
      <c r="J1596" s="47" t="n">
        <f aca="false">Sens!$J$1590-Sens!$J$1594-Sens!$J$1595</f>
        <v>6.17827504567375</v>
      </c>
      <c r="K1596" s="47" t="n">
        <f aca="false">Sens!$K$1590-Sens!$K$1594-Sens!$K$1595</f>
        <v>55.5110074740271</v>
      </c>
      <c r="L1596" s="47" t="n">
        <f aca="false">Sens!$L$1590-Sens!$L$1594-Sens!$L$1595</f>
        <v>74.6124411059335</v>
      </c>
      <c r="M1596" s="47" t="n">
        <f aca="false">Sens!$M$1590-Sens!$M$1594-Sens!$M$1595</f>
        <v>52.4478599497354</v>
      </c>
      <c r="N1596" s="13"/>
      <c r="O1596" s="13"/>
    </row>
    <row r="1597" customFormat="false" ht="17.15" hidden="false" customHeight="false" outlineLevel="0" collapsed="false">
      <c r="A1597" s="5" t="s">
        <v>740</v>
      </c>
      <c r="B1597" s="0" t="s">
        <v>73</v>
      </c>
      <c r="C1597" s="38" t="n">
        <f aca="false">dps*Sens!$C$1578</f>
        <v>0</v>
      </c>
      <c r="D1597" s="38" t="n">
        <f aca="false">dps*Sens!$D$1578</f>
        <v>0</v>
      </c>
      <c r="E1597" s="38" t="n">
        <f aca="false">dps*Sens!$E$1578</f>
        <v>0</v>
      </c>
      <c r="F1597" s="38" t="n">
        <f aca="false">0</f>
        <v>0</v>
      </c>
      <c r="G1597" s="38" t="n">
        <f aca="false">dps*Sens!$G$1578</f>
        <v>0</v>
      </c>
      <c r="H1597" s="38" t="n">
        <f aca="false">dps*Sens!$H$1578</f>
        <v>0</v>
      </c>
      <c r="I1597" s="38" t="n">
        <f aca="false">dps*Sens!$I$1578</f>
        <v>0</v>
      </c>
      <c r="J1597" s="38" t="n">
        <f aca="false">dps*Sens!$J$1578</f>
        <v>0</v>
      </c>
      <c r="K1597" s="38" t="n">
        <f aca="false">dps*Sens!$K$1578</f>
        <v>0</v>
      </c>
      <c r="L1597" s="38" t="n">
        <f aca="false">dps*Sens!$L$1578</f>
        <v>0</v>
      </c>
      <c r="M1597" s="38" t="n">
        <f aca="false">dps*Sens!$M$1578</f>
        <v>0</v>
      </c>
      <c r="P1597" s="8" t="s">
        <v>741</v>
      </c>
    </row>
    <row r="1598" customFormat="false" ht="17.15" hidden="false" customHeight="false" outlineLevel="0" collapsed="false">
      <c r="A1598" s="5" t="s">
        <v>742</v>
      </c>
      <c r="B1598" s="0" t="s">
        <v>73</v>
      </c>
      <c r="C1598" s="38" t="n">
        <f aca="false">0</f>
        <v>0</v>
      </c>
      <c r="D1598" s="38" t="n">
        <f aca="false">0</f>
        <v>0</v>
      </c>
      <c r="E1598" s="38" t="n">
        <f aca="false">0</f>
        <v>0</v>
      </c>
      <c r="F1598" s="38" t="n">
        <f aca="false">0</f>
        <v>0</v>
      </c>
      <c r="G1598" s="38" t="n">
        <f aca="false">0</f>
        <v>0</v>
      </c>
      <c r="H1598" s="38" t="n">
        <f aca="false">0</f>
        <v>0</v>
      </c>
      <c r="I1598" s="38" t="n">
        <f aca="false">0</f>
        <v>0</v>
      </c>
      <c r="J1598" s="38" t="n">
        <f aca="false">0</f>
        <v>0</v>
      </c>
      <c r="K1598" s="38" t="n">
        <f aca="false">0</f>
        <v>0</v>
      </c>
      <c r="L1598" s="38" t="n">
        <f aca="false">0</f>
        <v>0</v>
      </c>
      <c r="M1598" s="38" t="n">
        <f aca="false">0</f>
        <v>0</v>
      </c>
      <c r="P1598" s="8" t="s">
        <v>743</v>
      </c>
    </row>
    <row r="1599" customFormat="false" ht="15" hidden="false" customHeight="false" outlineLevel="0" collapsed="false">
      <c r="A1599" s="3" t="s">
        <v>744</v>
      </c>
      <c r="B1599" s="8" t="s">
        <v>73</v>
      </c>
      <c r="C1599" s="38" t="n">
        <f aca="false">Sens!$C$1596-Sens!$C$1597</f>
        <v>36.176</v>
      </c>
      <c r="D1599" s="38" t="n">
        <f aca="false">Sens!$D$1596-Sens!$D$1597</f>
        <v>9.63700000000002</v>
      </c>
      <c r="E1599" s="38" t="n">
        <f aca="false">Sens!$E$1596-Sens!$E$1597</f>
        <v>-25.691</v>
      </c>
      <c r="F1599" s="38" t="n">
        <f aca="false">Sens!$F$1596-Sens!$F$1597</f>
        <v>-59.0014720029206</v>
      </c>
      <c r="G1599" s="38" t="n">
        <f aca="false">Sens!$G$1596-Sens!$G$1597</f>
        <v>-84.6924720029206</v>
      </c>
      <c r="H1599" s="38" t="n">
        <f aca="false">Sens!$H$1596-Sens!$H$1597</f>
        <v>-90.0439144093226</v>
      </c>
      <c r="I1599" s="38" t="n">
        <f aca="false">Sens!$I$1596-Sens!$I$1597</f>
        <v>-43.5334499315822</v>
      </c>
      <c r="J1599" s="38" t="n">
        <f aca="false">Sens!$J$1596-Sens!$J$1597</f>
        <v>6.17827504567375</v>
      </c>
      <c r="K1599" s="38" t="n">
        <f aca="false">Sens!$K$1596-Sens!$K$1597</f>
        <v>55.5110074740271</v>
      </c>
      <c r="L1599" s="38" t="n">
        <f aca="false">Sens!$L$1596-Sens!$L$1597</f>
        <v>74.6124411059335</v>
      </c>
      <c r="M1599" s="38" t="n">
        <f aca="false">Sens!$M$1596-Sens!$M$1597</f>
        <v>52.4478599497354</v>
      </c>
    </row>
    <row r="1600" customFormat="false" ht="17.15" hidden="false" customHeight="false" outlineLevel="0" collapsed="false">
      <c r="A1600" s="5" t="s">
        <v>745</v>
      </c>
      <c r="B1600" s="0" t="s">
        <v>73</v>
      </c>
      <c r="E1600" s="38" t="n">
        <f aca="false">Q!$P$53</f>
        <v>39.767</v>
      </c>
      <c r="F1600" s="38" t="n">
        <f aca="false">inv_2h26</f>
        <v>21.3</v>
      </c>
      <c r="G1600" s="38" t="n">
        <f aca="false">Sens!$E$1600+Sens!$F$1600</f>
        <v>61.067</v>
      </c>
      <c r="H1600" s="41" t="n">
        <v>0</v>
      </c>
      <c r="I1600" s="41" t="n">
        <v>0</v>
      </c>
      <c r="J1600" s="41" t="n">
        <v>0</v>
      </c>
      <c r="K1600" s="41" t="n">
        <v>0</v>
      </c>
      <c r="L1600" s="41" t="n">
        <v>0</v>
      </c>
      <c r="M1600" s="41" t="n">
        <v>0</v>
      </c>
    </row>
    <row r="1601" customFormat="false" ht="17.15" hidden="false" customHeight="false" outlineLevel="0" collapsed="false">
      <c r="A1601" s="5" t="s">
        <v>746</v>
      </c>
      <c r="B1601" s="0" t="s">
        <v>73</v>
      </c>
      <c r="F1601" s="38" t="n">
        <f aca="false">iss_2h26</f>
        <v>29.25</v>
      </c>
      <c r="G1601" s="38" t="n">
        <f aca="false">Sens!$F$1601</f>
        <v>29.25</v>
      </c>
      <c r="H1601" s="41" t="n">
        <v>0</v>
      </c>
      <c r="I1601" s="41" t="n">
        <v>0</v>
      </c>
      <c r="J1601" s="41" t="n">
        <v>0</v>
      </c>
      <c r="K1601" s="41" t="n">
        <v>0</v>
      </c>
      <c r="L1601" s="41" t="n">
        <v>0</v>
      </c>
      <c r="M1601" s="41" t="n">
        <v>0</v>
      </c>
    </row>
    <row r="1602" customFormat="false" ht="17.15" hidden="false" customHeight="false" outlineLevel="0" collapsed="false">
      <c r="A1602" s="5" t="s">
        <v>747</v>
      </c>
      <c r="B1602" s="0" t="s">
        <v>73</v>
      </c>
      <c r="F1602" s="38" t="n">
        <f aca="false">cash_q2</f>
        <v>122.988</v>
      </c>
      <c r="G1602" s="38" t="n">
        <f aca="false">cash_q2</f>
        <v>122.988</v>
      </c>
      <c r="H1602" s="38" t="n">
        <f aca="false">Sens!$G$1605</f>
        <v>71.9365279970795</v>
      </c>
      <c r="I1602" s="38" t="n">
        <f aca="false">Sens!$H$1605</f>
        <v>50</v>
      </c>
      <c r="J1602" s="38" t="n">
        <f aca="false">Sens!$I$1605</f>
        <v>50</v>
      </c>
      <c r="K1602" s="38" t="n">
        <f aca="false">Sens!$J$1605</f>
        <v>56.1782750456738</v>
      </c>
      <c r="L1602" s="38" t="n">
        <f aca="false">Sens!$K$1605</f>
        <v>111.689282519701</v>
      </c>
      <c r="M1602" s="38" t="n">
        <f aca="false">Sens!$L$1605</f>
        <v>186.301723625634</v>
      </c>
    </row>
    <row r="1603" customFormat="false" ht="15" hidden="false" customHeight="false" outlineLevel="0" collapsed="false">
      <c r="A1603" s="5" t="s">
        <v>748</v>
      </c>
      <c r="B1603" s="0" t="s">
        <v>73</v>
      </c>
      <c r="F1603" s="38" t="n">
        <f aca="false">Sens!$F$1602+Sens!$F$1599-Sens!$F$1598-Sens!$F$1600+Sens!$F$1601</f>
        <v>71.9365279970795</v>
      </c>
      <c r="H1603" s="38" t="n">
        <f aca="false">Sens!$H$1602+Sens!$H$1599-Sens!$H$1598-Sens!$H$1600+Sens!$H$1601</f>
        <v>-18.1073864122432</v>
      </c>
      <c r="I1603" s="38" t="n">
        <f aca="false">Sens!$I$1602+Sens!$I$1599-Sens!$I$1598-Sens!$I$1600+Sens!$I$1601</f>
        <v>6.46655006841782</v>
      </c>
      <c r="J1603" s="38" t="n">
        <f aca="false">Sens!$J$1602+Sens!$J$1599-Sens!$J$1598-Sens!$J$1600+Sens!$J$1601</f>
        <v>56.1782750456738</v>
      </c>
      <c r="K1603" s="38" t="n">
        <f aca="false">Sens!$K$1602+Sens!$K$1599-Sens!$K$1598-Sens!$K$1600+Sens!$K$1601</f>
        <v>111.689282519701</v>
      </c>
      <c r="L1603" s="38" t="n">
        <f aca="false">Sens!$L$1602+Sens!$L$1599-Sens!$L$1598-Sens!$L$1600+Sens!$L$1601</f>
        <v>186.301723625634</v>
      </c>
      <c r="M1603" s="38" t="n">
        <f aca="false">Sens!$M$1602+Sens!$M$1599-Sens!$M$1598-Sens!$M$1600+Sens!$M$1601</f>
        <v>238.74958357537</v>
      </c>
    </row>
    <row r="1604" customFormat="false" ht="17.15" hidden="false" customHeight="false" outlineLevel="0" collapsed="false">
      <c r="A1604" s="5" t="s">
        <v>749</v>
      </c>
      <c r="B1604" s="0" t="s">
        <v>73</v>
      </c>
      <c r="F1604" s="38" t="n">
        <f aca="false">MAX(0,min_cash-Sens!$F$1603)</f>
        <v>0</v>
      </c>
      <c r="G1604" s="38" t="n">
        <f aca="false">Sens!$F$1604</f>
        <v>0</v>
      </c>
      <c r="H1604" s="38" t="n">
        <f aca="false">MAX(0,min_cash-Sens!$H$1603)</f>
        <v>68.1073864122432</v>
      </c>
      <c r="I1604" s="38" t="n">
        <f aca="false">MAX(0,min_cash-Sens!$I$1603)</f>
        <v>43.5334499315822</v>
      </c>
      <c r="J1604" s="38" t="n">
        <f aca="false">MAX(0,min_cash-Sens!$J$1603)</f>
        <v>0</v>
      </c>
      <c r="K1604" s="38" t="n">
        <f aca="false">MAX(0,min_cash-Sens!$K$1603)</f>
        <v>0</v>
      </c>
      <c r="L1604" s="38" t="n">
        <f aca="false">MAX(0,min_cash-Sens!$L$1603)</f>
        <v>0</v>
      </c>
      <c r="M1604" s="38" t="n">
        <f aca="false">MAX(0,min_cash-Sens!$M$1603)</f>
        <v>0</v>
      </c>
      <c r="P1604" s="5" t="s">
        <v>750</v>
      </c>
    </row>
    <row r="1605" customFormat="false" ht="15" hidden="false" customHeight="false" outlineLevel="0" collapsed="false">
      <c r="A1605" s="5" t="s">
        <v>751</v>
      </c>
      <c r="B1605" s="0" t="s">
        <v>73</v>
      </c>
      <c r="D1605" s="38" t="n">
        <f aca="false">Q!$E$61</f>
        <v>123.029</v>
      </c>
      <c r="E1605" s="38" t="n">
        <f aca="false">Q!$M$61</f>
        <v>122.988</v>
      </c>
      <c r="F1605" s="38" t="n">
        <f aca="false">Sens!$F$1603+Sens!$F$1604</f>
        <v>71.9365279970795</v>
      </c>
      <c r="G1605" s="38" t="n">
        <f aca="false">Sens!$F$1605</f>
        <v>71.9365279970795</v>
      </c>
      <c r="H1605" s="38" t="n">
        <f aca="false">Sens!$H$1603+Sens!$H$1604</f>
        <v>50</v>
      </c>
      <c r="I1605" s="38" t="n">
        <f aca="false">Sens!$I$1603+Sens!$I$1604</f>
        <v>50</v>
      </c>
      <c r="J1605" s="38" t="n">
        <f aca="false">Sens!$J$1603+Sens!$J$1604</f>
        <v>56.1782750456738</v>
      </c>
      <c r="K1605" s="38" t="n">
        <f aca="false">Sens!$K$1603+Sens!$K$1604</f>
        <v>111.689282519701</v>
      </c>
      <c r="L1605" s="38" t="n">
        <f aca="false">Sens!$L$1603+Sens!$L$1604</f>
        <v>186.301723625634</v>
      </c>
      <c r="M1605" s="38" t="n">
        <f aca="false">Sens!$M$1603+Sens!$M$1604</f>
        <v>238.74958357537</v>
      </c>
    </row>
    <row r="1606" customFormat="false" ht="15" hidden="false" customHeight="false" outlineLevel="0" collapsed="false">
      <c r="A1606" s="5" t="s">
        <v>752</v>
      </c>
      <c r="B1606" s="0" t="s">
        <v>73</v>
      </c>
      <c r="D1606" s="38" t="n">
        <f aca="false">Q!$E$62</f>
        <v>68.836</v>
      </c>
      <c r="E1606" s="38" t="n">
        <f aca="false">Q!$M$62</f>
        <v>132.995</v>
      </c>
      <c r="F1606" s="38" t="n">
        <f aca="false">debt_q2+Sens!$F$1601+Sens!$F$1604</f>
        <v>162.245</v>
      </c>
      <c r="G1606" s="38" t="n">
        <f aca="false">Sens!$F$1606</f>
        <v>162.245</v>
      </c>
      <c r="H1606" s="38" t="n">
        <f aca="false">Sens!$G$1606+Sens!$H$1604</f>
        <v>230.352386412243</v>
      </c>
      <c r="I1606" s="38" t="n">
        <f aca="false">Sens!$H$1606+Sens!$I$1604</f>
        <v>273.885836343825</v>
      </c>
      <c r="J1606" s="38" t="n">
        <f aca="false">Sens!$I$1606+Sens!$J$1604</f>
        <v>273.885836343825</v>
      </c>
      <c r="K1606" s="38" t="n">
        <f aca="false">Sens!$J$1606+Sens!$K$1604</f>
        <v>273.885836343825</v>
      </c>
      <c r="L1606" s="38" t="n">
        <f aca="false">Sens!$K$1606+Sens!$L$1604</f>
        <v>273.885836343825</v>
      </c>
      <c r="M1606" s="38" t="n">
        <f aca="false">Sens!$L$1606+Sens!$M$1604</f>
        <v>273.885836343825</v>
      </c>
    </row>
    <row r="1607" customFormat="false" ht="15" hidden="false" customHeight="false" outlineLevel="0" collapsed="false">
      <c r="A1607" s="5" t="s">
        <v>753</v>
      </c>
      <c r="B1607" s="0" t="s">
        <v>73</v>
      </c>
      <c r="D1607" s="38" t="n">
        <f aca="false">Sens!$D$1606-Sens!$D$1605</f>
        <v>-54.193</v>
      </c>
      <c r="E1607" s="38" t="n">
        <f aca="false">Sens!$E$1606-Sens!$E$1605</f>
        <v>10.007</v>
      </c>
      <c r="F1607" s="38" t="n">
        <f aca="false">Sens!$F$1606-Sens!$F$1605</f>
        <v>90.3084720029206</v>
      </c>
      <c r="G1607" s="38" t="n">
        <f aca="false">Sens!$G$1606-Sens!$G$1605</f>
        <v>90.3084720029206</v>
      </c>
      <c r="H1607" s="38" t="n">
        <f aca="false">Sens!$H$1606-Sens!$H$1605</f>
        <v>180.352386412243</v>
      </c>
      <c r="I1607" s="38" t="n">
        <f aca="false">Sens!$I$1606-Sens!$I$1605</f>
        <v>223.885836343825</v>
      </c>
      <c r="J1607" s="38" t="n">
        <f aca="false">Sens!$J$1606-Sens!$J$1605</f>
        <v>217.707561298152</v>
      </c>
      <c r="K1607" s="38" t="n">
        <f aca="false">Sens!$K$1606-Sens!$K$1605</f>
        <v>162.196553824124</v>
      </c>
      <c r="L1607" s="38" t="n">
        <f aca="false">Sens!$L$1606-Sens!$L$1605</f>
        <v>87.584112718191</v>
      </c>
      <c r="M1607" s="38" t="n">
        <f aca="false">Sens!$M$1606-Sens!$M$1605</f>
        <v>35.1362527684556</v>
      </c>
    </row>
    <row r="1608" customFormat="false" ht="17.15" hidden="false" customHeight="false" outlineLevel="0" collapsed="false">
      <c r="A1608" s="5" t="s">
        <v>754</v>
      </c>
      <c r="B1608" s="0" t="s">
        <v>73</v>
      </c>
      <c r="F1608" s="38" t="n">
        <f aca="false">debt_q2*kd_book*0.5+iss_2h26*kd_new*0.25</f>
        <v>3.24888964316061</v>
      </c>
      <c r="H1608" s="38" t="n">
        <f aca="false">debt_q2*kd_book+(Sens!$G$1606-debt_q2)*kd_new</f>
        <v>7.42354178632123</v>
      </c>
      <c r="I1608" s="38" t="n">
        <f aca="false">debt_q2*kd_book+(Sens!$H$1606-debt_q2)*kd_new</f>
        <v>11.7347393462162</v>
      </c>
      <c r="J1608" s="38" t="n">
        <f aca="false">debt_q2*kd_book+(Sens!$I$1606-debt_q2)*kd_new</f>
        <v>14.4904067268854</v>
      </c>
      <c r="K1608" s="38" t="n">
        <f aca="false">debt_q2*kd_book+(Sens!$J$1606-debt_q2)*kd_new</f>
        <v>14.4904067268854</v>
      </c>
      <c r="L1608" s="38" t="n">
        <f aca="false">debt_q2*kd_book+(Sens!$K$1606-debt_q2)*kd_new</f>
        <v>14.4904067268854</v>
      </c>
      <c r="M1608" s="38" t="n">
        <f aca="false">debt_q2*kd_book+(Sens!$L$1606-debt_q2)*kd_new</f>
        <v>14.4904067268854</v>
      </c>
    </row>
    <row r="1609" customFormat="false" ht="17.15" hidden="false" customHeight="false" outlineLevel="0" collapsed="false">
      <c r="A1609" s="5" t="s">
        <v>755</v>
      </c>
      <c r="B1609" s="0" t="s">
        <v>73</v>
      </c>
      <c r="F1609" s="38" t="n">
        <f aca="false">cash_q2*y_cash*0.5</f>
        <v>2.59</v>
      </c>
      <c r="H1609" s="38" t="n">
        <f aca="false">Sens!$G$1605*y_cash</f>
        <v>3.02981766534029</v>
      </c>
      <c r="I1609" s="38" t="n">
        <f aca="false">Sens!$H$1605*y_cash</f>
        <v>2.10589651022864</v>
      </c>
      <c r="J1609" s="38" t="n">
        <f aca="false">Sens!$I$1605*y_cash</f>
        <v>2.10589651022864</v>
      </c>
      <c r="K1609" s="38" t="n">
        <f aca="false">Sens!$J$1605*y_cash</f>
        <v>2.36611266738698</v>
      </c>
      <c r="L1609" s="38" t="n">
        <f aca="false">Sens!$K$1605*y_cash</f>
        <v>4.70412140576357</v>
      </c>
      <c r="M1609" s="38" t="n">
        <f aca="false">Sens!$L$1605*y_cash</f>
        <v>7.84664299265608</v>
      </c>
    </row>
    <row r="1610" customFormat="false" ht="17.15" hidden="false" customHeight="false" outlineLevel="0" collapsed="false">
      <c r="A1610" s="46" t="s">
        <v>756</v>
      </c>
      <c r="B1610" s="13" t="s">
        <v>73</v>
      </c>
      <c r="C1610" s="13"/>
      <c r="D1610" s="13"/>
      <c r="E1610" s="13"/>
      <c r="F1610" s="13"/>
      <c r="G1610" s="47" t="n">
        <f aca="false">SUM(Sens!$G$1599:$K$1599)</f>
        <v>-156.580553824124</v>
      </c>
      <c r="H1610" s="13"/>
      <c r="I1610" s="13"/>
      <c r="J1610" s="13"/>
      <c r="K1610" s="13"/>
      <c r="L1610" s="13"/>
      <c r="M1610" s="13"/>
      <c r="N1610" s="13"/>
      <c r="O1610" s="13"/>
    </row>
    <row r="1611" customFormat="false" ht="17.15" hidden="false" customHeight="false" outlineLevel="0" collapsed="false">
      <c r="A1611" s="0" t="s">
        <v>723</v>
      </c>
      <c r="B1611" s="0" t="s">
        <v>73</v>
      </c>
      <c r="G1611" s="38" t="n">
        <f aca="false">SUM(Sens!$G$1604:$K$1604)</f>
        <v>111.640836343825</v>
      </c>
    </row>
    <row r="1614" customFormat="false" ht="19.4" hidden="false" customHeight="false" outlineLevel="0" collapsed="false">
      <c r="A1614" s="31" t="s">
        <v>1077</v>
      </c>
    </row>
    <row r="1615" customFormat="false" ht="17.15" hidden="false" customHeight="false" outlineLevel="0" collapsed="false">
      <c r="A1615" s="6" t="s">
        <v>16</v>
      </c>
      <c r="B1615" s="6" t="s">
        <v>17</v>
      </c>
      <c r="C1615" s="20" t="s">
        <v>457</v>
      </c>
      <c r="D1615" s="20" t="s">
        <v>458</v>
      </c>
      <c r="E1615" s="20" t="s">
        <v>540</v>
      </c>
      <c r="F1615" s="20" t="s">
        <v>541</v>
      </c>
      <c r="G1615" s="20" t="s">
        <v>542</v>
      </c>
      <c r="H1615" s="20" t="s">
        <v>543</v>
      </c>
      <c r="I1615" s="20" t="s">
        <v>544</v>
      </c>
      <c r="J1615" s="20" t="s">
        <v>545</v>
      </c>
      <c r="K1615" s="20" t="s">
        <v>546</v>
      </c>
      <c r="L1615" s="20" t="s">
        <v>547</v>
      </c>
      <c r="M1615" s="20" t="s">
        <v>548</v>
      </c>
      <c r="N1615" s="20" t="s">
        <v>549</v>
      </c>
      <c r="O1615" s="20" t="s">
        <v>550</v>
      </c>
      <c r="P1615" s="6" t="s">
        <v>23</v>
      </c>
      <c r="R1615" s="20" t="n">
        <v>2023</v>
      </c>
      <c r="S1615" s="20" t="n">
        <v>2024</v>
      </c>
      <c r="T1615" s="20" t="n">
        <v>2025</v>
      </c>
      <c r="U1615" s="20" t="n">
        <v>2026</v>
      </c>
      <c r="V1615" s="20" t="n">
        <v>2027</v>
      </c>
      <c r="W1615" s="20" t="n">
        <v>2028</v>
      </c>
      <c r="X1615" s="20" t="n">
        <v>2029</v>
      </c>
      <c r="Y1615" s="20" t="n">
        <v>2030</v>
      </c>
      <c r="Z1615" s="20" t="n">
        <v>2031</v>
      </c>
      <c r="AA1615" s="20" t="n">
        <v>2032</v>
      </c>
    </row>
    <row r="1616" customFormat="false" ht="17.15" hidden="false" customHeight="false" outlineLevel="0" collapsed="false">
      <c r="A1616" s="1" t="s">
        <v>851</v>
      </c>
    </row>
    <row r="1617" customFormat="false" ht="17.15" hidden="false" customHeight="false" outlineLevel="0" collapsed="false">
      <c r="A1617" s="0" t="s">
        <v>852</v>
      </c>
      <c r="B1617" s="0" t="s">
        <v>73</v>
      </c>
      <c r="H1617" s="38" t="n">
        <f aca="false">Sens!$H$1553*(1-tax)</f>
        <v>115.493224806375</v>
      </c>
      <c r="I1617" s="38" t="n">
        <f aca="false">Sens!$I$1553*(1-tax)</f>
        <v>136.84741850317</v>
      </c>
      <c r="J1617" s="38" t="n">
        <f aca="false">Sens!$J$1553*(1-tax)</f>
        <v>155.743838503068</v>
      </c>
      <c r="K1617" s="38" t="n">
        <f aca="false">Sens!$K$1553*(1-tax)</f>
        <v>171.104005493341</v>
      </c>
      <c r="L1617" s="38" t="n">
        <f aca="false">Sens!$L$1553*(1-tax)</f>
        <v>187.926624571938</v>
      </c>
      <c r="M1617" s="38" t="n">
        <f aca="false">Sens!$M$1553*(1-tax)</f>
        <v>205.335024630289</v>
      </c>
    </row>
    <row r="1618" customFormat="false" ht="15" hidden="false" customHeight="false" outlineLevel="0" collapsed="false">
      <c r="A1618" s="5" t="s">
        <v>853</v>
      </c>
      <c r="B1618" s="0" t="s">
        <v>73</v>
      </c>
      <c r="H1618" s="38" t="n">
        <f aca="false">Sens!$H$1565</f>
        <v>91.0233479293629</v>
      </c>
      <c r="I1618" s="38" t="n">
        <f aca="false">Sens!$I$1565</f>
        <v>132.564377412148</v>
      </c>
      <c r="J1618" s="38" t="n">
        <f aca="false">Sens!$J$1565</f>
        <v>174.587481243835</v>
      </c>
      <c r="K1618" s="38" t="n">
        <f aca="false">Sens!$K$1565</f>
        <v>215.988062991318</v>
      </c>
      <c r="L1618" s="38" t="n">
        <f aca="false">Sens!$L$1565</f>
        <v>255.730578940177</v>
      </c>
      <c r="M1618" s="38" t="n">
        <f aca="false">Sens!$M$1565</f>
        <v>296.581571439203</v>
      </c>
    </row>
    <row r="1619" customFormat="false" ht="15" hidden="false" customHeight="false" outlineLevel="0" collapsed="false">
      <c r="A1619" s="5" t="s">
        <v>854</v>
      </c>
      <c r="B1619" s="0" t="s">
        <v>73</v>
      </c>
      <c r="H1619" s="38" t="n">
        <f aca="false">Sens!$H$1594</f>
        <v>327.512961737543</v>
      </c>
      <c r="I1619" s="38" t="n">
        <f aca="false">Sens!$I$1594</f>
        <v>345.096082063003</v>
      </c>
      <c r="J1619" s="38" t="n">
        <f aca="false">Sens!$J$1594</f>
        <v>359.230665591215</v>
      </c>
      <c r="K1619" s="38" t="n">
        <f aca="false">Sens!$K$1594</f>
        <v>371.547352795873</v>
      </c>
      <c r="L1619" s="38" t="n">
        <f aca="false">Sens!$L$1594</f>
        <v>415.818036695955</v>
      </c>
      <c r="M1619" s="38" t="n">
        <f aca="false">Sens!$M$1594</f>
        <v>503.929776616296</v>
      </c>
    </row>
    <row r="1620" customFormat="false" ht="15" hidden="false" customHeight="false" outlineLevel="0" collapsed="false">
      <c r="A1620" s="5" t="s">
        <v>855</v>
      </c>
      <c r="B1620" s="0" t="s">
        <v>73</v>
      </c>
      <c r="H1620" s="38" t="n">
        <f aca="false">Sens!$H$1595</f>
        <v>1.6</v>
      </c>
      <c r="I1620" s="38" t="n">
        <f aca="false">Sens!$I$1595</f>
        <v>1.6</v>
      </c>
      <c r="J1620" s="38" t="n">
        <f aca="false">Sens!$J$1595</f>
        <v>1.6</v>
      </c>
      <c r="K1620" s="38" t="n">
        <f aca="false">Sens!$K$1595</f>
        <v>1.6</v>
      </c>
      <c r="L1620" s="38" t="n">
        <f aca="false">Sens!$L$1595</f>
        <v>1.6</v>
      </c>
      <c r="M1620" s="38" t="n">
        <f aca="false">Sens!$M$1595</f>
        <v>1.6</v>
      </c>
    </row>
    <row r="1621" customFormat="false" ht="15" hidden="false" customHeight="false" outlineLevel="0" collapsed="false">
      <c r="A1621" s="5" t="s">
        <v>856</v>
      </c>
      <c r="B1621" s="0" t="s">
        <v>73</v>
      </c>
      <c r="H1621" s="38" t="n">
        <f aca="false">Sens!$H$1589</f>
        <v>11.7569679046973</v>
      </c>
      <c r="I1621" s="38" t="n">
        <f aca="false">Sens!$I$1589</f>
        <v>13.5521015280555</v>
      </c>
      <c r="J1621" s="38" t="n">
        <f aca="false">Sens!$J$1589</f>
        <v>15.243052837371</v>
      </c>
      <c r="K1621" s="38" t="n">
        <f aca="false">Sens!$K$1589</f>
        <v>16.7616352177157</v>
      </c>
      <c r="L1621" s="38" t="n">
        <f aca="false">Sens!$L$1589</f>
        <v>18.345590017663</v>
      </c>
      <c r="M1621" s="38" t="n">
        <f aca="false">Sens!$M$1589</f>
        <v>19.9997034522394</v>
      </c>
    </row>
    <row r="1622" customFormat="false" ht="17.15" hidden="false" customHeight="false" outlineLevel="0" collapsed="false">
      <c r="A1622" s="1" t="s">
        <v>857</v>
      </c>
      <c r="B1622" s="8" t="s">
        <v>73</v>
      </c>
      <c r="H1622" s="38" t="n">
        <f aca="false">Sens!$H$1617+Sens!$H$1618-Sens!$H$1619-Sens!$H$1620+Sens!$H$1621</f>
        <v>-110.839421097107</v>
      </c>
      <c r="I1622" s="38" t="n">
        <f aca="false">Sens!$I$1617+Sens!$I$1618-Sens!$I$1619-Sens!$I$1620+Sens!$I$1621</f>
        <v>-63.7321846196297</v>
      </c>
      <c r="J1622" s="38" t="n">
        <f aca="false">Sens!$J$1617+Sens!$J$1618-Sens!$J$1619-Sens!$J$1620+Sens!$J$1621</f>
        <v>-15.2562930069408</v>
      </c>
      <c r="K1622" s="38" t="n">
        <f aca="false">Sens!$K$1617+Sens!$K$1618-Sens!$K$1619-Sens!$K$1620+Sens!$K$1621</f>
        <v>30.7063509065017</v>
      </c>
      <c r="L1622" s="38" t="n">
        <f aca="false">Sens!$L$1617+Sens!$L$1618-Sens!$L$1619-Sens!$L$1620+Sens!$L$1621</f>
        <v>44.5847568338231</v>
      </c>
      <c r="M1622" s="38" t="n">
        <f aca="false">Sens!$M$1617+Sens!$M$1618-Sens!$M$1619-Sens!$M$1620+Sens!$M$1621</f>
        <v>16.3865229054361</v>
      </c>
    </row>
    <row r="1623" customFormat="false" ht="15" hidden="false" customHeight="false" outlineLevel="0" collapsed="false">
      <c r="A1623" s="5" t="s">
        <v>858</v>
      </c>
      <c r="B1623" s="0" t="s">
        <v>57</v>
      </c>
      <c r="H1623" s="51" t="n">
        <f aca="false">1/(1+wacc)^(2027-2026-0.5)</f>
        <v>0.942858177653364</v>
      </c>
      <c r="I1623" s="51" t="n">
        <f aca="false">1/(1+wacc)^(2028-2026-0.5)</f>
        <v>0.838183517758688</v>
      </c>
      <c r="J1623" s="51" t="n">
        <f aca="false">1/(1+wacc)^(2029-2026-0.5)</f>
        <v>0.745129677074952</v>
      </c>
      <c r="K1623" s="51" t="n">
        <f aca="false">1/(1+wacc)^(2030-2026-0.5)</f>
        <v>0.662406530186232</v>
      </c>
      <c r="L1623" s="51" t="n">
        <f aca="false">1/(1+wacc)^(2031-2026-0.5)</f>
        <v>0.588867179409399</v>
      </c>
      <c r="M1623" s="51" t="n">
        <f aca="false">1/(1+wacc)^(2032-2026-0.5)</f>
        <v>0.52349205387225</v>
      </c>
    </row>
    <row r="1624" customFormat="false" ht="15" hidden="false" customHeight="false" outlineLevel="0" collapsed="false">
      <c r="A1624" s="5" t="s">
        <v>859</v>
      </c>
      <c r="B1624" s="0" t="s">
        <v>73</v>
      </c>
      <c r="H1624" s="38" t="n">
        <f aca="false">Sens!$H$1622*Sens!$H$1623</f>
        <v>-104.505854587772</v>
      </c>
      <c r="I1624" s="38" t="n">
        <f aca="false">Sens!$I$1622*Sens!$I$1623</f>
        <v>-53.4192666989274</v>
      </c>
      <c r="J1624" s="38" t="n">
        <f aca="false">Sens!$J$1622*Sens!$J$1623</f>
        <v>-11.3679166816226</v>
      </c>
      <c r="K1624" s="38" t="n">
        <f aca="false">Sens!$K$1622*Sens!$K$1623</f>
        <v>20.3400873586566</v>
      </c>
      <c r="L1624" s="38" t="n">
        <f aca="false">Sens!$L$1622*Sens!$L$1623</f>
        <v>26.2545000013873</v>
      </c>
      <c r="M1624" s="38" t="n">
        <f aca="false">Sens!$M$1622*Sens!$M$1623</f>
        <v>8.5782145315914</v>
      </c>
    </row>
    <row r="1625" customFormat="false" ht="15" hidden="false" customHeight="false" outlineLevel="0" collapsed="false">
      <c r="A1625" s="5" t="s">
        <v>860</v>
      </c>
      <c r="B1625" s="0" t="s">
        <v>73</v>
      </c>
      <c r="C1625" s="38" t="n">
        <f aca="false">SUM(Sens!$H$1624:$M$1624)</f>
        <v>-114.120236076687</v>
      </c>
    </row>
    <row r="1626" customFormat="false" ht="17.15" hidden="false" customHeight="false" outlineLevel="0" collapsed="false">
      <c r="A1626" s="5" t="s">
        <v>861</v>
      </c>
      <c r="B1626" s="0" t="s">
        <v>73</v>
      </c>
      <c r="C1626" s="38" t="n">
        <f aca="false">Sens!$M$1617*(1+tg)*(1-tg/ronic)/(wacc-tg)</f>
        <v>1693.54919748452</v>
      </c>
    </row>
    <row r="1627" customFormat="false" ht="15" hidden="false" customHeight="false" outlineLevel="0" collapsed="false">
      <c r="A1627" s="5" t="s">
        <v>862</v>
      </c>
      <c r="B1627" s="0" t="s">
        <v>73</v>
      </c>
      <c r="C1627" s="38" t="n">
        <f aca="false">Sens!$C$1626/(1+wacc)^6</f>
        <v>835.899919549063</v>
      </c>
    </row>
    <row r="1628" customFormat="false" ht="17.15" hidden="false" customHeight="false" outlineLevel="0" collapsed="false">
      <c r="A1628" s="5" t="s">
        <v>863</v>
      </c>
      <c r="B1628" s="0" t="s">
        <v>73</v>
      </c>
      <c r="C1628" s="38" t="n">
        <f aca="false">Sens!$C$1625+Sens!$C$1627</f>
        <v>721.779683472376</v>
      </c>
    </row>
    <row r="1629" customFormat="false" ht="17.15" hidden="false" customHeight="false" outlineLevel="0" collapsed="false">
      <c r="A1629" s="5" t="s">
        <v>864</v>
      </c>
      <c r="B1629" s="0" t="s">
        <v>52</v>
      </c>
      <c r="C1629" s="12" t="n">
        <f aca="false">Sens!$C$1627/Sens!$C$1628</f>
        <v>1.15810951553481</v>
      </c>
    </row>
    <row r="1630" customFormat="false" ht="17.15" hidden="false" customHeight="false" outlineLevel="0" collapsed="false">
      <c r="A1630" s="5" t="s">
        <v>865</v>
      </c>
      <c r="B1630" s="0" t="s">
        <v>73</v>
      </c>
      <c r="C1630" s="38" t="n">
        <f aca="false">Sens!$G$1607</f>
        <v>90.3084720029206</v>
      </c>
    </row>
    <row r="1631" customFormat="false" ht="17.15" hidden="false" customHeight="false" outlineLevel="0" collapsed="false">
      <c r="A1631" s="5" t="s">
        <v>866</v>
      </c>
      <c r="B1631" s="0" t="s">
        <v>73</v>
      </c>
      <c r="C1631" s="38" t="n">
        <f aca="false">(ant_val*ant_sh+oai_val*oai_sh)*(1-liq_disc)</f>
        <v>178.944</v>
      </c>
    </row>
    <row r="1632" customFormat="false" ht="15" hidden="false" customHeight="false" outlineLevel="0" collapsed="false">
      <c r="A1632" s="5" t="s">
        <v>867</v>
      </c>
      <c r="B1632" s="0" t="s">
        <v>73</v>
      </c>
      <c r="C1632" s="38" t="n">
        <f aca="false">Sens!$C$1628-Sens!$C$1630+Sens!$C$1631</f>
        <v>810.415211469456</v>
      </c>
    </row>
    <row r="1633" customFormat="false" ht="17.15" hidden="false" customHeight="false" outlineLevel="0" collapsed="false">
      <c r="A1633" s="5" t="s">
        <v>868</v>
      </c>
      <c r="B1633" s="0" t="s">
        <v>27</v>
      </c>
      <c r="C1633" s="30" t="n">
        <f aca="false">Sens!$C$1632/sh_val</f>
        <v>73.4716356641756</v>
      </c>
    </row>
    <row r="1634" customFormat="false" ht="17.15" hidden="false" customHeight="false" outlineLevel="0" collapsed="false">
      <c r="A1634" s="1" t="s">
        <v>869</v>
      </c>
      <c r="B1634" s="8" t="s">
        <v>27</v>
      </c>
      <c r="C1634" s="30" t="n">
        <f aca="false">Sens!$C$1633*(1+ke)^tp_yf</f>
        <v>81.1453748044131</v>
      </c>
    </row>
    <row r="1635" customFormat="false" ht="17.15" hidden="false" customHeight="false" outlineLevel="0" collapsed="false">
      <c r="A1635" s="3" t="s">
        <v>870</v>
      </c>
    </row>
    <row r="1636" customFormat="false" ht="17.15" hidden="false" customHeight="false" outlineLevel="0" collapsed="false">
      <c r="A1636" s="5" t="s">
        <v>871</v>
      </c>
      <c r="B1636" s="0" t="s">
        <v>73</v>
      </c>
      <c r="C1636" s="38" t="n">
        <f aca="false">0.25*Sens!$H$1566+0.75*Sens!$I$1566</f>
        <v>57.5541093268329</v>
      </c>
    </row>
    <row r="1637" customFormat="false" ht="15" hidden="false" customHeight="false" outlineLevel="0" collapsed="false">
      <c r="A1637" s="5" t="s">
        <v>872</v>
      </c>
      <c r="B1637" s="0" t="s">
        <v>57</v>
      </c>
      <c r="C1637" s="30" t="n">
        <f aca="false">m_ads*m_x</f>
        <v>9.11</v>
      </c>
    </row>
    <row r="1638" customFormat="false" ht="17.15" hidden="false" customHeight="false" outlineLevel="0" collapsed="false">
      <c r="A1638" s="5" t="s">
        <v>873</v>
      </c>
      <c r="B1638" s="0" t="s">
        <v>73</v>
      </c>
      <c r="C1638" s="38" t="n">
        <f aca="false">Sens!$C$1636*Sens!$C$1637</f>
        <v>524.317935967448</v>
      </c>
    </row>
    <row r="1639" customFormat="false" ht="17.15" hidden="false" customHeight="false" outlineLevel="0" collapsed="false">
      <c r="A1639" s="5" t="s">
        <v>874</v>
      </c>
      <c r="B1639" s="0" t="s">
        <v>73</v>
      </c>
      <c r="C1639" s="38" t="n">
        <f aca="false">0.25*Sens!$H$1567+0.75*Sens!$I$1567</f>
        <v>29.7278722040814</v>
      </c>
    </row>
    <row r="1640" customFormat="false" ht="15" hidden="false" customHeight="false" outlineLevel="0" collapsed="false">
      <c r="A1640" s="5" t="s">
        <v>875</v>
      </c>
      <c r="B1640" s="0" t="s">
        <v>57</v>
      </c>
      <c r="C1640" s="30" t="n">
        <f aca="false">m_retail*m_x</f>
        <v>17.72</v>
      </c>
    </row>
    <row r="1641" customFormat="false" ht="17.15" hidden="false" customHeight="false" outlineLevel="0" collapsed="false">
      <c r="A1641" s="5" t="s">
        <v>876</v>
      </c>
      <c r="B1641" s="0" t="s">
        <v>73</v>
      </c>
      <c r="C1641" s="38" t="n">
        <f aca="false">Sens!$C$1639*Sens!$C$1640</f>
        <v>526.777895456322</v>
      </c>
    </row>
    <row r="1642" customFormat="false" ht="17.15" hidden="false" customHeight="false" outlineLevel="0" collapsed="false">
      <c r="A1642" s="0" t="s">
        <v>877</v>
      </c>
      <c r="B1642" s="0" t="s">
        <v>73</v>
      </c>
      <c r="C1642" s="38" t="n">
        <f aca="false">0.25*Sens!$H$1568+0.75*Sens!$I$1568</f>
        <v>107.575398943098</v>
      </c>
    </row>
    <row r="1643" customFormat="false" ht="17.15" hidden="false" customHeight="false" outlineLevel="0" collapsed="false">
      <c r="A1643" s="0" t="s">
        <v>878</v>
      </c>
      <c r="B1643" s="0" t="s">
        <v>57</v>
      </c>
      <c r="C1643" s="30" t="n">
        <f aca="false">m_cloud*m_x</f>
        <v>13.82</v>
      </c>
    </row>
    <row r="1644" customFormat="false" ht="17.15" hidden="false" customHeight="false" outlineLevel="0" collapsed="false">
      <c r="A1644" s="0" t="s">
        <v>879</v>
      </c>
      <c r="B1644" s="0" t="s">
        <v>73</v>
      </c>
      <c r="C1644" s="38" t="n">
        <f aca="false">Sens!$C$1642*Sens!$C$1643</f>
        <v>1486.69201339361</v>
      </c>
    </row>
    <row r="1645" customFormat="false" ht="17.15" hidden="false" customHeight="false" outlineLevel="0" collapsed="false">
      <c r="A1645" s="0" t="s">
        <v>880</v>
      </c>
      <c r="B1645" s="0" t="s">
        <v>73</v>
      </c>
      <c r="C1645" s="38" t="n">
        <f aca="false">0.25*Sens!$H$1569+0.75*Sens!$I$1569</f>
        <v>86.4534043477101</v>
      </c>
    </row>
    <row r="1646" customFormat="false" ht="17.15" hidden="false" customHeight="false" outlineLevel="0" collapsed="false">
      <c r="A1646" s="0" t="s">
        <v>881</v>
      </c>
      <c r="B1646" s="0" t="s">
        <v>57</v>
      </c>
      <c r="C1646" s="30" t="n">
        <f aca="false">m_ai</f>
        <v>6</v>
      </c>
    </row>
    <row r="1647" customFormat="false" ht="17.15" hidden="false" customHeight="false" outlineLevel="0" collapsed="false">
      <c r="A1647" s="0" t="s">
        <v>882</v>
      </c>
      <c r="B1647" s="0" t="s">
        <v>73</v>
      </c>
      <c r="C1647" s="38" t="n">
        <f aca="false">Sens!$C$1645*Sens!$C$1646</f>
        <v>518.720426086261</v>
      </c>
    </row>
    <row r="1648" customFormat="false" ht="17.15" hidden="false" customHeight="false" outlineLevel="0" collapsed="false">
      <c r="A1648" s="5" t="s">
        <v>883</v>
      </c>
      <c r="B1648" s="0" t="s">
        <v>73</v>
      </c>
      <c r="C1648" s="38" t="n">
        <f aca="false">Sens!$C$1638+Sens!$C$1641+Sens!$C$1644+Sens!$C$1647</f>
        <v>3056.50827090364</v>
      </c>
    </row>
    <row r="1649" customFormat="false" ht="17.15" hidden="false" customHeight="false" outlineLevel="0" collapsed="false">
      <c r="A1649" s="5" t="s">
        <v>884</v>
      </c>
      <c r="B1649" s="0" t="s">
        <v>73</v>
      </c>
      <c r="C1649" s="38" t="n">
        <f aca="false">Sens!$H$1607</f>
        <v>180.352386412243</v>
      </c>
    </row>
    <row r="1650" customFormat="false" ht="15" hidden="false" customHeight="false" outlineLevel="0" collapsed="false">
      <c r="A1650" s="5" t="s">
        <v>885</v>
      </c>
      <c r="B1650" s="0" t="s">
        <v>73</v>
      </c>
      <c r="C1650" s="38" t="n">
        <f aca="false">Sens!$C$1648-Sens!$C$1649+Sens!$C$1631</f>
        <v>3055.0998844914</v>
      </c>
    </row>
    <row r="1651" customFormat="false" ht="15" hidden="false" customHeight="false" outlineLevel="0" collapsed="false">
      <c r="A1651" s="3" t="s">
        <v>886</v>
      </c>
      <c r="B1651" s="8" t="s">
        <v>27</v>
      </c>
      <c r="C1651" s="30" t="n">
        <f aca="false">Sens!$C$1650/sh_val</f>
        <v>276.973065725182</v>
      </c>
    </row>
    <row r="1652" customFormat="false" ht="17.15" hidden="false" customHeight="false" outlineLevel="0" collapsed="false">
      <c r="A1652" s="46" t="s">
        <v>887</v>
      </c>
      <c r="B1652" s="13" t="s">
        <v>27</v>
      </c>
      <c r="C1652" s="43" t="n">
        <f aca="false">w_dcf*Sens!$C$1634+(1-w_dcf)*Sens!$C$1651</f>
        <v>179.059220264798</v>
      </c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</row>
    <row r="1653" customFormat="false" ht="17.15" hidden="false" customHeight="false" outlineLevel="0" collapsed="false">
      <c r="A1653" s="5" t="s">
        <v>888</v>
      </c>
      <c r="B1653" s="0" t="s">
        <v>27</v>
      </c>
      <c r="C1653" s="30" t="n">
        <f aca="false">0.45*Sens!$C$1634+0.55*Sens!$C$1651</f>
        <v>188.850604810836</v>
      </c>
    </row>
    <row r="1656" customFormat="false" ht="19.4" hidden="false" customHeight="false" outlineLevel="0" collapsed="false">
      <c r="A1656" s="31" t="s">
        <v>1078</v>
      </c>
    </row>
    <row r="1657" customFormat="false" ht="17.15" hidden="false" customHeight="false" outlineLevel="0" collapsed="false">
      <c r="A1657" s="6" t="s">
        <v>16</v>
      </c>
      <c r="B1657" s="6" t="s">
        <v>17</v>
      </c>
      <c r="C1657" s="20" t="s">
        <v>457</v>
      </c>
      <c r="D1657" s="20" t="s">
        <v>458</v>
      </c>
      <c r="E1657" s="20" t="s">
        <v>540</v>
      </c>
      <c r="F1657" s="20" t="s">
        <v>541</v>
      </c>
      <c r="G1657" s="20" t="s">
        <v>542</v>
      </c>
      <c r="H1657" s="20" t="s">
        <v>543</v>
      </c>
      <c r="I1657" s="20" t="s">
        <v>544</v>
      </c>
      <c r="J1657" s="20" t="s">
        <v>545</v>
      </c>
      <c r="K1657" s="20" t="s">
        <v>546</v>
      </c>
      <c r="L1657" s="20" t="s">
        <v>547</v>
      </c>
      <c r="M1657" s="20" t="s">
        <v>548</v>
      </c>
      <c r="N1657" s="20" t="s">
        <v>549</v>
      </c>
      <c r="O1657" s="20" t="s">
        <v>550</v>
      </c>
      <c r="P1657" s="6" t="s">
        <v>23</v>
      </c>
      <c r="R1657" s="20" t="n">
        <v>2023</v>
      </c>
      <c r="S1657" s="20" t="n">
        <v>2024</v>
      </c>
      <c r="T1657" s="20" t="n">
        <v>2025</v>
      </c>
      <c r="U1657" s="20" t="n">
        <v>2026</v>
      </c>
      <c r="V1657" s="20" t="n">
        <v>2027</v>
      </c>
      <c r="W1657" s="20" t="n">
        <v>2028</v>
      </c>
      <c r="X1657" s="20" t="n">
        <v>2029</v>
      </c>
      <c r="Y1657" s="20" t="n">
        <v>2030</v>
      </c>
      <c r="Z1657" s="20" t="n">
        <v>2031</v>
      </c>
      <c r="AA1657" s="20" t="n">
        <v>2032</v>
      </c>
    </row>
    <row r="1658" customFormat="false" ht="17.15" hidden="false" customHeight="false" outlineLevel="0" collapsed="false">
      <c r="A1658" s="1" t="s">
        <v>620</v>
      </c>
    </row>
    <row r="1659" customFormat="false" ht="17.15" hidden="false" customHeight="false" outlineLevel="0" collapsed="false">
      <c r="A1659" s="0" t="s">
        <v>479</v>
      </c>
      <c r="B1659" s="0" t="s">
        <v>73</v>
      </c>
      <c r="C1659" s="38" t="n">
        <f aca="false">Q!$D$10</f>
        <v>247.029</v>
      </c>
      <c r="D1659" s="38" t="n">
        <f aca="false">Q!$E$10</f>
        <v>269.287</v>
      </c>
      <c r="E1659" s="38" t="n">
        <f aca="false">Q!$P$10</f>
        <v>134.686</v>
      </c>
      <c r="F1659" s="38" t="n">
        <f aca="false">Sens!$O$1659*(1+Sens!$F$1660)-pd_amt*Q!$O$10/(Q!$O$10+Q!$O$12)</f>
        <v>160.728085930082</v>
      </c>
      <c r="G1659" s="38" t="n">
        <f aca="false">Sens!$E$1659+Sens!$F$1659</f>
        <v>295.414085930082</v>
      </c>
      <c r="H1659" s="38" t="n">
        <f aca="false">Sens!$G$1659*(1+Sens!$H$1660)</f>
        <v>320.828163943375</v>
      </c>
      <c r="I1659" s="38" t="n">
        <f aca="false">Sens!$H$1659*(1+Sens!$I$1660)</f>
        <v>344.575578072228</v>
      </c>
      <c r="J1659" s="38" t="n">
        <f aca="false">Sens!$I$1659*(1+Sens!$J$1660)</f>
        <v>365.942555779681</v>
      </c>
      <c r="K1659" s="38" t="n">
        <f aca="false">Sens!$J$1659*(1+Sens!$K$1660)</f>
        <v>384.239683568665</v>
      </c>
      <c r="L1659" s="38" t="n">
        <f aca="false">Sens!$K$1659*(1+Sens!$L$1660)</f>
        <v>403.451667747098</v>
      </c>
      <c r="M1659" s="38" t="n">
        <f aca="false">Sens!$L$1659*(1+Sens!$M$1660)</f>
        <v>423.624251134453</v>
      </c>
      <c r="N1659" s="38" t="n">
        <f aca="false">Q!$N$10</f>
        <v>118.892</v>
      </c>
      <c r="O1659" s="38" t="n">
        <f aca="false">Q!$O$10</f>
        <v>150.395</v>
      </c>
      <c r="P1659" s="8" t="s">
        <v>621</v>
      </c>
    </row>
    <row r="1660" customFormat="false" ht="17.15" hidden="false" customHeight="false" outlineLevel="0" collapsed="false">
      <c r="A1660" s="0" t="s">
        <v>622</v>
      </c>
      <c r="B1660" s="0" t="s">
        <v>52</v>
      </c>
      <c r="E1660" s="12" t="n">
        <f aca="false">Sens!$E$1659/Sens!$N$1659-1</f>
        <v>0.132843252699929</v>
      </c>
      <c r="F1660" s="12" t="n">
        <f aca="false">Sens!$O$1659/(Q!$F$10+Q!$G$10)-1</f>
        <v>0.0980382135842941</v>
      </c>
      <c r="G1660" s="12" t="n">
        <f aca="false">Sens!$G$1659/Sens!$D$1659-1</f>
        <v>0.0970231980380869</v>
      </c>
      <c r="H1660" s="12" t="n">
        <f aca="false">Sens!$F$1660+(g_os-Sens!$F$1660)*1/4</f>
        <v>0.0860286601882206</v>
      </c>
      <c r="I1660" s="12" t="n">
        <f aca="false">Sens!$F$1660+(g_os-Sens!$F$1660)*2/4</f>
        <v>0.074019106792147</v>
      </c>
      <c r="J1660" s="12" t="n">
        <f aca="false">Sens!$F$1660+(g_os-Sens!$F$1660)*3/4</f>
        <v>0.0620095533960735</v>
      </c>
      <c r="K1660" s="12" t="n">
        <f aca="false">Sens!$F$1660+(g_os-Sens!$F$1660)*4/4</f>
        <v>0.05</v>
      </c>
      <c r="L1660" s="12" t="n">
        <f aca="false">g_os</f>
        <v>0.05</v>
      </c>
      <c r="M1660" s="12" t="n">
        <f aca="false">g_os</f>
        <v>0.05</v>
      </c>
      <c r="P1660" s="8" t="s">
        <v>623</v>
      </c>
    </row>
    <row r="1661" customFormat="false" ht="17.15" hidden="false" customHeight="false" outlineLevel="0" collapsed="false">
      <c r="A1661" s="0" t="s">
        <v>480</v>
      </c>
      <c r="B1661" s="0" t="s">
        <v>73</v>
      </c>
      <c r="C1661" s="38" t="n">
        <f aca="false">Q!$D$11</f>
        <v>21.215</v>
      </c>
      <c r="D1661" s="38" t="n">
        <f aca="false">Q!$E$11</f>
        <v>22.561</v>
      </c>
      <c r="E1661" s="38" t="n">
        <f aca="false">Q!$P$11</f>
        <v>11.579</v>
      </c>
      <c r="F1661" s="38" t="n">
        <f aca="false">Sens!$O$1661*(1+Sens!$F$1662)</f>
        <v>12.0952613121125</v>
      </c>
      <c r="G1661" s="38" t="n">
        <f aca="false">Sens!$E$1661+Sens!$F$1661</f>
        <v>23.6742613121125</v>
      </c>
      <c r="H1661" s="38" t="n">
        <f aca="false">Sens!$G$1661*(1+Sens!$H$1662)</f>
        <v>24.8803243963206</v>
      </c>
      <c r="I1661" s="38" t="n">
        <f aca="false">Sens!$H$1661*(1+Sens!$I$1662)</f>
        <v>25.9741308664154</v>
      </c>
      <c r="J1661" s="38" t="n">
        <f aca="false">Sens!$I$1661*(1+Sens!$J$1662)</f>
        <v>26.9346894124267</v>
      </c>
      <c r="K1661" s="38" t="n">
        <f aca="false">Sens!$J$1661*(1+Sens!$K$1662)</f>
        <v>27.7427300947995</v>
      </c>
      <c r="L1661" s="38" t="n">
        <f aca="false">Sens!$K$1661*(1+Sens!$L$1662)</f>
        <v>28.5750119976435</v>
      </c>
      <c r="M1661" s="38" t="n">
        <f aca="false">Sens!$L$1661*(1+Sens!$M$1662)</f>
        <v>29.4322623575728</v>
      </c>
      <c r="N1661" s="38" t="n">
        <f aca="false">Q!$N$11</f>
        <v>11.128</v>
      </c>
      <c r="O1661" s="38" t="n">
        <f aca="false">Q!$O$11</f>
        <v>11.433</v>
      </c>
      <c r="P1661" s="8" t="s">
        <v>621</v>
      </c>
    </row>
    <row r="1662" customFormat="false" ht="17.15" hidden="false" customHeight="false" outlineLevel="0" collapsed="false">
      <c r="A1662" s="0" t="s">
        <v>624</v>
      </c>
      <c r="B1662" s="0" t="s">
        <v>52</v>
      </c>
      <c r="E1662" s="12" t="n">
        <f aca="false">Sens!$E$1661/Sens!$N$1661-1</f>
        <v>0.0405283968368082</v>
      </c>
      <c r="F1662" s="12" t="n">
        <f aca="false">Sens!$O$1661/(Q!$F$11+Q!$G$11)-1</f>
        <v>0.0579254187100955</v>
      </c>
      <c r="G1662" s="12" t="n">
        <f aca="false">Sens!$G$1661/Sens!$D$1661-1</f>
        <v>0.0493445021103904</v>
      </c>
      <c r="H1662" s="12" t="n">
        <f aca="false">Sens!$F$1662+(g_ps-Sens!$F$1662)*1/4</f>
        <v>0.0509440640325716</v>
      </c>
      <c r="I1662" s="12" t="n">
        <f aca="false">Sens!$F$1662+(g_ps-Sens!$F$1662)*2/4</f>
        <v>0.0439627093550477</v>
      </c>
      <c r="J1662" s="12" t="n">
        <f aca="false">Sens!$F$1662+(g_ps-Sens!$F$1662)*3/4</f>
        <v>0.0369813546775239</v>
      </c>
      <c r="K1662" s="12" t="n">
        <f aca="false">Sens!$F$1662+(g_ps-Sens!$F$1662)*4/4</f>
        <v>0.03</v>
      </c>
      <c r="L1662" s="12" t="n">
        <f aca="false">g_ps</f>
        <v>0.03</v>
      </c>
      <c r="M1662" s="12" t="n">
        <f aca="false">g_ps</f>
        <v>0.03</v>
      </c>
      <c r="P1662" s="8" t="s">
        <v>625</v>
      </c>
    </row>
    <row r="1663" customFormat="false" ht="17.15" hidden="false" customHeight="false" outlineLevel="0" collapsed="false">
      <c r="A1663" s="0" t="s">
        <v>481</v>
      </c>
      <c r="B1663" s="0" t="s">
        <v>73</v>
      </c>
      <c r="C1663" s="38" t="n">
        <f aca="false">Q!$D$12</f>
        <v>156.146</v>
      </c>
      <c r="D1663" s="38" t="n">
        <f aca="false">Q!$E$12</f>
        <v>172.162</v>
      </c>
      <c r="E1663" s="38" t="n">
        <f aca="false">Q!$P$12</f>
        <v>88.358</v>
      </c>
      <c r="F1663" s="38" t="n">
        <f aca="false">Sens!$O$1663*(1+Sens!$F$1664)-pd_amt*Q!$O$12/(Q!$O$10+Q!$O$12)</f>
        <v>103.62028337149</v>
      </c>
      <c r="G1663" s="38" t="n">
        <f aca="false">Sens!$E$1663+Sens!$F$1663</f>
        <v>191.97828337149</v>
      </c>
      <c r="H1663" s="38" t="n">
        <f aca="false">Sens!$G$1663*(1+Sens!$H$1664)</f>
        <v>212.128608444755</v>
      </c>
      <c r="I1663" s="38" t="n">
        <f aca="false">Sens!$H$1663*(1+Sens!$I$1664)</f>
        <v>231.92183134134</v>
      </c>
      <c r="J1663" s="38" t="n">
        <f aca="false">Sens!$I$1663*(1+Sens!$J$1664)</f>
        <v>250.859136487863</v>
      </c>
      <c r="K1663" s="38" t="n">
        <f aca="false">Sens!$J$1663*(1+Sens!$K$1664)</f>
        <v>268.419276042014</v>
      </c>
      <c r="L1663" s="38" t="n">
        <f aca="false">Sens!$K$1663*(1+Sens!$L$1664)</f>
        <v>287.208625364954</v>
      </c>
      <c r="M1663" s="38" t="n">
        <f aca="false">Sens!$L$1663*(1+Sens!$M$1664)</f>
        <v>307.313229140501</v>
      </c>
      <c r="N1663" s="38" t="n">
        <f aca="false">Q!$N$12</f>
        <v>76.86</v>
      </c>
      <c r="O1663" s="38" t="n">
        <f aca="false">Q!$O$12</f>
        <v>95.302</v>
      </c>
      <c r="P1663" s="8" t="s">
        <v>621</v>
      </c>
    </row>
    <row r="1664" customFormat="false" ht="17.15" hidden="false" customHeight="false" outlineLevel="0" collapsed="false">
      <c r="A1664" s="0" t="s">
        <v>626</v>
      </c>
      <c r="B1664" s="0" t="s">
        <v>52</v>
      </c>
      <c r="E1664" s="12" t="n">
        <f aca="false">Sens!$E$1663/Sens!$N$1663-1</f>
        <v>0.1495966692688</v>
      </c>
      <c r="F1664" s="12" t="n">
        <f aca="false">Sens!$O$1663/(Q!$F$12+Q!$G$12)-1</f>
        <v>0.11661530890813</v>
      </c>
      <c r="G1664" s="12" t="n">
        <f aca="false">Sens!$G$1663/Sens!$D$1663-1</f>
        <v>0.115102539303041</v>
      </c>
      <c r="H1664" s="12" t="n">
        <f aca="false">Sens!$F$1664+(g_sp-Sens!$F$1664)*1/4</f>
        <v>0.104961481681098</v>
      </c>
      <c r="I1664" s="12" t="n">
        <f aca="false">Sens!$F$1664+(g_sp-Sens!$F$1664)*2/4</f>
        <v>0.0933076544540651</v>
      </c>
      <c r="J1664" s="12" t="n">
        <f aca="false">Sens!$F$1664+(g_sp-Sens!$F$1664)*3/4</f>
        <v>0.0816538272270325</v>
      </c>
      <c r="K1664" s="12" t="n">
        <f aca="false">Sens!$F$1664+(g_sp-Sens!$F$1664)*4/4</f>
        <v>0.07</v>
      </c>
      <c r="L1664" s="12" t="n">
        <f aca="false">g_sp</f>
        <v>0.07</v>
      </c>
      <c r="M1664" s="12" t="n">
        <f aca="false">g_sp</f>
        <v>0.07</v>
      </c>
      <c r="P1664" s="8" t="s">
        <v>627</v>
      </c>
    </row>
    <row r="1665" customFormat="false" ht="17.15" hidden="false" customHeight="false" outlineLevel="0" collapsed="false">
      <c r="A1665" s="0" t="s">
        <v>482</v>
      </c>
      <c r="B1665" s="0" t="s">
        <v>73</v>
      </c>
      <c r="C1665" s="38" t="n">
        <f aca="false">Q!$D$13</f>
        <v>56.214</v>
      </c>
      <c r="D1665" s="38" t="n">
        <f aca="false">Q!$E$13</f>
        <v>68.635</v>
      </c>
      <c r="E1665" s="38" t="n">
        <f aca="false">Q!$P$13</f>
        <v>37.052</v>
      </c>
      <c r="F1665" s="38" t="n">
        <f aca="false">Sens!$O$1665*(1+Sens!$F$1666)</f>
        <v>48.1533381827382</v>
      </c>
      <c r="G1665" s="38" t="n">
        <f aca="false">Sens!$E$1665+Sens!$F$1665</f>
        <v>85.2053381827382</v>
      </c>
      <c r="H1665" s="38" t="n">
        <f aca="false">Sens!$G$1665*(1+Sens!$H$1666)</f>
        <v>102.29336185894</v>
      </c>
      <c r="I1665" s="38" t="n">
        <f aca="false">Sens!$H$1665*(1+Sens!$I$1666)</f>
        <v>119.379837585241</v>
      </c>
      <c r="J1665" s="38" t="n">
        <f aca="false">Sens!$I$1665*(1+Sens!$J$1666)</f>
        <v>135.319079048844</v>
      </c>
      <c r="K1665" s="38" t="n">
        <f aca="false">Sens!$J$1665*(1+Sens!$K$1666)</f>
        <v>148.850986953729</v>
      </c>
      <c r="L1665" s="38" t="n">
        <f aca="false">Sens!$K$1665*(1+Sens!$L$1666)</f>
        <v>163.736085649102</v>
      </c>
      <c r="M1665" s="38" t="n">
        <f aca="false">Sens!$L$1665*(1+Sens!$M$1666)</f>
        <v>180.109694214012</v>
      </c>
      <c r="N1665" s="38" t="n">
        <f aca="false">Q!$N$13</f>
        <v>29.615</v>
      </c>
      <c r="O1665" s="38" t="n">
        <f aca="false">Q!$O$13</f>
        <v>39.02</v>
      </c>
      <c r="P1665" s="8" t="s">
        <v>621</v>
      </c>
    </row>
    <row r="1666" customFormat="false" ht="17.15" hidden="false" customHeight="false" outlineLevel="0" collapsed="false">
      <c r="A1666" s="0" t="s">
        <v>628</v>
      </c>
      <c r="B1666" s="0" t="s">
        <v>52</v>
      </c>
      <c r="E1666" s="12" t="n">
        <f aca="false">Sens!$E$1665/Sens!$N$1665-1</f>
        <v>0.25112274185379</v>
      </c>
      <c r="F1666" s="12" t="n">
        <f aca="false">Sens!$O$1665/(Q!$F$13+Q!$G$13)-1</f>
        <v>0.234068123596572</v>
      </c>
      <c r="G1666" s="12" t="n">
        <f aca="false">Sens!$G$1665/Sens!$D$1665-1</f>
        <v>0.241426942270536</v>
      </c>
      <c r="H1666" s="12" t="n">
        <f aca="false">Sens!$F$1666+(g_ad-Sens!$F$1666)*1/4</f>
        <v>0.200551092697429</v>
      </c>
      <c r="I1666" s="12" t="n">
        <f aca="false">Sens!$F$1666+(g_ad-Sens!$F$1666)*2/4</f>
        <v>0.167034061798286</v>
      </c>
      <c r="J1666" s="12" t="n">
        <f aca="false">Sens!$F$1666+(g_ad-Sens!$F$1666)*3/4</f>
        <v>0.133517030899143</v>
      </c>
      <c r="K1666" s="12" t="n">
        <f aca="false">Sens!$F$1666+(g_ad-Sens!$F$1666)*4/4</f>
        <v>0.1</v>
      </c>
      <c r="L1666" s="12" t="n">
        <f aca="false">g_ad</f>
        <v>0.1</v>
      </c>
      <c r="M1666" s="12" t="n">
        <f aca="false">g_ad</f>
        <v>0.1</v>
      </c>
      <c r="P1666" s="8" t="s">
        <v>629</v>
      </c>
    </row>
    <row r="1667" customFormat="false" ht="17.15" hidden="false" customHeight="false" outlineLevel="0" collapsed="false">
      <c r="A1667" s="0" t="s">
        <v>483</v>
      </c>
      <c r="B1667" s="0" t="s">
        <v>73</v>
      </c>
      <c r="C1667" s="38" t="n">
        <f aca="false">Q!$D$14</f>
        <v>44.374</v>
      </c>
      <c r="D1667" s="38" t="n">
        <f aca="false">Q!$E$14</f>
        <v>49.619</v>
      </c>
      <c r="E1667" s="38" t="n">
        <f aca="false">Q!$P$14</f>
        <v>27.157</v>
      </c>
      <c r="F1667" s="38" t="n">
        <f aca="false">Sens!$O$1667*(1+Sens!$F$1668)</f>
        <v>28.9776360923374</v>
      </c>
      <c r="G1667" s="38" t="n">
        <f aca="false">Sens!$E$1667+Sens!$F$1667</f>
        <v>56.1346360923374</v>
      </c>
      <c r="H1667" s="38" t="n">
        <f aca="false">Sens!$G$1667*(1+Sens!$H$1668)</f>
        <v>62.4937078946075</v>
      </c>
      <c r="I1667" s="38" t="n">
        <f aca="false">Sens!$H$1667*(1+Sens!$I$1668)</f>
        <v>68.6715233062498</v>
      </c>
      <c r="J1667" s="38" t="n">
        <f aca="false">Sens!$I$1667*(1+Sens!$J$1668)</f>
        <v>74.4692882949818</v>
      </c>
      <c r="K1667" s="38" t="n">
        <f aca="false">Sens!$J$1667*(1+Sens!$K$1668)</f>
        <v>79.6821384756306</v>
      </c>
      <c r="L1667" s="38" t="n">
        <f aca="false">Sens!$K$1667*(1+Sens!$L$1668)</f>
        <v>85.2598881689247</v>
      </c>
      <c r="M1667" s="38" t="n">
        <f aca="false">Sens!$L$1667*(1+Sens!$M$1668)</f>
        <v>91.2280803407494</v>
      </c>
      <c r="N1667" s="38" t="n">
        <f aca="false">Q!$N$14</f>
        <v>23.923</v>
      </c>
      <c r="O1667" s="38" t="n">
        <f aca="false">Q!$O$14</f>
        <v>25.696</v>
      </c>
      <c r="P1667" s="8" t="s">
        <v>621</v>
      </c>
    </row>
    <row r="1668" customFormat="false" ht="17.15" hidden="false" customHeight="false" outlineLevel="0" collapsed="false">
      <c r="A1668" s="0" t="s">
        <v>630</v>
      </c>
      <c r="B1668" s="0" t="s">
        <v>52</v>
      </c>
      <c r="E1668" s="12" t="n">
        <f aca="false">Sens!$E$1667/Sens!$N$1667-1</f>
        <v>0.135183714417088</v>
      </c>
      <c r="F1668" s="12" t="n">
        <f aca="false">Sens!$O$1667/(Q!$F$14+Q!$G$14)-1</f>
        <v>0.127709997366804</v>
      </c>
      <c r="G1668" s="12" t="n">
        <f aca="false">Sens!$G$1667/Sens!$D$1667-1</f>
        <v>0.131313329416905</v>
      </c>
      <c r="H1668" s="12" t="n">
        <f aca="false">Sens!$F$1668+(g_sub-Sens!$F$1668)*1/4</f>
        <v>0.113282498025103</v>
      </c>
      <c r="I1668" s="12" t="n">
        <f aca="false">Sens!$F$1668+(g_sub-Sens!$F$1668)*2/4</f>
        <v>0.0988549986834021</v>
      </c>
      <c r="J1668" s="12" t="n">
        <f aca="false">Sens!$F$1668+(g_sub-Sens!$F$1668)*3/4</f>
        <v>0.084427499341701</v>
      </c>
      <c r="K1668" s="12" t="n">
        <f aca="false">Sens!$F$1668+(g_sub-Sens!$F$1668)*4/4</f>
        <v>0.07</v>
      </c>
      <c r="L1668" s="12" t="n">
        <f aca="false">g_sub</f>
        <v>0.07</v>
      </c>
      <c r="M1668" s="12" t="n">
        <f aca="false">g_sub</f>
        <v>0.07</v>
      </c>
      <c r="P1668" s="8" t="s">
        <v>631</v>
      </c>
    </row>
    <row r="1669" customFormat="false" ht="17.15" hidden="false" customHeight="false" outlineLevel="0" collapsed="false">
      <c r="A1669" s="0" t="s">
        <v>484</v>
      </c>
      <c r="B1669" s="0" t="s">
        <v>73</v>
      </c>
      <c r="C1669" s="38" t="n">
        <f aca="false">Q!$D$15</f>
        <v>5.425</v>
      </c>
      <c r="D1669" s="38" t="n">
        <f aca="false">Q!$E$15</f>
        <v>5.935</v>
      </c>
      <c r="E1669" s="38" t="n">
        <f aca="false">Q!$P$15</f>
        <v>3.474</v>
      </c>
      <c r="F1669" s="38" t="n">
        <f aca="false">Sens!$O$1669*(1+Sens!$F$1670)</f>
        <v>3.36182431966931</v>
      </c>
      <c r="G1669" s="38" t="n">
        <f aca="false">Sens!$E$1669+Sens!$F$1669</f>
        <v>6.83582431966931</v>
      </c>
      <c r="H1669" s="38" t="n">
        <f aca="false">Sens!$G$1669*(1+Sens!$H$1670)</f>
        <v>7.31157108370141</v>
      </c>
      <c r="I1669" s="38" t="n">
        <f aca="false">Sens!$H$1669*(1+Sens!$I$1670)</f>
        <v>7.77266852639815</v>
      </c>
      <c r="J1669" s="38" t="n">
        <f aca="false">Sens!$I$1669*(1+Sens!$J$1670)</f>
        <v>8.2120733019884</v>
      </c>
      <c r="K1669" s="38" t="n">
        <f aca="false">Sens!$J$1669*(1+Sens!$K$1670)</f>
        <v>8.62267696708783</v>
      </c>
      <c r="L1669" s="38" t="n">
        <f aca="false">Sens!$K$1669*(1+Sens!$L$1670)</f>
        <v>9.05381081544222</v>
      </c>
      <c r="M1669" s="38" t="n">
        <f aca="false">Sens!$L$1669*(1+Sens!$M$1670)</f>
        <v>9.50650135621433</v>
      </c>
      <c r="N1669" s="38" t="n">
        <f aca="false">Q!$N$15</f>
        <v>2.811</v>
      </c>
      <c r="O1669" s="38" t="n">
        <f aca="false">Q!$O$15</f>
        <v>3.124</v>
      </c>
      <c r="P1669" s="8" t="s">
        <v>621</v>
      </c>
    </row>
    <row r="1670" customFormat="false" ht="17.15" hidden="false" customHeight="false" outlineLevel="0" collapsed="false">
      <c r="A1670" s="0" t="s">
        <v>632</v>
      </c>
      <c r="B1670" s="0" t="s">
        <v>52</v>
      </c>
      <c r="E1670" s="12" t="n">
        <f aca="false">Sens!$E$1669/Sens!$N$1669-1</f>
        <v>0.235859124866596</v>
      </c>
      <c r="F1670" s="12" t="n">
        <f aca="false">Sens!$O$1669/(Q!$F$15+Q!$G$15)-1</f>
        <v>0.0761281433000345</v>
      </c>
      <c r="G1670" s="12" t="n">
        <f aca="false">Sens!$G$1669/Sens!$D$1669-1</f>
        <v>0.151781688234087</v>
      </c>
      <c r="H1670" s="12" t="n">
        <f aca="false">Sens!$F$1670+(g_ot-Sens!$F$1670)*1/4</f>
        <v>0.0695961074750259</v>
      </c>
      <c r="I1670" s="12" t="n">
        <f aca="false">Sens!$F$1670+(g_ot-Sens!$F$1670)*2/4</f>
        <v>0.0630640716500172</v>
      </c>
      <c r="J1670" s="12" t="n">
        <f aca="false">Sens!$F$1670+(g_ot-Sens!$F$1670)*3/4</f>
        <v>0.0565320358250086</v>
      </c>
      <c r="K1670" s="12" t="n">
        <f aca="false">Sens!$F$1670+(g_ot-Sens!$F$1670)*4/4</f>
        <v>0.05</v>
      </c>
      <c r="L1670" s="12" t="n">
        <f aca="false">g_ot</f>
        <v>0.05</v>
      </c>
      <c r="M1670" s="12" t="n">
        <f aca="false">g_ot</f>
        <v>0.05</v>
      </c>
      <c r="P1670" s="8" t="s">
        <v>633</v>
      </c>
    </row>
    <row r="1671" customFormat="false" ht="17.15" hidden="false" customHeight="false" outlineLevel="0" collapsed="false">
      <c r="A1671" s="3" t="s">
        <v>634</v>
      </c>
      <c r="B1671" s="8" t="s">
        <v>73</v>
      </c>
      <c r="C1671" s="38" t="n">
        <f aca="false">Sens!$C$1659+Sens!$C$1661+Sens!$C$1663+Sens!$C$1665+Sens!$C$1667+Sens!$C$1669</f>
        <v>530.403</v>
      </c>
      <c r="D1671" s="38" t="n">
        <f aca="false">Sens!$D$1659+Sens!$D$1661+Sens!$D$1663+Sens!$D$1665+Sens!$D$1667+Sens!$D$1669</f>
        <v>588.199</v>
      </c>
      <c r="E1671" s="38" t="n">
        <f aca="false">Sens!$E$1659+Sens!$E$1661+Sens!$E$1663+Sens!$E$1665+Sens!$E$1667+Sens!$E$1669</f>
        <v>302.306</v>
      </c>
      <c r="F1671" s="38" t="n">
        <f aca="false">Sens!$F$1659+Sens!$F$1661+Sens!$F$1663+Sens!$F$1665+Sens!$F$1667+Sens!$F$1669</f>
        <v>356.93642920843</v>
      </c>
      <c r="G1671" s="38" t="n">
        <f aca="false">Sens!$G$1659+Sens!$G$1661+Sens!$G$1663+Sens!$G$1665+Sens!$G$1667+Sens!$G$1669</f>
        <v>659.24242920843</v>
      </c>
      <c r="H1671" s="38" t="n">
        <f aca="false">Sens!$H$1659+Sens!$H$1661+Sens!$H$1663+Sens!$H$1665+Sens!$H$1667+Sens!$H$1669</f>
        <v>729.935737621701</v>
      </c>
      <c r="I1671" s="38" t="n">
        <f aca="false">Sens!$I$1659+Sens!$I$1661+Sens!$I$1663+Sens!$I$1665+Sens!$I$1667+Sens!$I$1669</f>
        <v>798.295569697873</v>
      </c>
      <c r="J1671" s="38" t="n">
        <f aca="false">Sens!$J$1659+Sens!$J$1661+Sens!$J$1663+Sens!$J$1665+Sens!$J$1667+Sens!$J$1669</f>
        <v>861.736822325785</v>
      </c>
      <c r="K1671" s="38" t="n">
        <f aca="false">Sens!$K$1659+Sens!$K$1661+Sens!$K$1663+Sens!$K$1665+Sens!$K$1667+Sens!$K$1669</f>
        <v>917.557492101925</v>
      </c>
      <c r="L1671" s="38" t="n">
        <f aca="false">Sens!$L$1659+Sens!$L$1661+Sens!$L$1663+Sens!$L$1665+Sens!$L$1667+Sens!$L$1669</f>
        <v>977.285089743165</v>
      </c>
      <c r="M1671" s="38" t="n">
        <f aca="false">Sens!$M$1659+Sens!$M$1661+Sens!$M$1663+Sens!$M$1665+Sens!$M$1667+Sens!$M$1669</f>
        <v>1041.2140185435</v>
      </c>
      <c r="N1671" s="38" t="n">
        <f aca="false">Sens!$N$1659+Sens!$N$1661+Sens!$N$1663+Sens!$N$1665+Sens!$N$1667+Sens!$N$1669</f>
        <v>263.229</v>
      </c>
      <c r="O1671" s="38" t="n">
        <f aca="false">Sens!$O$1659+Sens!$O$1661+Sens!$O$1663+Sens!$O$1665+Sens!$O$1667+Sens!$O$1669</f>
        <v>324.97</v>
      </c>
    </row>
    <row r="1672" customFormat="false" ht="17.15" hidden="false" customHeight="false" outlineLevel="0" collapsed="false">
      <c r="A1672" s="5" t="s">
        <v>635</v>
      </c>
      <c r="B1672" s="0" t="s">
        <v>52</v>
      </c>
      <c r="C1672" s="12" t="n">
        <f aca="false">Q!$D$5/(Q!$D$5+Q!$D$6)</f>
        <v>0.730570905519011</v>
      </c>
      <c r="D1672" s="12" t="n">
        <f aca="false">Q!$E$5/(Q!$E$5+Q!$E$6)</f>
        <v>0.724763217890544</v>
      </c>
      <c r="E1672" s="12" t="n">
        <f aca="false">Q!$P$5/(Q!$P$5+Q!$P$6)</f>
        <v>0.728797972914861</v>
      </c>
      <c r="F1672" s="12" t="n">
        <f aca="false">Sens!$O$1672</f>
        <v>0.718066283041511</v>
      </c>
      <c r="G1672" s="12" t="n">
        <f aca="false">Sens!$G$1673/Sens!$G$1671</f>
        <v>0.722987468473627</v>
      </c>
      <c r="H1672" s="12" t="n">
        <f aca="false">Sens!$G$1672</f>
        <v>0.722987468473627</v>
      </c>
      <c r="I1672" s="12" t="n">
        <f aca="false">Sens!$G$1672</f>
        <v>0.722987468473627</v>
      </c>
      <c r="J1672" s="12" t="n">
        <f aca="false">Sens!$G$1672</f>
        <v>0.722987468473627</v>
      </c>
      <c r="K1672" s="12" t="n">
        <f aca="false">Sens!$G$1672</f>
        <v>0.722987468473627</v>
      </c>
      <c r="L1672" s="12" t="n">
        <f aca="false">Sens!$G$1672</f>
        <v>0.722987468473627</v>
      </c>
      <c r="M1672" s="12" t="n">
        <f aca="false">Sens!$G$1672</f>
        <v>0.722987468473627</v>
      </c>
      <c r="N1672" s="12" t="n">
        <f aca="false">Q!$N$5/(Q!$N$5+Q!$N$6)</f>
        <v>0.733030935041352</v>
      </c>
      <c r="O1672" s="12" t="n">
        <f aca="false">Q!$O$5/(Q!$O$5+Q!$O$6)</f>
        <v>0.718066283041511</v>
      </c>
      <c r="P1672" s="8" t="s">
        <v>636</v>
      </c>
    </row>
    <row r="1673" customFormat="false" ht="17.15" hidden="false" customHeight="false" outlineLevel="0" collapsed="false">
      <c r="A1673" s="1" t="s">
        <v>472</v>
      </c>
      <c r="B1673" s="8" t="s">
        <v>73</v>
      </c>
      <c r="C1673" s="38" t="n">
        <f aca="false">Q!$D$5</f>
        <v>387.497</v>
      </c>
      <c r="D1673" s="38" t="n">
        <f aca="false">Q!$E$5</f>
        <v>426.305</v>
      </c>
      <c r="E1673" s="38" t="n">
        <f aca="false">Q!$P$5</f>
        <v>220.32</v>
      </c>
      <c r="F1673" s="38" t="n">
        <f aca="false">Sens!$F$1671*Sens!$F$1672</f>
        <v>256.304015003807</v>
      </c>
      <c r="G1673" s="38" t="n">
        <f aca="false">Sens!$E$1673+Sens!$F$1673</f>
        <v>476.624015003807</v>
      </c>
      <c r="H1673" s="38" t="n">
        <f aca="false">Sens!$H$1671*Sens!$H$1672</f>
        <v>527.734391091543</v>
      </c>
      <c r="I1673" s="38" t="n">
        <f aca="false">Sens!$I$1671*Sens!$I$1672</f>
        <v>577.157693029577</v>
      </c>
      <c r="J1673" s="38" t="n">
        <f aca="false">Sens!$J$1671*Sens!$J$1672</f>
        <v>623.024923663827</v>
      </c>
      <c r="K1673" s="38" t="n">
        <f aca="false">Sens!$K$1671*Sens!$K$1672</f>
        <v>663.382568393781</v>
      </c>
      <c r="L1673" s="38" t="n">
        <f aca="false">Sens!$L$1671*Sens!$L$1672</f>
        <v>706.564873010432</v>
      </c>
      <c r="M1673" s="38" t="n">
        <f aca="false">Sens!$M$1671*Sens!$M$1672</f>
        <v>752.784687406019</v>
      </c>
      <c r="N1673" s="38" t="n">
        <f aca="false">Q!$N$5</f>
        <v>192.955</v>
      </c>
      <c r="O1673" s="38" t="n">
        <f aca="false">Q!$O$5</f>
        <v>233.35</v>
      </c>
      <c r="P1673" s="5" t="s">
        <v>637</v>
      </c>
    </row>
    <row r="1674" customFormat="false" ht="17.15" hidden="false" customHeight="false" outlineLevel="0" collapsed="false">
      <c r="A1674" s="1" t="s">
        <v>475</v>
      </c>
      <c r="B1674" s="8" t="s">
        <v>73</v>
      </c>
      <c r="C1674" s="38" t="n">
        <f aca="false">Q!$D$6</f>
        <v>142.906</v>
      </c>
      <c r="D1674" s="38" t="n">
        <f aca="false">Q!$E$6</f>
        <v>161.894</v>
      </c>
      <c r="E1674" s="38" t="n">
        <f aca="false">Q!$P$6</f>
        <v>81.986</v>
      </c>
      <c r="F1674" s="38" t="n">
        <f aca="false">Sens!$F$1671*(1-Sens!$F$1672)</f>
        <v>100.632414204623</v>
      </c>
      <c r="G1674" s="38" t="n">
        <f aca="false">Sens!$E$1674+Sens!$F$1674</f>
        <v>182.618414204623</v>
      </c>
      <c r="H1674" s="38" t="n">
        <f aca="false">Sens!$H$1671*(1-Sens!$H$1672)</f>
        <v>202.201346530158</v>
      </c>
      <c r="I1674" s="38" t="n">
        <f aca="false">Sens!$I$1671*(1-Sens!$I$1672)</f>
        <v>221.137876668296</v>
      </c>
      <c r="J1674" s="38" t="n">
        <f aca="false">Sens!$J$1671*(1-Sens!$J$1672)</f>
        <v>238.711898661958</v>
      </c>
      <c r="K1674" s="38" t="n">
        <f aca="false">Sens!$K$1671*(1-Sens!$K$1672)</f>
        <v>254.174923708144</v>
      </c>
      <c r="L1674" s="38" t="n">
        <f aca="false">Sens!$L$1671*(1-Sens!$L$1672)</f>
        <v>270.720216732733</v>
      </c>
      <c r="M1674" s="38" t="n">
        <f aca="false">Sens!$M$1671*(1-Sens!$M$1672)</f>
        <v>288.429331137484</v>
      </c>
      <c r="N1674" s="38" t="n">
        <f aca="false">Q!$N$6</f>
        <v>70.274</v>
      </c>
      <c r="O1674" s="38" t="n">
        <f aca="false">Q!$O$6</f>
        <v>91.62</v>
      </c>
      <c r="P1674" s="5" t="s">
        <v>638</v>
      </c>
    </row>
    <row r="1675" customFormat="false" ht="17.15" hidden="false" customHeight="false" outlineLevel="0" collapsed="false">
      <c r="A1675" s="5" t="s">
        <v>639</v>
      </c>
      <c r="B1675" s="0" t="s">
        <v>73</v>
      </c>
      <c r="C1675" s="38" t="n">
        <f aca="false">Sens!$C$1665*Sens!$C$1672</f>
        <v>41.0683128828457</v>
      </c>
      <c r="D1675" s="38" t="n">
        <f aca="false">Sens!$D$1665*Sens!$D$1672</f>
        <v>49.7441234599175</v>
      </c>
      <c r="E1675" s="38" t="n">
        <f aca="false">Sens!$E$1665*Sens!$E$1672</f>
        <v>27.0034224924414</v>
      </c>
      <c r="F1675" s="38" t="n">
        <f aca="false">Sens!$F$1665*Sens!$F$1672</f>
        <v>34.5772885649197</v>
      </c>
      <c r="G1675" s="38" t="n">
        <f aca="false">Sens!$G$1665*Sens!$G$1672</f>
        <v>61.6023917531772</v>
      </c>
      <c r="H1675" s="38" t="n">
        <f aca="false">Sens!$H$1665*Sens!$H$1672</f>
        <v>73.9568187320519</v>
      </c>
      <c r="I1675" s="38" t="n">
        <f aca="false">Sens!$I$1665*Sens!$I$1672</f>
        <v>86.3101265625461</v>
      </c>
      <c r="J1675" s="38" t="n">
        <f aca="false">Sens!$J$1665*Sens!$J$1672</f>
        <v>97.8339983977065</v>
      </c>
      <c r="K1675" s="38" t="n">
        <f aca="false">Sens!$K$1665*Sens!$K$1672</f>
        <v>107.617398237477</v>
      </c>
      <c r="L1675" s="38" t="n">
        <f aca="false">Sens!$L$1665*Sens!$L$1672</f>
        <v>118.379138061225</v>
      </c>
      <c r="M1675" s="38" t="n">
        <f aca="false">Sens!$M$1665*Sens!$M$1672</f>
        <v>130.217051867347</v>
      </c>
      <c r="N1675" s="38" t="n">
        <f aca="false">Sens!$N$1665*Sens!$N$1672</f>
        <v>21.7087111412496</v>
      </c>
      <c r="O1675" s="38" t="n">
        <f aca="false">Sens!$O$1665*Sens!$O$1672</f>
        <v>28.0189463642798</v>
      </c>
      <c r="P1675" s="5" t="s">
        <v>640</v>
      </c>
    </row>
    <row r="1676" customFormat="false" ht="15" hidden="false" customHeight="false" outlineLevel="0" collapsed="false">
      <c r="A1676" s="5" t="s">
        <v>641</v>
      </c>
      <c r="B1676" s="0" t="s">
        <v>73</v>
      </c>
      <c r="C1676" s="38" t="n">
        <f aca="false">Sens!$C$1665-Sens!$C$1675</f>
        <v>15.1456871171543</v>
      </c>
      <c r="D1676" s="38" t="n">
        <f aca="false">Sens!$D$1665-Sens!$D$1675</f>
        <v>18.8908765400825</v>
      </c>
      <c r="E1676" s="38" t="n">
        <f aca="false">Sens!$E$1665-Sens!$E$1675</f>
        <v>10.0485775075586</v>
      </c>
      <c r="F1676" s="38" t="n">
        <f aca="false">Sens!$F$1665-Sens!$F$1675</f>
        <v>13.5760496178185</v>
      </c>
      <c r="G1676" s="38" t="n">
        <f aca="false">Sens!$G$1665-Sens!$G$1675</f>
        <v>23.6029464295611</v>
      </c>
      <c r="H1676" s="38" t="n">
        <f aca="false">Sens!$H$1665-Sens!$H$1675</f>
        <v>28.3365431268884</v>
      </c>
      <c r="I1676" s="38" t="n">
        <f aca="false">Sens!$I$1665-Sens!$I$1675</f>
        <v>33.0697110226949</v>
      </c>
      <c r="J1676" s="38" t="n">
        <f aca="false">Sens!$J$1665-Sens!$J$1675</f>
        <v>37.4850806511378</v>
      </c>
      <c r="K1676" s="38" t="n">
        <f aca="false">Sens!$K$1665-Sens!$K$1675</f>
        <v>41.2335887162515</v>
      </c>
      <c r="L1676" s="38" t="n">
        <f aca="false">Sens!$L$1665-Sens!$L$1675</f>
        <v>45.3569475878767</v>
      </c>
      <c r="M1676" s="38" t="n">
        <f aca="false">Sens!$M$1665-Sens!$M$1675</f>
        <v>49.8926423466644</v>
      </c>
      <c r="N1676" s="38" t="n">
        <f aca="false">Sens!$N$1665-Sens!$N$1675</f>
        <v>7.90628885875037</v>
      </c>
      <c r="O1676" s="38" t="n">
        <f aca="false">Sens!$O$1665-Sens!$O$1675</f>
        <v>11.0010536357202</v>
      </c>
    </row>
    <row r="1677" customFormat="false" ht="19.4" hidden="false" customHeight="false" outlineLevel="0" collapsed="false">
      <c r="A1677" s="31" t="s">
        <v>1079</v>
      </c>
    </row>
    <row r="1678" customFormat="false" ht="17.15" hidden="false" customHeight="false" outlineLevel="0" collapsed="false">
      <c r="A1678" s="6" t="s">
        <v>16</v>
      </c>
      <c r="B1678" s="6" t="s">
        <v>17</v>
      </c>
      <c r="C1678" s="20" t="s">
        <v>457</v>
      </c>
      <c r="D1678" s="20" t="s">
        <v>458</v>
      </c>
      <c r="E1678" s="20" t="s">
        <v>540</v>
      </c>
      <c r="F1678" s="20" t="s">
        <v>541</v>
      </c>
      <c r="G1678" s="20" t="s">
        <v>542</v>
      </c>
      <c r="H1678" s="20" t="s">
        <v>543</v>
      </c>
      <c r="I1678" s="20" t="s">
        <v>544</v>
      </c>
      <c r="J1678" s="20" t="s">
        <v>545</v>
      </c>
      <c r="K1678" s="20" t="s">
        <v>546</v>
      </c>
      <c r="L1678" s="20" t="s">
        <v>547</v>
      </c>
      <c r="M1678" s="20" t="s">
        <v>548</v>
      </c>
      <c r="N1678" s="20" t="s">
        <v>549</v>
      </c>
      <c r="O1678" s="20" t="s">
        <v>550</v>
      </c>
      <c r="P1678" s="6" t="s">
        <v>23</v>
      </c>
      <c r="R1678" s="20" t="n">
        <v>2023</v>
      </c>
      <c r="S1678" s="20" t="n">
        <v>2024</v>
      </c>
      <c r="T1678" s="20" t="n">
        <v>2025</v>
      </c>
      <c r="U1678" s="20" t="n">
        <v>2026</v>
      </c>
      <c r="V1678" s="20" t="n">
        <v>2027</v>
      </c>
      <c r="W1678" s="20" t="n">
        <v>2028</v>
      </c>
      <c r="X1678" s="20" t="n">
        <v>2029</v>
      </c>
      <c r="Y1678" s="20" t="n">
        <v>2030</v>
      </c>
      <c r="Z1678" s="20" t="n">
        <v>2031</v>
      </c>
      <c r="AA1678" s="20" t="n">
        <v>2032</v>
      </c>
    </row>
    <row r="1679" customFormat="false" ht="17.15" hidden="false" customHeight="false" outlineLevel="0" collapsed="false">
      <c r="A1679" s="1" t="s">
        <v>551</v>
      </c>
    </row>
    <row r="1680" customFormat="false" ht="17.15" hidden="false" customHeight="false" outlineLevel="0" collapsed="false">
      <c r="A1680" s="14" t="s">
        <v>552</v>
      </c>
      <c r="B1680" s="13" t="s">
        <v>108</v>
      </c>
      <c r="C1680" s="32" t="n">
        <f aca="false">mw_ye24</f>
        <v>360</v>
      </c>
      <c r="D1680" s="32" t="n">
        <f aca="false">mw_ye25</f>
        <v>1440</v>
      </c>
      <c r="E1680" s="32" t="n">
        <f aca="false">mw_open</f>
        <v>2080</v>
      </c>
      <c r="F1680" s="32" t="n">
        <f aca="false">Sens!$E$1680+pace_B*0.5</f>
        <v>3897.15</v>
      </c>
      <c r="G1680" s="32" t="n">
        <f aca="false">Sens!$F$1680</f>
        <v>3897.15</v>
      </c>
      <c r="H1680" s="32" t="n">
        <f aca="false">Sens!$G$1680+pace_B</f>
        <v>7531.45</v>
      </c>
      <c r="I1680" s="32" t="n">
        <f aca="false">Sens!$H$1680+pace_B</f>
        <v>11165.75</v>
      </c>
      <c r="J1680" s="32" t="n">
        <f aca="false">Sens!$I$1680+pace_B</f>
        <v>14800.05</v>
      </c>
      <c r="K1680" s="32" t="n">
        <f aca="false">Sens!$J$1680+pace_B</f>
        <v>18434.35</v>
      </c>
      <c r="L1680" s="32" t="n">
        <f aca="false">Sens!$K$1680+pace_B</f>
        <v>22068.65</v>
      </c>
      <c r="M1680" s="32" t="n">
        <f aca="false">Sens!$L$1680+pace_B</f>
        <v>25702.95</v>
      </c>
      <c r="N1680" s="32" t="n">
        <f aca="false">(mw_ye24+mw_ye25)/2</f>
        <v>900</v>
      </c>
      <c r="O1680" s="32" t="n">
        <f aca="false">mw_ye25</f>
        <v>1440</v>
      </c>
      <c r="P1680" s="5" t="s">
        <v>553</v>
      </c>
    </row>
    <row r="1681" customFormat="false" ht="17.15" hidden="false" customHeight="false" outlineLevel="0" collapsed="false">
      <c r="A1681" s="5" t="s">
        <v>554</v>
      </c>
      <c r="B1681" s="0" t="s">
        <v>108</v>
      </c>
      <c r="C1681" s="33" t="n">
        <f aca="false">(mw_ye23+mw_ye24)/2</f>
        <v>240</v>
      </c>
      <c r="D1681" s="33" t="n">
        <f aca="false">(Sens!$C$1680+Sens!$D$1680)/2</f>
        <v>900</v>
      </c>
      <c r="E1681" s="33" t="n">
        <f aca="false">(Sens!$D$1680+Sens!$E$1680)/2</f>
        <v>1760</v>
      </c>
      <c r="F1681" s="33" t="n">
        <f aca="false">(Sens!$E$1680+Sens!$F$1680)/2</f>
        <v>2988.575</v>
      </c>
      <c r="G1681" s="33" t="n">
        <f aca="false">(Sens!$E$1681+Sens!$F$1681)/2</f>
        <v>2374.2875</v>
      </c>
      <c r="H1681" s="33" t="n">
        <f aca="false">(Sens!$G$1680+Sens!$H$1680)/2</f>
        <v>5714.3</v>
      </c>
      <c r="I1681" s="33" t="n">
        <f aca="false">(Sens!$H$1680+Sens!$I$1680)/2</f>
        <v>9348.6</v>
      </c>
      <c r="J1681" s="33" t="n">
        <f aca="false">(Sens!$I$1680+Sens!$J$1680)/2</f>
        <v>12982.9</v>
      </c>
      <c r="K1681" s="33" t="n">
        <f aca="false">(Sens!$J$1680+Sens!$K$1680)/2</f>
        <v>16617.2</v>
      </c>
      <c r="L1681" s="33" t="n">
        <f aca="false">(Sens!$K$1680+Sens!$L$1680)/2</f>
        <v>20251.5</v>
      </c>
      <c r="M1681" s="33" t="n">
        <f aca="false">(Sens!$L$1680+Sens!$M$1680)/2</f>
        <v>23885.8</v>
      </c>
      <c r="N1681" s="33" t="n">
        <f aca="false">(Sens!$C$1680+Sens!$N$1680)/2</f>
        <v>630</v>
      </c>
      <c r="O1681" s="33" t="n">
        <f aca="false">(Sens!$N$1680+Sens!$O$1680)/2</f>
        <v>1170</v>
      </c>
    </row>
    <row r="1682" customFormat="false" ht="15" hidden="false" customHeight="false" outlineLevel="0" collapsed="false">
      <c r="A1682" s="5" t="s">
        <v>555</v>
      </c>
      <c r="B1682" s="5" t="s">
        <v>102</v>
      </c>
      <c r="C1682" s="34" t="n">
        <v>1</v>
      </c>
      <c r="D1682" s="34" t="n">
        <v>1</v>
      </c>
      <c r="E1682" s="34" t="n">
        <v>0.5</v>
      </c>
      <c r="F1682" s="34" t="n">
        <v>0.5</v>
      </c>
      <c r="G1682" s="34" t="n">
        <v>1</v>
      </c>
      <c r="H1682" s="34" t="n">
        <v>1</v>
      </c>
      <c r="I1682" s="34" t="n">
        <v>1</v>
      </c>
      <c r="J1682" s="34" t="n">
        <v>1</v>
      </c>
      <c r="K1682" s="34" t="n">
        <v>1</v>
      </c>
      <c r="L1682" s="34" t="n">
        <v>1</v>
      </c>
      <c r="M1682" s="34" t="n">
        <v>1</v>
      </c>
      <c r="N1682" s="34" t="n">
        <v>0.5</v>
      </c>
      <c r="O1682" s="34" t="n">
        <v>0.5</v>
      </c>
    </row>
    <row r="1683" customFormat="false" ht="17.15" hidden="false" customHeight="false" outlineLevel="0" collapsed="false">
      <c r="A1683" s="5" t="s">
        <v>556</v>
      </c>
      <c r="B1683" s="0" t="s">
        <v>108</v>
      </c>
      <c r="C1683" s="33" t="n">
        <f aca="false">Sens!$C$1680-mw_ye23</f>
        <v>240</v>
      </c>
      <c r="D1683" s="33" t="n">
        <f aca="false">Sens!$D$1680-Sens!$C$1680</f>
        <v>1080</v>
      </c>
      <c r="E1683" s="33" t="n">
        <f aca="false">Sens!$E$1680-Sens!$D$1680</f>
        <v>640</v>
      </c>
      <c r="F1683" s="33" t="n">
        <f aca="false">Sens!$F$1680-Sens!$E$1680</f>
        <v>1817.15</v>
      </c>
      <c r="G1683" s="33" t="n">
        <f aca="false">Sens!$E$1683+Sens!$F$1683</f>
        <v>2457.15</v>
      </c>
      <c r="H1683" s="33" t="n">
        <f aca="false">Sens!$H$1680-Sens!$G$1680</f>
        <v>3634.3</v>
      </c>
      <c r="I1683" s="33" t="n">
        <f aca="false">Sens!$I$1680-Sens!$H$1680</f>
        <v>3634.3</v>
      </c>
      <c r="J1683" s="33" t="n">
        <f aca="false">Sens!$J$1680-Sens!$I$1680</f>
        <v>3634.3</v>
      </c>
      <c r="K1683" s="33" t="n">
        <f aca="false">Sens!$K$1680-Sens!$J$1680</f>
        <v>3634.3</v>
      </c>
      <c r="L1683" s="33" t="n">
        <f aca="false">Sens!$L$1680-Sens!$K$1680</f>
        <v>3634.3</v>
      </c>
      <c r="M1683" s="33" t="n">
        <f aca="false">Sens!$M$1680-Sens!$L$1680</f>
        <v>3634.3</v>
      </c>
      <c r="N1683" s="33" t="n">
        <f aca="false">Sens!$N$1680-Sens!$C$1680</f>
        <v>540</v>
      </c>
      <c r="O1683" s="33" t="n">
        <f aca="false">Sens!$O$1680-Sens!$N$1680</f>
        <v>540</v>
      </c>
    </row>
    <row r="1684" customFormat="false" ht="17.15" hidden="false" customHeight="false" outlineLevel="0" collapsed="false">
      <c r="A1684" s="5" t="s">
        <v>557</v>
      </c>
      <c r="B1684" s="0" t="s">
        <v>108</v>
      </c>
      <c r="C1684" s="33" t="n">
        <f aca="false">Sens!$C$1683/ext_sh</f>
        <v>300</v>
      </c>
      <c r="D1684" s="33" t="n">
        <f aca="false">Sens!$D$1683/ext_sh</f>
        <v>1350</v>
      </c>
      <c r="E1684" s="33" t="n">
        <f aca="false">Sens!$E$1683/ext_sh</f>
        <v>800</v>
      </c>
      <c r="F1684" s="33" t="n">
        <f aca="false">Sens!$F$1683/ext_sh</f>
        <v>2271.4375</v>
      </c>
      <c r="G1684" s="33" t="n">
        <f aca="false">Sens!$G$1683/ext_sh</f>
        <v>3071.4375</v>
      </c>
      <c r="H1684" s="33" t="n">
        <f aca="false">Sens!$H$1683/ext_sh</f>
        <v>4542.875</v>
      </c>
      <c r="I1684" s="33" t="n">
        <f aca="false">Sens!$I$1683/ext_sh</f>
        <v>4542.875</v>
      </c>
      <c r="J1684" s="33" t="n">
        <f aca="false">Sens!$J$1683/ext_sh</f>
        <v>4542.875</v>
      </c>
      <c r="K1684" s="33" t="n">
        <f aca="false">Sens!$K$1683/ext_sh</f>
        <v>4542.875</v>
      </c>
      <c r="L1684" s="33" t="n">
        <f aca="false">Sens!$L$1683/ext_sh</f>
        <v>4542.875</v>
      </c>
      <c r="M1684" s="33" t="n">
        <f aca="false">Sens!$M$1683/ext_sh</f>
        <v>4542.875</v>
      </c>
      <c r="N1684" s="33" t="n">
        <f aca="false">Sens!$N$1683/ext_sh</f>
        <v>675</v>
      </c>
      <c r="O1684" s="33" t="n">
        <f aca="false">Sens!$O$1683/ext_sh</f>
        <v>675</v>
      </c>
      <c r="P1684" s="8" t="s">
        <v>558</v>
      </c>
      <c r="R1684" s="33" t="n">
        <f aca="false">mw_ye23/ext_sh</f>
        <v>150</v>
      </c>
      <c r="S1684" s="33" t="n">
        <f aca="false">Sens!$C$1684</f>
        <v>300</v>
      </c>
      <c r="T1684" s="33" t="n">
        <f aca="false">Sens!$D$1684</f>
        <v>1350</v>
      </c>
      <c r="U1684" s="33" t="n">
        <f aca="false">Sens!$G$1684</f>
        <v>3071.4375</v>
      </c>
      <c r="V1684" s="33" t="n">
        <f aca="false">Sens!$H$1684</f>
        <v>4542.875</v>
      </c>
      <c r="W1684" s="33" t="n">
        <f aca="false">Sens!$I$1684</f>
        <v>4542.875</v>
      </c>
      <c r="X1684" s="33" t="n">
        <f aca="false">Sens!$J$1684</f>
        <v>4542.875</v>
      </c>
      <c r="Y1684" s="33" t="n">
        <f aca="false">Sens!$K$1684</f>
        <v>4542.875</v>
      </c>
      <c r="Z1684" s="33" t="n">
        <f aca="false">Sens!$L$1684</f>
        <v>4542.875</v>
      </c>
      <c r="AA1684" s="33" t="n">
        <f aca="false">Sens!$M$1684</f>
        <v>4542.875</v>
      </c>
    </row>
    <row r="1685" customFormat="false" ht="17.15" hidden="false" customHeight="false" outlineLevel="0" collapsed="false">
      <c r="A1685" s="1" t="s">
        <v>559</v>
      </c>
    </row>
    <row r="1686" customFormat="false" ht="17.15" hidden="false" customHeight="false" outlineLevel="0" collapsed="false">
      <c r="A1686" s="0" t="s">
        <v>560</v>
      </c>
      <c r="B1686" s="0" t="s">
        <v>52</v>
      </c>
      <c r="F1686" s="35" t="n">
        <f aca="false">na_vr26</f>
        <v>0</v>
      </c>
      <c r="G1686" s="35" t="n">
        <f aca="false">na_vr26</f>
        <v>0</v>
      </c>
      <c r="H1686" s="35" t="n">
        <f aca="false">na_vr27</f>
        <v>0.5</v>
      </c>
      <c r="I1686" s="35" t="n">
        <f aca="false">na_vr28</f>
        <v>1</v>
      </c>
      <c r="J1686" s="35" t="n">
        <f aca="false">na_vr28</f>
        <v>1</v>
      </c>
      <c r="K1686" s="35" t="n">
        <f aca="false">na_vr28</f>
        <v>1</v>
      </c>
      <c r="L1686" s="35" t="n">
        <f aca="false">na_vr28</f>
        <v>1</v>
      </c>
      <c r="M1686" s="35" t="n">
        <f aca="false">na_vr28</f>
        <v>1</v>
      </c>
    </row>
    <row r="1687" customFormat="false" ht="17.15" hidden="false" customHeight="false" outlineLevel="0" collapsed="false">
      <c r="A1687" s="5" t="s">
        <v>561</v>
      </c>
      <c r="B1687" s="0" t="s">
        <v>151</v>
      </c>
      <c r="F1687" s="36" t="n">
        <f aca="false">cust_sh*tk_he_gb300*cf_chip+(1-cust_sh)*((1-Sens!$F$1686)*tk_he_gb300+Sens!$F$1686*tk_he_vr200)</f>
        <v>10.8864110021101</v>
      </c>
      <c r="G1687" s="36" t="n">
        <f aca="false">cust_sh*tk_he_gb300*cf_chip+(1-cust_sh)*((1-Sens!$G$1686)*tk_he_gb300+Sens!$G$1686*tk_he_vr200)</f>
        <v>10.8864110021101</v>
      </c>
      <c r="H1687" s="36" t="n">
        <f aca="false">cust_sh*tk_he_gb300*cf_chip+(1-cust_sh)*((1-Sens!$H$1686)*tk_he_gb300+Sens!$H$1686*tk_he_vr200)</f>
        <v>11.2211760027286</v>
      </c>
      <c r="I1687" s="36" t="n">
        <f aca="false">cust_sh*tk_he_gb300*cf_chip+(1-cust_sh)*((1-Sens!$I$1686)*tk_he_gb300+Sens!$I$1686*tk_he_vr200)</f>
        <v>11.5559410033471</v>
      </c>
      <c r="J1687" s="36" t="n">
        <f aca="false">cust_sh*tk_he_gb300*cf_chip+(1-cust_sh)*((1-Sens!$J$1686)*tk_he_gb300+Sens!$J$1686*tk_he_vr200)</f>
        <v>11.5559410033471</v>
      </c>
      <c r="K1687" s="36" t="n">
        <f aca="false">cust_sh*tk_he_gb300*cf_chip+(1-cust_sh)*((1-Sens!$K$1686)*tk_he_gb300+Sens!$K$1686*tk_he_vr200)</f>
        <v>11.5559410033471</v>
      </c>
      <c r="L1687" s="36" t="n">
        <f aca="false">cust_sh*tk_he_gb300*cf_chip+(1-cust_sh)*((1-Sens!$L$1686)*tk_he_gb300+Sens!$L$1686*tk_he_vr200)</f>
        <v>11.5559410033471</v>
      </c>
      <c r="M1687" s="36" t="n">
        <f aca="false">cust_sh*tk_he_gb300*cf_chip+(1-cust_sh)*((1-Sens!$M$1686)*tk_he_gb300+Sens!$M$1686*tk_he_vr200)</f>
        <v>11.5559410033471</v>
      </c>
    </row>
    <row r="1688" customFormat="false" ht="17.15" hidden="false" customHeight="false" outlineLevel="0" collapsed="false">
      <c r="A1688" s="5" t="s">
        <v>562</v>
      </c>
      <c r="B1688" s="0" t="s">
        <v>151</v>
      </c>
      <c r="F1688" s="36" t="n">
        <f aca="false">cust_sh*tk_ox_gb300+(1-cust_sh)*((1-Sens!$F$1686)*tk_ox_gb300+Sens!$F$1686*tk_ox_vr200)</f>
        <v>1.98263481314457</v>
      </c>
      <c r="G1688" s="36" t="n">
        <f aca="false">cust_sh*tk_ox_gb300+(1-cust_sh)*((1-Sens!$G$1686)*tk_ox_gb300+Sens!$G$1686*tk_ox_vr200)</f>
        <v>1.98263481314457</v>
      </c>
      <c r="H1688" s="36" t="n">
        <f aca="false">cust_sh*tk_ox_gb300+(1-cust_sh)*((1-Sens!$H$1686)*tk_ox_gb300+Sens!$H$1686*tk_ox_vr200)</f>
        <v>2.01034999693694</v>
      </c>
      <c r="I1688" s="36" t="n">
        <f aca="false">cust_sh*tk_ox_gb300+(1-cust_sh)*((1-Sens!$I$1686)*tk_ox_gb300+Sens!$I$1686*tk_ox_vr200)</f>
        <v>2.0380651807293</v>
      </c>
      <c r="J1688" s="36" t="n">
        <f aca="false">cust_sh*tk_ox_gb300+(1-cust_sh)*((1-Sens!$J$1686)*tk_ox_gb300+Sens!$J$1686*tk_ox_vr200)</f>
        <v>2.0380651807293</v>
      </c>
      <c r="K1688" s="36" t="n">
        <f aca="false">cust_sh*tk_ox_gb300+(1-cust_sh)*((1-Sens!$K$1686)*tk_ox_gb300+Sens!$K$1686*tk_ox_vr200)</f>
        <v>2.0380651807293</v>
      </c>
      <c r="L1688" s="36" t="n">
        <f aca="false">cust_sh*tk_ox_gb300+(1-cust_sh)*((1-Sens!$L$1686)*tk_ox_gb300+Sens!$L$1686*tk_ox_vr200)</f>
        <v>2.0380651807293</v>
      </c>
      <c r="M1688" s="36" t="n">
        <f aca="false">cust_sh*tk_ox_gb300+(1-cust_sh)*((1-Sens!$M$1686)*tk_ox_gb300+Sens!$M$1686*tk_ox_vr200)</f>
        <v>2.0380651807293</v>
      </c>
    </row>
    <row r="1689" customFormat="false" ht="17.15" hidden="false" customHeight="false" outlineLevel="0" collapsed="false">
      <c r="A1689" s="5" t="s">
        <v>563</v>
      </c>
      <c r="B1689" s="0" t="s">
        <v>170</v>
      </c>
      <c r="F1689" s="36" t="n">
        <f aca="false">cust_sh*tk_cx_gb300*cf_cx+(1-cust_sh)*((1-Sens!$F$1686)*tk_cx_gb300+Sens!$F$1686*tk_cx_vr200)</f>
        <v>32.237224</v>
      </c>
      <c r="G1689" s="36" t="n">
        <f aca="false">cust_sh*tk_cx_gb300*cf_cx+(1-cust_sh)*((1-Sens!$G$1686)*tk_cx_gb300+Sens!$G$1686*tk_cx_vr200)</f>
        <v>32.237224</v>
      </c>
      <c r="H1689" s="36" t="n">
        <f aca="false">cust_sh*tk_cx_gb300*cf_cx+(1-cust_sh)*((1-Sens!$H$1686)*tk_cx_gb300+Sens!$H$1686*tk_cx_vr200)</f>
        <v>33.574506</v>
      </c>
      <c r="I1689" s="36" t="n">
        <f aca="false">cust_sh*tk_cx_gb300*cf_cx+(1-cust_sh)*((1-Sens!$I$1686)*tk_cx_gb300+Sens!$I$1686*tk_cx_vr200)</f>
        <v>34.911788</v>
      </c>
      <c r="J1689" s="36" t="n">
        <f aca="false">cust_sh*tk_cx_gb300*cf_cx+(1-cust_sh)*((1-Sens!$J$1686)*tk_cx_gb300+Sens!$J$1686*tk_cx_vr200)</f>
        <v>34.911788</v>
      </c>
      <c r="K1689" s="36" t="n">
        <f aca="false">cust_sh*tk_cx_gb300*cf_cx+(1-cust_sh)*((1-Sens!$K$1686)*tk_cx_gb300+Sens!$K$1686*tk_cx_vr200)</f>
        <v>34.911788</v>
      </c>
      <c r="L1689" s="36" t="n">
        <f aca="false">cust_sh*tk_cx_gb300*cf_cx+(1-cust_sh)*((1-Sens!$L$1686)*tk_cx_gb300+Sens!$L$1686*tk_cx_vr200)</f>
        <v>34.911788</v>
      </c>
      <c r="M1689" s="36" t="n">
        <f aca="false">cust_sh*tk_cx_gb300*cf_cx+(1-cust_sh)*((1-Sens!$M$1686)*tk_cx_gb300+Sens!$M$1686*tk_cx_vr200)</f>
        <v>34.911788</v>
      </c>
    </row>
    <row r="1690" customFormat="false" ht="17.15" hidden="false" customHeight="false" outlineLevel="0" collapsed="false">
      <c r="A1690" s="5" t="s">
        <v>564</v>
      </c>
      <c r="B1690" s="0" t="s">
        <v>108</v>
      </c>
      <c r="F1690" s="33" t="n">
        <f aca="false">Sens!$F$1680-mw_open</f>
        <v>1817.15</v>
      </c>
      <c r="G1690" s="33" t="n">
        <f aca="false">Sens!$F$1690</f>
        <v>1817.15</v>
      </c>
      <c r="H1690" s="33" t="n">
        <f aca="false">Sens!$H$1680-mw_open</f>
        <v>5451.45</v>
      </c>
      <c r="I1690" s="33" t="n">
        <f aca="false">Sens!$I$1680-mw_open</f>
        <v>9085.75</v>
      </c>
      <c r="J1690" s="33" t="n">
        <f aca="false">Sens!$J$1680-mw_open</f>
        <v>12720.05</v>
      </c>
      <c r="K1690" s="33" t="n">
        <f aca="false">Sens!$K$1680-mw_open</f>
        <v>16354.35</v>
      </c>
      <c r="L1690" s="33" t="n">
        <f aca="false">Sens!$L$1680-mw_open</f>
        <v>19988.65</v>
      </c>
      <c r="M1690" s="33" t="n">
        <f aca="false">Sens!$M$1680-mw_open</f>
        <v>23622.95</v>
      </c>
    </row>
    <row r="1691" customFormat="false" ht="17.15" hidden="false" customHeight="false" outlineLevel="0" collapsed="false">
      <c r="A1691" s="0" t="s">
        <v>565</v>
      </c>
      <c r="B1691" s="0" t="s">
        <v>566</v>
      </c>
      <c r="F1691" s="33" t="n">
        <f aca="false">Sens!$F$1683*Sens!$F$1687</f>
        <v>19782.2417524844</v>
      </c>
      <c r="G1691" s="33" t="n">
        <f aca="false">Sens!$F$1691</f>
        <v>19782.2417524844</v>
      </c>
      <c r="H1691" s="33" t="n">
        <f aca="false">Sens!$G$1691+Sens!$H$1683*Sens!$H$1687</f>
        <v>60563.3616992009</v>
      </c>
      <c r="I1691" s="33" t="n">
        <f aca="false">Sens!$H$1691+Sens!$I$1683*Sens!$I$1687</f>
        <v>102561.118087665</v>
      </c>
      <c r="J1691" s="33" t="n">
        <f aca="false">Sens!$I$1691+Sens!$J$1683*Sens!$J$1687</f>
        <v>144558.87447613</v>
      </c>
      <c r="K1691" s="33" t="n">
        <f aca="false">Sens!$J$1691+Sens!$K$1683*Sens!$K$1687</f>
        <v>186556.630864594</v>
      </c>
      <c r="L1691" s="33" t="n">
        <f aca="false">Sens!$K$1691+Sens!$L$1683*Sens!$L$1687</f>
        <v>228554.387253058</v>
      </c>
      <c r="M1691" s="33" t="n">
        <f aca="false">Sens!$L$1691+Sens!$M$1683*Sens!$M$1687</f>
        <v>270552.143641523</v>
      </c>
    </row>
    <row r="1692" customFormat="false" ht="17.15" hidden="false" customHeight="false" outlineLevel="0" collapsed="false">
      <c r="A1692" s="0" t="s">
        <v>567</v>
      </c>
      <c r="B1692" s="0" t="s">
        <v>566</v>
      </c>
      <c r="F1692" s="33" t="n">
        <f aca="false">Sens!$F$1683*Sens!$F$1688</f>
        <v>3602.74485070566</v>
      </c>
      <c r="G1692" s="33" t="n">
        <f aca="false">Sens!$F$1692</f>
        <v>3602.74485070566</v>
      </c>
      <c r="H1692" s="33" t="n">
        <f aca="false">Sens!$G$1692+Sens!$H$1683*Sens!$H$1688</f>
        <v>10908.9598445736</v>
      </c>
      <c r="I1692" s="33" t="n">
        <f aca="false">Sens!$H$1692+Sens!$I$1683*Sens!$I$1688</f>
        <v>18315.9001308981</v>
      </c>
      <c r="J1692" s="33" t="n">
        <f aca="false">Sens!$I$1692+Sens!$J$1683*Sens!$J$1688</f>
        <v>25722.8404172225</v>
      </c>
      <c r="K1692" s="33" t="n">
        <f aca="false">Sens!$J$1692+Sens!$K$1683*Sens!$K$1688</f>
        <v>33129.780703547</v>
      </c>
      <c r="L1692" s="33" t="n">
        <f aca="false">Sens!$K$1692+Sens!$L$1683*Sens!$L$1688</f>
        <v>40536.7209898715</v>
      </c>
      <c r="M1692" s="33" t="n">
        <f aca="false">Sens!$L$1692+Sens!$M$1683*Sens!$M$1688</f>
        <v>47943.661276196</v>
      </c>
    </row>
    <row r="1693" customFormat="false" ht="17.15" hidden="false" customHeight="false" outlineLevel="0" collapsed="false">
      <c r="A1693" s="5" t="s">
        <v>568</v>
      </c>
      <c r="B1693" s="0" t="s">
        <v>151</v>
      </c>
      <c r="F1693" s="36" t="n">
        <f aca="false">IF(Sens!$F$1690&gt;0,Sens!$F$1691/Sens!$F$1690,Sens!$F$1687)</f>
        <v>10.8864110021101</v>
      </c>
      <c r="G1693" s="36" t="n">
        <f aca="false">IF(Sens!$G$1690&gt;0,Sens!$G$1691/Sens!$G$1690,Sens!$G$1687)</f>
        <v>10.8864110021101</v>
      </c>
      <c r="H1693" s="36" t="n">
        <f aca="false">IF(Sens!$H$1690&gt;0,Sens!$H$1691/Sens!$H$1690,Sens!$H$1687)</f>
        <v>11.1095876691891</v>
      </c>
      <c r="I1693" s="36" t="n">
        <f aca="false">IF(Sens!$I$1690&gt;0,Sens!$I$1691/Sens!$I$1690,Sens!$I$1687)</f>
        <v>11.2881290028523</v>
      </c>
      <c r="J1693" s="36" t="n">
        <f aca="false">IF(Sens!$J$1690&gt;0,Sens!$J$1691/Sens!$J$1690,Sens!$J$1687)</f>
        <v>11.3646467172794</v>
      </c>
      <c r="K1693" s="36" t="n">
        <f aca="false">IF(Sens!$K$1690&gt;0,Sens!$K$1691/Sens!$K$1690,Sens!$K$1687)</f>
        <v>11.4071565586278</v>
      </c>
      <c r="L1693" s="36" t="n">
        <f aca="false">IF(Sens!$L$1690&gt;0,Sens!$L$1691/Sens!$L$1690,Sens!$L$1687)</f>
        <v>11.4342082758495</v>
      </c>
      <c r="M1693" s="36" t="n">
        <f aca="false">IF(Sens!$M$1690&gt;0,Sens!$M$1691/Sens!$M$1690,Sens!$M$1687)</f>
        <v>11.4529363877722</v>
      </c>
    </row>
    <row r="1694" customFormat="false" ht="17.15" hidden="false" customHeight="false" outlineLevel="0" collapsed="false">
      <c r="A1694" s="5" t="s">
        <v>569</v>
      </c>
      <c r="B1694" s="0" t="s">
        <v>151</v>
      </c>
      <c r="F1694" s="36" t="n">
        <f aca="false">IF(Sens!$F$1690&gt;0,Sens!$F$1692/Sens!$F$1690,Sens!$F$1688)</f>
        <v>1.98263481314457</v>
      </c>
      <c r="G1694" s="36" t="n">
        <f aca="false">IF(Sens!$G$1690&gt;0,Sens!$G$1692/Sens!$G$1690,Sens!$G$1688)</f>
        <v>1.98263481314457</v>
      </c>
      <c r="H1694" s="36" t="n">
        <f aca="false">IF(Sens!$H$1690&gt;0,Sens!$H$1692/Sens!$H$1690,Sens!$H$1688)</f>
        <v>2.00111160233948</v>
      </c>
      <c r="I1694" s="36" t="n">
        <f aca="false">IF(Sens!$I$1690&gt;0,Sens!$I$1692/Sens!$I$1690,Sens!$I$1688)</f>
        <v>2.01589303369541</v>
      </c>
      <c r="J1694" s="36" t="n">
        <f aca="false">IF(Sens!$J$1690&gt;0,Sens!$J$1692/Sens!$J$1690,Sens!$J$1688)</f>
        <v>2.02222793284795</v>
      </c>
      <c r="K1694" s="36" t="n">
        <f aca="false">IF(Sens!$K$1690&gt;0,Sens!$K$1692/Sens!$K$1690,Sens!$K$1688)</f>
        <v>2.02574732126603</v>
      </c>
      <c r="L1694" s="36" t="n">
        <f aca="false">IF(Sens!$L$1690&gt;0,Sens!$L$1692/Sens!$L$1690,Sens!$L$1688)</f>
        <v>2.02798693207753</v>
      </c>
      <c r="M1694" s="36" t="n">
        <f aca="false">IF(Sens!$M$1690&gt;0,Sens!$M$1692/Sens!$M$1690,Sens!$M$1688)</f>
        <v>2.02953743187011</v>
      </c>
    </row>
    <row r="1695" customFormat="false" ht="17.15" hidden="false" customHeight="false" outlineLevel="0" collapsed="false">
      <c r="A1695" s="14" t="s">
        <v>570</v>
      </c>
      <c r="B1695" s="13" t="s">
        <v>151</v>
      </c>
      <c r="C1695" s="13"/>
      <c r="D1695" s="13"/>
      <c r="E1695" s="13"/>
      <c r="F1695" s="37" t="n">
        <f aca="false">Sens!$F$1693*k_B</f>
        <v>10.7987645808025</v>
      </c>
      <c r="G1695" s="37" t="n">
        <f aca="false">Sens!$G$1693*k_B</f>
        <v>10.7987645808025</v>
      </c>
      <c r="H1695" s="37" t="n">
        <f aca="false">Sens!$H$1693*k_B</f>
        <v>11.0201444540452</v>
      </c>
      <c r="I1695" s="37" t="n">
        <f aca="false">Sens!$I$1693*k_B</f>
        <v>11.1972483526393</v>
      </c>
      <c r="J1695" s="37" t="n">
        <f aca="false">Sens!$J$1693*k_B</f>
        <v>11.2731500234653</v>
      </c>
      <c r="K1695" s="37" t="n">
        <f aca="false">Sens!$K$1693*k_B</f>
        <v>11.3153176183687</v>
      </c>
      <c r="L1695" s="37" t="n">
        <f aca="false">Sens!$L$1693*k_B</f>
        <v>11.3421515423981</v>
      </c>
      <c r="M1695" s="37" t="n">
        <f aca="false">Sens!$M$1693*k_B</f>
        <v>11.3607288744184</v>
      </c>
      <c r="N1695" s="13"/>
      <c r="O1695" s="13"/>
      <c r="P1695" s="5" t="s">
        <v>571</v>
      </c>
    </row>
    <row r="1696" customFormat="false" ht="17.15" hidden="false" customHeight="false" outlineLevel="0" collapsed="false">
      <c r="A1696" s="5" t="s">
        <v>572</v>
      </c>
      <c r="B1696" s="0" t="s">
        <v>108</v>
      </c>
      <c r="F1696" s="33" t="n">
        <f aca="false">Sens!$F$1690/2</f>
        <v>908.575</v>
      </c>
      <c r="H1696" s="33" t="n">
        <f aca="false">(Sens!$G$1690+Sens!$H$1690)/2</f>
        <v>3634.3</v>
      </c>
      <c r="I1696" s="33" t="n">
        <f aca="false">(Sens!$H$1690+Sens!$I$1690)/2</f>
        <v>7268.6</v>
      </c>
      <c r="J1696" s="33" t="n">
        <f aca="false">(Sens!$I$1690+Sens!$J$1690)/2</f>
        <v>10902.9</v>
      </c>
      <c r="K1696" s="33" t="n">
        <f aca="false">(Sens!$J$1690+Sens!$K$1690)/2</f>
        <v>14537.2</v>
      </c>
      <c r="L1696" s="33" t="n">
        <f aca="false">(Sens!$K$1690+Sens!$L$1690)/2</f>
        <v>18171.5</v>
      </c>
      <c r="M1696" s="33" t="n">
        <f aca="false">(Sens!$L$1690+Sens!$M$1690)/2</f>
        <v>21805.8</v>
      </c>
    </row>
    <row r="1697" customFormat="false" ht="17.15" hidden="false" customHeight="false" outlineLevel="0" collapsed="false">
      <c r="A1697" s="1" t="s">
        <v>573</v>
      </c>
    </row>
    <row r="1698" customFormat="false" ht="17.15" hidden="false" customHeight="false" outlineLevel="0" collapsed="false">
      <c r="A1698" s="1" t="s">
        <v>574</v>
      </c>
      <c r="B1698" s="8" t="s">
        <v>73</v>
      </c>
      <c r="C1698" s="38" t="n">
        <f aca="false">Sens!$C$1681*rpm_open*Sens!$C$1682/1000</f>
        <v>2.32100535697364</v>
      </c>
      <c r="D1698" s="38" t="n">
        <f aca="false">Sens!$D$1681*rpm_open*Sens!$D$1682/1000</f>
        <v>8.70377008865116</v>
      </c>
      <c r="E1698" s="38" t="n">
        <f aca="false">Sens!$E$1681*rpm_open*Sens!$E$1682/1000</f>
        <v>8.51035297557002</v>
      </c>
      <c r="F1698" s="38" t="n">
        <f aca="false">(mw_open*rpm_open+Sens!$F$1696*Sens!$F$1695)*Sens!$F$1682/1000</f>
        <v>14.9634336447205</v>
      </c>
      <c r="G1698" s="38" t="n">
        <f aca="false">Sens!$E$1698+Sens!$F$1698</f>
        <v>23.4737866202905</v>
      </c>
      <c r="H1698" s="38" t="n">
        <f aca="false">(mw_open*rpm_open+Sens!$H$1696*Sens!$H$1695)/1000</f>
        <v>60.1658907497746</v>
      </c>
      <c r="I1698" s="38" t="n">
        <f aca="false">(mw_open*rpm_open+Sens!$I$1696*Sens!$I$1695)/1000</f>
        <v>101.503699136432</v>
      </c>
      <c r="J1698" s="38" t="n">
        <f aca="false">(mw_open*rpm_open+Sens!$J$1696*Sens!$J$1695)/1000</f>
        <v>143.025407151278</v>
      </c>
      <c r="K1698" s="38" t="n">
        <f aca="false">(mw_open*rpm_open+Sens!$K$1696*Sens!$K$1695)/1000</f>
        <v>184.608415042187</v>
      </c>
      <c r="L1698" s="38" t="n">
        <f aca="false">(mw_open*rpm_open+Sens!$L$1696*Sens!$L$1695)/1000</f>
        <v>226.219286513125</v>
      </c>
      <c r="M1698" s="38" t="n">
        <f aca="false">(mw_open*rpm_open+Sens!$M$1696*Sens!$M$1695)/1000</f>
        <v>267.845161450232</v>
      </c>
      <c r="N1698" s="38" t="n">
        <f aca="false">Sens!$N$1681*rpm_open*Sens!$N$1682/1000</f>
        <v>3.04631953102791</v>
      </c>
      <c r="O1698" s="38" t="n">
        <f aca="false">Sens!$O$1681*rpm_open*Sens!$O$1682/1000</f>
        <v>5.65745055762326</v>
      </c>
      <c r="P1698" s="5" t="s">
        <v>575</v>
      </c>
    </row>
    <row r="1699" customFormat="false" ht="17.15" hidden="false" customHeight="false" outlineLevel="0" collapsed="false">
      <c r="A1699" s="5" t="s">
        <v>576</v>
      </c>
      <c r="B1699" s="0" t="s">
        <v>151</v>
      </c>
      <c r="C1699" s="36" t="n">
        <f aca="false">Sens!$C$1698*1000/(Sens!$C$1681*Sens!$C$1682)</f>
        <v>9.67085565405685</v>
      </c>
      <c r="D1699" s="36" t="n">
        <f aca="false">Sens!$D$1698*1000/(Sens!$D$1681*Sens!$D$1682)</f>
        <v>9.67085565405685</v>
      </c>
      <c r="E1699" s="36" t="n">
        <f aca="false">Sens!$E$1698*1000/(Sens!$E$1681*Sens!$E$1682)</f>
        <v>9.67085565405685</v>
      </c>
      <c r="F1699" s="36" t="n">
        <f aca="false">Sens!$F$1698*1000/(Sens!$F$1681*Sens!$F$1682)</f>
        <v>10.0137581588017</v>
      </c>
      <c r="G1699" s="36" t="n">
        <f aca="false">Sens!$G$1698*1000/(Sens!$G$1681*Sens!$G$1682)</f>
        <v>9.88666562928478</v>
      </c>
      <c r="H1699" s="36" t="n">
        <f aca="false">Sens!$H$1698*1000/(Sens!$H$1681*Sens!$H$1682)</f>
        <v>10.5290045586992</v>
      </c>
      <c r="I1699" s="36" t="n">
        <f aca="false">Sens!$I$1698*1000/(Sens!$I$1681*Sens!$I$1682)</f>
        <v>10.8576363451674</v>
      </c>
      <c r="J1699" s="36" t="n">
        <f aca="false">Sens!$J$1698*1000/(Sens!$J$1681*Sens!$J$1682)</f>
        <v>11.0164452588619</v>
      </c>
      <c r="K1699" s="36" t="n">
        <f aca="false">Sens!$K$1698*1000/(Sens!$K$1681*Sens!$K$1682)</f>
        <v>11.1094778327388</v>
      </c>
      <c r="L1699" s="36" t="n">
        <f aca="false">Sens!$L$1698*1000/(Sens!$L$1681*Sens!$L$1682)</f>
        <v>11.1704953466718</v>
      </c>
      <c r="M1699" s="36" t="n">
        <f aca="false">Sens!$M$1698*1000/(Sens!$M$1681*Sens!$M$1682)</f>
        <v>11.2135729785158</v>
      </c>
      <c r="N1699" s="36" t="n">
        <f aca="false">Sens!$N$1698*1000/(Sens!$N$1681*Sens!$N$1682)</f>
        <v>9.67085565405685</v>
      </c>
      <c r="O1699" s="36" t="n">
        <f aca="false">Sens!$O$1698*1000/(Sens!$O$1681*Sens!$O$1682)</f>
        <v>9.67085565405685</v>
      </c>
    </row>
    <row r="1700" customFormat="false" ht="17.15" hidden="false" customHeight="false" outlineLevel="0" collapsed="false">
      <c r="A1700" s="0" t="s">
        <v>577</v>
      </c>
      <c r="B1700" s="0" t="s">
        <v>73</v>
      </c>
      <c r="C1700" s="38" t="n">
        <f aca="false">Sens!$C$1681/ext_sh*(ox_open+rent_mw)*Sens!$C$1682/1000</f>
        <v>0.642569210675032</v>
      </c>
      <c r="D1700" s="38" t="n">
        <f aca="false">Sens!$D$1681/ext_sh*(ox_open+rent_mw)*Sens!$D$1682/1000</f>
        <v>2.40963454003137</v>
      </c>
      <c r="E1700" s="38" t="n">
        <f aca="false">Sens!$E$1681/ext_sh*(ox_open+rent_mw)*Sens!$E$1682/1000</f>
        <v>2.35608710580845</v>
      </c>
      <c r="F1700" s="38" t="n">
        <f aca="false">((mw_open*ox_open+Sens!$F$1696*Sens!$F$1694)/ext_sh+Sens!$F$1681/ext_sh*rent_mw)*Sens!$F$1682/1000</f>
        <v>4.05421991106232</v>
      </c>
      <c r="G1700" s="38" t="n">
        <f aca="false">Sens!$E$1700+Sens!$F$1700</f>
        <v>6.41030701687077</v>
      </c>
      <c r="H1700" s="38" t="n">
        <f aca="false">((mw_open*ox_open+Sens!$H$1696*Sens!$H$1694)/ext_sh+Sens!$H$1681/ext_sh*rent_mw)*Sens!$H$1682/1000</f>
        <v>15.8108975546616</v>
      </c>
      <c r="I1700" s="38" t="n">
        <f aca="false">((mw_open*ox_open+Sens!$I$1696*Sens!$I$1694)/ext_sh+Sens!$I$1681/ext_sh*rent_mw)*Sens!$I$1682/1000</f>
        <v>26.1871623400817</v>
      </c>
      <c r="J1700" s="38" t="n">
        <f aca="false">((mw_open*ox_open+Sens!$J$1696*Sens!$J$1694)/ext_sh+Sens!$J$1681/ext_sh*rent_mw)*Sens!$J$1682/1000</f>
        <v>36.5826128954935</v>
      </c>
      <c r="K1700" s="38" t="n">
        <f aca="false">((mw_open*ox_open+Sens!$K$1696*Sens!$K$1694)/ext_sh+Sens!$K$1681/ext_sh*rent_mw)*Sens!$K$1682/1000</f>
        <v>46.9844587075692</v>
      </c>
      <c r="L1700" s="38" t="n">
        <f aca="false">((mw_open*ox_open+Sens!$L$1696*Sens!$L$1694)/ext_sh+Sens!$L$1681/ext_sh*rent_mw)*Sens!$L$1682/1000</f>
        <v>57.3892114544922</v>
      </c>
      <c r="M1700" s="38" t="n">
        <f aca="false">((mw_open*ox_open+Sens!$M$1696*Sens!$M$1694)/ext_sh+Sens!$M$1681/ext_sh*rent_mw)*Sens!$M$1682/1000</f>
        <v>67.7955294740252</v>
      </c>
      <c r="N1700" s="38" t="n">
        <f aca="false">Sens!$N$1681/ext_sh*(ox_open+rent_mw)*Sens!$N$1682/1000</f>
        <v>0.84337208901098</v>
      </c>
      <c r="O1700" s="38" t="n">
        <f aca="false">Sens!$O$1681/ext_sh*(ox_open+rent_mw)*Sens!$O$1682/1000</f>
        <v>1.56626245102039</v>
      </c>
    </row>
    <row r="1701" customFormat="false" ht="17.15" hidden="false" customHeight="false" outlineLevel="0" collapsed="false">
      <c r="A1701" s="0" t="s">
        <v>578</v>
      </c>
      <c r="B1701" s="0" t="s">
        <v>73</v>
      </c>
      <c r="C1701" s="38" t="n">
        <f aca="false">Q!$D$7</f>
        <v>107.556</v>
      </c>
      <c r="D1701" s="38" t="n">
        <f aca="false">Q!$E$7</f>
        <v>128.725</v>
      </c>
      <c r="E1701" s="38" t="n">
        <f aca="false">Q!$P$7</f>
        <v>79.819</v>
      </c>
      <c r="N1701" s="38" t="n">
        <f aca="false">Q!$N$7</f>
        <v>60.14</v>
      </c>
      <c r="O1701" s="38" t="n">
        <f aca="false">Q!$O$7</f>
        <v>68.585</v>
      </c>
    </row>
    <row r="1702" customFormat="false" ht="17.15" hidden="false" customHeight="false" outlineLevel="0" collapsed="false">
      <c r="A1702" s="1" t="s">
        <v>579</v>
      </c>
      <c r="B1702" s="8" t="s">
        <v>73</v>
      </c>
      <c r="C1702" s="38" t="n">
        <f aca="false">Sens!$C$1701-Sens!$C$1698</f>
        <v>105.234994643026</v>
      </c>
      <c r="D1702" s="38" t="n">
        <f aca="false">Sens!$D$1701-Sens!$D$1698</f>
        <v>120.021229911349</v>
      </c>
      <c r="E1702" s="38" t="n">
        <f aca="false">Sens!$E$1701-Sens!$E$1698</f>
        <v>71.30864702443</v>
      </c>
      <c r="F1702" s="38" t="n">
        <f aca="false">Sens!$O$1702*(1+Sens!$F$1703)</f>
        <v>78.5950104186653</v>
      </c>
      <c r="G1702" s="38" t="n">
        <f aca="false">Sens!$E$1702+Sens!$F$1702</f>
        <v>149.903657443095</v>
      </c>
      <c r="H1702" s="38" t="n">
        <f aca="false">Sens!$G$1702*(1+Sens!$H$1703)</f>
        <v>180.893560768142</v>
      </c>
      <c r="I1702" s="38" t="n">
        <f aca="false">Sens!$H$1702*(1+Sens!$I$1703)</f>
        <v>210.64839721501</v>
      </c>
      <c r="J1702" s="38" t="n">
        <f aca="false">Sens!$I$1702*(1+Sens!$J$1703)</f>
        <v>236.398909446495</v>
      </c>
      <c r="K1702" s="38" t="n">
        <f aca="false">Sens!$J$1702*(1+Sens!$K$1703)</f>
        <v>255.310822202215</v>
      </c>
      <c r="L1702" s="38" t="n">
        <f aca="false">Sens!$K$1702*(1+Sens!$L$1703)</f>
        <v>275.735687978392</v>
      </c>
      <c r="M1702" s="38" t="n">
        <f aca="false">Sens!$L$1702*(1+Sens!$M$1703)</f>
        <v>297.794543016663</v>
      </c>
      <c r="N1702" s="38" t="n">
        <f aca="false">Sens!$N$1701-Sens!$N$1698</f>
        <v>57.0936804689721</v>
      </c>
      <c r="O1702" s="38" t="n">
        <f aca="false">Sens!$O$1701-Sens!$O$1698</f>
        <v>62.9275494423768</v>
      </c>
      <c r="P1702" s="5" t="s">
        <v>580</v>
      </c>
    </row>
    <row r="1703" customFormat="false" ht="17.15" hidden="false" customHeight="false" outlineLevel="0" collapsed="false">
      <c r="A1703" s="0" t="s">
        <v>581</v>
      </c>
      <c r="B1703" s="0" t="s">
        <v>52</v>
      </c>
      <c r="E1703" s="12" t="n">
        <f aca="false">Sens!$E$1702/Sens!$N$1702-1</f>
        <v>0.248976181579029</v>
      </c>
      <c r="F1703" s="12" t="n">
        <f aca="false">Sens!$E$1703</f>
        <v>0.248976181579029</v>
      </c>
      <c r="G1703" s="12" t="n">
        <f aca="false">Sens!$G$1702/Sens!$D$1702-1</f>
        <v>0.248976181579029</v>
      </c>
      <c r="H1703" s="12" t="n">
        <f aca="false">Sens!$E$1703+(g_awso_lt-Sens!$E$1703)*1/4</f>
        <v>0.206732136184272</v>
      </c>
      <c r="I1703" s="12" t="n">
        <f aca="false">Sens!$E$1703+(g_awso_lt-Sens!$E$1703)*2/4</f>
        <v>0.164488090789515</v>
      </c>
      <c r="J1703" s="12" t="n">
        <f aca="false">Sens!$E$1703+(g_awso_lt-Sens!$E$1703)*3/4</f>
        <v>0.122244045394757</v>
      </c>
      <c r="K1703" s="12" t="n">
        <f aca="false">Sens!$E$1703+(g_awso_lt-Sens!$E$1703)*4/4</f>
        <v>0.08</v>
      </c>
      <c r="L1703" s="12" t="n">
        <f aca="false">g_awso_lt</f>
        <v>0.08</v>
      </c>
      <c r="M1703" s="12" t="n">
        <f aca="false">g_awso_lt</f>
        <v>0.08</v>
      </c>
      <c r="P1703" s="8" t="s">
        <v>582</v>
      </c>
    </row>
    <row r="1704" customFormat="false" ht="17.15" hidden="false" customHeight="false" outlineLevel="0" collapsed="false">
      <c r="A1704" s="1" t="s">
        <v>583</v>
      </c>
    </row>
    <row r="1705" customFormat="false" ht="17.15" hidden="false" customHeight="false" outlineLevel="0" collapsed="false">
      <c r="A1705" s="0" t="s">
        <v>584</v>
      </c>
      <c r="B1705" s="0" t="s">
        <v>73</v>
      </c>
      <c r="F1705" s="38" t="n">
        <f aca="false">cx_rt*Sens!$F$1671+cx_awso*Sens!$F$1702</f>
        <v>36.8045765066526</v>
      </c>
    </row>
    <row r="1706" customFormat="false" ht="17.15" hidden="false" customHeight="false" outlineLevel="0" collapsed="false">
      <c r="A1706" s="0" t="s">
        <v>585</v>
      </c>
      <c r="B1706" s="0" t="s">
        <v>52</v>
      </c>
      <c r="C1706" s="12" t="n">
        <f aca="false">tk_cx_h100/(tk_cx_h100+tk_fac*(1-colo_sh))</f>
        <v>0.730756458006641</v>
      </c>
      <c r="D1706" s="12" t="n">
        <f aca="false">tk_cx_h100/(tk_cx_h100+tk_fac*(1-colo_sh))</f>
        <v>0.730756458006641</v>
      </c>
      <c r="E1706" s="12" t="n">
        <f aca="false">Sens!$F$1706</f>
        <v>0.760792334328868</v>
      </c>
      <c r="F1706" s="12" t="n">
        <f aca="false">Sens!$F$1689/(Sens!$F$1689+tk_fac*(1-colo_sh))</f>
        <v>0.760792334328868</v>
      </c>
      <c r="G1706" s="12" t="n">
        <f aca="false">Sens!$G$1689/(Sens!$G$1689+tk_fac*(1-colo_sh))</f>
        <v>0.760792334328868</v>
      </c>
      <c r="H1706" s="12" t="n">
        <f aca="false">Sens!$H$1689/(Sens!$H$1689+tk_fac*(1-colo_sh))</f>
        <v>0.768110668862996</v>
      </c>
      <c r="I1706" s="12" t="n">
        <f aca="false">Sens!$I$1689/(Sens!$I$1689+tk_fac*(1-colo_sh))</f>
        <v>0.77499450139483</v>
      </c>
      <c r="J1706" s="12" t="n">
        <f aca="false">Sens!$J$1689/(Sens!$J$1689+tk_fac*(1-colo_sh))</f>
        <v>0.77499450139483</v>
      </c>
      <c r="K1706" s="12" t="n">
        <f aca="false">Sens!$K$1689/(Sens!$K$1689+tk_fac*(1-colo_sh))</f>
        <v>0.77499450139483</v>
      </c>
      <c r="L1706" s="12" t="n">
        <f aca="false">Sens!$L$1689/(Sens!$L$1689+tk_fac*(1-colo_sh))</f>
        <v>0.77499450139483</v>
      </c>
      <c r="M1706" s="12" t="n">
        <f aca="false">Sens!$M$1689/(Sens!$M$1689+tk_fac*(1-colo_sh))</f>
        <v>0.77499450139483</v>
      </c>
    </row>
    <row r="1707" customFormat="false" ht="17.15" hidden="false" customHeight="false" outlineLevel="0" collapsed="false">
      <c r="A1707" s="1" t="s">
        <v>586</v>
      </c>
      <c r="B1707" s="8" t="s">
        <v>73</v>
      </c>
      <c r="C1707" s="38" t="n">
        <f aca="false">Q!$D$46-cx_rt*Q!$D$16-cx_awso*Sens!$C$1702</f>
        <v>25.2781053077374</v>
      </c>
      <c r="D1707" s="38" t="n">
        <f aca="false">Q!$E$46-cx_rt*Q!$E$16-cx_awso*Sens!$D$1702</f>
        <v>69.5686316310026</v>
      </c>
      <c r="E1707" s="38" t="n">
        <f aca="false">Q!$P$46-cx_rt*Q!$P$16-cx_awso*Sens!$E$1702</f>
        <v>64.1899206485108</v>
      </c>
      <c r="F1707" s="38" t="n">
        <f aca="false">MAX(Sens!$F$1684*(Sens!$F$1689+tk_fac*(1-colo_sh))/1000,capex_g26-Q!$P$46-Sens!$F$1705)</f>
        <v>96.2481299895</v>
      </c>
      <c r="G1707" s="38" t="n">
        <f aca="false">Sens!$E$1707+Sens!$F$1707</f>
        <v>160.438050638011</v>
      </c>
      <c r="H1707" s="38" t="n">
        <f aca="false">Sens!$H$1684*(Sens!$H$1689+tk_fac*(1-colo_sh))/1000+Sens!$H$1708</f>
        <v>198.57136494475</v>
      </c>
      <c r="I1707" s="38" t="n">
        <f aca="false">Sens!$I$1684*(Sens!$I$1689+tk_fac*(1-colo_sh))/1000+Sens!$I$1708</f>
        <v>209.8832381105</v>
      </c>
      <c r="J1707" s="38" t="n">
        <f aca="false">Sens!$J$1684*(Sens!$J$1689+tk_fac*(1-colo_sh))/1000+Sens!$J$1708</f>
        <v>215.1200063105</v>
      </c>
      <c r="K1707" s="38" t="n">
        <f aca="false">Sens!$K$1684*(Sens!$K$1689+tk_fac*(1-colo_sh))/1000+Sens!$K$1708</f>
        <v>251.7773837105</v>
      </c>
      <c r="L1707" s="38" t="n">
        <f aca="false">Sens!$L$1684*(Sens!$L$1689+tk_fac*(1-colo_sh))/1000+Sens!$L$1708</f>
        <v>311.87584476575</v>
      </c>
      <c r="M1707" s="38" t="n">
        <f aca="false">Sens!$M$1684*(Sens!$M$1689+tk_fac*(1-colo_sh))/1000+Sens!$M$1708</f>
        <v>363.246358821</v>
      </c>
      <c r="P1707" s="5" t="s">
        <v>587</v>
      </c>
      <c r="R1707" s="38" t="n">
        <f aca="false">Q!$C$46-cx_rt*Q!$C$16-cx_awso*(Q!$C$7-mw_ye23/2*rpm_open/1000)</f>
        <v>1.50429979529945</v>
      </c>
      <c r="S1707" s="38" t="n">
        <f aca="false">Sens!$C$1707</f>
        <v>25.2781053077374</v>
      </c>
      <c r="T1707" s="38" t="n">
        <f aca="false">Sens!$D$1707</f>
        <v>69.5686316310026</v>
      </c>
      <c r="U1707" s="38" t="n">
        <f aca="false">Sens!$G$1707</f>
        <v>160.438050638011</v>
      </c>
      <c r="V1707" s="38" t="n">
        <f aca="false">Sens!$H$1707</f>
        <v>198.57136494475</v>
      </c>
      <c r="W1707" s="38" t="n">
        <f aca="false">Sens!$I$1707</f>
        <v>209.8832381105</v>
      </c>
      <c r="X1707" s="38" t="n">
        <f aca="false">Sens!$J$1707</f>
        <v>215.1200063105</v>
      </c>
      <c r="Y1707" s="38" t="n">
        <f aca="false">Sens!$K$1707</f>
        <v>251.7773837105</v>
      </c>
      <c r="Z1707" s="38" t="n">
        <f aca="false">Sens!$L$1707</f>
        <v>311.87584476575</v>
      </c>
      <c r="AA1707" s="38" t="n">
        <f aca="false">Sens!$M$1707</f>
        <v>363.246358821</v>
      </c>
    </row>
    <row r="1708" customFormat="false" ht="17.15" hidden="false" customHeight="false" outlineLevel="0" collapsed="false">
      <c r="A1708" s="0" t="s">
        <v>588</v>
      </c>
      <c r="B1708" s="0" t="s">
        <v>73</v>
      </c>
      <c r="H1708" s="38" t="n">
        <f aca="false">SUMPRODUCT(--(Sens!$R$1678:$AA$1678=2027-tk_life_lo),Sens!$R$1684:$AA$1684)*Sens!$H$1689/1000</f>
        <v>0</v>
      </c>
      <c r="I1708" s="38" t="n">
        <f aca="false">SUMPRODUCT(--(Sens!$R$1678:$AA$1678=2028-tk_life_lo),Sens!$R$1684:$AA$1684)*Sens!$I$1689/1000</f>
        <v>5.2367682</v>
      </c>
      <c r="J1708" s="38" t="n">
        <f aca="false">SUMPRODUCT(--(Sens!$R$1678:$AA$1678=2029-tk_life_lo),Sens!$R$1684:$AA$1684)*Sens!$J$1689/1000</f>
        <v>10.4735364</v>
      </c>
      <c r="K1708" s="38" t="n">
        <f aca="false">SUMPRODUCT(--(Sens!$R$1678:$AA$1678=2030-tk_life_lo),Sens!$R$1684:$AA$1684)*Sens!$K$1689/1000</f>
        <v>47.1309138</v>
      </c>
      <c r="L1708" s="38" t="n">
        <f aca="false">SUMPRODUCT(--(Sens!$R$1678:$AA$1678=2031-tk_life_lo),Sens!$R$1684:$AA$1684)*Sens!$L$1689/1000</f>
        <v>107.22937485525</v>
      </c>
      <c r="M1708" s="38" t="n">
        <f aca="false">SUMPRODUCT(--(Sens!$R$1678:$AA$1678=2032-tk_life_lo),Sens!$R$1684:$AA$1684)*Sens!$M$1689/1000</f>
        <v>158.5998889105</v>
      </c>
    </row>
    <row r="1709" customFormat="false" ht="17.15" hidden="false" customHeight="false" outlineLevel="0" collapsed="false">
      <c r="A1709" s="5" t="s">
        <v>589</v>
      </c>
      <c r="B1709" s="0" t="s">
        <v>73</v>
      </c>
      <c r="C1709" s="38" t="n">
        <f aca="false">Sens!$C$1707*Sens!$C$1706</f>
        <v>18.472138699801</v>
      </c>
      <c r="D1709" s="38" t="n">
        <f aca="false">Sens!$D$1707*Sens!$D$1706</f>
        <v>50.8377268390402</v>
      </c>
      <c r="E1709" s="38" t="n">
        <f aca="false">Sens!$E$1707*Sens!$E$1706</f>
        <v>48.8351995705653</v>
      </c>
      <c r="F1709" s="38" t="n">
        <f aca="false">Sens!$F$1707*Sens!$F$1706</f>
        <v>73.2248394895</v>
      </c>
      <c r="G1709" s="38" t="n">
        <f aca="false">Sens!$E$1709+Sens!$F$1709</f>
        <v>122.060039060065</v>
      </c>
      <c r="H1709" s="38" t="n">
        <f aca="false">(Sens!$H$1707-Sens!$H$1708)*Sens!$H$1706+Sens!$H$1708</f>
        <v>152.52478394475</v>
      </c>
      <c r="I1709" s="38" t="n">
        <f aca="false">(Sens!$I$1707-Sens!$I$1708)*Sens!$I$1706+Sens!$I$1708</f>
        <v>163.8366571105</v>
      </c>
      <c r="J1709" s="38" t="n">
        <f aca="false">(Sens!$J$1707-Sens!$J$1708)*Sens!$J$1706+Sens!$J$1708</f>
        <v>169.0734253105</v>
      </c>
      <c r="K1709" s="38" t="n">
        <f aca="false">(Sens!$K$1707-Sens!$K$1708)*Sens!$K$1706+Sens!$K$1708</f>
        <v>205.7308027105</v>
      </c>
      <c r="L1709" s="38" t="n">
        <f aca="false">(Sens!$L$1707-Sens!$L$1708)*Sens!$L$1706+Sens!$L$1708</f>
        <v>265.82926376575</v>
      </c>
      <c r="M1709" s="38" t="n">
        <f aca="false">(Sens!$M$1707-Sens!$M$1708)*Sens!$M$1706+Sens!$M$1708</f>
        <v>317.199777821</v>
      </c>
      <c r="R1709" s="38" t="n">
        <f aca="false">Sens!$R$1707*Sens!$C$1706</f>
        <v>1.09927679019314</v>
      </c>
      <c r="S1709" s="38" t="n">
        <f aca="false">Sens!$C$1709</f>
        <v>18.472138699801</v>
      </c>
      <c r="T1709" s="38" t="n">
        <f aca="false">Sens!$D$1709</f>
        <v>50.8377268390402</v>
      </c>
      <c r="U1709" s="38" t="n">
        <f aca="false">Sens!$G$1709</f>
        <v>122.060039060065</v>
      </c>
      <c r="V1709" s="38" t="n">
        <f aca="false">Sens!$H$1709</f>
        <v>152.52478394475</v>
      </c>
      <c r="W1709" s="38" t="n">
        <f aca="false">Sens!$I$1709</f>
        <v>163.8366571105</v>
      </c>
      <c r="X1709" s="38" t="n">
        <f aca="false">Sens!$J$1709</f>
        <v>169.0734253105</v>
      </c>
      <c r="Y1709" s="38" t="n">
        <f aca="false">Sens!$K$1709</f>
        <v>205.7308027105</v>
      </c>
      <c r="Z1709" s="38" t="n">
        <f aca="false">Sens!$L$1709</f>
        <v>265.82926376575</v>
      </c>
      <c r="AA1709" s="38" t="n">
        <f aca="false">Sens!$M$1709</f>
        <v>317.199777821</v>
      </c>
    </row>
    <row r="1710" customFormat="false" ht="15" hidden="false" customHeight="false" outlineLevel="0" collapsed="false">
      <c r="A1710" s="5" t="s">
        <v>590</v>
      </c>
      <c r="B1710" s="0" t="s">
        <v>73</v>
      </c>
      <c r="R1710" s="38" t="n">
        <f aca="false">Sens!$R$1707-Sens!$R$1709</f>
        <v>0.405023005106309</v>
      </c>
      <c r="S1710" s="38" t="n">
        <f aca="false">Sens!$S$1707-Sens!$S$1709</f>
        <v>6.80596660793636</v>
      </c>
      <c r="T1710" s="38" t="n">
        <f aca="false">Sens!$T$1707-Sens!$T$1709</f>
        <v>18.7309047919624</v>
      </c>
      <c r="U1710" s="38" t="n">
        <f aca="false">Sens!$U$1707-Sens!$U$1709</f>
        <v>38.3780115779455</v>
      </c>
      <c r="V1710" s="38" t="n">
        <f aca="false">Sens!$V$1707-Sens!$V$1709</f>
        <v>46.046581</v>
      </c>
      <c r="W1710" s="38" t="n">
        <f aca="false">Sens!$W$1707-Sens!$W$1709</f>
        <v>46.046581</v>
      </c>
      <c r="X1710" s="38" t="n">
        <f aca="false">Sens!$X$1707-Sens!$X$1709</f>
        <v>46.046581</v>
      </c>
      <c r="Y1710" s="38" t="n">
        <f aca="false">Sens!$Y$1707-Sens!$Y$1709</f>
        <v>46.046581</v>
      </c>
      <c r="Z1710" s="38" t="n">
        <f aca="false">Sens!$Z$1707-Sens!$Z$1709</f>
        <v>46.046581</v>
      </c>
      <c r="AA1710" s="38" t="n">
        <f aca="false">Sens!$AA$1707-Sens!$AA$1709</f>
        <v>46.046581</v>
      </c>
    </row>
    <row r="1711" customFormat="false" ht="17.15" hidden="false" customHeight="false" outlineLevel="0" collapsed="false">
      <c r="A1711" s="0" t="s">
        <v>591</v>
      </c>
      <c r="B1711" s="0" t="s">
        <v>73</v>
      </c>
      <c r="C1711" s="38" t="n">
        <f aca="false">Sens!$S$1711</f>
        <v>0.219855358038628</v>
      </c>
      <c r="D1711" s="38" t="n">
        <f aca="false">Sens!$T$1711</f>
        <v>3.91428309799884</v>
      </c>
      <c r="E1711" s="38" t="n">
        <f aca="false">Sens!$G$1711/2</f>
        <v>7.04091423290344</v>
      </c>
      <c r="F1711" s="38" t="n">
        <f aca="false">Sens!$G$1711/2</f>
        <v>7.04091423290344</v>
      </c>
      <c r="G1711" s="38" t="n">
        <f aca="false">Sens!$U$1711</f>
        <v>14.0818284658069</v>
      </c>
      <c r="H1711" s="38" t="n">
        <f aca="false">Sens!$V$1711</f>
        <v>38.4938362778199</v>
      </c>
      <c r="I1711" s="38" t="n">
        <f aca="false">Sens!$W$1711</f>
        <v>68.9987930667699</v>
      </c>
      <c r="J1711" s="38" t="n">
        <f aca="false">Sens!$X$1711</f>
        <v>101.546269130831</v>
      </c>
      <c r="K1711" s="38" t="n">
        <f aca="false">Sens!$Y$1711</f>
        <v>131.666526452971</v>
      </c>
      <c r="L1711" s="38" t="n">
        <f aca="false">Sens!$Z$1711</f>
        <v>162.645141627263</v>
      </c>
      <c r="M1711" s="38" t="n">
        <f aca="false">Sens!$AA$1711</f>
        <v>191.3989865684</v>
      </c>
      <c r="N1711" s="38" t="n">
        <f aca="false">Sens!$D$1711/2</f>
        <v>1.95714154899942</v>
      </c>
      <c r="O1711" s="38" t="n">
        <f aca="false">Sens!$D$1711/2</f>
        <v>1.95714154899942</v>
      </c>
      <c r="R1711" s="38" t="n">
        <f aca="false">SUMPRODUCT(--(Sens!$R$1678:$AA$1678&lt;Sens!R$1678),--(Sens!$R$1678:$AA$1678&gt;=Sens!R$1678-tk_life_lo),Sens!$R$1709:$AA$1709)/tk_life_lo</f>
        <v>0</v>
      </c>
      <c r="S1711" s="38" t="n">
        <f aca="false">SUMPRODUCT(--(Sens!$R$1678:$AA$1678&lt;Sens!S$1678),--(Sens!$R$1678:$AA$1678&gt;=Sens!S$1678-tk_life_lo),Sens!$R$1709:$AA$1709)/tk_life_lo</f>
        <v>0.219855358038628</v>
      </c>
      <c r="T1711" s="38" t="n">
        <f aca="false">SUMPRODUCT(--(Sens!$R$1678:$AA$1678&lt;Sens!T$1678),--(Sens!$R$1678:$AA$1678&gt;=Sens!T$1678-tk_life_lo),Sens!$R$1709:$AA$1709)/tk_life_lo</f>
        <v>3.91428309799884</v>
      </c>
      <c r="U1711" s="38" t="n">
        <f aca="false">SUMPRODUCT(--(Sens!$R$1678:$AA$1678&lt;Sens!U$1678),--(Sens!$R$1678:$AA$1678&gt;=Sens!U$1678-tk_life_lo),Sens!$R$1709:$AA$1709)/tk_life_lo</f>
        <v>14.0818284658069</v>
      </c>
      <c r="V1711" s="38" t="n">
        <f aca="false">SUMPRODUCT(--(Sens!$R$1678:$AA$1678&lt;Sens!V$1678),--(Sens!$R$1678:$AA$1678&gt;=Sens!V$1678-tk_life_lo),Sens!$R$1709:$AA$1709)/tk_life_lo</f>
        <v>38.4938362778199</v>
      </c>
      <c r="W1711" s="38" t="n">
        <f aca="false">SUMPRODUCT(--(Sens!$R$1678:$AA$1678&lt;Sens!W$1678),--(Sens!$R$1678:$AA$1678&gt;=Sens!W$1678-tk_life_lo),Sens!$R$1709:$AA$1709)/tk_life_lo</f>
        <v>68.9987930667699</v>
      </c>
      <c r="X1711" s="38" t="n">
        <f aca="false">SUMPRODUCT(--(Sens!$R$1678:$AA$1678&lt;Sens!X$1678),--(Sens!$R$1678:$AA$1678&gt;=Sens!X$1678-tk_life_lo),Sens!$R$1709:$AA$1709)/tk_life_lo</f>
        <v>101.546269130831</v>
      </c>
      <c r="Y1711" s="38" t="n">
        <f aca="false">SUMPRODUCT(--(Sens!$R$1678:$AA$1678&lt;Sens!Y$1678),--(Sens!$R$1678:$AA$1678&gt;=Sens!Y$1678-tk_life_lo),Sens!$R$1709:$AA$1709)/tk_life_lo</f>
        <v>131.666526452971</v>
      </c>
      <c r="Z1711" s="38" t="n">
        <f aca="false">SUMPRODUCT(--(Sens!$R$1678:$AA$1678&lt;Sens!Z$1678),--(Sens!$R$1678:$AA$1678&gt;=Sens!Z$1678-tk_life_lo),Sens!$R$1709:$AA$1709)/tk_life_lo</f>
        <v>162.645141627263</v>
      </c>
      <c r="AA1711" s="38" t="n">
        <f aca="false">SUMPRODUCT(--(Sens!$R$1678:$AA$1678&lt;Sens!AA$1678),--(Sens!$R$1678:$AA$1678&gt;=Sens!AA$1678-tk_life_lo),Sens!$R$1709:$AA$1709)/tk_life_lo</f>
        <v>191.3989865684</v>
      </c>
    </row>
    <row r="1712" customFormat="false" ht="17.15" hidden="false" customHeight="false" outlineLevel="0" collapsed="false">
      <c r="A1712" s="0" t="s">
        <v>592</v>
      </c>
      <c r="B1712" s="0" t="s">
        <v>73</v>
      </c>
      <c r="C1712" s="38" t="n">
        <f aca="false">Sens!$S$1712</f>
        <v>0.0202511502553155</v>
      </c>
      <c r="D1712" s="38" t="n">
        <f aca="false">Sens!$T$1712</f>
        <v>0.360549480652134</v>
      </c>
      <c r="E1712" s="38" t="n">
        <f aca="false">Sens!$G$1712/2</f>
        <v>0.648547360125127</v>
      </c>
      <c r="F1712" s="38" t="n">
        <f aca="false">Sens!$G$1712/2</f>
        <v>0.648547360125127</v>
      </c>
      <c r="G1712" s="38" t="n">
        <f aca="false">Sens!$U$1712</f>
        <v>1.29709472025025</v>
      </c>
      <c r="H1712" s="38" t="n">
        <f aca="false">Sens!$V$1712</f>
        <v>3.21599529914753</v>
      </c>
      <c r="I1712" s="38" t="n">
        <f aca="false">Sens!$W$1712</f>
        <v>5.51832434914753</v>
      </c>
      <c r="J1712" s="38" t="n">
        <f aca="false">Sens!$X$1712</f>
        <v>7.82065339914753</v>
      </c>
      <c r="K1712" s="38" t="n">
        <f aca="false">Sens!$Y$1712</f>
        <v>10.1229824491475</v>
      </c>
      <c r="L1712" s="38" t="n">
        <f aca="false">Sens!$Z$1712</f>
        <v>12.4253114991475</v>
      </c>
      <c r="M1712" s="38" t="n">
        <f aca="false">Sens!$AA$1712</f>
        <v>14.7276405491475</v>
      </c>
      <c r="N1712" s="38" t="n">
        <f aca="false">Sens!$D$1712/2</f>
        <v>0.180274740326067</v>
      </c>
      <c r="O1712" s="38" t="n">
        <f aca="false">Sens!$D$1712/2</f>
        <v>0.180274740326067</v>
      </c>
      <c r="R1712" s="38" t="n">
        <f aca="false">SUMPRODUCT(--(Sens!$R$1678:$AA$1678&lt;Sens!R$1678),Sens!$R$1710:$AA$1710)/fac_life</f>
        <v>0</v>
      </c>
      <c r="S1712" s="38" t="n">
        <f aca="false">SUMPRODUCT(--(Sens!$R$1678:$AA$1678&lt;Sens!S$1678),Sens!$R$1710:$AA$1710)/fac_life</f>
        <v>0.0202511502553155</v>
      </c>
      <c r="T1712" s="38" t="n">
        <f aca="false">SUMPRODUCT(--(Sens!$R$1678:$AA$1678&lt;Sens!T$1678),Sens!$R$1710:$AA$1710)/fac_life</f>
        <v>0.360549480652134</v>
      </c>
      <c r="U1712" s="38" t="n">
        <f aca="false">SUMPRODUCT(--(Sens!$R$1678:$AA$1678&lt;Sens!U$1678),Sens!$R$1710:$AA$1710)/fac_life</f>
        <v>1.29709472025025</v>
      </c>
      <c r="V1712" s="38" t="n">
        <f aca="false">SUMPRODUCT(--(Sens!$R$1678:$AA$1678&lt;Sens!V$1678),Sens!$R$1710:$AA$1710)/fac_life</f>
        <v>3.21599529914753</v>
      </c>
      <c r="W1712" s="38" t="n">
        <f aca="false">SUMPRODUCT(--(Sens!$R$1678:$AA$1678&lt;Sens!W$1678),Sens!$R$1710:$AA$1710)/fac_life</f>
        <v>5.51832434914753</v>
      </c>
      <c r="X1712" s="38" t="n">
        <f aca="false">SUMPRODUCT(--(Sens!$R$1678:$AA$1678&lt;Sens!X$1678),Sens!$R$1710:$AA$1710)/fac_life</f>
        <v>7.82065339914753</v>
      </c>
      <c r="Y1712" s="38" t="n">
        <f aca="false">SUMPRODUCT(--(Sens!$R$1678:$AA$1678&lt;Sens!Y$1678),Sens!$R$1710:$AA$1710)/fac_life</f>
        <v>10.1229824491475</v>
      </c>
      <c r="Z1712" s="38" t="n">
        <f aca="false">SUMPRODUCT(--(Sens!$R$1678:$AA$1678&lt;Sens!Z$1678),Sens!$R$1710:$AA$1710)/fac_life</f>
        <v>12.4253114991475</v>
      </c>
      <c r="AA1712" s="38" t="n">
        <f aca="false">SUMPRODUCT(--(Sens!$R$1678:$AA$1678&lt;Sens!AA$1678),Sens!$R$1710:$AA$1710)/fac_life</f>
        <v>14.7276405491475</v>
      </c>
    </row>
    <row r="1713" customFormat="false" ht="17.15" hidden="false" customHeight="false" outlineLevel="0" collapsed="false">
      <c r="A1713" s="1" t="s">
        <v>593</v>
      </c>
      <c r="B1713" s="8" t="s">
        <v>73</v>
      </c>
      <c r="C1713" s="38" t="n">
        <f aca="false">Sens!$C$1711+Sens!$C$1712</f>
        <v>0.240106508293943</v>
      </c>
      <c r="D1713" s="38" t="n">
        <f aca="false">Sens!$D$1711+Sens!$D$1712</f>
        <v>4.27483257865097</v>
      </c>
      <c r="E1713" s="38" t="n">
        <f aca="false">Sens!$E$1711+Sens!$E$1712</f>
        <v>7.68946159302857</v>
      </c>
      <c r="F1713" s="38" t="n">
        <f aca="false">Sens!$F$1711+Sens!$F$1712</f>
        <v>7.68946159302857</v>
      </c>
      <c r="G1713" s="38" t="n">
        <f aca="false">Sens!$G$1711+Sens!$G$1712</f>
        <v>15.3789231860571</v>
      </c>
      <c r="H1713" s="38" t="n">
        <f aca="false">Sens!$H$1711+Sens!$H$1712</f>
        <v>41.7098315769675</v>
      </c>
      <c r="I1713" s="38" t="n">
        <f aca="false">Sens!$I$1711+Sens!$I$1712</f>
        <v>74.5171174159175</v>
      </c>
      <c r="J1713" s="38" t="n">
        <f aca="false">Sens!$J$1711+Sens!$J$1712</f>
        <v>109.366922529979</v>
      </c>
      <c r="K1713" s="38" t="n">
        <f aca="false">Sens!$K$1711+Sens!$K$1712</f>
        <v>141.789508902119</v>
      </c>
      <c r="L1713" s="38" t="n">
        <f aca="false">Sens!$L$1711+Sens!$L$1712</f>
        <v>175.070453126411</v>
      </c>
      <c r="M1713" s="38" t="n">
        <f aca="false">Sens!$M$1711+Sens!$M$1712</f>
        <v>206.126627117548</v>
      </c>
      <c r="N1713" s="38" t="n">
        <f aca="false">Sens!$N$1711+Sens!$N$1712</f>
        <v>2.13741628932549</v>
      </c>
      <c r="O1713" s="38" t="n">
        <f aca="false">Sens!$O$1711+Sens!$O$1712</f>
        <v>2.13741628932549</v>
      </c>
      <c r="R1713" s="38" t="n">
        <f aca="false">Sens!$R$1711+Sens!$R$1712</f>
        <v>0</v>
      </c>
      <c r="S1713" s="38" t="n">
        <f aca="false">Sens!$S$1711+Sens!$S$1712</f>
        <v>0.240106508293943</v>
      </c>
      <c r="T1713" s="38" t="n">
        <f aca="false">Sens!$T$1711+Sens!$T$1712</f>
        <v>4.27483257865097</v>
      </c>
      <c r="U1713" s="38" t="n">
        <f aca="false">Sens!$U$1711+Sens!$U$1712</f>
        <v>15.3789231860571</v>
      </c>
      <c r="V1713" s="38" t="n">
        <f aca="false">Sens!$V$1711+Sens!$V$1712</f>
        <v>41.7098315769675</v>
      </c>
      <c r="W1713" s="38" t="n">
        <f aca="false">Sens!$W$1711+Sens!$W$1712</f>
        <v>74.5171174159175</v>
      </c>
      <c r="X1713" s="38" t="n">
        <f aca="false">Sens!$X$1711+Sens!$X$1712</f>
        <v>109.366922529979</v>
      </c>
      <c r="Y1713" s="38" t="n">
        <f aca="false">Sens!$Y$1711+Sens!$Y$1712</f>
        <v>141.789508902119</v>
      </c>
      <c r="Z1713" s="38" t="n">
        <f aca="false">Sens!$Z$1711+Sens!$Z$1712</f>
        <v>175.070453126411</v>
      </c>
      <c r="AA1713" s="38" t="n">
        <f aca="false">Sens!$AA$1711+Sens!$AA$1712</f>
        <v>206.126627117548</v>
      </c>
    </row>
    <row r="1714" customFormat="false" ht="17.15" hidden="false" customHeight="false" outlineLevel="0" collapsed="false">
      <c r="A1714" s="0" t="s">
        <v>594</v>
      </c>
      <c r="B1714" s="0" t="s">
        <v>73</v>
      </c>
      <c r="C1714" s="38" t="n">
        <f aca="false">Sens!$S$1714</f>
        <v>26.5422985947429</v>
      </c>
      <c r="D1714" s="38" t="n">
        <f aca="false">Sens!$T$1714</f>
        <v>91.8360976470946</v>
      </c>
      <c r="G1714" s="38" t="n">
        <f aca="false">Sens!$U$1714</f>
        <v>236.895225099048</v>
      </c>
      <c r="H1714" s="38" t="n">
        <f aca="false">Sens!$V$1714</f>
        <v>393.756758466831</v>
      </c>
      <c r="I1714" s="38" t="n">
        <f aca="false">Sens!$W$1714</f>
        <v>529.122879161413</v>
      </c>
      <c r="J1714" s="38" t="n">
        <f aca="false">Sens!$X$1714</f>
        <v>634.875962941934</v>
      </c>
      <c r="K1714" s="38" t="n">
        <f aca="false">Sens!$Y$1714</f>
        <v>744.863837750316</v>
      </c>
      <c r="L1714" s="38" t="n">
        <f aca="false">Sens!$Z$1714</f>
        <v>881.669229389655</v>
      </c>
      <c r="M1714" s="38" t="n">
        <f aca="false">Sens!$AA$1714</f>
        <v>1038.78896109311</v>
      </c>
      <c r="R1714" s="38" t="n">
        <f aca="false">SUM(Sens!$R$1707:$R$1707)-SUM(Sens!$R$1713:$R$1713)</f>
        <v>1.50429979529945</v>
      </c>
      <c r="S1714" s="38" t="n">
        <f aca="false">SUM(Sens!$R$1707:$S$1707)-SUM(Sens!$R$1713:$S$1713)</f>
        <v>26.5422985947429</v>
      </c>
      <c r="T1714" s="38" t="n">
        <f aca="false">SUM(Sens!$R$1707:$T$1707)-SUM(Sens!$R$1713:$T$1713)</f>
        <v>91.8360976470946</v>
      </c>
      <c r="U1714" s="38" t="n">
        <f aca="false">SUM(Sens!$R$1707:$U$1707)-SUM(Sens!$R$1713:$U$1713)</f>
        <v>236.895225099048</v>
      </c>
      <c r="V1714" s="38" t="n">
        <f aca="false">SUM(Sens!$R$1707:$V$1707)-SUM(Sens!$R$1713:$V$1713)</f>
        <v>393.756758466831</v>
      </c>
      <c r="W1714" s="38" t="n">
        <f aca="false">SUM(Sens!$R$1707:$W$1707)-SUM(Sens!$R$1713:$W$1713)</f>
        <v>529.122879161413</v>
      </c>
      <c r="X1714" s="38" t="n">
        <f aca="false">SUM(Sens!$R$1707:$X$1707)-SUM(Sens!$R$1713:$X$1713)</f>
        <v>634.875962941934</v>
      </c>
      <c r="Y1714" s="38" t="n">
        <f aca="false">SUM(Sens!$R$1707:$Y$1707)-SUM(Sens!$R$1713:$Y$1713)</f>
        <v>744.863837750316</v>
      </c>
      <c r="Z1714" s="38" t="n">
        <f aca="false">SUM(Sens!$R$1707:$Z$1707)-SUM(Sens!$R$1713:$Z$1713)</f>
        <v>881.669229389655</v>
      </c>
      <c r="AA1714" s="38" t="n">
        <f aca="false">SUM(Sens!$R$1707:$AA$1707)-SUM(Sens!$R$1713:$AA$1713)</f>
        <v>1038.78896109311</v>
      </c>
    </row>
    <row r="1715" customFormat="false" ht="17.15" hidden="false" customHeight="false" outlineLevel="0" collapsed="false">
      <c r="A1715" s="1" t="s">
        <v>595</v>
      </c>
    </row>
    <row r="1716" customFormat="false" ht="17.15" hidden="false" customHeight="false" outlineLevel="0" collapsed="false">
      <c r="A1716" s="0" t="s">
        <v>596</v>
      </c>
      <c r="B1716" s="0" t="s">
        <v>73</v>
      </c>
      <c r="C1716" s="38" t="n">
        <f aca="false">Sens!$C$1698-ext_sh*Sens!$C$1700</f>
        <v>1.80694998843362</v>
      </c>
      <c r="D1716" s="38" t="n">
        <f aca="false">Sens!$D$1698-ext_sh*Sens!$D$1700</f>
        <v>6.77606245662607</v>
      </c>
      <c r="E1716" s="38" t="n">
        <f aca="false">Sens!$E$1698-ext_sh*Sens!$E$1700</f>
        <v>6.62548329092326</v>
      </c>
      <c r="F1716" s="38" t="n">
        <f aca="false">Sens!$F$1698-ext_sh*Sens!$F$1700</f>
        <v>11.7200577158706</v>
      </c>
      <c r="G1716" s="38" t="n">
        <f aca="false">Sens!$G$1698-ext_sh*Sens!$G$1700</f>
        <v>18.3455410067939</v>
      </c>
      <c r="H1716" s="38" t="n">
        <f aca="false">Sens!$H$1698-ext_sh*Sens!$H$1700</f>
        <v>47.5171727060453</v>
      </c>
      <c r="I1716" s="38" t="n">
        <f aca="false">Sens!$I$1698-ext_sh*Sens!$I$1700</f>
        <v>80.5539692643667</v>
      </c>
      <c r="J1716" s="38" t="n">
        <f aca="false">Sens!$J$1698-ext_sh*Sens!$J$1700</f>
        <v>113.759316834883</v>
      </c>
      <c r="K1716" s="38" t="n">
        <f aca="false">Sens!$K$1698-ext_sh*Sens!$K$1700</f>
        <v>147.020848076132</v>
      </c>
      <c r="L1716" s="38" t="n">
        <f aca="false">Sens!$L$1698-ext_sh*Sens!$L$1700</f>
        <v>180.307917349531</v>
      </c>
      <c r="M1716" s="38" t="n">
        <f aca="false">Sens!$M$1698-ext_sh*Sens!$M$1700</f>
        <v>213.608737871012</v>
      </c>
      <c r="N1716" s="38" t="n">
        <f aca="false">Sens!$N$1698-ext_sh*Sens!$N$1700</f>
        <v>2.37162185981912</v>
      </c>
      <c r="O1716" s="38" t="n">
        <f aca="false">Sens!$O$1698-ext_sh*Sens!$O$1700</f>
        <v>4.40444059680694</v>
      </c>
    </row>
    <row r="1717" customFormat="false" ht="17.15" hidden="false" customHeight="false" outlineLevel="0" collapsed="false">
      <c r="A1717" s="1" t="s">
        <v>597</v>
      </c>
      <c r="B1717" s="8" t="s">
        <v>73</v>
      </c>
      <c r="C1717" s="38" t="n">
        <f aca="false">Sens!$C$1716-ext_sh*Sens!$C$1713</f>
        <v>1.61486478179846</v>
      </c>
      <c r="D1717" s="38" t="n">
        <f aca="false">Sens!$D$1716-ext_sh*Sens!$D$1713</f>
        <v>3.35619639370529</v>
      </c>
      <c r="E1717" s="38" t="n">
        <f aca="false">Sens!$E$1716-ext_sh*Sens!$E$1713</f>
        <v>0.47391401650041</v>
      </c>
      <c r="F1717" s="38" t="n">
        <f aca="false">Sens!$F$1716-ext_sh*Sens!$F$1713</f>
        <v>5.56848844144774</v>
      </c>
      <c r="G1717" s="38" t="n">
        <f aca="false">Sens!$G$1716-ext_sh*Sens!$G$1713</f>
        <v>6.04240245794815</v>
      </c>
      <c r="H1717" s="38" t="n">
        <f aca="false">Sens!$H$1716-ext_sh*Sens!$H$1713</f>
        <v>14.1493074444713</v>
      </c>
      <c r="I1717" s="38" t="n">
        <f aca="false">Sens!$I$1716-ext_sh*Sens!$I$1713</f>
        <v>20.9402753316327</v>
      </c>
      <c r="J1717" s="38" t="n">
        <f aca="false">Sens!$J$1716-ext_sh*Sens!$J$1713</f>
        <v>26.2657788109003</v>
      </c>
      <c r="K1717" s="38" t="n">
        <f aca="false">Sens!$K$1716-ext_sh*Sens!$K$1713</f>
        <v>33.5892409544369</v>
      </c>
      <c r="L1717" s="38" t="n">
        <f aca="false">Sens!$L$1716-ext_sh*Sens!$L$1713</f>
        <v>40.2515548484026</v>
      </c>
      <c r="M1717" s="38" t="n">
        <f aca="false">Sens!$M$1716-ext_sh*Sens!$M$1713</f>
        <v>48.7074361769736</v>
      </c>
      <c r="N1717" s="38" t="n">
        <f aca="false">Sens!$N$1716-ext_sh*Sens!$N$1713</f>
        <v>0.661688828358734</v>
      </c>
      <c r="O1717" s="38" t="n">
        <f aca="false">Sens!$O$1716-ext_sh*Sens!$O$1713</f>
        <v>2.69450756534655</v>
      </c>
    </row>
    <row r="1718" customFormat="false" ht="17.15" hidden="false" customHeight="false" outlineLevel="0" collapsed="false">
      <c r="A1718" s="0" t="s">
        <v>598</v>
      </c>
      <c r="B1718" s="0" t="s">
        <v>52</v>
      </c>
      <c r="C1718" s="12" t="n">
        <f aca="false">Sens!$C$1717/Sens!$C$1698</f>
        <v>0.695760902466888</v>
      </c>
      <c r="D1718" s="12" t="n">
        <f aca="false">Sens!$D$1717/Sens!$D$1698</f>
        <v>0.385602602035804</v>
      </c>
      <c r="E1718" s="12" t="n">
        <f aca="false">Sens!$E$1717/Sens!$E$1698</f>
        <v>0.0556867638581897</v>
      </c>
      <c r="F1718" s="12" t="n">
        <f aca="false">Sens!$F$1717/Sens!$F$1698</f>
        <v>0.372139749048339</v>
      </c>
      <c r="G1718" s="12" t="n">
        <f aca="false">Sens!$G$1717/Sens!$G$1698</f>
        <v>0.257410640885913</v>
      </c>
      <c r="H1718" s="12" t="n">
        <f aca="false">Sens!$H$1717/Sens!$H$1698</f>
        <v>0.235171577585666</v>
      </c>
      <c r="I1718" s="12" t="n">
        <f aca="false">Sens!$I$1717/Sens!$I$1698</f>
        <v>0.206300612783449</v>
      </c>
      <c r="J1718" s="12" t="n">
        <f aca="false">Sens!$J$1717/Sens!$J$1698</f>
        <v>0.183644146407631</v>
      </c>
      <c r="K1718" s="12" t="n">
        <f aca="false">Sens!$K$1717/Sens!$K$1698</f>
        <v>0.181948590733315</v>
      </c>
      <c r="L1718" s="12" t="n">
        <f aca="false">Sens!$L$1717/Sens!$L$1698</f>
        <v>0.177931578995</v>
      </c>
      <c r="M1718" s="12" t="n">
        <f aca="false">Sens!$M$1717/Sens!$M$1698</f>
        <v>0.181849229283255</v>
      </c>
      <c r="N1718" s="12" t="n">
        <f aca="false">Sens!$N$1717/Sens!$N$1698</f>
        <v>0.217209265679186</v>
      </c>
      <c r="O1718" s="12" t="n">
        <f aca="false">Sens!$O$1717/Sens!$O$1698</f>
        <v>0.47627593699706</v>
      </c>
    </row>
    <row r="1719" customFormat="false" ht="17.15" hidden="false" customHeight="false" outlineLevel="0" collapsed="false">
      <c r="A1719" s="5" t="s">
        <v>599</v>
      </c>
      <c r="B1719" s="0" t="s">
        <v>73</v>
      </c>
      <c r="C1719" s="38" t="n">
        <f aca="false">rd2*(1-ext_sh)/ext_sh*Sens!$C$1681*he_open*Sens!$C$1682/1000</f>
        <v>0</v>
      </c>
      <c r="D1719" s="38" t="n">
        <f aca="false">rd2*(1-ext_sh)/ext_sh*Sens!$D$1681*he_open*Sens!$D$1682/1000</f>
        <v>0</v>
      </c>
      <c r="E1719" s="38" t="n">
        <f aca="false">rd2*(1-ext_sh)/ext_sh*Sens!$E$1681*he_open*Sens!$E$1682/1000</f>
        <v>0</v>
      </c>
      <c r="F1719" s="38" t="n">
        <f aca="false">rd2*(1-ext_sh)/ext_sh*(mw_open*he_open+Sens!$F$1696*Sens!$F$1693)*Sens!$F$1682/1000</f>
        <v>0</v>
      </c>
      <c r="G1719" s="38" t="n">
        <f aca="false">Sens!$E$1719+Sens!$F$1719</f>
        <v>0</v>
      </c>
      <c r="H1719" s="38" t="n">
        <f aca="false">rd2*(1-ext_sh)/ext_sh*(mw_open*he_open+Sens!$H$1696*Sens!$H$1693)*Sens!$H$1682/1000</f>
        <v>0</v>
      </c>
      <c r="I1719" s="38" t="n">
        <f aca="false">rd2*(1-ext_sh)/ext_sh*(mw_open*he_open+Sens!$I$1696*Sens!$I$1693)*Sens!$I$1682/1000</f>
        <v>0</v>
      </c>
      <c r="J1719" s="38" t="n">
        <f aca="false">rd2*(1-ext_sh)/ext_sh*(mw_open*he_open+Sens!$J$1696*Sens!$J$1693)*Sens!$J$1682/1000</f>
        <v>0</v>
      </c>
      <c r="K1719" s="38" t="n">
        <f aca="false">rd2*(1-ext_sh)/ext_sh*(mw_open*he_open+Sens!$K$1696*Sens!$K$1693)*Sens!$K$1682/1000</f>
        <v>0</v>
      </c>
      <c r="L1719" s="38" t="n">
        <f aca="false">rd2*(1-ext_sh)/ext_sh*(mw_open*he_open+Sens!$L$1696*Sens!$L$1693)*Sens!$L$1682/1000</f>
        <v>0</v>
      </c>
      <c r="M1719" s="38" t="n">
        <f aca="false">rd2*(1-ext_sh)/ext_sh*(mw_open*he_open+Sens!$M$1696*Sens!$M$1693)*Sens!$M$1682/1000</f>
        <v>0</v>
      </c>
      <c r="N1719" s="38" t="n">
        <f aca="false">rd2*(1-ext_sh)/ext_sh*Sens!$N$1681*he_open*Sens!$N$1682/1000</f>
        <v>0</v>
      </c>
      <c r="O1719" s="38" t="n">
        <f aca="false">rd2*(1-ext_sh)/ext_sh*Sens!$O$1681*he_open*Sens!$O$1682/1000</f>
        <v>0</v>
      </c>
      <c r="P1719" s="8" t="s">
        <v>600</v>
      </c>
    </row>
    <row r="1720" customFormat="false" ht="17.15" hidden="false" customHeight="false" outlineLevel="0" collapsed="false">
      <c r="A1720" s="5" t="s">
        <v>601</v>
      </c>
      <c r="B1720" s="0" t="s">
        <v>73</v>
      </c>
      <c r="C1720" s="38" t="n">
        <f aca="false">(1-ext_sh)*(Sens!$C$1700+Sens!$C$1713)-Sens!$C$1719</f>
        <v>0.176535143793795</v>
      </c>
      <c r="D1720" s="38" t="n">
        <f aca="false">(1-ext_sh)*(Sens!$D$1700+Sens!$D$1713)-Sens!$D$1719</f>
        <v>1.33689342373647</v>
      </c>
      <c r="E1720" s="38" t="n">
        <f aca="false">(1-ext_sh)*(Sens!$E$1700+Sens!$E$1713)-Sens!$E$1719</f>
        <v>2.0091097397674</v>
      </c>
      <c r="F1720" s="38" t="n">
        <f aca="false">(1-ext_sh)*(Sens!$F$1700+Sens!$F$1713)-Sens!$F$1719</f>
        <v>2.34873630081818</v>
      </c>
      <c r="G1720" s="38" t="n">
        <f aca="false">(1-ext_sh)*(Sens!$G$1700+Sens!$G$1713)-Sens!$G$1719</f>
        <v>4.35784604058558</v>
      </c>
      <c r="H1720" s="38" t="n">
        <f aca="false">(1-ext_sh)*(Sens!$H$1700+Sens!$H$1713)-Sens!$H$1719</f>
        <v>11.5041458263258</v>
      </c>
      <c r="I1720" s="38" t="n">
        <f aca="false">(1-ext_sh)*(Sens!$I$1700+Sens!$I$1713)-Sens!$I$1719</f>
        <v>20.1408559511998</v>
      </c>
      <c r="J1720" s="38" t="n">
        <f aca="false">(1-ext_sh)*(Sens!$J$1700+Sens!$J$1713)-Sens!$J$1719</f>
        <v>29.1899070850945</v>
      </c>
      <c r="K1720" s="38" t="n">
        <f aca="false">(1-ext_sh)*(Sens!$K$1700+Sens!$K$1713)-Sens!$K$1719</f>
        <v>37.7547935219376</v>
      </c>
      <c r="L1720" s="38" t="n">
        <f aca="false">(1-ext_sh)*(Sens!$L$1700+Sens!$L$1713)-Sens!$L$1719</f>
        <v>46.4919329161805</v>
      </c>
      <c r="M1720" s="38" t="n">
        <f aca="false">(1-ext_sh)*(Sens!$M$1700+Sens!$M$1713)-Sens!$M$1719</f>
        <v>54.7844313183145</v>
      </c>
      <c r="N1720" s="38" t="n">
        <f aca="false">(1-ext_sh)*(Sens!$N$1700+Sens!$N$1713)-Sens!$N$1719</f>
        <v>0.596157675667293</v>
      </c>
      <c r="O1720" s="38" t="n">
        <f aca="false">(1-ext_sh)*(Sens!$O$1700+Sens!$O$1713)-Sens!$O$1719</f>
        <v>0.740735748069175</v>
      </c>
    </row>
    <row r="1721" customFormat="false" ht="17.15" hidden="false" customHeight="false" outlineLevel="0" collapsed="false">
      <c r="A1721" s="0" t="s">
        <v>602</v>
      </c>
      <c r="B1721" s="0" t="s">
        <v>73</v>
      </c>
      <c r="C1721" s="38" t="n">
        <f aca="false">Q!$D$24</f>
        <v>39.834</v>
      </c>
      <c r="D1721" s="38" t="n">
        <f aca="false">Q!$E$24</f>
        <v>45.606</v>
      </c>
      <c r="E1721" s="38" t="n">
        <f aca="false">Q!$P$24</f>
        <v>30.782</v>
      </c>
      <c r="N1721" s="38" t="n">
        <f aca="false">Q!$N$24</f>
        <v>21.707</v>
      </c>
      <c r="O1721" s="38" t="n">
        <f aca="false">Q!$O$24</f>
        <v>23.899</v>
      </c>
    </row>
    <row r="1722" customFormat="false" ht="17.15" hidden="false" customHeight="false" outlineLevel="0" collapsed="false">
      <c r="A1722" s="0" t="s">
        <v>603</v>
      </c>
      <c r="B1722" s="0" t="s">
        <v>73</v>
      </c>
      <c r="C1722" s="38" t="n">
        <f aca="false">Sens!$C$1721-Sens!$C$1717</f>
        <v>38.2191352182015</v>
      </c>
      <c r="D1722" s="38" t="n">
        <f aca="false">Sens!$D$1721-Sens!$D$1717</f>
        <v>42.2498036062947</v>
      </c>
      <c r="E1722" s="38" t="n">
        <f aca="false">Sens!$E$1721-Sens!$E$1717</f>
        <v>30.3080859834996</v>
      </c>
      <c r="F1722" s="38" t="n">
        <f aca="false">Sens!$F$1702*Sens!$F$1723</f>
        <v>30.1605062124073</v>
      </c>
      <c r="G1722" s="38" t="n">
        <f aca="false">Sens!$E$1722+Sens!$F$1722</f>
        <v>60.4685921959069</v>
      </c>
      <c r="H1722" s="38" t="n">
        <f aca="false">Sens!$H$1702*Sens!$H$1723</f>
        <v>69.4171466390737</v>
      </c>
      <c r="I1722" s="38" t="n">
        <f aca="false">Sens!$I$1702*Sens!$I$1723</f>
        <v>80.8354405577907</v>
      </c>
      <c r="J1722" s="38" t="n">
        <f aca="false">Sens!$J$1702*Sens!$J$1723</f>
        <v>90.7170918228425</v>
      </c>
      <c r="K1722" s="38" t="n">
        <f aca="false">Sens!$K$1702*Sens!$K$1723</f>
        <v>97.9744591686699</v>
      </c>
      <c r="L1722" s="38" t="n">
        <f aca="false">Sens!$L$1702*Sens!$L$1723</f>
        <v>105.812415902163</v>
      </c>
      <c r="M1722" s="38" t="n">
        <f aca="false">Sens!$M$1702*Sens!$M$1723</f>
        <v>114.277409174337</v>
      </c>
      <c r="N1722" s="38" t="n">
        <f aca="false">Sens!$N$1721-Sens!$N$1717</f>
        <v>21.0453111716413</v>
      </c>
      <c r="O1722" s="38" t="n">
        <f aca="false">Sens!$O$1721-Sens!$O$1717</f>
        <v>21.2044924346534</v>
      </c>
      <c r="P1722" s="5" t="s">
        <v>604</v>
      </c>
    </row>
    <row r="1723" customFormat="false" ht="17.15" hidden="false" customHeight="false" outlineLevel="0" collapsed="false">
      <c r="A1723" s="0" t="s">
        <v>605</v>
      </c>
      <c r="B1723" s="0" t="s">
        <v>52</v>
      </c>
      <c r="C1723" s="12" t="n">
        <f aca="false">Sens!$C$1722/Sens!$C$1702</f>
        <v>0.363178953425587</v>
      </c>
      <c r="D1723" s="12" t="n">
        <f aca="false">Sens!$D$1722/Sens!$D$1702</f>
        <v>0.352019418876991</v>
      </c>
      <c r="E1723" s="12" t="n">
        <f aca="false">Sens!$E$1722/Sens!$E$1702</f>
        <v>0.425026798967539</v>
      </c>
      <c r="F1723" s="12" t="n">
        <f aca="false">(Sens!$O$1722+Sens!$E$1722)/(Sens!$O$1702+Sens!$E$1702)</f>
        <v>0.383745813528699</v>
      </c>
      <c r="G1723" s="12" t="n">
        <f aca="false">Sens!$G$1722/Sens!$G$1702</f>
        <v>0.403383034325639</v>
      </c>
      <c r="H1723" s="12" t="n">
        <f aca="false">Sens!$F$1723</f>
        <v>0.383745813528699</v>
      </c>
      <c r="I1723" s="12" t="n">
        <f aca="false">Sens!$F$1723</f>
        <v>0.383745813528699</v>
      </c>
      <c r="J1723" s="12" t="n">
        <f aca="false">Sens!$F$1723</f>
        <v>0.383745813528699</v>
      </c>
      <c r="K1723" s="12" t="n">
        <f aca="false">Sens!$F$1723</f>
        <v>0.383745813528699</v>
      </c>
      <c r="L1723" s="12" t="n">
        <f aca="false">Sens!$F$1723</f>
        <v>0.383745813528699</v>
      </c>
      <c r="M1723" s="12" t="n">
        <f aca="false">Sens!$F$1723</f>
        <v>0.383745813528699</v>
      </c>
      <c r="N1723" s="12" t="n">
        <f aca="false">Sens!$N$1722/Sens!$N$1702</f>
        <v>0.36861016838945</v>
      </c>
      <c r="O1723" s="12" t="n">
        <f aca="false">Sens!$O$1722/Sens!$O$1702</f>
        <v>0.33696675975076</v>
      </c>
      <c r="P1723" s="8" t="s">
        <v>606</v>
      </c>
    </row>
    <row r="1724" customFormat="false" ht="17.15" hidden="false" customHeight="false" outlineLevel="0" collapsed="false">
      <c r="A1724" s="0" t="s">
        <v>607</v>
      </c>
      <c r="B1724" s="0" t="s">
        <v>52</v>
      </c>
      <c r="D1724" s="12" t="n">
        <f aca="false">(Q!$E$31-ext_sh*Sens!$D$1713)/Sens!$D$1702</f>
        <v>0.15022453902861</v>
      </c>
    </row>
    <row r="1725" customFormat="false" ht="17.15" hidden="false" customHeight="false" outlineLevel="0" collapsed="false">
      <c r="A1725" s="0" t="s">
        <v>608</v>
      </c>
      <c r="B1725" s="0" t="s">
        <v>73</v>
      </c>
      <c r="C1725" s="38" t="n">
        <f aca="false">Q!$D$31</f>
        <v>13.32</v>
      </c>
      <c r="D1725" s="38" t="n">
        <f aca="false">Q!$E$31</f>
        <v>21.45</v>
      </c>
      <c r="E1725" s="38" t="n">
        <f aca="false">Q!$P$31</f>
        <v>15.353</v>
      </c>
      <c r="F1725" s="38" t="n">
        <f aca="false">ext_sh*Sens!$F$1713+Sens!$D$1724*Sens!$F$1702</f>
        <v>17.9584684845157</v>
      </c>
      <c r="G1725" s="38" t="n">
        <f aca="false">Sens!$E$1725+Sens!$F$1725</f>
        <v>33.3114684845157</v>
      </c>
      <c r="H1725" s="38" t="n">
        <f aca="false">ext_sh*Sens!$H$1713+Sens!$D$1724*Sens!$H$1702</f>
        <v>60.542517041212</v>
      </c>
      <c r="I1725" s="38" t="n">
        <f aca="false">ext_sh*Sens!$I$1713+Sens!$D$1724*Sens!$I$1702</f>
        <v>91.2582523014745</v>
      </c>
      <c r="J1725" s="38" t="n">
        <f aca="false">ext_sh*Sens!$J$1713+Sens!$D$1724*Sens!$J$1702</f>
        <v>123.006455222449</v>
      </c>
      <c r="K1725" s="38" t="n">
        <f aca="false">ext_sh*Sens!$K$1713+Sens!$D$1724*Sens!$K$1702</f>
        <v>151.785557696038</v>
      </c>
      <c r="L1725" s="38" t="n">
        <f aca="false">ext_sh*Sens!$L$1713+Sens!$D$1724*Sens!$L$1702</f>
        <v>181.478629121419</v>
      </c>
      <c r="M1725" s="38" t="n">
        <f aca="false">ext_sh*Sens!$M$1713+Sens!$D$1724*Sens!$M$1702</f>
        <v>209.637349643952</v>
      </c>
      <c r="N1725" s="38" t="n">
        <f aca="false">Q!$N$31</f>
        <v>9.234</v>
      </c>
      <c r="O1725" s="38" t="n">
        <f aca="false">Q!$O$31</f>
        <v>12.216</v>
      </c>
    </row>
    <row r="1726" customFormat="false" ht="17.15" hidden="false" customHeight="false" outlineLevel="0" collapsed="false">
      <c r="A1726" s="1" t="s">
        <v>609</v>
      </c>
    </row>
    <row r="1727" customFormat="false" ht="17.15" hidden="false" customHeight="false" outlineLevel="0" collapsed="false">
      <c r="A1727" s="14" t="s">
        <v>610</v>
      </c>
      <c r="B1727" s="13" t="s">
        <v>52</v>
      </c>
      <c r="C1727" s="13"/>
      <c r="D1727" s="13"/>
      <c r="E1727" s="13"/>
      <c r="F1727" s="13"/>
      <c r="G1727" s="16" t="n">
        <f aca="false">Sens!$G$1717*(1-tax)/(ext_sh*(Sens!$D$1714+Sens!$G$1714)/2)</f>
        <v>0.0379758068528175</v>
      </c>
      <c r="H1727" s="16" t="n">
        <f aca="false">Sens!$H$1717*(1-tax)/(ext_sh*(Sens!$G$1714+Sens!$H$1714)/2)</f>
        <v>0.0463536423987396</v>
      </c>
      <c r="I1727" s="16" t="n">
        <f aca="false">Sens!$I$1717*(1-tax)/(ext_sh*(Sens!$H$1714+Sens!$I$1714)/2)</f>
        <v>0.0468787229810143</v>
      </c>
      <c r="J1727" s="16" t="n">
        <f aca="false">Sens!$J$1717*(1-tax)/(ext_sh*(Sens!$I$1714+Sens!$J$1714)/2)</f>
        <v>0.0466204201510502</v>
      </c>
      <c r="K1727" s="16" t="n">
        <f aca="false">Sens!$K$1717*(1-tax)/(ext_sh*(Sens!$J$1714+Sens!$K$1714)/2)</f>
        <v>0.0502969263658883</v>
      </c>
      <c r="L1727" s="16" t="n">
        <f aca="false">Sens!$L$1717*(1-tax)/(ext_sh*(Sens!$K$1714+Sens!$L$1714)/2)</f>
        <v>0.0511279303604527</v>
      </c>
      <c r="M1727" s="16" t="n">
        <f aca="false">Sens!$M$1717*(1-tax)/(ext_sh*(Sens!$L$1714+Sens!$M$1714)/2)</f>
        <v>0.0523997074301721</v>
      </c>
      <c r="N1727" s="13"/>
      <c r="O1727" s="13"/>
      <c r="P1727" s="8" t="s">
        <v>611</v>
      </c>
    </row>
    <row r="1728" customFormat="false" ht="17.15" hidden="false" customHeight="false" outlineLevel="0" collapsed="false">
      <c r="A1728" s="5" t="s">
        <v>612</v>
      </c>
      <c r="B1728" s="0" t="s">
        <v>57</v>
      </c>
      <c r="H1728" s="36" t="n">
        <f aca="false">Sens!$H$1698*1000/(mw_open*he_open+Sens!$H$1696*Sens!$H$1693)</f>
        <v>0.991949006767191</v>
      </c>
      <c r="I1728" s="36" t="n">
        <f aca="false">Sens!$I$1698*1000/(mw_open*he_open+Sens!$I$1696*Sens!$I$1693)</f>
        <v>0.991949006767191</v>
      </c>
      <c r="J1728" s="36" t="n">
        <f aca="false">Sens!$J$1698*1000/(mw_open*he_open+Sens!$J$1696*Sens!$J$1693)</f>
        <v>0.991949006767191</v>
      </c>
      <c r="K1728" s="36" t="n">
        <f aca="false">Sens!$K$1698*1000/(mw_open*he_open+Sens!$K$1696*Sens!$K$1693)</f>
        <v>0.991949006767191</v>
      </c>
      <c r="L1728" s="36" t="n">
        <f aca="false">Sens!$L$1698*1000/(mw_open*he_open+Sens!$L$1696*Sens!$L$1693)</f>
        <v>0.991949006767191</v>
      </c>
      <c r="M1728" s="36" t="n">
        <f aca="false">Sens!$M$1698*1000/(mw_open*he_open+Sens!$M$1696*Sens!$M$1693)</f>
        <v>0.991949006767192</v>
      </c>
    </row>
    <row r="1729" customFormat="false" ht="17.15" hidden="false" customHeight="false" outlineLevel="0" collapsed="false">
      <c r="A1729" s="5" t="s">
        <v>613</v>
      </c>
      <c r="B1729" s="0" t="s">
        <v>57</v>
      </c>
      <c r="H1729" s="36" t="n">
        <f aca="false">Sens!$H$1728*(Sens!$H$1698+wacc*ext_sh*(Sens!$G$1714+Sens!$H$1714)/2/(1-tax)-Sens!$H$1717)/Sens!$H$1698</f>
        <v>1.38715266596324</v>
      </c>
      <c r="I1729" s="36" t="n">
        <f aca="false">Sens!$I$1728*(Sens!$I$1698+wacc*ext_sh*(Sens!$H$1714+Sens!$I$1714)/2/(1-tax)-Sens!$I$1717)/Sens!$I$1698</f>
        <v>1.33245996882285</v>
      </c>
      <c r="J1729" s="36" t="n">
        <f aca="false">Sens!$J$1728*(Sens!$J$1698+wacc*ext_sh*(Sens!$I$1714+Sens!$J$1714)/2/(1-tax)-Sens!$J$1717)/Sens!$J$1698</f>
        <v>1.29775289824647</v>
      </c>
      <c r="K1729" s="36" t="n">
        <f aca="false">Sens!$K$1728*(Sens!$K$1698+wacc*ext_sh*(Sens!$J$1714+Sens!$K$1714)/2/(1-tax)-Sens!$K$1717)/Sens!$K$1698</f>
        <v>1.25959014440238</v>
      </c>
      <c r="L1729" s="36" t="n">
        <f aca="false">Sens!$L$1728*(Sens!$L$1698+wacc*ext_sh*(Sens!$K$1714+Sens!$L$1714)/2/(1-tax)-Sens!$L$1717)/Sens!$L$1698</f>
        <v>1.24655847641987</v>
      </c>
      <c r="M1729" s="36" t="n">
        <f aca="false">Sens!$M$1728*(Sens!$M$1698+wacc*ext_sh*(Sens!$L$1714+Sens!$M$1714)/2/(1-tax)-Sens!$M$1717)/Sens!$M$1698</f>
        <v>1.24147072053114</v>
      </c>
    </row>
    <row r="1730" customFormat="false" ht="17.15" hidden="false" customHeight="false" outlineLevel="0" collapsed="false">
      <c r="A1730" s="5" t="s">
        <v>614</v>
      </c>
      <c r="B1730" s="0" t="s">
        <v>52</v>
      </c>
      <c r="C1730" s="12" t="n">
        <f aca="false">Sens!$C$1699/tk_pq</f>
        <v>0.195316432429398</v>
      </c>
      <c r="D1730" s="12" t="n">
        <f aca="false">Sens!$D$1699/tk_pq</f>
        <v>0.195316432429398</v>
      </c>
      <c r="E1730" s="12" t="n">
        <f aca="false">Sens!$E$1699/tk_pq</f>
        <v>0.195316432429398</v>
      </c>
      <c r="F1730" s="12" t="n">
        <f aca="false">Sens!$F$1699/tk_pq</f>
        <v>0.202241827274866</v>
      </c>
      <c r="G1730" s="12" t="n">
        <f aca="false">Sens!$G$1699/tk_pq</f>
        <v>0.199675016194063</v>
      </c>
      <c r="H1730" s="12" t="n">
        <f aca="false">Sens!$H$1699/tk_pq</f>
        <v>0.212647947710325</v>
      </c>
      <c r="I1730" s="12" t="n">
        <f aca="false">Sens!$I$1699/tk_pq</f>
        <v>0.219285125475351</v>
      </c>
      <c r="J1730" s="12" t="n">
        <f aca="false">Sens!$J$1699/tk_pq</f>
        <v>0.222492493217189</v>
      </c>
      <c r="K1730" s="12" t="n">
        <f aca="false">Sens!$K$1699/tk_pq</f>
        <v>0.224371415939166</v>
      </c>
      <c r="L1730" s="12" t="n">
        <f aca="false">Sens!$L$1699/tk_pq</f>
        <v>0.225603749825993</v>
      </c>
      <c r="M1730" s="12" t="n">
        <f aca="false">Sens!$M$1699/tk_pq</f>
        <v>0.22647376274628</v>
      </c>
      <c r="N1730" s="12" t="n">
        <f aca="false">Sens!$N$1699/tk_pq</f>
        <v>0.195316432429398</v>
      </c>
      <c r="O1730" s="12" t="n">
        <f aca="false">Sens!$O$1699/tk_pq</f>
        <v>0.195316432429398</v>
      </c>
      <c r="P1730" s="5" t="s">
        <v>615</v>
      </c>
    </row>
    <row r="1733" customFormat="false" ht="17.15" hidden="false" customHeight="false" outlineLevel="0" collapsed="false">
      <c r="A1733" s="1" t="s">
        <v>642</v>
      </c>
    </row>
    <row r="1734" customFormat="false" ht="17.15" hidden="false" customHeight="false" outlineLevel="0" collapsed="false">
      <c r="A1734" s="0" t="s">
        <v>643</v>
      </c>
      <c r="B1734" s="0" t="s">
        <v>73</v>
      </c>
      <c r="C1734" s="38" t="n">
        <f aca="false">Sens!$C$1698</f>
        <v>2.32100535697364</v>
      </c>
      <c r="D1734" s="38" t="n">
        <f aca="false">Sens!$D$1698</f>
        <v>8.70377008865116</v>
      </c>
      <c r="E1734" s="38" t="n">
        <f aca="false">Sens!$E$1698</f>
        <v>8.51035297557002</v>
      </c>
      <c r="F1734" s="38" t="n">
        <f aca="false">Sens!$F$1698</f>
        <v>14.9634336447205</v>
      </c>
      <c r="G1734" s="38" t="n">
        <f aca="false">Sens!$G$1698</f>
        <v>23.4737866202905</v>
      </c>
      <c r="H1734" s="38" t="n">
        <f aca="false">Sens!$H$1698</f>
        <v>60.1658907497746</v>
      </c>
      <c r="I1734" s="38" t="n">
        <f aca="false">Sens!$I$1698</f>
        <v>101.503699136432</v>
      </c>
      <c r="J1734" s="38" t="n">
        <f aca="false">Sens!$J$1698</f>
        <v>143.025407151278</v>
      </c>
      <c r="K1734" s="38" t="n">
        <f aca="false">Sens!$K$1698</f>
        <v>184.608415042187</v>
      </c>
      <c r="L1734" s="38" t="n">
        <f aca="false">Sens!$L$1698</f>
        <v>226.219286513125</v>
      </c>
      <c r="M1734" s="38" t="n">
        <f aca="false">Sens!$M$1698</f>
        <v>267.845161450232</v>
      </c>
      <c r="N1734" s="38" t="n">
        <f aca="false">Sens!$N$1698</f>
        <v>3.04631953102791</v>
      </c>
      <c r="O1734" s="38" t="n">
        <f aca="false">Sens!$O$1698</f>
        <v>5.65745055762326</v>
      </c>
      <c r="P1734" s="8" t="s">
        <v>644</v>
      </c>
    </row>
    <row r="1735" customFormat="false" ht="17.15" hidden="false" customHeight="false" outlineLevel="0" collapsed="false">
      <c r="A1735" s="0" t="s">
        <v>645</v>
      </c>
      <c r="B1735" s="0" t="s">
        <v>73</v>
      </c>
      <c r="C1735" s="38" t="n">
        <f aca="false">Sens!$C$1702</f>
        <v>105.234994643026</v>
      </c>
      <c r="D1735" s="38" t="n">
        <f aca="false">Sens!$D$1702</f>
        <v>120.021229911349</v>
      </c>
      <c r="E1735" s="38" t="n">
        <f aca="false">Sens!$E$1702</f>
        <v>71.30864702443</v>
      </c>
      <c r="F1735" s="38" t="n">
        <f aca="false">Sens!$F$1702</f>
        <v>78.5950104186653</v>
      </c>
      <c r="G1735" s="38" t="n">
        <f aca="false">Sens!$G$1702</f>
        <v>149.903657443095</v>
      </c>
      <c r="H1735" s="38" t="n">
        <f aca="false">Sens!$H$1702</f>
        <v>180.893560768142</v>
      </c>
      <c r="I1735" s="38" t="n">
        <f aca="false">Sens!$I$1702</f>
        <v>210.64839721501</v>
      </c>
      <c r="J1735" s="38" t="n">
        <f aca="false">Sens!$J$1702</f>
        <v>236.398909446495</v>
      </c>
      <c r="K1735" s="38" t="n">
        <f aca="false">Sens!$K$1702</f>
        <v>255.310822202215</v>
      </c>
      <c r="L1735" s="38" t="n">
        <f aca="false">Sens!$L$1702</f>
        <v>275.735687978392</v>
      </c>
      <c r="M1735" s="38" t="n">
        <f aca="false">Sens!$M$1702</f>
        <v>297.794543016663</v>
      </c>
      <c r="N1735" s="38" t="n">
        <f aca="false">Sens!$N$1702</f>
        <v>57.0936804689721</v>
      </c>
      <c r="O1735" s="38" t="n">
        <f aca="false">Sens!$O$1702</f>
        <v>62.9275494423768</v>
      </c>
      <c r="P1735" s="8" t="s">
        <v>644</v>
      </c>
    </row>
    <row r="1736" customFormat="false" ht="17.15" hidden="false" customHeight="false" outlineLevel="0" collapsed="false">
      <c r="A1736" s="1" t="s">
        <v>476</v>
      </c>
      <c r="B1736" s="8" t="s">
        <v>73</v>
      </c>
      <c r="C1736" s="38" t="n">
        <f aca="false">Q!$D$7</f>
        <v>107.556</v>
      </c>
      <c r="D1736" s="38" t="n">
        <f aca="false">Q!$E$7</f>
        <v>128.725</v>
      </c>
      <c r="E1736" s="38" t="n">
        <f aca="false">Q!$P$7</f>
        <v>79.819</v>
      </c>
      <c r="F1736" s="38" t="n">
        <f aca="false">Sens!$F$1734+Sens!$F$1735</f>
        <v>93.5584440633857</v>
      </c>
      <c r="G1736" s="38" t="n">
        <f aca="false">Sens!$G$1734+Sens!$G$1735</f>
        <v>173.377444063386</v>
      </c>
      <c r="H1736" s="38" t="n">
        <f aca="false">Sens!$H$1734+Sens!$H$1735</f>
        <v>241.059451517916</v>
      </c>
      <c r="I1736" s="38" t="n">
        <f aca="false">Sens!$I$1734+Sens!$I$1735</f>
        <v>312.152096351442</v>
      </c>
      <c r="J1736" s="38" t="n">
        <f aca="false">Sens!$J$1734+Sens!$J$1735</f>
        <v>379.424316597773</v>
      </c>
      <c r="K1736" s="38" t="n">
        <f aca="false">Sens!$K$1734+Sens!$K$1735</f>
        <v>439.919237244402</v>
      </c>
      <c r="L1736" s="38" t="n">
        <f aca="false">Sens!$L$1734+Sens!$L$1735</f>
        <v>501.954974491517</v>
      </c>
      <c r="M1736" s="38" t="n">
        <f aca="false">Sens!$M$1734+Sens!$M$1735</f>
        <v>565.639704466895</v>
      </c>
      <c r="N1736" s="38" t="n">
        <f aca="false">Q!$N$7</f>
        <v>60.14</v>
      </c>
      <c r="O1736" s="38" t="n">
        <f aca="false">Q!$O$7</f>
        <v>68.585</v>
      </c>
      <c r="P1736" s="5" t="s">
        <v>646</v>
      </c>
    </row>
    <row r="1737" customFormat="false" ht="15" hidden="false" customHeight="false" outlineLevel="0" collapsed="false">
      <c r="A1737" s="3" t="s">
        <v>647</v>
      </c>
      <c r="B1737" s="8" t="s">
        <v>73</v>
      </c>
      <c r="C1737" s="38" t="n">
        <f aca="false">Q!$D$8</f>
        <v>637.959</v>
      </c>
      <c r="D1737" s="38" t="n">
        <f aca="false">Q!$E$8</f>
        <v>716.924</v>
      </c>
      <c r="E1737" s="38" t="n">
        <f aca="false">Q!$P$8</f>
        <v>382.125</v>
      </c>
      <c r="F1737" s="38" t="n">
        <f aca="false">Sens!$F$1671+Sens!$F$1736</f>
        <v>450.494873271816</v>
      </c>
      <c r="G1737" s="38" t="n">
        <f aca="false">Sens!$G$1671+Sens!$G$1736</f>
        <v>832.619873271816</v>
      </c>
      <c r="H1737" s="38" t="n">
        <f aca="false">Sens!$H$1671+Sens!$H$1736</f>
        <v>970.995189139617</v>
      </c>
      <c r="I1737" s="38" t="n">
        <f aca="false">Sens!$I$1671+Sens!$I$1736</f>
        <v>1110.44766604932</v>
      </c>
      <c r="J1737" s="38" t="n">
        <f aca="false">Sens!$J$1671+Sens!$J$1736</f>
        <v>1241.16113892356</v>
      </c>
      <c r="K1737" s="38" t="n">
        <f aca="false">Sens!$K$1671+Sens!$K$1736</f>
        <v>1357.47672934633</v>
      </c>
      <c r="L1737" s="38" t="n">
        <f aca="false">Sens!$L$1671+Sens!$L$1736</f>
        <v>1479.24006423468</v>
      </c>
      <c r="M1737" s="38" t="n">
        <f aca="false">Sens!$M$1671+Sens!$M$1736</f>
        <v>1606.8537230104</v>
      </c>
      <c r="N1737" s="38" t="n">
        <f aca="false">Q!$N$8</f>
        <v>323.369</v>
      </c>
      <c r="O1737" s="38" t="n">
        <f aca="false">Q!$O$8</f>
        <v>393.555</v>
      </c>
    </row>
    <row r="1738" customFormat="false" ht="17.15" hidden="false" customHeight="false" outlineLevel="0" collapsed="false">
      <c r="A1738" s="24" t="s">
        <v>655</v>
      </c>
      <c r="B1738" s="25" t="s">
        <v>73</v>
      </c>
      <c r="C1738" s="39" t="n">
        <f aca="false">Sens!$C$1671-(Sens!$C$1673+Sens!$C$1674)</f>
        <v>0</v>
      </c>
      <c r="D1738" s="39" t="n">
        <f aca="false">Sens!$D$1671-(Sens!$D$1673+Sens!$D$1674)</f>
        <v>0</v>
      </c>
      <c r="E1738" s="39" t="n">
        <f aca="false">Sens!$E$1671-(Sens!$E$1673+Sens!$E$1674)</f>
        <v>0</v>
      </c>
      <c r="F1738" s="39" t="n">
        <f aca="false">Sens!$F$1671-(Sens!$F$1673+Sens!$F$1674)</f>
        <v>0</v>
      </c>
      <c r="G1738" s="39" t="n">
        <f aca="false">Sens!$G$1671-(Sens!$G$1673+Sens!$G$1674)</f>
        <v>0</v>
      </c>
      <c r="H1738" s="39" t="n">
        <f aca="false">Sens!$H$1671-(Sens!$H$1673+Sens!$H$1674)</f>
        <v>0</v>
      </c>
      <c r="I1738" s="39" t="n">
        <f aca="false">Sens!$I$1671-(Sens!$I$1673+Sens!$I$1674)</f>
        <v>0</v>
      </c>
      <c r="J1738" s="39" t="n">
        <f aca="false">Sens!$J$1671-(Sens!$J$1673+Sens!$J$1674)</f>
        <v>0</v>
      </c>
      <c r="K1738" s="39" t="n">
        <f aca="false">Sens!$K$1671-(Sens!$K$1673+Sens!$K$1674)</f>
        <v>0</v>
      </c>
      <c r="L1738" s="39" t="n">
        <f aca="false">Sens!$L$1671-(Sens!$L$1673+Sens!$L$1674)</f>
        <v>0</v>
      </c>
      <c r="M1738" s="39" t="n">
        <f aca="false">Sens!$M$1671-(Sens!$M$1673+Sens!$M$1674)</f>
        <v>0</v>
      </c>
      <c r="N1738" s="39" t="n">
        <f aca="false">Sens!$N$1671-(Sens!$N$1673+Sens!$N$1674)</f>
        <v>0</v>
      </c>
      <c r="O1738" s="39" t="n">
        <f aca="false">Sens!$O$1671-(Sens!$O$1673+Sens!$O$1674)</f>
        <v>0</v>
      </c>
    </row>
    <row r="1739" customFormat="false" ht="17.15" hidden="false" customHeight="false" outlineLevel="0" collapsed="false">
      <c r="A1739" s="24" t="s">
        <v>656</v>
      </c>
      <c r="B1739" s="25" t="s">
        <v>73</v>
      </c>
      <c r="C1739" s="39" t="n">
        <f aca="false">Sens!$C$1734+Sens!$C$1735-Sens!$C$1736</f>
        <v>0</v>
      </c>
      <c r="D1739" s="39" t="n">
        <f aca="false">Sens!$D$1734+Sens!$D$1735-Sens!$D$1736</f>
        <v>0</v>
      </c>
      <c r="E1739" s="39" t="n">
        <f aca="false">Sens!$E$1734+Sens!$E$1735-Sens!$E$1736</f>
        <v>0</v>
      </c>
      <c r="F1739" s="39" t="n">
        <f aca="false">Sens!$F$1734+Sens!$F$1735-Sens!$F$1736</f>
        <v>0</v>
      </c>
      <c r="G1739" s="39" t="n">
        <f aca="false">Sens!$G$1734+Sens!$G$1735-Sens!$G$1736</f>
        <v>0</v>
      </c>
      <c r="H1739" s="39" t="n">
        <f aca="false">Sens!$H$1734+Sens!$H$1735-Sens!$H$1736</f>
        <v>0</v>
      </c>
      <c r="I1739" s="39" t="n">
        <f aca="false">Sens!$I$1734+Sens!$I$1735-Sens!$I$1736</f>
        <v>0</v>
      </c>
      <c r="J1739" s="39" t="n">
        <f aca="false">Sens!$J$1734+Sens!$J$1735-Sens!$J$1736</f>
        <v>0</v>
      </c>
      <c r="K1739" s="39" t="n">
        <f aca="false">Sens!$K$1734+Sens!$K$1735-Sens!$K$1736</f>
        <v>0</v>
      </c>
      <c r="L1739" s="39" t="n">
        <f aca="false">Sens!$L$1734+Sens!$L$1735-Sens!$L$1736</f>
        <v>0</v>
      </c>
      <c r="M1739" s="39" t="n">
        <f aca="false">Sens!$M$1734+Sens!$M$1735-Sens!$M$1736</f>
        <v>0</v>
      </c>
      <c r="N1739" s="39" t="n">
        <f aca="false">Sens!$N$1734+Sens!$N$1735-Sens!$N$1736</f>
        <v>0</v>
      </c>
      <c r="O1739" s="39" t="n">
        <f aca="false">Sens!$O$1734+Sens!$O$1735-Sens!$O$1736</f>
        <v>0</v>
      </c>
    </row>
    <row r="1740" customFormat="false" ht="17.15" hidden="false" customHeight="false" outlineLevel="0" collapsed="false">
      <c r="A1740" s="24" t="s">
        <v>657</v>
      </c>
      <c r="B1740" s="25" t="s">
        <v>73</v>
      </c>
      <c r="C1740" s="39" t="n">
        <f aca="false">Sens!$C$1673+Sens!$C$1674+Sens!$C$1736-Sens!$C$1737</f>
        <v>0</v>
      </c>
      <c r="D1740" s="39" t="n">
        <f aca="false">Sens!$D$1673+Sens!$D$1674+Sens!$D$1736-Sens!$D$1737</f>
        <v>0</v>
      </c>
      <c r="E1740" s="39" t="n">
        <f aca="false">Sens!$E$1673+Sens!$E$1674+Sens!$E$1736-Sens!$E$1737</f>
        <v>0</v>
      </c>
      <c r="F1740" s="39" t="n">
        <f aca="false">Sens!$F$1673+Sens!$F$1674+Sens!$F$1736-Sens!$F$1737</f>
        <v>0</v>
      </c>
      <c r="G1740" s="39" t="n">
        <f aca="false">Sens!$G$1673+Sens!$G$1674+Sens!$G$1736-Sens!$G$1737</f>
        <v>0</v>
      </c>
      <c r="H1740" s="39" t="n">
        <f aca="false">Sens!$H$1673+Sens!$H$1674+Sens!$H$1736-Sens!$H$1737</f>
        <v>0</v>
      </c>
      <c r="I1740" s="39" t="n">
        <f aca="false">Sens!$I$1673+Sens!$I$1674+Sens!$I$1736-Sens!$I$1737</f>
        <v>0</v>
      </c>
      <c r="J1740" s="39" t="n">
        <f aca="false">Sens!$J$1673+Sens!$J$1674+Sens!$J$1736-Sens!$J$1737</f>
        <v>0</v>
      </c>
      <c r="K1740" s="39" t="n">
        <f aca="false">Sens!$K$1673+Sens!$K$1674+Sens!$K$1736-Sens!$K$1737</f>
        <v>0</v>
      </c>
      <c r="L1740" s="39" t="n">
        <f aca="false">Sens!$L$1673+Sens!$L$1674+Sens!$L$1736-Sens!$L$1737</f>
        <v>0</v>
      </c>
      <c r="M1740" s="39" t="n">
        <f aca="false">Sens!$M$1673+Sens!$M$1674+Sens!$M$1736-Sens!$M$1737</f>
        <v>0</v>
      </c>
      <c r="N1740" s="39" t="n">
        <f aca="false">Sens!$N$1673+Sens!$N$1674+Sens!$N$1736-Sens!$N$1737</f>
        <v>0</v>
      </c>
      <c r="O1740" s="39" t="n">
        <f aca="false">Sens!$O$1673+Sens!$O$1674+Sens!$O$1736-Sens!$O$1737</f>
        <v>0</v>
      </c>
    </row>
    <row r="1741" customFormat="false" ht="15" hidden="false" customHeight="false" outlineLevel="0" collapsed="false">
      <c r="A1741" s="5" t="s">
        <v>651</v>
      </c>
      <c r="B1741" s="0" t="s">
        <v>52</v>
      </c>
      <c r="G1741" s="12" t="n">
        <f aca="false">Sens!$G$1737/Sens!$D$1737-1</f>
        <v>0.161378156222718</v>
      </c>
      <c r="H1741" s="12" t="n">
        <f aca="false">Sens!$H$1737/Sens!$G$1737-1</f>
        <v>0.166192665236357</v>
      </c>
      <c r="I1741" s="12" t="n">
        <f aca="false">Sens!$I$1737/Sens!$H$1737-1</f>
        <v>0.143618092519351</v>
      </c>
      <c r="J1741" s="12" t="n">
        <f aca="false">Sens!$J$1737/Sens!$I$1737-1</f>
        <v>0.117712411733268</v>
      </c>
      <c r="K1741" s="12" t="n">
        <f aca="false">Sens!$K$1737/Sens!$J$1737-1</f>
        <v>0.0937151404237868</v>
      </c>
      <c r="L1741" s="12" t="n">
        <f aca="false">Sens!$L$1737/Sens!$K$1737-1</f>
        <v>0.0896982852494186</v>
      </c>
      <c r="M1741" s="12" t="n">
        <f aca="false">Sens!$M$1737/Sens!$L$1737-1</f>
        <v>0.0862697420528154</v>
      </c>
    </row>
    <row r="1742" customFormat="false" ht="17.15" hidden="false" customHeight="false" outlineLevel="0" collapsed="false">
      <c r="A1742" s="0" t="s">
        <v>652</v>
      </c>
      <c r="B1742" s="0" t="s">
        <v>52</v>
      </c>
      <c r="C1742" s="12" t="n">
        <f aca="false">Sens!$C$1736/Sens!$C$1737</f>
        <v>0.168593906504964</v>
      </c>
      <c r="D1742" s="12" t="n">
        <f aca="false">Sens!$D$1736/Sens!$D$1737</f>
        <v>0.179551807444025</v>
      </c>
      <c r="E1742" s="12" t="n">
        <f aca="false">Sens!$E$1736/Sens!$E$1737</f>
        <v>0.208881910369643</v>
      </c>
      <c r="F1742" s="12" t="n">
        <f aca="false">Sens!$F$1736/Sens!$F$1737</f>
        <v>0.207679264769203</v>
      </c>
      <c r="G1742" s="12" t="n">
        <f aca="false">Sens!$G$1736/Sens!$G$1737</f>
        <v>0.208231210458731</v>
      </c>
      <c r="H1742" s="12" t="n">
        <f aca="false">Sens!$H$1736/Sens!$H$1737</f>
        <v>0.248260191414043</v>
      </c>
      <c r="I1742" s="12" t="n">
        <f aca="false">Sens!$I$1736/Sens!$I$1737</f>
        <v>0.28110473450946</v>
      </c>
      <c r="J1742" s="12" t="n">
        <f aca="false">Sens!$J$1736/Sens!$J$1737</f>
        <v>0.30570109287086</v>
      </c>
      <c r="K1742" s="12" t="n">
        <f aca="false">Sens!$K$1736/Sens!$K$1737</f>
        <v>0.324071291782835</v>
      </c>
      <c r="L1742" s="12" t="n">
        <f aca="false">Sens!$L$1736/Sens!$L$1737</f>
        <v>0.339333003903741</v>
      </c>
      <c r="M1742" s="12" t="n">
        <f aca="false">Sens!$M$1736/Sens!$M$1737</f>
        <v>0.3520169237354</v>
      </c>
      <c r="N1742" s="12" t="n">
        <f aca="false">Sens!$N$1736/Sens!$N$1737</f>
        <v>0.185979484737251</v>
      </c>
      <c r="O1742" s="12" t="n">
        <f aca="false">Sens!$O$1736/Sens!$O$1737</f>
        <v>0.174270432341096</v>
      </c>
    </row>
    <row r="1743" customFormat="false" ht="17.15" hidden="false" customHeight="false" outlineLevel="0" collapsed="false">
      <c r="A1743" s="0" t="s">
        <v>653</v>
      </c>
      <c r="B1743" s="0" t="s">
        <v>52</v>
      </c>
      <c r="C1743" s="12" t="n">
        <f aca="false">Sens!$C$1734/Sens!$C$1736</f>
        <v>0.0215795060896058</v>
      </c>
      <c r="D1743" s="12" t="n">
        <f aca="false">Sens!$D$1734/Sens!$D$1736</f>
        <v>0.0676152269462122</v>
      </c>
      <c r="E1743" s="12" t="n">
        <f aca="false">Sens!$E$1734/Sens!$E$1736</f>
        <v>0.106620641395783</v>
      </c>
      <c r="F1743" s="12" t="n">
        <f aca="false">Sens!$F$1734/Sens!$F$1736</f>
        <v>0.159936751776064</v>
      </c>
      <c r="G1743" s="12" t="n">
        <f aca="false">Sens!$G$1734/Sens!$G$1736</f>
        <v>0.135391237003751</v>
      </c>
      <c r="H1743" s="12" t="n">
        <f aca="false">Sens!$H$1734/Sens!$H$1736</f>
        <v>0.249589428545194</v>
      </c>
      <c r="I1743" s="12" t="n">
        <f aca="false">Sens!$I$1734/Sens!$I$1736</f>
        <v>0.325173850577483</v>
      </c>
      <c r="J1743" s="12" t="n">
        <f aca="false">Sens!$J$1734/Sens!$J$1736</f>
        <v>0.376953718817392</v>
      </c>
      <c r="K1743" s="12" t="n">
        <f aca="false">Sens!$K$1734/Sens!$K$1736</f>
        <v>0.419641605578676</v>
      </c>
      <c r="L1743" s="12" t="n">
        <f aca="false">Sens!$L$1734/Sens!$L$1736</f>
        <v>0.450676451094615</v>
      </c>
      <c r="M1743" s="12" t="n">
        <f aca="false">Sens!$M$1734/Sens!$M$1736</f>
        <v>0.473526096798086</v>
      </c>
      <c r="N1743" s="12" t="n">
        <f aca="false">Sens!$N$1734/Sens!$N$1736</f>
        <v>0.0506537999838362</v>
      </c>
      <c r="O1743" s="12" t="n">
        <f aca="false">Sens!$O$1734/Sens!$O$1736</f>
        <v>0.0824881615167056</v>
      </c>
    </row>
    <row r="1746" customFormat="false" ht="19.4" hidden="false" customHeight="false" outlineLevel="0" collapsed="false">
      <c r="A1746" s="31" t="s">
        <v>1080</v>
      </c>
    </row>
    <row r="1747" customFormat="false" ht="17.15" hidden="false" customHeight="false" outlineLevel="0" collapsed="false">
      <c r="A1747" s="6" t="s">
        <v>16</v>
      </c>
      <c r="B1747" s="6" t="s">
        <v>17</v>
      </c>
      <c r="C1747" s="20" t="s">
        <v>457</v>
      </c>
      <c r="D1747" s="20" t="s">
        <v>458</v>
      </c>
      <c r="E1747" s="20" t="s">
        <v>540</v>
      </c>
      <c r="F1747" s="20" t="s">
        <v>541</v>
      </c>
      <c r="G1747" s="20" t="s">
        <v>542</v>
      </c>
      <c r="H1747" s="20" t="s">
        <v>543</v>
      </c>
      <c r="I1747" s="20" t="s">
        <v>544</v>
      </c>
      <c r="J1747" s="20" t="s">
        <v>545</v>
      </c>
      <c r="K1747" s="20" t="s">
        <v>546</v>
      </c>
      <c r="L1747" s="20" t="s">
        <v>547</v>
      </c>
      <c r="M1747" s="20" t="s">
        <v>548</v>
      </c>
      <c r="N1747" s="20" t="s">
        <v>549</v>
      </c>
      <c r="O1747" s="20" t="s">
        <v>550</v>
      </c>
      <c r="P1747" s="6" t="s">
        <v>23</v>
      </c>
      <c r="R1747" s="20" t="n">
        <v>2023</v>
      </c>
      <c r="S1747" s="20" t="n">
        <v>2024</v>
      </c>
      <c r="T1747" s="20" t="n">
        <v>2025</v>
      </c>
      <c r="U1747" s="20" t="n">
        <v>2026</v>
      </c>
      <c r="V1747" s="20" t="n">
        <v>2027</v>
      </c>
      <c r="W1747" s="20" t="n">
        <v>2028</v>
      </c>
      <c r="X1747" s="20" t="n">
        <v>2029</v>
      </c>
      <c r="Y1747" s="20" t="n">
        <v>2030</v>
      </c>
      <c r="Z1747" s="20" t="n">
        <v>2031</v>
      </c>
      <c r="AA1747" s="20" t="n">
        <v>2032</v>
      </c>
    </row>
    <row r="1748" customFormat="false" ht="17.15" hidden="false" customHeight="false" outlineLevel="0" collapsed="false">
      <c r="A1748" s="1" t="s">
        <v>668</v>
      </c>
    </row>
    <row r="1749" customFormat="false" ht="15" hidden="false" customHeight="false" outlineLevel="0" collapsed="false">
      <c r="A1749" s="0" t="s">
        <v>479</v>
      </c>
      <c r="B1749" s="0" t="s">
        <v>73</v>
      </c>
      <c r="C1749" s="38" t="n">
        <f aca="false">Sens!$C$1659</f>
        <v>247.029</v>
      </c>
      <c r="D1749" s="38" t="n">
        <f aca="false">Sens!$D$1659</f>
        <v>269.287</v>
      </c>
      <c r="E1749" s="38" t="n">
        <f aca="false">Sens!$E$1659</f>
        <v>134.686</v>
      </c>
      <c r="F1749" s="38" t="n">
        <f aca="false">Sens!$F$1659</f>
        <v>160.728085930082</v>
      </c>
      <c r="G1749" s="38" t="n">
        <f aca="false">Sens!$G$1659</f>
        <v>295.414085930082</v>
      </c>
      <c r="H1749" s="38" t="n">
        <f aca="false">Sens!$H$1659</f>
        <v>320.828163943375</v>
      </c>
      <c r="I1749" s="38" t="n">
        <f aca="false">Sens!$I$1659</f>
        <v>344.575578072228</v>
      </c>
      <c r="J1749" s="38" t="n">
        <f aca="false">Sens!$J$1659</f>
        <v>365.942555779681</v>
      </c>
      <c r="K1749" s="38" t="n">
        <f aca="false">Sens!$K$1659</f>
        <v>384.239683568665</v>
      </c>
      <c r="L1749" s="38" t="n">
        <f aca="false">Sens!$L$1659</f>
        <v>403.451667747098</v>
      </c>
      <c r="M1749" s="38" t="n">
        <f aca="false">Sens!$M$1659</f>
        <v>423.624251134453</v>
      </c>
      <c r="N1749" s="38" t="n">
        <f aca="false">Sens!$N$1659</f>
        <v>118.892</v>
      </c>
      <c r="O1749" s="38" t="n">
        <f aca="false">Sens!$O$1659</f>
        <v>150.395</v>
      </c>
    </row>
    <row r="1750" customFormat="false" ht="15" hidden="false" customHeight="false" outlineLevel="0" collapsed="false">
      <c r="A1750" s="0" t="s">
        <v>480</v>
      </c>
      <c r="B1750" s="0" t="s">
        <v>73</v>
      </c>
      <c r="C1750" s="38" t="n">
        <f aca="false">Sens!$C$1661</f>
        <v>21.215</v>
      </c>
      <c r="D1750" s="38" t="n">
        <f aca="false">Sens!$D$1661</f>
        <v>22.561</v>
      </c>
      <c r="E1750" s="38" t="n">
        <f aca="false">Sens!$E$1661</f>
        <v>11.579</v>
      </c>
      <c r="F1750" s="38" t="n">
        <f aca="false">Sens!$F$1661</f>
        <v>12.0952613121125</v>
      </c>
      <c r="G1750" s="38" t="n">
        <f aca="false">Sens!$G$1661</f>
        <v>23.6742613121125</v>
      </c>
      <c r="H1750" s="38" t="n">
        <f aca="false">Sens!$H$1661</f>
        <v>24.8803243963206</v>
      </c>
      <c r="I1750" s="38" t="n">
        <f aca="false">Sens!$I$1661</f>
        <v>25.9741308664154</v>
      </c>
      <c r="J1750" s="38" t="n">
        <f aca="false">Sens!$J$1661</f>
        <v>26.9346894124267</v>
      </c>
      <c r="K1750" s="38" t="n">
        <f aca="false">Sens!$K$1661</f>
        <v>27.7427300947995</v>
      </c>
      <c r="L1750" s="38" t="n">
        <f aca="false">Sens!$L$1661</f>
        <v>28.5750119976435</v>
      </c>
      <c r="M1750" s="38" t="n">
        <f aca="false">Sens!$M$1661</f>
        <v>29.4322623575728</v>
      </c>
      <c r="N1750" s="38" t="n">
        <f aca="false">Sens!$N$1661</f>
        <v>11.128</v>
      </c>
      <c r="O1750" s="38" t="n">
        <f aca="false">Sens!$O$1661</f>
        <v>11.433</v>
      </c>
    </row>
    <row r="1751" customFormat="false" ht="15" hidden="false" customHeight="false" outlineLevel="0" collapsed="false">
      <c r="A1751" s="0" t="s">
        <v>481</v>
      </c>
      <c r="B1751" s="0" t="s">
        <v>73</v>
      </c>
      <c r="C1751" s="38" t="n">
        <f aca="false">Sens!$C$1663</f>
        <v>156.146</v>
      </c>
      <c r="D1751" s="38" t="n">
        <f aca="false">Sens!$D$1663</f>
        <v>172.162</v>
      </c>
      <c r="E1751" s="38" t="n">
        <f aca="false">Sens!$E$1663</f>
        <v>88.358</v>
      </c>
      <c r="F1751" s="38" t="n">
        <f aca="false">Sens!$F$1663</f>
        <v>103.62028337149</v>
      </c>
      <c r="G1751" s="38" t="n">
        <f aca="false">Sens!$G$1663</f>
        <v>191.97828337149</v>
      </c>
      <c r="H1751" s="38" t="n">
        <f aca="false">Sens!$H$1663</f>
        <v>212.128608444755</v>
      </c>
      <c r="I1751" s="38" t="n">
        <f aca="false">Sens!$I$1663</f>
        <v>231.92183134134</v>
      </c>
      <c r="J1751" s="38" t="n">
        <f aca="false">Sens!$J$1663</f>
        <v>250.859136487863</v>
      </c>
      <c r="K1751" s="38" t="n">
        <f aca="false">Sens!$K$1663</f>
        <v>268.419276042014</v>
      </c>
      <c r="L1751" s="38" t="n">
        <f aca="false">Sens!$L$1663</f>
        <v>287.208625364954</v>
      </c>
      <c r="M1751" s="38" t="n">
        <f aca="false">Sens!$M$1663</f>
        <v>307.313229140501</v>
      </c>
      <c r="N1751" s="38" t="n">
        <f aca="false">Sens!$N$1663</f>
        <v>76.86</v>
      </c>
      <c r="O1751" s="38" t="n">
        <f aca="false">Sens!$O$1663</f>
        <v>95.302</v>
      </c>
    </row>
    <row r="1752" customFormat="false" ht="15" hidden="false" customHeight="false" outlineLevel="0" collapsed="false">
      <c r="A1752" s="0" t="s">
        <v>482</v>
      </c>
      <c r="B1752" s="0" t="s">
        <v>73</v>
      </c>
      <c r="C1752" s="38" t="n">
        <f aca="false">Sens!$C$1665</f>
        <v>56.214</v>
      </c>
      <c r="D1752" s="38" t="n">
        <f aca="false">Sens!$D$1665</f>
        <v>68.635</v>
      </c>
      <c r="E1752" s="38" t="n">
        <f aca="false">Sens!$E$1665</f>
        <v>37.052</v>
      </c>
      <c r="F1752" s="38" t="n">
        <f aca="false">Sens!$F$1665</f>
        <v>48.1533381827382</v>
      </c>
      <c r="G1752" s="38" t="n">
        <f aca="false">Sens!$G$1665</f>
        <v>85.2053381827382</v>
      </c>
      <c r="H1752" s="38" t="n">
        <f aca="false">Sens!$H$1665</f>
        <v>102.29336185894</v>
      </c>
      <c r="I1752" s="38" t="n">
        <f aca="false">Sens!$I$1665</f>
        <v>119.379837585241</v>
      </c>
      <c r="J1752" s="38" t="n">
        <f aca="false">Sens!$J$1665</f>
        <v>135.319079048844</v>
      </c>
      <c r="K1752" s="38" t="n">
        <f aca="false">Sens!$K$1665</f>
        <v>148.850986953729</v>
      </c>
      <c r="L1752" s="38" t="n">
        <f aca="false">Sens!$L$1665</f>
        <v>163.736085649102</v>
      </c>
      <c r="M1752" s="38" t="n">
        <f aca="false">Sens!$M$1665</f>
        <v>180.109694214012</v>
      </c>
      <c r="N1752" s="38" t="n">
        <f aca="false">Sens!$N$1665</f>
        <v>29.615</v>
      </c>
      <c r="O1752" s="38" t="n">
        <f aca="false">Sens!$O$1665</f>
        <v>39.02</v>
      </c>
    </row>
    <row r="1753" customFormat="false" ht="15" hidden="false" customHeight="false" outlineLevel="0" collapsed="false">
      <c r="A1753" s="0" t="s">
        <v>483</v>
      </c>
      <c r="B1753" s="0" t="s">
        <v>73</v>
      </c>
      <c r="C1753" s="38" t="n">
        <f aca="false">Sens!$C$1667</f>
        <v>44.374</v>
      </c>
      <c r="D1753" s="38" t="n">
        <f aca="false">Sens!$D$1667</f>
        <v>49.619</v>
      </c>
      <c r="E1753" s="38" t="n">
        <f aca="false">Sens!$E$1667</f>
        <v>27.157</v>
      </c>
      <c r="F1753" s="38" t="n">
        <f aca="false">Sens!$F$1667</f>
        <v>28.9776360923374</v>
      </c>
      <c r="G1753" s="38" t="n">
        <f aca="false">Sens!$G$1667</f>
        <v>56.1346360923374</v>
      </c>
      <c r="H1753" s="38" t="n">
        <f aca="false">Sens!$H$1667</f>
        <v>62.4937078946075</v>
      </c>
      <c r="I1753" s="38" t="n">
        <f aca="false">Sens!$I$1667</f>
        <v>68.6715233062498</v>
      </c>
      <c r="J1753" s="38" t="n">
        <f aca="false">Sens!$J$1667</f>
        <v>74.4692882949818</v>
      </c>
      <c r="K1753" s="38" t="n">
        <f aca="false">Sens!$K$1667</f>
        <v>79.6821384756306</v>
      </c>
      <c r="L1753" s="38" t="n">
        <f aca="false">Sens!$L$1667</f>
        <v>85.2598881689247</v>
      </c>
      <c r="M1753" s="38" t="n">
        <f aca="false">Sens!$M$1667</f>
        <v>91.2280803407494</v>
      </c>
      <c r="N1753" s="38" t="n">
        <f aca="false">Sens!$N$1667</f>
        <v>23.923</v>
      </c>
      <c r="O1753" s="38" t="n">
        <f aca="false">Sens!$O$1667</f>
        <v>25.696</v>
      </c>
    </row>
    <row r="1754" customFormat="false" ht="15" hidden="false" customHeight="false" outlineLevel="0" collapsed="false">
      <c r="A1754" s="0" t="s">
        <v>484</v>
      </c>
      <c r="B1754" s="0" t="s">
        <v>73</v>
      </c>
      <c r="C1754" s="38" t="n">
        <f aca="false">Sens!$C$1669</f>
        <v>5.425</v>
      </c>
      <c r="D1754" s="38" t="n">
        <f aca="false">Sens!$D$1669</f>
        <v>5.935</v>
      </c>
      <c r="E1754" s="38" t="n">
        <f aca="false">Sens!$E$1669</f>
        <v>3.474</v>
      </c>
      <c r="F1754" s="38" t="n">
        <f aca="false">Sens!$F$1669</f>
        <v>3.36182431966931</v>
      </c>
      <c r="G1754" s="38" t="n">
        <f aca="false">Sens!$G$1669</f>
        <v>6.83582431966931</v>
      </c>
      <c r="H1754" s="38" t="n">
        <f aca="false">Sens!$H$1669</f>
        <v>7.31157108370141</v>
      </c>
      <c r="I1754" s="38" t="n">
        <f aca="false">Sens!$I$1669</f>
        <v>7.77266852639815</v>
      </c>
      <c r="J1754" s="38" t="n">
        <f aca="false">Sens!$J$1669</f>
        <v>8.2120733019884</v>
      </c>
      <c r="K1754" s="38" t="n">
        <f aca="false">Sens!$K$1669</f>
        <v>8.62267696708783</v>
      </c>
      <c r="L1754" s="38" t="n">
        <f aca="false">Sens!$L$1669</f>
        <v>9.05381081544222</v>
      </c>
      <c r="M1754" s="38" t="n">
        <f aca="false">Sens!$M$1669</f>
        <v>9.50650135621433</v>
      </c>
      <c r="N1754" s="38" t="n">
        <f aca="false">Sens!$N$1669</f>
        <v>2.811</v>
      </c>
      <c r="O1754" s="38" t="n">
        <f aca="false">Sens!$O$1669</f>
        <v>3.124</v>
      </c>
    </row>
    <row r="1755" customFormat="false" ht="17.15" hidden="false" customHeight="false" outlineLevel="0" collapsed="false">
      <c r="A1755" s="0" t="s">
        <v>669</v>
      </c>
      <c r="B1755" s="0" t="s">
        <v>73</v>
      </c>
      <c r="C1755" s="38" t="n">
        <f aca="false">Sens!$C$1736</f>
        <v>107.556</v>
      </c>
      <c r="D1755" s="38" t="n">
        <f aca="false">Sens!$D$1736</f>
        <v>128.725</v>
      </c>
      <c r="E1755" s="38" t="n">
        <f aca="false">Sens!$E$1736</f>
        <v>79.819</v>
      </c>
      <c r="F1755" s="38" t="n">
        <f aca="false">Sens!$F$1736</f>
        <v>93.5584440633857</v>
      </c>
      <c r="G1755" s="38" t="n">
        <f aca="false">Sens!$G$1736</f>
        <v>173.377444063386</v>
      </c>
      <c r="H1755" s="38" t="n">
        <f aca="false">Sens!$H$1736</f>
        <v>241.059451517916</v>
      </c>
      <c r="I1755" s="38" t="n">
        <f aca="false">Sens!$I$1736</f>
        <v>312.152096351442</v>
      </c>
      <c r="J1755" s="38" t="n">
        <f aca="false">Sens!$J$1736</f>
        <v>379.424316597773</v>
      </c>
      <c r="K1755" s="38" t="n">
        <f aca="false">Sens!$K$1736</f>
        <v>439.919237244402</v>
      </c>
      <c r="L1755" s="38" t="n">
        <f aca="false">Sens!$L$1736</f>
        <v>501.954974491517</v>
      </c>
      <c r="M1755" s="38" t="n">
        <f aca="false">Sens!$M$1736</f>
        <v>565.639704466895</v>
      </c>
      <c r="N1755" s="38" t="n">
        <f aca="false">Sens!$N$1736</f>
        <v>60.14</v>
      </c>
      <c r="O1755" s="38" t="n">
        <f aca="false">Sens!$O$1736</f>
        <v>68.585</v>
      </c>
    </row>
    <row r="1756" customFormat="false" ht="15" hidden="false" customHeight="false" outlineLevel="0" collapsed="false">
      <c r="A1756" s="1" t="s">
        <v>472</v>
      </c>
      <c r="B1756" s="8" t="s">
        <v>73</v>
      </c>
      <c r="C1756" s="38" t="n">
        <f aca="false">Sens!$C$1673</f>
        <v>387.497</v>
      </c>
      <c r="D1756" s="38" t="n">
        <f aca="false">Sens!$D$1673</f>
        <v>426.305</v>
      </c>
      <c r="E1756" s="38" t="n">
        <f aca="false">Sens!$E$1673</f>
        <v>220.32</v>
      </c>
      <c r="F1756" s="38" t="n">
        <f aca="false">Sens!$F$1673</f>
        <v>256.304015003807</v>
      </c>
      <c r="G1756" s="38" t="n">
        <f aca="false">Sens!$G$1673</f>
        <v>476.624015003807</v>
      </c>
      <c r="H1756" s="38" t="n">
        <f aca="false">Sens!$H$1673</f>
        <v>527.734391091543</v>
      </c>
      <c r="I1756" s="38" t="n">
        <f aca="false">Sens!$I$1673</f>
        <v>577.157693029577</v>
      </c>
      <c r="J1756" s="38" t="n">
        <f aca="false">Sens!$J$1673</f>
        <v>623.024923663827</v>
      </c>
      <c r="K1756" s="38" t="n">
        <f aca="false">Sens!$K$1673</f>
        <v>663.382568393781</v>
      </c>
      <c r="L1756" s="38" t="n">
        <f aca="false">Sens!$L$1673</f>
        <v>706.564873010432</v>
      </c>
      <c r="M1756" s="38" t="n">
        <f aca="false">Sens!$M$1673</f>
        <v>752.784687406019</v>
      </c>
      <c r="N1756" s="38" t="n">
        <f aca="false">Sens!$N$1673</f>
        <v>192.955</v>
      </c>
      <c r="O1756" s="38" t="n">
        <f aca="false">Sens!$O$1673</f>
        <v>233.35</v>
      </c>
    </row>
    <row r="1757" customFormat="false" ht="15" hidden="false" customHeight="false" outlineLevel="0" collapsed="false">
      <c r="A1757" s="1" t="s">
        <v>475</v>
      </c>
      <c r="B1757" s="8" t="s">
        <v>73</v>
      </c>
      <c r="C1757" s="38" t="n">
        <f aca="false">Sens!$C$1674</f>
        <v>142.906</v>
      </c>
      <c r="D1757" s="38" t="n">
        <f aca="false">Sens!$D$1674</f>
        <v>161.894</v>
      </c>
      <c r="E1757" s="38" t="n">
        <f aca="false">Sens!$E$1674</f>
        <v>81.986</v>
      </c>
      <c r="F1757" s="38" t="n">
        <f aca="false">Sens!$F$1674</f>
        <v>100.632414204623</v>
      </c>
      <c r="G1757" s="38" t="n">
        <f aca="false">Sens!$G$1674</f>
        <v>182.618414204623</v>
      </c>
      <c r="H1757" s="38" t="n">
        <f aca="false">Sens!$H$1674</f>
        <v>202.201346530158</v>
      </c>
      <c r="I1757" s="38" t="n">
        <f aca="false">Sens!$I$1674</f>
        <v>221.137876668296</v>
      </c>
      <c r="J1757" s="38" t="n">
        <f aca="false">Sens!$J$1674</f>
        <v>238.711898661958</v>
      </c>
      <c r="K1757" s="38" t="n">
        <f aca="false">Sens!$K$1674</f>
        <v>254.174923708144</v>
      </c>
      <c r="L1757" s="38" t="n">
        <f aca="false">Sens!$L$1674</f>
        <v>270.720216732733</v>
      </c>
      <c r="M1757" s="38" t="n">
        <f aca="false">Sens!$M$1674</f>
        <v>288.429331137484</v>
      </c>
      <c r="N1757" s="38" t="n">
        <f aca="false">Sens!$N$1674</f>
        <v>70.274</v>
      </c>
      <c r="O1757" s="38" t="n">
        <f aca="false">Sens!$O$1674</f>
        <v>91.62</v>
      </c>
    </row>
    <row r="1758" customFormat="false" ht="15" hidden="false" customHeight="false" outlineLevel="0" collapsed="false">
      <c r="A1758" s="1" t="s">
        <v>476</v>
      </c>
      <c r="B1758" s="8" t="s">
        <v>73</v>
      </c>
      <c r="C1758" s="38" t="n">
        <f aca="false">Sens!$C$1736</f>
        <v>107.556</v>
      </c>
      <c r="D1758" s="38" t="n">
        <f aca="false">Sens!$D$1736</f>
        <v>128.725</v>
      </c>
      <c r="E1758" s="38" t="n">
        <f aca="false">Sens!$E$1736</f>
        <v>79.819</v>
      </c>
      <c r="F1758" s="38" t="n">
        <f aca="false">Sens!$F$1736</f>
        <v>93.5584440633857</v>
      </c>
      <c r="G1758" s="38" t="n">
        <f aca="false">Sens!$G$1736</f>
        <v>173.377444063386</v>
      </c>
      <c r="H1758" s="38" t="n">
        <f aca="false">Sens!$H$1736</f>
        <v>241.059451517916</v>
      </c>
      <c r="I1758" s="38" t="n">
        <f aca="false">Sens!$I$1736</f>
        <v>312.152096351442</v>
      </c>
      <c r="J1758" s="38" t="n">
        <f aca="false">Sens!$J$1736</f>
        <v>379.424316597773</v>
      </c>
      <c r="K1758" s="38" t="n">
        <f aca="false">Sens!$K$1736</f>
        <v>439.919237244402</v>
      </c>
      <c r="L1758" s="38" t="n">
        <f aca="false">Sens!$L$1736</f>
        <v>501.954974491517</v>
      </c>
      <c r="M1758" s="38" t="n">
        <f aca="false">Sens!$M$1736</f>
        <v>565.639704466895</v>
      </c>
      <c r="N1758" s="38" t="n">
        <f aca="false">Sens!$N$1736</f>
        <v>60.14</v>
      </c>
      <c r="O1758" s="38" t="n">
        <f aca="false">Sens!$O$1736</f>
        <v>68.585</v>
      </c>
    </row>
    <row r="1759" customFormat="false" ht="17.15" hidden="false" customHeight="false" outlineLevel="0" collapsed="false">
      <c r="A1759" s="0" t="s">
        <v>643</v>
      </c>
      <c r="B1759" s="0" t="s">
        <v>73</v>
      </c>
      <c r="C1759" s="38" t="n">
        <f aca="false">Sens!$C$1734</f>
        <v>2.32100535697364</v>
      </c>
      <c r="D1759" s="38" t="n">
        <f aca="false">Sens!$D$1734</f>
        <v>8.70377008865116</v>
      </c>
      <c r="E1759" s="38" t="n">
        <f aca="false">Sens!$E$1734</f>
        <v>8.51035297557002</v>
      </c>
      <c r="F1759" s="38" t="n">
        <f aca="false">Sens!$F$1734</f>
        <v>14.9634336447205</v>
      </c>
      <c r="G1759" s="38" t="n">
        <f aca="false">Sens!$G$1734</f>
        <v>23.4737866202905</v>
      </c>
      <c r="H1759" s="38" t="n">
        <f aca="false">Sens!$H$1734</f>
        <v>60.1658907497746</v>
      </c>
      <c r="I1759" s="38" t="n">
        <f aca="false">Sens!$I$1734</f>
        <v>101.503699136432</v>
      </c>
      <c r="J1759" s="38" t="n">
        <f aca="false">Sens!$J$1734</f>
        <v>143.025407151278</v>
      </c>
      <c r="K1759" s="38" t="n">
        <f aca="false">Sens!$K$1734</f>
        <v>184.608415042187</v>
      </c>
      <c r="L1759" s="38" t="n">
        <f aca="false">Sens!$L$1734</f>
        <v>226.219286513125</v>
      </c>
      <c r="M1759" s="38" t="n">
        <f aca="false">Sens!$M$1734</f>
        <v>267.845161450232</v>
      </c>
      <c r="N1759" s="38" t="n">
        <f aca="false">Sens!$N$1734</f>
        <v>3.04631953102791</v>
      </c>
      <c r="O1759" s="38" t="n">
        <f aca="false">Sens!$O$1734</f>
        <v>5.65745055762326</v>
      </c>
    </row>
    <row r="1760" customFormat="false" ht="17.15" hidden="false" customHeight="false" outlineLevel="0" collapsed="false">
      <c r="A1760" s="0" t="s">
        <v>645</v>
      </c>
      <c r="B1760" s="0" t="s">
        <v>73</v>
      </c>
      <c r="C1760" s="38" t="n">
        <f aca="false">Sens!$C$1735</f>
        <v>105.234994643026</v>
      </c>
      <c r="D1760" s="38" t="n">
        <f aca="false">Sens!$D$1735</f>
        <v>120.021229911349</v>
      </c>
      <c r="E1760" s="38" t="n">
        <f aca="false">Sens!$E$1735</f>
        <v>71.30864702443</v>
      </c>
      <c r="F1760" s="38" t="n">
        <f aca="false">Sens!$F$1735</f>
        <v>78.5950104186653</v>
      </c>
      <c r="G1760" s="38" t="n">
        <f aca="false">Sens!$G$1735</f>
        <v>149.903657443095</v>
      </c>
      <c r="H1760" s="38" t="n">
        <f aca="false">Sens!$H$1735</f>
        <v>180.893560768142</v>
      </c>
      <c r="I1760" s="38" t="n">
        <f aca="false">Sens!$I$1735</f>
        <v>210.64839721501</v>
      </c>
      <c r="J1760" s="38" t="n">
        <f aca="false">Sens!$J$1735</f>
        <v>236.398909446495</v>
      </c>
      <c r="K1760" s="38" t="n">
        <f aca="false">Sens!$K$1735</f>
        <v>255.310822202215</v>
      </c>
      <c r="L1760" s="38" t="n">
        <f aca="false">Sens!$L$1735</f>
        <v>275.735687978392</v>
      </c>
      <c r="M1760" s="38" t="n">
        <f aca="false">Sens!$M$1735</f>
        <v>297.794543016663</v>
      </c>
      <c r="N1760" s="38" t="n">
        <f aca="false">Sens!$N$1735</f>
        <v>57.0936804689721</v>
      </c>
      <c r="O1760" s="38" t="n">
        <f aca="false">Sens!$O$1735</f>
        <v>62.9275494423768</v>
      </c>
    </row>
    <row r="1761" customFormat="false" ht="15" hidden="false" customHeight="false" outlineLevel="0" collapsed="false">
      <c r="A1761" s="3" t="s">
        <v>477</v>
      </c>
      <c r="B1761" s="8" t="s">
        <v>73</v>
      </c>
      <c r="C1761" s="38" t="n">
        <f aca="false">Sens!$C$1737</f>
        <v>637.959</v>
      </c>
      <c r="D1761" s="38" t="n">
        <f aca="false">Sens!$D$1737</f>
        <v>716.924</v>
      </c>
      <c r="E1761" s="38" t="n">
        <f aca="false">Sens!$E$1737</f>
        <v>382.125</v>
      </c>
      <c r="F1761" s="38" t="n">
        <f aca="false">Sens!$F$1737</f>
        <v>450.494873271816</v>
      </c>
      <c r="G1761" s="38" t="n">
        <f aca="false">Sens!$G$1737</f>
        <v>832.619873271816</v>
      </c>
      <c r="H1761" s="38" t="n">
        <f aca="false">Sens!$H$1737</f>
        <v>970.995189139617</v>
      </c>
      <c r="I1761" s="38" t="n">
        <f aca="false">Sens!$I$1737</f>
        <v>1110.44766604932</v>
      </c>
      <c r="J1761" s="38" t="n">
        <f aca="false">Sens!$J$1737</f>
        <v>1241.16113892356</v>
      </c>
      <c r="K1761" s="38" t="n">
        <f aca="false">Sens!$K$1737</f>
        <v>1357.47672934633</v>
      </c>
      <c r="L1761" s="38" t="n">
        <f aca="false">Sens!$L$1737</f>
        <v>1479.24006423468</v>
      </c>
      <c r="M1761" s="38" t="n">
        <f aca="false">Sens!$M$1737</f>
        <v>1606.8537230104</v>
      </c>
      <c r="N1761" s="38" t="n">
        <f aca="false">Sens!$N$1737</f>
        <v>323.369</v>
      </c>
      <c r="O1761" s="38" t="n">
        <f aca="false">Sens!$O$1737</f>
        <v>393.555</v>
      </c>
    </row>
    <row r="1762" customFormat="false" ht="17.15" hidden="false" customHeight="false" outlineLevel="0" collapsed="false">
      <c r="A1762" s="24" t="s">
        <v>655</v>
      </c>
      <c r="B1762" s="25" t="s">
        <v>73</v>
      </c>
      <c r="C1762" s="39" t="n">
        <f aca="false">Sens!$C$1749+Sens!$C$1750+Sens!$C$1751+Sens!$C$1752+Sens!$C$1753+Sens!$C$1754-(Sens!$C$1756+Sens!$C$1757)</f>
        <v>0</v>
      </c>
      <c r="D1762" s="39" t="n">
        <f aca="false">Sens!$D$1749+Sens!$D$1750+Sens!$D$1751+Sens!$D$1752+Sens!$D$1753+Sens!$D$1754-(Sens!$D$1756+Sens!$D$1757)</f>
        <v>0</v>
      </c>
      <c r="E1762" s="39" t="n">
        <f aca="false">Sens!$E$1749+Sens!$E$1750+Sens!$E$1751+Sens!$E$1752+Sens!$E$1753+Sens!$E$1754-(Sens!$E$1756+Sens!$E$1757)</f>
        <v>0</v>
      </c>
      <c r="F1762" s="39" t="n">
        <f aca="false">Sens!$F$1749+Sens!$F$1750+Sens!$F$1751+Sens!$F$1752+Sens!$F$1753+Sens!$F$1754-(Sens!$F$1756+Sens!$F$1757)</f>
        <v>0</v>
      </c>
      <c r="G1762" s="39" t="n">
        <f aca="false">Sens!$G$1749+Sens!$G$1750+Sens!$G$1751+Sens!$G$1752+Sens!$G$1753+Sens!$G$1754-(Sens!$G$1756+Sens!$G$1757)</f>
        <v>0</v>
      </c>
      <c r="H1762" s="39" t="n">
        <f aca="false">Sens!$H$1749+Sens!$H$1750+Sens!$H$1751+Sens!$H$1752+Sens!$H$1753+Sens!$H$1754-(Sens!$H$1756+Sens!$H$1757)</f>
        <v>0</v>
      </c>
      <c r="I1762" s="39" t="n">
        <f aca="false">Sens!$I$1749+Sens!$I$1750+Sens!$I$1751+Sens!$I$1752+Sens!$I$1753+Sens!$I$1754-(Sens!$I$1756+Sens!$I$1757)</f>
        <v>0</v>
      </c>
      <c r="J1762" s="39" t="n">
        <f aca="false">Sens!$J$1749+Sens!$J$1750+Sens!$J$1751+Sens!$J$1752+Sens!$J$1753+Sens!$J$1754-(Sens!$J$1756+Sens!$J$1757)</f>
        <v>0</v>
      </c>
      <c r="K1762" s="39" t="n">
        <f aca="false">Sens!$K$1749+Sens!$K$1750+Sens!$K$1751+Sens!$K$1752+Sens!$K$1753+Sens!$K$1754-(Sens!$K$1756+Sens!$K$1757)</f>
        <v>0</v>
      </c>
      <c r="L1762" s="39" t="n">
        <f aca="false">Sens!$L$1749+Sens!$L$1750+Sens!$L$1751+Sens!$L$1752+Sens!$L$1753+Sens!$L$1754-(Sens!$L$1756+Sens!$L$1757)</f>
        <v>0</v>
      </c>
      <c r="M1762" s="39" t="n">
        <f aca="false">Sens!$M$1749+Sens!$M$1750+Sens!$M$1751+Sens!$M$1752+Sens!$M$1753+Sens!$M$1754-(Sens!$M$1756+Sens!$M$1757)</f>
        <v>0</v>
      </c>
      <c r="N1762" s="39" t="n">
        <f aca="false">Sens!$N$1749+Sens!$N$1750+Sens!$N$1751+Sens!$N$1752+Sens!$N$1753+Sens!$N$1754-(Sens!$N$1756+Sens!$N$1757)</f>
        <v>0</v>
      </c>
      <c r="O1762" s="39" t="n">
        <f aca="false">Sens!$O$1749+Sens!$O$1750+Sens!$O$1751+Sens!$O$1752+Sens!$O$1753+Sens!$O$1754-(Sens!$O$1756+Sens!$O$1757)</f>
        <v>0</v>
      </c>
    </row>
    <row r="1763" customFormat="false" ht="17.15" hidden="false" customHeight="false" outlineLevel="0" collapsed="false">
      <c r="A1763" s="24" t="s">
        <v>656</v>
      </c>
      <c r="B1763" s="25" t="s">
        <v>73</v>
      </c>
      <c r="C1763" s="39" t="n">
        <f aca="false">Sens!$C$1759+Sens!$C$1760-Sens!$C$1758</f>
        <v>0</v>
      </c>
      <c r="D1763" s="39" t="n">
        <f aca="false">Sens!$D$1759+Sens!$D$1760-Sens!$D$1758</f>
        <v>0</v>
      </c>
      <c r="E1763" s="39" t="n">
        <f aca="false">Sens!$E$1759+Sens!$E$1760-Sens!$E$1758</f>
        <v>0</v>
      </c>
      <c r="F1763" s="39" t="n">
        <f aca="false">Sens!$F$1759+Sens!$F$1760-Sens!$F$1758</f>
        <v>0</v>
      </c>
      <c r="G1763" s="39" t="n">
        <f aca="false">Sens!$G$1759+Sens!$G$1760-Sens!$G$1758</f>
        <v>0</v>
      </c>
      <c r="H1763" s="39" t="n">
        <f aca="false">Sens!$H$1759+Sens!$H$1760-Sens!$H$1758</f>
        <v>0</v>
      </c>
      <c r="I1763" s="39" t="n">
        <f aca="false">Sens!$I$1759+Sens!$I$1760-Sens!$I$1758</f>
        <v>0</v>
      </c>
      <c r="J1763" s="39" t="n">
        <f aca="false">Sens!$J$1759+Sens!$J$1760-Sens!$J$1758</f>
        <v>0</v>
      </c>
      <c r="K1763" s="39" t="n">
        <f aca="false">Sens!$K$1759+Sens!$K$1760-Sens!$K$1758</f>
        <v>0</v>
      </c>
      <c r="L1763" s="39" t="n">
        <f aca="false">Sens!$L$1759+Sens!$L$1760-Sens!$L$1758</f>
        <v>0</v>
      </c>
      <c r="M1763" s="39" t="n">
        <f aca="false">Sens!$M$1759+Sens!$M$1760-Sens!$M$1758</f>
        <v>0</v>
      </c>
      <c r="N1763" s="39" t="n">
        <f aca="false">Sens!$N$1759+Sens!$N$1760-Sens!$N$1758</f>
        <v>0</v>
      </c>
      <c r="O1763" s="39" t="n">
        <f aca="false">Sens!$O$1759+Sens!$O$1760-Sens!$O$1758</f>
        <v>0</v>
      </c>
    </row>
    <row r="1764" customFormat="false" ht="17.15" hidden="false" customHeight="false" outlineLevel="0" collapsed="false">
      <c r="A1764" s="24" t="s">
        <v>710</v>
      </c>
      <c r="B1764" s="25" t="s">
        <v>73</v>
      </c>
      <c r="C1764" s="39" t="n">
        <f aca="false">Sens!$C$1749+Sens!$C$1750+Sens!$C$1751+Sens!$C$1752+Sens!$C$1753+Sens!$C$1754+Sens!$C$1755-Sens!$C$1761</f>
        <v>0</v>
      </c>
      <c r="D1764" s="39" t="n">
        <f aca="false">Sens!$D$1749+Sens!$D$1750+Sens!$D$1751+Sens!$D$1752+Sens!$D$1753+Sens!$D$1754+Sens!$D$1755-Sens!$D$1761</f>
        <v>0</v>
      </c>
      <c r="E1764" s="39" t="n">
        <f aca="false">Sens!$E$1749+Sens!$E$1750+Sens!$E$1751+Sens!$E$1752+Sens!$E$1753+Sens!$E$1754+Sens!$E$1755-Sens!$E$1761</f>
        <v>0</v>
      </c>
      <c r="F1764" s="39" t="n">
        <f aca="false">Sens!$F$1749+Sens!$F$1750+Sens!$F$1751+Sens!$F$1752+Sens!$F$1753+Sens!$F$1754+Sens!$F$1755-Sens!$F$1761</f>
        <v>0</v>
      </c>
      <c r="G1764" s="39" t="n">
        <f aca="false">Sens!$G$1749+Sens!$G$1750+Sens!$G$1751+Sens!$G$1752+Sens!$G$1753+Sens!$G$1754+Sens!$G$1755-Sens!$G$1761</f>
        <v>0</v>
      </c>
      <c r="H1764" s="39" t="n">
        <f aca="false">Sens!$H$1749+Sens!$H$1750+Sens!$H$1751+Sens!$H$1752+Sens!$H$1753+Sens!$H$1754+Sens!$H$1755-Sens!$H$1761</f>
        <v>0</v>
      </c>
      <c r="I1764" s="39" t="n">
        <f aca="false">Sens!$I$1749+Sens!$I$1750+Sens!$I$1751+Sens!$I$1752+Sens!$I$1753+Sens!$I$1754+Sens!$I$1755-Sens!$I$1761</f>
        <v>0</v>
      </c>
      <c r="J1764" s="39" t="n">
        <f aca="false">Sens!$J$1749+Sens!$J$1750+Sens!$J$1751+Sens!$J$1752+Sens!$J$1753+Sens!$J$1754+Sens!$J$1755-Sens!$J$1761</f>
        <v>0</v>
      </c>
      <c r="K1764" s="39" t="n">
        <f aca="false">Sens!$K$1749+Sens!$K$1750+Sens!$K$1751+Sens!$K$1752+Sens!$K$1753+Sens!$K$1754+Sens!$K$1755-Sens!$K$1761</f>
        <v>0</v>
      </c>
      <c r="L1764" s="39" t="n">
        <f aca="false">Sens!$L$1749+Sens!$L$1750+Sens!$L$1751+Sens!$L$1752+Sens!$L$1753+Sens!$L$1754+Sens!$L$1755-Sens!$L$1761</f>
        <v>0</v>
      </c>
      <c r="M1764" s="39" t="n">
        <f aca="false">Sens!$M$1749+Sens!$M$1750+Sens!$M$1751+Sens!$M$1752+Sens!$M$1753+Sens!$M$1754+Sens!$M$1755-Sens!$M$1761</f>
        <v>0</v>
      </c>
      <c r="N1764" s="39" t="n">
        <f aca="false">Sens!$N$1749+Sens!$N$1750+Sens!$N$1751+Sens!$N$1752+Sens!$N$1753+Sens!$N$1754+Sens!$N$1755-Sens!$N$1761</f>
        <v>0</v>
      </c>
      <c r="O1764" s="39" t="n">
        <f aca="false">Sens!$O$1749+Sens!$O$1750+Sens!$O$1751+Sens!$O$1752+Sens!$O$1753+Sens!$O$1754+Sens!$O$1755-Sens!$O$1761</f>
        <v>0</v>
      </c>
    </row>
    <row r="1765" customFormat="false" ht="17.15" hidden="false" customHeight="false" outlineLevel="0" collapsed="false">
      <c r="A1765" s="24" t="s">
        <v>657</v>
      </c>
      <c r="B1765" s="25" t="s">
        <v>73</v>
      </c>
      <c r="C1765" s="39" t="n">
        <f aca="false">Sens!$C$1756+Sens!$C$1757+Sens!$C$1758-Sens!$C$1761</f>
        <v>0</v>
      </c>
      <c r="D1765" s="39" t="n">
        <f aca="false">Sens!$D$1756+Sens!$D$1757+Sens!$D$1758-Sens!$D$1761</f>
        <v>0</v>
      </c>
      <c r="E1765" s="39" t="n">
        <f aca="false">Sens!$E$1756+Sens!$E$1757+Sens!$E$1758-Sens!$E$1761</f>
        <v>0</v>
      </c>
      <c r="F1765" s="39" t="n">
        <f aca="false">Sens!$F$1756+Sens!$F$1757+Sens!$F$1758-Sens!$F$1761</f>
        <v>0</v>
      </c>
      <c r="G1765" s="39" t="n">
        <f aca="false">Sens!$G$1756+Sens!$G$1757+Sens!$G$1758-Sens!$G$1761</f>
        <v>0</v>
      </c>
      <c r="H1765" s="39" t="n">
        <f aca="false">Sens!$H$1756+Sens!$H$1757+Sens!$H$1758-Sens!$H$1761</f>
        <v>0</v>
      </c>
      <c r="I1765" s="39" t="n">
        <f aca="false">Sens!$I$1756+Sens!$I$1757+Sens!$I$1758-Sens!$I$1761</f>
        <v>0</v>
      </c>
      <c r="J1765" s="39" t="n">
        <f aca="false">Sens!$J$1756+Sens!$J$1757+Sens!$J$1758-Sens!$J$1761</f>
        <v>0</v>
      </c>
      <c r="K1765" s="39" t="n">
        <f aca="false">Sens!$K$1756+Sens!$K$1757+Sens!$K$1758-Sens!$K$1761</f>
        <v>0</v>
      </c>
      <c r="L1765" s="39" t="n">
        <f aca="false">Sens!$L$1756+Sens!$L$1757+Sens!$L$1758-Sens!$L$1761</f>
        <v>0</v>
      </c>
      <c r="M1765" s="39" t="n">
        <f aca="false">Sens!$M$1756+Sens!$M$1757+Sens!$M$1758-Sens!$M$1761</f>
        <v>0</v>
      </c>
      <c r="N1765" s="39" t="n">
        <f aca="false">Sens!$N$1756+Sens!$N$1757+Sens!$N$1758-Sens!$N$1761</f>
        <v>0</v>
      </c>
      <c r="O1765" s="39" t="n">
        <f aca="false">Sens!$O$1756+Sens!$O$1757+Sens!$O$1758-Sens!$O$1761</f>
        <v>0</v>
      </c>
    </row>
    <row r="1766" customFormat="false" ht="17.15" hidden="false" customHeight="false" outlineLevel="0" collapsed="false">
      <c r="A1766" s="1" t="s">
        <v>671</v>
      </c>
    </row>
    <row r="1767" customFormat="false" ht="17.15" hidden="false" customHeight="false" outlineLevel="0" collapsed="false">
      <c r="A1767" s="0" t="s">
        <v>672</v>
      </c>
      <c r="B1767" s="0" t="s">
        <v>73</v>
      </c>
      <c r="C1767" s="38" t="n">
        <f aca="false">Sens!$C$1675*m_ad</f>
        <v>20.5341564414228</v>
      </c>
      <c r="D1767" s="38" t="n">
        <f aca="false">Sens!$D$1675*m_ad</f>
        <v>24.8720617299587</v>
      </c>
      <c r="E1767" s="38" t="n">
        <f aca="false">Sens!$E$1675*m_ad</f>
        <v>13.5017112462207</v>
      </c>
      <c r="F1767" s="38" t="n">
        <f aca="false">Sens!$F$1675*m_ad</f>
        <v>17.2886442824599</v>
      </c>
      <c r="G1767" s="38" t="n">
        <f aca="false">Sens!$G$1675*m_ad</f>
        <v>30.8011958765886</v>
      </c>
      <c r="H1767" s="38" t="n">
        <f aca="false">Sens!$H$1675*m_ad</f>
        <v>36.978409366026</v>
      </c>
      <c r="I1767" s="38" t="n">
        <f aca="false">Sens!$I$1675*m_ad</f>
        <v>43.155063281273</v>
      </c>
      <c r="J1767" s="38" t="n">
        <f aca="false">Sens!$J$1675*m_ad</f>
        <v>48.9169991988532</v>
      </c>
      <c r="K1767" s="38" t="n">
        <f aca="false">Sens!$K$1675*m_ad</f>
        <v>53.8086991187386</v>
      </c>
      <c r="L1767" s="38" t="n">
        <f aca="false">Sens!$L$1675*m_ad</f>
        <v>59.1895690306124</v>
      </c>
      <c r="M1767" s="38" t="n">
        <f aca="false">Sens!$M$1675*m_ad</f>
        <v>65.1085259336737</v>
      </c>
      <c r="N1767" s="38" t="n">
        <f aca="false">Sens!$N$1675*m_ad</f>
        <v>10.8543555706248</v>
      </c>
      <c r="O1767" s="38" t="n">
        <f aca="false">Sens!$O$1675*m_ad</f>
        <v>14.0094731821399</v>
      </c>
    </row>
    <row r="1768" customFormat="false" ht="17.15" hidden="false" customHeight="false" outlineLevel="0" collapsed="false">
      <c r="A1768" s="0" t="s">
        <v>673</v>
      </c>
      <c r="B1768" s="0" t="s">
        <v>73</v>
      </c>
      <c r="C1768" s="38" t="n">
        <f aca="false">Sens!$C$1673-Sens!$C$1675</f>
        <v>346.428687117154</v>
      </c>
      <c r="D1768" s="38" t="n">
        <f aca="false">Sens!$D$1673-Sens!$D$1675</f>
        <v>376.560876540083</v>
      </c>
      <c r="E1768" s="38" t="n">
        <f aca="false">Sens!$E$1673-Sens!$E$1675</f>
        <v>193.316577507559</v>
      </c>
      <c r="F1768" s="38" t="n">
        <f aca="false">Sens!$F$1673-Sens!$F$1675</f>
        <v>221.726726438887</v>
      </c>
      <c r="G1768" s="38" t="n">
        <f aca="false">Sens!$G$1673-Sens!$G$1675</f>
        <v>415.02162325063</v>
      </c>
      <c r="H1768" s="38" t="n">
        <f aca="false">Sens!$H$1673-Sens!$H$1675</f>
        <v>453.777572359491</v>
      </c>
      <c r="I1768" s="38" t="n">
        <f aca="false">Sens!$I$1673-Sens!$I$1675</f>
        <v>490.847566467031</v>
      </c>
      <c r="J1768" s="38" t="n">
        <f aca="false">Sens!$J$1673-Sens!$J$1675</f>
        <v>525.190925266121</v>
      </c>
      <c r="K1768" s="38" t="n">
        <f aca="false">Sens!$K$1673-Sens!$K$1675</f>
        <v>555.765170156304</v>
      </c>
      <c r="L1768" s="38" t="n">
        <f aca="false">Sens!$L$1673-Sens!$L$1675</f>
        <v>588.185734949207</v>
      </c>
      <c r="M1768" s="38" t="n">
        <f aca="false">Sens!$M$1673-Sens!$M$1675</f>
        <v>622.567635538672</v>
      </c>
      <c r="N1768" s="38" t="n">
        <f aca="false">Sens!$N$1673-Sens!$N$1675</f>
        <v>171.24628885875</v>
      </c>
      <c r="O1768" s="38" t="n">
        <f aca="false">Sens!$O$1673-Sens!$O$1675</f>
        <v>205.33105363572</v>
      </c>
    </row>
    <row r="1769" customFormat="false" ht="17.15" hidden="false" customHeight="false" outlineLevel="0" collapsed="false">
      <c r="A1769" s="0" t="s">
        <v>674</v>
      </c>
      <c r="B1769" s="0" t="s">
        <v>73</v>
      </c>
      <c r="C1769" s="38" t="n">
        <f aca="false">Sens!$C$1720*Sens!$C$1672</f>
        <v>0.128971439857362</v>
      </c>
      <c r="D1769" s="38" t="n">
        <f aca="false">Sens!$D$1720*Sens!$D$1672</f>
        <v>0.968931179763949</v>
      </c>
      <c r="E1769" s="38" t="n">
        <f aca="false">Sens!$E$1720*Sens!$E$1672</f>
        <v>1.46423510570599</v>
      </c>
      <c r="F1769" s="38" t="n">
        <f aca="false">Sens!$F$1720*Sens!$F$1672</f>
        <v>1.68654834537318</v>
      </c>
      <c r="G1769" s="38" t="n">
        <f aca="false">Sens!$G$1720*Sens!$G$1672</f>
        <v>3.15066807688079</v>
      </c>
      <c r="H1769" s="38" t="n">
        <f aca="false">Sens!$H$1720*Sens!$H$1672</f>
        <v>8.31735326792673</v>
      </c>
      <c r="I1769" s="38" t="n">
        <f aca="false">Sens!$I$1720*Sens!$I$1672</f>
        <v>14.5615864570499</v>
      </c>
      <c r="J1769" s="38" t="n">
        <f aca="false">Sens!$J$1720*Sens!$J$1672</f>
        <v>21.1039370284328</v>
      </c>
      <c r="K1769" s="38" t="n">
        <f aca="false">Sens!$K$1720*Sens!$K$1672</f>
        <v>27.2962425911701</v>
      </c>
      <c r="L1769" s="38" t="n">
        <f aca="false">Sens!$L$1720*Sens!$L$1672</f>
        <v>33.6130848835151</v>
      </c>
      <c r="M1769" s="38" t="n">
        <f aca="false">Sens!$M$1720*Sens!$M$1672</f>
        <v>39.6084573105955</v>
      </c>
      <c r="N1769" s="38" t="n">
        <f aca="false">Sens!$N$1720*Sens!$N$1672</f>
        <v>0.437002018426475</v>
      </c>
      <c r="O1769" s="38" t="n">
        <f aca="false">Sens!$O$1720*Sens!$O$1672</f>
        <v>0.531897365332006</v>
      </c>
    </row>
    <row r="1770" customFormat="false" ht="17.15" hidden="false" customHeight="false" outlineLevel="0" collapsed="false">
      <c r="A1770" s="0" t="s">
        <v>675</v>
      </c>
      <c r="B1770" s="0" t="s">
        <v>52</v>
      </c>
      <c r="C1770" s="28" t="n">
        <f aca="false">(Sens!$C$1771-Sens!$C$1767+Sens!$C$1769)/Sens!$C$1768</f>
        <v>0.0131681213712299</v>
      </c>
      <c r="D1770" s="28" t="n">
        <f aca="false">(Sens!$D$1771-Sens!$D$1767+Sens!$D$1769)/Sens!$D$1768</f>
        <v>0.0151791378390761</v>
      </c>
      <c r="E1770" s="28" t="n">
        <f aca="false">(Sens!$E$1771-Sens!$E$1767+Sens!$E$1769)/Sens!$E$1768</f>
        <v>0.0276878678926332</v>
      </c>
      <c r="F1770" s="28" t="n">
        <f aca="false">Sens!$O$1770+(Sens!$E$1770-Sens!$N$1770)</f>
        <v>0.0240716254278699</v>
      </c>
      <c r="G1770" s="28" t="n">
        <f aca="false">(Sens!$G$1771-Sens!$G$1767+Sens!$G$1769)/Sens!$G$1768</f>
        <v>0.0257309264031157</v>
      </c>
      <c r="H1770" s="28" t="n">
        <f aca="false">Sens!$G$1770+step_na</f>
        <v>0.0287309264031157</v>
      </c>
      <c r="I1770" s="28" t="n">
        <f aca="false">Sens!$H$1770+step_na</f>
        <v>0.0317309264031157</v>
      </c>
      <c r="J1770" s="28" t="n">
        <f aca="false">Sens!$I$1770+step_na</f>
        <v>0.0347309264031157</v>
      </c>
      <c r="K1770" s="28" t="n">
        <f aca="false">Sens!$J$1770+step_na</f>
        <v>0.0377309264031157</v>
      </c>
      <c r="L1770" s="28" t="n">
        <f aca="false">Sens!$K$1770</f>
        <v>0.0377309264031157</v>
      </c>
      <c r="M1770" s="28" t="n">
        <f aca="false">Sens!$L$1770</f>
        <v>0.0377309264031157</v>
      </c>
      <c r="N1770" s="28" t="n">
        <f aca="false">(Sens!$N$1771-Sens!$N$1767+Sens!$N$1769)/Sens!$N$1768</f>
        <v>0.0171720302226649</v>
      </c>
      <c r="O1770" s="28" t="n">
        <f aca="false">(Sens!$O$1771-Sens!$O$1767+Sens!$O$1769)/Sens!$O$1768</f>
        <v>0.0135557877579015</v>
      </c>
      <c r="P1770" s="8" t="s">
        <v>676</v>
      </c>
    </row>
    <row r="1771" customFormat="false" ht="17.15" hidden="false" customHeight="false" outlineLevel="0" collapsed="false">
      <c r="A1771" s="1" t="s">
        <v>677</v>
      </c>
      <c r="B1771" s="8" t="s">
        <v>73</v>
      </c>
      <c r="C1771" s="38" t="n">
        <f aca="false">Q!$D$22</f>
        <v>24.967</v>
      </c>
      <c r="D1771" s="38" t="n">
        <f aca="false">Q!$E$22</f>
        <v>29.619</v>
      </c>
      <c r="E1771" s="38" t="n">
        <f aca="false">Q!$P$22</f>
        <v>17.39</v>
      </c>
      <c r="F1771" s="38" t="n">
        <f aca="false">Sens!$F$1767+Sens!$F$1768*Sens!$F$1770-Sens!$F$1769</f>
        <v>20.9394186432714</v>
      </c>
      <c r="G1771" s="38" t="n">
        <f aca="false">Sens!$E$1771+Sens!$F$1771</f>
        <v>38.3294186432714</v>
      </c>
      <c r="H1771" s="38" t="n">
        <f aca="false">Sens!$H$1767+Sens!$H$1768*Sens!$H$1770-Sens!$H$1769</f>
        <v>41.6985061329443</v>
      </c>
      <c r="I1771" s="38" t="n">
        <f aca="false">Sens!$I$1767+Sens!$I$1768*Sens!$I$1770-Sens!$I$1769</f>
        <v>44.1685248309369</v>
      </c>
      <c r="J1771" s="38" t="n">
        <f aca="false">Sens!$J$1767+Sens!$J$1768*Sens!$J$1770-Sens!$J$1769</f>
        <v>46.0534295434223</v>
      </c>
      <c r="K1771" s="38" t="n">
        <f aca="false">Sens!$K$1767+Sens!$K$1768*Sens!$K$1770-Sens!$K$1769</f>
        <v>47.481991260151</v>
      </c>
      <c r="L1771" s="38" t="n">
        <f aca="false">Sens!$L$1767+Sens!$L$1768*Sens!$L$1770-Sens!$L$1769</f>
        <v>47.7692768238284</v>
      </c>
      <c r="M1771" s="38" t="n">
        <f aca="false">Sens!$M$1767+Sens!$M$1768*Sens!$M$1770-Sens!$M$1769</f>
        <v>48.9901222605496</v>
      </c>
      <c r="N1771" s="38" t="n">
        <f aca="false">Q!$N$22</f>
        <v>13.358</v>
      </c>
      <c r="O1771" s="38" t="n">
        <f aca="false">Q!$O$22</f>
        <v>16.261</v>
      </c>
    </row>
    <row r="1772" customFormat="false" ht="17.15" hidden="false" customHeight="false" outlineLevel="0" collapsed="false">
      <c r="A1772" s="0" t="s">
        <v>678</v>
      </c>
      <c r="B1772" s="0" t="s">
        <v>73</v>
      </c>
      <c r="C1772" s="38" t="n">
        <f aca="false">Sens!$C$1676*m_ad</f>
        <v>7.57284355857716</v>
      </c>
      <c r="D1772" s="38" t="n">
        <f aca="false">Sens!$D$1676*m_ad</f>
        <v>9.44543827004127</v>
      </c>
      <c r="E1772" s="38" t="n">
        <f aca="false">Sens!$E$1676*m_ad</f>
        <v>5.02428875377928</v>
      </c>
      <c r="F1772" s="38" t="n">
        <f aca="false">Sens!$F$1676*m_ad</f>
        <v>6.78802480890925</v>
      </c>
      <c r="G1772" s="38" t="n">
        <f aca="false">Sens!$G$1676*m_ad</f>
        <v>11.8014732147805</v>
      </c>
      <c r="H1772" s="38" t="n">
        <f aca="false">Sens!$H$1676*m_ad</f>
        <v>14.1682715634442</v>
      </c>
      <c r="I1772" s="38" t="n">
        <f aca="false">Sens!$I$1676*m_ad</f>
        <v>16.5348555113474</v>
      </c>
      <c r="J1772" s="38" t="n">
        <f aca="false">Sens!$J$1676*m_ad</f>
        <v>18.7425403255689</v>
      </c>
      <c r="K1772" s="38" t="n">
        <f aca="false">Sens!$K$1676*m_ad</f>
        <v>20.6167943581258</v>
      </c>
      <c r="L1772" s="38" t="n">
        <f aca="false">Sens!$L$1676*m_ad</f>
        <v>22.6784737939383</v>
      </c>
      <c r="M1772" s="38" t="n">
        <f aca="false">Sens!$M$1676*m_ad</f>
        <v>24.9463211733322</v>
      </c>
      <c r="N1772" s="38" t="n">
        <f aca="false">Sens!$N$1676*m_ad</f>
        <v>3.95314442937518</v>
      </c>
      <c r="O1772" s="38" t="n">
        <f aca="false">Sens!$O$1676*m_ad</f>
        <v>5.50052681786011</v>
      </c>
    </row>
    <row r="1773" customFormat="false" ht="17.15" hidden="false" customHeight="false" outlineLevel="0" collapsed="false">
      <c r="A1773" s="0" t="s">
        <v>679</v>
      </c>
      <c r="B1773" s="0" t="s">
        <v>73</v>
      </c>
      <c r="C1773" s="38" t="n">
        <f aca="false">Sens!$C$1674-Sens!$C$1676</f>
        <v>127.760312882846</v>
      </c>
      <c r="D1773" s="38" t="n">
        <f aca="false">Sens!$D$1674-Sens!$D$1676</f>
        <v>143.003123459917</v>
      </c>
      <c r="E1773" s="38" t="n">
        <f aca="false">Sens!$E$1674-Sens!$E$1676</f>
        <v>71.9374224924414</v>
      </c>
      <c r="F1773" s="38" t="n">
        <f aca="false">Sens!$F$1674-Sens!$F$1676</f>
        <v>87.0563645868046</v>
      </c>
      <c r="G1773" s="38" t="n">
        <f aca="false">Sens!$G$1674-Sens!$G$1676</f>
        <v>159.015467775062</v>
      </c>
      <c r="H1773" s="38" t="n">
        <f aca="false">Sens!$H$1674-Sens!$H$1676</f>
        <v>173.864803403269</v>
      </c>
      <c r="I1773" s="38" t="n">
        <f aca="false">Sens!$I$1674-Sens!$I$1676</f>
        <v>188.068165645601</v>
      </c>
      <c r="J1773" s="38" t="n">
        <f aca="false">Sens!$J$1674-Sens!$J$1676</f>
        <v>201.22681801082</v>
      </c>
      <c r="K1773" s="38" t="n">
        <f aca="false">Sens!$K$1674-Sens!$K$1676</f>
        <v>212.941334991893</v>
      </c>
      <c r="L1773" s="38" t="n">
        <f aca="false">Sens!$L$1674-Sens!$L$1676</f>
        <v>225.363269144856</v>
      </c>
      <c r="M1773" s="38" t="n">
        <f aca="false">Sens!$M$1674-Sens!$M$1676</f>
        <v>238.536688790819</v>
      </c>
      <c r="N1773" s="38" t="n">
        <f aca="false">Sens!$N$1674-Sens!$N$1676</f>
        <v>62.3677111412496</v>
      </c>
      <c r="O1773" s="38" t="n">
        <f aca="false">Sens!$O$1674-Sens!$O$1676</f>
        <v>80.6189463642798</v>
      </c>
    </row>
    <row r="1774" customFormat="false" ht="17.15" hidden="false" customHeight="false" outlineLevel="0" collapsed="false">
      <c r="A1774" s="0" t="s">
        <v>680</v>
      </c>
      <c r="B1774" s="0" t="s">
        <v>73</v>
      </c>
      <c r="C1774" s="38" t="n">
        <f aca="false">Sens!$C$1720*(1-Sens!$C$1672)</f>
        <v>0.0475637039364334</v>
      </c>
      <c r="D1774" s="38" t="n">
        <f aca="false">Sens!$D$1720*(1-Sens!$D$1672)</f>
        <v>0.367962243972519</v>
      </c>
      <c r="E1774" s="38" t="n">
        <f aca="false">Sens!$E$1720*(1-Sens!$E$1672)</f>
        <v>0.544874634061416</v>
      </c>
      <c r="F1774" s="38" t="n">
        <f aca="false">Sens!$F$1720*(1-Sens!$F$1672)</f>
        <v>0.662187955445</v>
      </c>
      <c r="G1774" s="38" t="n">
        <f aca="false">Sens!$G$1720*(1-Sens!$G$1672)</f>
        <v>1.20717796370479</v>
      </c>
      <c r="H1774" s="38" t="n">
        <f aca="false">Sens!$H$1720*(1-Sens!$H$1672)</f>
        <v>3.18679255839907</v>
      </c>
      <c r="I1774" s="38" t="n">
        <f aca="false">Sens!$I$1720*(1-Sens!$I$1672)</f>
        <v>5.57926949414988</v>
      </c>
      <c r="J1774" s="38" t="n">
        <f aca="false">Sens!$J$1720*(1-Sens!$J$1672)</f>
        <v>8.08597005666163</v>
      </c>
      <c r="K1774" s="38" t="n">
        <f aca="false">Sens!$K$1720*(1-Sens!$K$1672)</f>
        <v>10.4585509307674</v>
      </c>
      <c r="L1774" s="38" t="n">
        <f aca="false">Sens!$L$1720*(1-Sens!$L$1672)</f>
        <v>12.8788480326655</v>
      </c>
      <c r="M1774" s="38" t="n">
        <f aca="false">Sens!$M$1720*(1-Sens!$M$1672)</f>
        <v>15.175974007719</v>
      </c>
      <c r="N1774" s="38" t="n">
        <f aca="false">Sens!$N$1720*(1-Sens!$N$1672)</f>
        <v>0.159155657240818</v>
      </c>
      <c r="O1774" s="38" t="n">
        <f aca="false">Sens!$O$1720*(1-Sens!$O$1672)</f>
        <v>0.208838382737169</v>
      </c>
    </row>
    <row r="1775" customFormat="false" ht="17.15" hidden="false" customHeight="false" outlineLevel="0" collapsed="false">
      <c r="A1775" s="0" t="s">
        <v>681</v>
      </c>
      <c r="B1775" s="0" t="s">
        <v>52</v>
      </c>
      <c r="C1775" s="28" t="n">
        <f aca="false">(Sens!$C$1776-Sens!$C$1772+Sens!$C$1774)/Sens!$C$1773</f>
        <v>-0.0292209667493855</v>
      </c>
      <c r="D1775" s="28" t="n">
        <f aca="false">(Sens!$D$1776-Sens!$D$1772+Sens!$D$1774)/Sens!$D$1773</f>
        <v>-0.0302614091312607</v>
      </c>
      <c r="E1775" s="28" t="n">
        <f aca="false">(Sens!$E$1776-Sens!$E$1772+Sens!$E$1774)/Sens!$E$1773</f>
        <v>-0.0186052554198546</v>
      </c>
      <c r="F1775" s="28" t="n">
        <f aca="false">Sens!$O$1775+(Sens!$E$1775-Sens!$N$1775)</f>
        <v>-0.0358995386680489</v>
      </c>
      <c r="G1775" s="28" t="n">
        <f aca="false">(Sens!$G$1776-Sens!$G$1772+Sens!$G$1774)/Sens!$G$1773</f>
        <v>-0.0280019408595769</v>
      </c>
      <c r="H1775" s="28" t="n">
        <f aca="false">Sens!$G$1775+step_in</f>
        <v>-0.0280019408595769</v>
      </c>
      <c r="I1775" s="28" t="n">
        <f aca="false">Sens!$H$1775+step_in</f>
        <v>-0.0280019408595769</v>
      </c>
      <c r="J1775" s="28" t="n">
        <f aca="false">Sens!$I$1775+step_in</f>
        <v>-0.0280019408595769</v>
      </c>
      <c r="K1775" s="28" t="n">
        <f aca="false">Sens!$J$1775+step_in</f>
        <v>-0.0280019408595769</v>
      </c>
      <c r="L1775" s="28" t="n">
        <f aca="false">Sens!$K$1775</f>
        <v>-0.0280019408595769</v>
      </c>
      <c r="M1775" s="28" t="n">
        <f aca="false">Sens!$L$1775</f>
        <v>-0.0280019408595769</v>
      </c>
      <c r="N1775" s="28" t="n">
        <f aca="false">(Sens!$N$1776-Sens!$N$1772+Sens!$N$1774)/Sens!$N$1773</f>
        <v>-0.0205713621464906</v>
      </c>
      <c r="O1775" s="28" t="n">
        <f aca="false">(Sens!$O$1776-Sens!$O$1772+Sens!$O$1774)/Sens!$O$1773</f>
        <v>-0.0378656453946849</v>
      </c>
      <c r="P1775" s="8" t="s">
        <v>676</v>
      </c>
    </row>
    <row r="1776" customFormat="false" ht="17.15" hidden="false" customHeight="false" outlineLevel="0" collapsed="false">
      <c r="A1776" s="1" t="s">
        <v>682</v>
      </c>
      <c r="B1776" s="8" t="s">
        <v>73</v>
      </c>
      <c r="C1776" s="38" t="n">
        <f aca="false">Q!$D$23</f>
        <v>3.792</v>
      </c>
      <c r="D1776" s="38" t="n">
        <f aca="false">Q!$E$23</f>
        <v>4.75</v>
      </c>
      <c r="E1776" s="38" t="n">
        <f aca="false">Q!$P$23</f>
        <v>3.141</v>
      </c>
      <c r="F1776" s="38" t="n">
        <f aca="false">Sens!$F$1772+Sens!$F$1773*Sens!$F$1775-Sens!$F$1774</f>
        <v>3.0005535266805</v>
      </c>
      <c r="G1776" s="38" t="n">
        <f aca="false">Sens!$E$1776+Sens!$F$1776</f>
        <v>6.1415535266805</v>
      </c>
      <c r="H1776" s="38" t="n">
        <f aca="false">Sens!$H$1772+Sens!$H$1773*Sens!$H$1775-Sens!$H$1774</f>
        <v>6.11292706258482</v>
      </c>
      <c r="I1776" s="38" t="n">
        <f aca="false">Sens!$I$1772+Sens!$I$1773*Sens!$I$1775-Sens!$I$1774</f>
        <v>5.68931236522032</v>
      </c>
      <c r="J1776" s="38" t="n">
        <f aca="false">Sens!$J$1772+Sens!$J$1773*Sens!$J$1775-Sens!$J$1774</f>
        <v>5.02182881160741</v>
      </c>
      <c r="K1776" s="38" t="n">
        <f aca="false">Sens!$K$1772+Sens!$K$1773*Sens!$K$1775-Sens!$K$1774</f>
        <v>4.19547275835599</v>
      </c>
      <c r="L1776" s="38" t="n">
        <f aca="false">Sens!$L$1772+Sens!$L$1773*Sens!$L$1775-Sens!$L$1774</f>
        <v>3.48901682675768</v>
      </c>
      <c r="M1776" s="38" t="n">
        <f aca="false">Sens!$M$1772+Sens!$M$1773*Sens!$M$1775-Sens!$M$1774</f>
        <v>3.09085691325333</v>
      </c>
      <c r="N1776" s="38" t="n">
        <f aca="false">Q!$N$23</f>
        <v>2.511</v>
      </c>
      <c r="O1776" s="38" t="n">
        <f aca="false">Q!$O$23</f>
        <v>2.239</v>
      </c>
    </row>
    <row r="1777" customFormat="false" ht="17.15" hidden="false" customHeight="false" outlineLevel="0" collapsed="false">
      <c r="A1777" s="0" t="s">
        <v>683</v>
      </c>
      <c r="B1777" s="0" t="s">
        <v>73</v>
      </c>
      <c r="C1777" s="38" t="n">
        <f aca="false">Sens!$C$1717</f>
        <v>1.61486478179846</v>
      </c>
      <c r="D1777" s="38" t="n">
        <f aca="false">Sens!$D$1717</f>
        <v>3.35619639370529</v>
      </c>
      <c r="E1777" s="38" t="n">
        <f aca="false">Sens!$E$1717</f>
        <v>0.47391401650041</v>
      </c>
      <c r="F1777" s="38" t="n">
        <f aca="false">Sens!$F$1717</f>
        <v>5.56848844144774</v>
      </c>
      <c r="G1777" s="38" t="n">
        <f aca="false">Sens!$G$1717</f>
        <v>6.04240245794815</v>
      </c>
      <c r="H1777" s="38" t="n">
        <f aca="false">Sens!$H$1717</f>
        <v>14.1493074444713</v>
      </c>
      <c r="I1777" s="38" t="n">
        <f aca="false">Sens!$I$1717</f>
        <v>20.9402753316327</v>
      </c>
      <c r="J1777" s="38" t="n">
        <f aca="false">Sens!$J$1717</f>
        <v>26.2657788109003</v>
      </c>
      <c r="K1777" s="38" t="n">
        <f aca="false">Sens!$K$1717</f>
        <v>33.5892409544369</v>
      </c>
      <c r="L1777" s="38" t="n">
        <f aca="false">Sens!$L$1717</f>
        <v>40.2515548484026</v>
      </c>
      <c r="M1777" s="38" t="n">
        <f aca="false">Sens!$M$1717</f>
        <v>48.7074361769736</v>
      </c>
      <c r="N1777" s="38" t="n">
        <f aca="false">Sens!$N$1717</f>
        <v>0.661688828358734</v>
      </c>
      <c r="O1777" s="38" t="n">
        <f aca="false">Sens!$O$1717</f>
        <v>2.69450756534655</v>
      </c>
    </row>
    <row r="1778" customFormat="false" ht="17.15" hidden="false" customHeight="false" outlineLevel="0" collapsed="false">
      <c r="A1778" s="0" t="s">
        <v>603</v>
      </c>
      <c r="B1778" s="0" t="s">
        <v>73</v>
      </c>
      <c r="C1778" s="38" t="n">
        <f aca="false">Sens!$C$1722</f>
        <v>38.2191352182015</v>
      </c>
      <c r="D1778" s="38" t="n">
        <f aca="false">Sens!$D$1722</f>
        <v>42.2498036062947</v>
      </c>
      <c r="E1778" s="38" t="n">
        <f aca="false">Sens!$E$1722</f>
        <v>30.3080859834996</v>
      </c>
      <c r="F1778" s="38" t="n">
        <f aca="false">Sens!$F$1722</f>
        <v>30.1605062124073</v>
      </c>
      <c r="G1778" s="38" t="n">
        <f aca="false">Sens!$G$1722</f>
        <v>60.4685921959069</v>
      </c>
      <c r="H1778" s="38" t="n">
        <f aca="false">Sens!$H$1722</f>
        <v>69.4171466390737</v>
      </c>
      <c r="I1778" s="38" t="n">
        <f aca="false">Sens!$I$1722</f>
        <v>80.8354405577907</v>
      </c>
      <c r="J1778" s="38" t="n">
        <f aca="false">Sens!$J$1722</f>
        <v>90.7170918228425</v>
      </c>
      <c r="K1778" s="38" t="n">
        <f aca="false">Sens!$K$1722</f>
        <v>97.9744591686699</v>
      </c>
      <c r="L1778" s="38" t="n">
        <f aca="false">Sens!$L$1722</f>
        <v>105.812415902163</v>
      </c>
      <c r="M1778" s="38" t="n">
        <f aca="false">Sens!$M$1722</f>
        <v>114.277409174337</v>
      </c>
      <c r="N1778" s="38" t="n">
        <f aca="false">Sens!$N$1722</f>
        <v>21.0453111716413</v>
      </c>
      <c r="O1778" s="38" t="n">
        <f aca="false">Sens!$O$1722</f>
        <v>21.2044924346534</v>
      </c>
    </row>
    <row r="1779" customFormat="false" ht="17.15" hidden="false" customHeight="false" outlineLevel="0" collapsed="false">
      <c r="A1779" s="1" t="s">
        <v>684</v>
      </c>
      <c r="B1779" s="8" t="s">
        <v>73</v>
      </c>
      <c r="C1779" s="38" t="n">
        <f aca="false">Q!$D$24</f>
        <v>39.834</v>
      </c>
      <c r="D1779" s="38" t="n">
        <f aca="false">Q!$E$24</f>
        <v>45.606</v>
      </c>
      <c r="E1779" s="38" t="n">
        <f aca="false">Q!$P$24</f>
        <v>30.782</v>
      </c>
      <c r="F1779" s="38" t="n">
        <f aca="false">Sens!$F$1777+Sens!$F$1778</f>
        <v>35.728994653855</v>
      </c>
      <c r="G1779" s="38" t="n">
        <f aca="false">Sens!$G$1777+Sens!$G$1778</f>
        <v>66.510994653855</v>
      </c>
      <c r="H1779" s="38" t="n">
        <f aca="false">Sens!$H$1777+Sens!$H$1778</f>
        <v>83.566454083545</v>
      </c>
      <c r="I1779" s="38" t="n">
        <f aca="false">Sens!$I$1777+Sens!$I$1778</f>
        <v>101.775715889423</v>
      </c>
      <c r="J1779" s="38" t="n">
        <f aca="false">Sens!$J$1777+Sens!$J$1778</f>
        <v>116.982870633743</v>
      </c>
      <c r="K1779" s="38" t="n">
        <f aca="false">Sens!$K$1777+Sens!$K$1778</f>
        <v>131.563700123107</v>
      </c>
      <c r="L1779" s="38" t="n">
        <f aca="false">Sens!$L$1777+Sens!$L$1778</f>
        <v>146.063970750566</v>
      </c>
      <c r="M1779" s="38" t="n">
        <f aca="false">Sens!$M$1777+Sens!$M$1778</f>
        <v>162.98484535131</v>
      </c>
      <c r="N1779" s="38" t="n">
        <f aca="false">Q!$N$24</f>
        <v>21.707</v>
      </c>
      <c r="O1779" s="38" t="n">
        <f aca="false">Q!$O$24</f>
        <v>23.899</v>
      </c>
    </row>
    <row r="1780" customFormat="false" ht="17.15" hidden="false" customHeight="false" outlineLevel="0" collapsed="false">
      <c r="A1780" s="5" t="s">
        <v>685</v>
      </c>
      <c r="B1780" s="0" t="s">
        <v>73</v>
      </c>
      <c r="C1780" s="38" t="n">
        <f aca="false">Q!$D$26</f>
        <v>0</v>
      </c>
      <c r="D1780" s="38" t="n">
        <f aca="false">Q!$E$26</f>
        <v>0</v>
      </c>
      <c r="E1780" s="38" t="n">
        <f aca="false">Q!$P$26</f>
        <v>0</v>
      </c>
      <c r="F1780" s="41" t="n">
        <v>0</v>
      </c>
      <c r="G1780" s="38" t="n">
        <f aca="false">Sens!$E$1780+Sens!$F$1780</f>
        <v>0</v>
      </c>
      <c r="H1780" s="41" t="n">
        <v>0</v>
      </c>
      <c r="I1780" s="41" t="n">
        <v>0</v>
      </c>
      <c r="J1780" s="41" t="n">
        <v>0</v>
      </c>
      <c r="K1780" s="41" t="n">
        <v>0</v>
      </c>
      <c r="L1780" s="41" t="n">
        <v>0</v>
      </c>
      <c r="M1780" s="41" t="n">
        <v>0</v>
      </c>
      <c r="N1780" s="38" t="n">
        <f aca="false">Q!$N$26</f>
        <v>0</v>
      </c>
      <c r="O1780" s="38" t="n">
        <f aca="false">Q!$O$26</f>
        <v>0</v>
      </c>
    </row>
    <row r="1781" customFormat="false" ht="15" hidden="false" customHeight="false" outlineLevel="0" collapsed="false">
      <c r="A1781" s="3" t="s">
        <v>494</v>
      </c>
      <c r="B1781" s="8" t="s">
        <v>73</v>
      </c>
      <c r="C1781" s="38" t="n">
        <f aca="false">Q!$D$25</f>
        <v>68.593</v>
      </c>
      <c r="D1781" s="38" t="n">
        <f aca="false">Q!$E$25</f>
        <v>79.975</v>
      </c>
      <c r="E1781" s="38" t="n">
        <f aca="false">Q!$P$25</f>
        <v>51.313</v>
      </c>
      <c r="F1781" s="38" t="n">
        <f aca="false">Sens!$F$1771+Sens!$F$1776+Sens!$F$1779+Sens!$F$1780</f>
        <v>59.6689668238069</v>
      </c>
      <c r="G1781" s="38" t="n">
        <f aca="false">Sens!$G$1771+Sens!$G$1776+Sens!$G$1779+Sens!$G$1780</f>
        <v>110.981966823807</v>
      </c>
      <c r="H1781" s="38" t="n">
        <f aca="false">Sens!$H$1771+Sens!$H$1776+Sens!$H$1779+Sens!$H$1780</f>
        <v>131.377887279074</v>
      </c>
      <c r="I1781" s="38" t="n">
        <f aca="false">Sens!$I$1771+Sens!$I$1776+Sens!$I$1779+Sens!$I$1780</f>
        <v>151.633553085581</v>
      </c>
      <c r="J1781" s="38" t="n">
        <f aca="false">Sens!$J$1771+Sens!$J$1776+Sens!$J$1779+Sens!$J$1780</f>
        <v>168.058128988772</v>
      </c>
      <c r="K1781" s="38" t="n">
        <f aca="false">Sens!$K$1771+Sens!$K$1776+Sens!$K$1779+Sens!$K$1780</f>
        <v>183.241164141614</v>
      </c>
      <c r="L1781" s="38" t="n">
        <f aca="false">Sens!$L$1771+Sens!$L$1776+Sens!$L$1779+Sens!$L$1780</f>
        <v>197.322264401152</v>
      </c>
      <c r="M1781" s="38" t="n">
        <f aca="false">Sens!$M$1771+Sens!$M$1776+Sens!$M$1779+Sens!$M$1780</f>
        <v>215.065824525113</v>
      </c>
      <c r="N1781" s="38" t="n">
        <f aca="false">Q!$N$25</f>
        <v>37.576</v>
      </c>
      <c r="O1781" s="38" t="n">
        <f aca="false">Q!$O$25</f>
        <v>42.399</v>
      </c>
    </row>
    <row r="1782" customFormat="false" ht="17.15" hidden="false" customHeight="false" outlineLevel="0" collapsed="false">
      <c r="A1782" s="24" t="s">
        <v>711</v>
      </c>
      <c r="B1782" s="25" t="s">
        <v>73</v>
      </c>
      <c r="C1782" s="39" t="n">
        <f aca="false">Sens!$C$1771+Sens!$C$1776+Sens!$C$1779+Sens!$C$1780-Sens!$C$1781</f>
        <v>0</v>
      </c>
      <c r="D1782" s="39" t="n">
        <f aca="false">Sens!$D$1771+Sens!$D$1776+Sens!$D$1779+Sens!$D$1780-Sens!$D$1781</f>
        <v>0</v>
      </c>
      <c r="E1782" s="39" t="n">
        <f aca="false">Sens!$E$1771+Sens!$E$1776+Sens!$E$1779+Sens!$E$1780-Sens!$E$1781</f>
        <v>0</v>
      </c>
      <c r="F1782" s="39" t="n">
        <f aca="false">Sens!$F$1771+Sens!$F$1776+Sens!$F$1779+Sens!$F$1780-Sens!$F$1781</f>
        <v>0</v>
      </c>
      <c r="G1782" s="39" t="n">
        <f aca="false">Sens!$G$1771+Sens!$G$1776+Sens!$G$1779+Sens!$G$1780-Sens!$G$1781</f>
        <v>0</v>
      </c>
      <c r="H1782" s="39" t="n">
        <f aca="false">Sens!$H$1771+Sens!$H$1776+Sens!$H$1779+Sens!$H$1780-Sens!$H$1781</f>
        <v>0</v>
      </c>
      <c r="I1782" s="39" t="n">
        <f aca="false">Sens!$I$1771+Sens!$I$1776+Sens!$I$1779+Sens!$I$1780-Sens!$I$1781</f>
        <v>0</v>
      </c>
      <c r="J1782" s="39" t="n">
        <f aca="false">Sens!$J$1771+Sens!$J$1776+Sens!$J$1779+Sens!$J$1780-Sens!$J$1781</f>
        <v>0</v>
      </c>
      <c r="K1782" s="39" t="n">
        <f aca="false">Sens!$K$1771+Sens!$K$1776+Sens!$K$1779+Sens!$K$1780-Sens!$K$1781</f>
        <v>0</v>
      </c>
      <c r="L1782" s="39" t="n">
        <f aca="false">Sens!$L$1771+Sens!$L$1776+Sens!$L$1779+Sens!$L$1780-Sens!$L$1781</f>
        <v>0</v>
      </c>
      <c r="M1782" s="39" t="n">
        <f aca="false">Sens!$M$1771+Sens!$M$1776+Sens!$M$1779+Sens!$M$1780-Sens!$M$1781</f>
        <v>0</v>
      </c>
      <c r="N1782" s="39" t="n">
        <f aca="false">Sens!$N$1771+Sens!$N$1776+Sens!$N$1779+Sens!$N$1780-Sens!$N$1781</f>
        <v>0</v>
      </c>
      <c r="O1782" s="39" t="n">
        <f aca="false">Sens!$O$1771+Sens!$O$1776+Sens!$O$1779+Sens!$O$1780-Sens!$O$1781</f>
        <v>0</v>
      </c>
    </row>
    <row r="1783" customFormat="false" ht="17.15" hidden="false" customHeight="false" outlineLevel="0" collapsed="false">
      <c r="A1783" s="0" t="s">
        <v>687</v>
      </c>
      <c r="B1783" s="0" t="s">
        <v>52</v>
      </c>
      <c r="C1783" s="12" t="n">
        <f aca="false">Sens!$C$1771/Sens!$C$1756</f>
        <v>0.0644314665661928</v>
      </c>
      <c r="D1783" s="12" t="n">
        <f aca="false">Sens!$D$1771/Sens!$D$1756</f>
        <v>0.0694784250712518</v>
      </c>
      <c r="E1783" s="12" t="n">
        <f aca="false">Sens!$E$1771/Sens!$E$1756</f>
        <v>0.0789306463326071</v>
      </c>
      <c r="F1783" s="12" t="n">
        <f aca="false">Sens!$F$1771/Sens!$F$1756</f>
        <v>0.0816975834068005</v>
      </c>
      <c r="G1783" s="12" t="n">
        <f aca="false">Sens!$G$1771/Sens!$G$1756</f>
        <v>0.0804185635567801</v>
      </c>
      <c r="H1783" s="12" t="n">
        <f aca="false">Sens!$H$1771/Sens!$H$1756</f>
        <v>0.0790141912993332</v>
      </c>
      <c r="I1783" s="12" t="n">
        <f aca="false">Sens!$I$1771/Sens!$I$1756</f>
        <v>0.076527655031488</v>
      </c>
      <c r="J1783" s="12" t="n">
        <f aca="false">Sens!$J$1771/Sens!$J$1756</f>
        <v>0.0739190805924674</v>
      </c>
      <c r="K1783" s="12" t="n">
        <f aca="false">Sens!$K$1771/Sens!$K$1756</f>
        <v>0.0715755787420177</v>
      </c>
      <c r="L1783" s="12" t="n">
        <f aca="false">Sens!$L$1771/Sens!$L$1756</f>
        <v>0.0676077719803701</v>
      </c>
      <c r="M1783" s="12" t="n">
        <f aca="false">Sens!$M$1771/Sens!$M$1756</f>
        <v>0.0650785318566482</v>
      </c>
      <c r="N1783" s="12" t="n">
        <f aca="false">Sens!$N$1771/Sens!$N$1756</f>
        <v>0.069228576611127</v>
      </c>
      <c r="O1783" s="12" t="n">
        <f aca="false">Sens!$O$1771/Sens!$O$1756</f>
        <v>0.069685022498393</v>
      </c>
    </row>
    <row r="1784" customFormat="false" ht="17.15" hidden="false" customHeight="false" outlineLevel="0" collapsed="false">
      <c r="A1784" s="0" t="s">
        <v>688</v>
      </c>
      <c r="B1784" s="0" t="s">
        <v>52</v>
      </c>
      <c r="C1784" s="12" t="n">
        <f aca="false">Sens!$C$1776/Sens!$C$1757</f>
        <v>0.026534925055631</v>
      </c>
      <c r="D1784" s="12" t="n">
        <f aca="false">Sens!$D$1776/Sens!$D$1757</f>
        <v>0.0293401855535103</v>
      </c>
      <c r="E1784" s="12" t="n">
        <f aca="false">Sens!$E$1776/Sens!$E$1757</f>
        <v>0.03831141902276</v>
      </c>
      <c r="F1784" s="12" t="n">
        <f aca="false">Sens!$F$1776/Sens!$F$1757</f>
        <v>0.0298169685224808</v>
      </c>
      <c r="G1784" s="12" t="n">
        <f aca="false">Sens!$G$1776/Sens!$G$1757</f>
        <v>0.0336305270934995</v>
      </c>
      <c r="H1784" s="12" t="n">
        <f aca="false">Sens!$H$1776/Sens!$H$1757</f>
        <v>0.0302318810803423</v>
      </c>
      <c r="I1784" s="12" t="n">
        <f aca="false">Sens!$I$1776/Sens!$I$1757</f>
        <v>0.0257274441219051</v>
      </c>
      <c r="J1784" s="12" t="n">
        <f aca="false">Sens!$J$1776/Sens!$J$1757</f>
        <v>0.0210371952121199</v>
      </c>
      <c r="K1784" s="12" t="n">
        <f aca="false">Sens!$K$1776/Sens!$K$1757</f>
        <v>0.0165062418319969</v>
      </c>
      <c r="L1784" s="12" t="n">
        <f aca="false">Sens!$L$1776/Sens!$L$1757</f>
        <v>0.012887906447719</v>
      </c>
      <c r="M1784" s="12" t="n">
        <f aca="false">Sens!$M$1776/Sens!$M$1757</f>
        <v>0.0107161671147101</v>
      </c>
      <c r="N1784" s="12" t="n">
        <f aca="false">Sens!$N$1776/Sens!$N$1757</f>
        <v>0.0357315650169337</v>
      </c>
      <c r="O1784" s="12" t="n">
        <f aca="false">Sens!$O$1776/Sens!$O$1757</f>
        <v>0.0244378956559703</v>
      </c>
    </row>
    <row r="1785" customFormat="false" ht="17.15" hidden="false" customHeight="false" outlineLevel="0" collapsed="false">
      <c r="A1785" s="13" t="s">
        <v>689</v>
      </c>
      <c r="B1785" s="13" t="s">
        <v>52</v>
      </c>
      <c r="C1785" s="16" t="n">
        <f aca="false">Sens!$C$1779/Sens!$C$1758</f>
        <v>0.370355907620217</v>
      </c>
      <c r="D1785" s="16" t="n">
        <f aca="false">Sens!$D$1779/Sens!$D$1758</f>
        <v>0.35429015342785</v>
      </c>
      <c r="E1785" s="16" t="n">
        <f aca="false">Sens!$E$1779/Sens!$E$1758</f>
        <v>0.385647527531039</v>
      </c>
      <c r="F1785" s="16" t="n">
        <f aca="false">Sens!$F$1779/Sens!$F$1758</f>
        <v>0.381889577274807</v>
      </c>
      <c r="G1785" s="16" t="n">
        <f aca="false">Sens!$G$1779/Sens!$G$1758</f>
        <v>0.383619651409436</v>
      </c>
      <c r="H1785" s="16" t="n">
        <f aca="false">Sens!$H$1779/Sens!$H$1758</f>
        <v>0.346663254883139</v>
      </c>
      <c r="I1785" s="16" t="n">
        <f aca="false">Sens!$I$1779/Sens!$I$1758</f>
        <v>0.326045274335872</v>
      </c>
      <c r="J1785" s="16" t="n">
        <f aca="false">Sens!$J$1779/Sens!$J$1758</f>
        <v>0.308316745965852</v>
      </c>
      <c r="K1785" s="16" t="n">
        <f aca="false">Sens!$K$1779/Sens!$K$1758</f>
        <v>0.299063302953526</v>
      </c>
      <c r="L1785" s="16" t="n">
        <f aca="false">Sens!$L$1779/Sens!$L$1758</f>
        <v>0.290990184724297</v>
      </c>
      <c r="M1785" s="16" t="n">
        <f aca="false">Sens!$M$1779/Sens!$M$1758</f>
        <v>0.288142512034088</v>
      </c>
      <c r="N1785" s="16" t="n">
        <f aca="false">Sens!$N$1779/Sens!$N$1758</f>
        <v>0.360941137346192</v>
      </c>
      <c r="O1785" s="16" t="n">
        <f aca="false">Sens!$O$1779/Sens!$O$1758</f>
        <v>0.348458117664212</v>
      </c>
    </row>
    <row r="1786" customFormat="false" ht="17.15" hidden="false" customHeight="false" outlineLevel="0" collapsed="false">
      <c r="A1786" s="0" t="s">
        <v>690</v>
      </c>
      <c r="B1786" s="0" t="s">
        <v>52</v>
      </c>
      <c r="C1786" s="12" t="n">
        <f aca="false">Sens!$C$1777/Sens!$C$1759</f>
        <v>0.695760902466888</v>
      </c>
      <c r="D1786" s="12" t="n">
        <f aca="false">Sens!$D$1777/Sens!$D$1759</f>
        <v>0.385602602035804</v>
      </c>
      <c r="E1786" s="12" t="n">
        <f aca="false">Sens!$E$1777/Sens!$E$1759</f>
        <v>0.0556867638581897</v>
      </c>
      <c r="F1786" s="12" t="n">
        <f aca="false">Sens!$F$1777/Sens!$F$1759</f>
        <v>0.372139749048339</v>
      </c>
      <c r="G1786" s="12" t="n">
        <f aca="false">Sens!$G$1777/Sens!$G$1759</f>
        <v>0.257410640885913</v>
      </c>
      <c r="H1786" s="12" t="n">
        <f aca="false">Sens!$H$1777/Sens!$H$1759</f>
        <v>0.235171577585666</v>
      </c>
      <c r="I1786" s="12" t="n">
        <f aca="false">Sens!$I$1777/Sens!$I$1759</f>
        <v>0.206300612783449</v>
      </c>
      <c r="J1786" s="12" t="n">
        <f aca="false">Sens!$J$1777/Sens!$J$1759</f>
        <v>0.183644146407631</v>
      </c>
      <c r="K1786" s="12" t="n">
        <f aca="false">Sens!$K$1777/Sens!$K$1759</f>
        <v>0.181948590733315</v>
      </c>
      <c r="L1786" s="12" t="n">
        <f aca="false">Sens!$L$1777/Sens!$L$1759</f>
        <v>0.177931578995</v>
      </c>
      <c r="M1786" s="12" t="n">
        <f aca="false">Sens!$M$1777/Sens!$M$1759</f>
        <v>0.181849229283255</v>
      </c>
      <c r="N1786" s="12" t="n">
        <f aca="false">Sens!$N$1777/Sens!$N$1759</f>
        <v>0.217209265679186</v>
      </c>
      <c r="O1786" s="12" t="n">
        <f aca="false">Sens!$O$1777/Sens!$O$1759</f>
        <v>0.47627593699706</v>
      </c>
    </row>
    <row r="1787" customFormat="false" ht="15" hidden="false" customHeight="false" outlineLevel="0" collapsed="false">
      <c r="A1787" s="5" t="s">
        <v>691</v>
      </c>
      <c r="B1787" s="0" t="s">
        <v>52</v>
      </c>
      <c r="C1787" s="12" t="n">
        <f aca="false">Sens!$C$1781/Sens!$C$1761</f>
        <v>0.107519448742004</v>
      </c>
      <c r="D1787" s="12" t="n">
        <f aca="false">Sens!$D$1781/Sens!$D$1761</f>
        <v>0.111552967957552</v>
      </c>
      <c r="E1787" s="12" t="n">
        <f aca="false">Sens!$E$1781/Sens!$E$1761</f>
        <v>0.13428328426562</v>
      </c>
      <c r="F1787" s="12" t="n">
        <f aca="false">Sens!$F$1781/Sens!$F$1761</f>
        <v>0.132452044105293</v>
      </c>
      <c r="G1787" s="12" t="n">
        <f aca="false">Sens!$G$1781/Sens!$G$1761</f>
        <v>0.133292478820735</v>
      </c>
      <c r="H1787" s="12" t="n">
        <f aca="false">Sens!$H$1781/Sens!$H$1761</f>
        <v>0.135302305045904</v>
      </c>
      <c r="I1787" s="12" t="n">
        <f aca="false">Sens!$I$1781/Sens!$I$1761</f>
        <v>0.136551732892603</v>
      </c>
      <c r="J1787" s="12" t="n">
        <f aca="false">Sens!$J$1781/Sens!$J$1761</f>
        <v>0.13540395660029</v>
      </c>
      <c r="K1787" s="12" t="n">
        <f aca="false">Sens!$K$1781/Sens!$K$1761</f>
        <v>0.134986596956141</v>
      </c>
      <c r="L1787" s="12" t="n">
        <f aca="false">Sens!$L$1781/Sens!$L$1761</f>
        <v>0.133394348336043</v>
      </c>
      <c r="M1787" s="12" t="n">
        <f aca="false">Sens!$M$1781/Sens!$M$1761</f>
        <v>0.133842814342922</v>
      </c>
      <c r="N1787" s="12" t="n">
        <f aca="false">Sens!$N$1781/Sens!$N$1761</f>
        <v>0.116201614873411</v>
      </c>
      <c r="O1787" s="12" t="n">
        <f aca="false">Sens!$O$1781/Sens!$O$1761</f>
        <v>0.107733353660861</v>
      </c>
    </row>
    <row r="1788" customFormat="false" ht="17.15" hidden="false" customHeight="false" outlineLevel="0" collapsed="false">
      <c r="A1788" s="1" t="s">
        <v>692</v>
      </c>
    </row>
    <row r="1789" customFormat="false" ht="17.15" hidden="false" customHeight="false" outlineLevel="0" collapsed="false">
      <c r="A1789" s="5" t="s">
        <v>693</v>
      </c>
      <c r="B1789" s="0" t="s">
        <v>52</v>
      </c>
      <c r="D1789" s="28" t="n">
        <f aca="false">(Q!$E$29+Q!$E$30-(1-ext_sh)*Sens!$D$1713)/Sens!$D$1671</f>
        <v>0.0332456081772832</v>
      </c>
    </row>
    <row r="1790" customFormat="false" ht="17.15" hidden="false" customHeight="false" outlineLevel="0" collapsed="false">
      <c r="A1790" s="0" t="s">
        <v>498</v>
      </c>
      <c r="B1790" s="0" t="s">
        <v>73</v>
      </c>
      <c r="C1790" s="38" t="n">
        <f aca="false">Q!$D$29</f>
        <v>14.285</v>
      </c>
      <c r="D1790" s="38" t="n">
        <f aca="false">Q!$E$29</f>
        <v>15.503</v>
      </c>
      <c r="E1790" s="38" t="n">
        <f aca="false">Q!$P$29</f>
        <v>8.78</v>
      </c>
      <c r="F1790" s="38" t="n">
        <f aca="false">(Sens!$D$1789*Sens!$F$1671+(1-ext_sh)*Sens!$F$1713)*Sens!$F$1672</f>
        <v>9.62529147802038</v>
      </c>
      <c r="G1790" s="38" t="n">
        <f aca="false">Sens!$E$1790+Sens!$F$1790</f>
        <v>18.4052914780204</v>
      </c>
      <c r="H1790" s="38" t="n">
        <f aca="false">(Sens!$D$1789*Sens!$H$1671+(1-ext_sh)*Sens!$H$1713)*Sens!$H$1672</f>
        <v>23.5759878963652</v>
      </c>
      <c r="I1790" s="38" t="n">
        <f aca="false">(Sens!$D$1789*Sens!$I$1671+(1-ext_sh)*Sens!$I$1713)*Sens!$I$1672</f>
        <v>29.9629469346632</v>
      </c>
      <c r="J1790" s="38" t="n">
        <f aca="false">(Sens!$D$1789*Sens!$J$1671+(1-ext_sh)*Sens!$J$1713)*Sens!$J$1672</f>
        <v>36.5270253877495</v>
      </c>
      <c r="K1790" s="38" t="n">
        <f aca="false">(Sens!$D$1789*Sens!$K$1671+(1-ext_sh)*Sens!$K$1713)*Sens!$K$1672</f>
        <v>42.5569645599117</v>
      </c>
      <c r="L1790" s="38" t="n">
        <f aca="false">(Sens!$D$1789*Sens!$L$1671+(1-ext_sh)*Sens!$L$1713)*Sens!$L$1672</f>
        <v>48.8049276620156</v>
      </c>
      <c r="M1790" s="38" t="n">
        <f aca="false">(Sens!$D$1789*Sens!$M$1671+(1-ext_sh)*Sens!$M$1713)*Sens!$M$1672</f>
        <v>54.8321784243037</v>
      </c>
      <c r="N1790" s="38" t="n">
        <f aca="false">Q!$N$29</f>
        <v>7.272</v>
      </c>
      <c r="O1790" s="38" t="n">
        <f aca="false">Q!$O$29</f>
        <v>8.231</v>
      </c>
    </row>
    <row r="1791" customFormat="false" ht="17.15" hidden="false" customHeight="false" outlineLevel="0" collapsed="false">
      <c r="A1791" s="0" t="s">
        <v>500</v>
      </c>
      <c r="B1791" s="0" t="s">
        <v>73</v>
      </c>
      <c r="C1791" s="38" t="n">
        <f aca="false">Q!$D$30</f>
        <v>4.462</v>
      </c>
      <c r="D1791" s="38" t="n">
        <f aca="false">Q!$E$30</f>
        <v>4.907</v>
      </c>
      <c r="E1791" s="38" t="n">
        <f aca="false">Q!$P$30</f>
        <v>2.57</v>
      </c>
      <c r="F1791" s="38" t="n">
        <f aca="false">(Sens!$D$1789*Sens!$F$1671+(1-ext_sh)*Sens!$F$1713)*(1-Sens!$F$1672)</f>
        <v>3.77916951024739</v>
      </c>
      <c r="G1791" s="38" t="n">
        <f aca="false">Sens!$E$1791+Sens!$F$1791</f>
        <v>6.34916951024739</v>
      </c>
      <c r="H1791" s="38" t="n">
        <f aca="false">(Sens!$D$1789*Sens!$H$1671+(1-ext_sh)*Sens!$H$1713)*(1-Sens!$H$1672)</f>
        <v>9.03313594659557</v>
      </c>
      <c r="I1791" s="38" t="n">
        <f aca="false">(Sens!$D$1789*Sens!$I$1671+(1-ext_sh)*Sens!$I$1713)*(1-Sens!$I$1672)</f>
        <v>11.4802982683568</v>
      </c>
      <c r="J1791" s="38" t="n">
        <f aca="false">(Sens!$D$1789*Sens!$J$1671+(1-ext_sh)*Sens!$J$1713)*(1-Sens!$J$1672)</f>
        <v>13.9953238652264</v>
      </c>
      <c r="K1791" s="38" t="n">
        <f aca="false">(Sens!$D$1789*Sens!$K$1671+(1-ext_sh)*Sens!$K$1713)*(1-Sens!$K$1672)</f>
        <v>16.3056940830632</v>
      </c>
      <c r="L1791" s="38" t="n">
        <f aca="false">(Sens!$D$1789*Sens!$L$1671+(1-ext_sh)*Sens!$L$1713)*(1-Sens!$L$1672)</f>
        <v>18.6996001343689</v>
      </c>
      <c r="M1791" s="38" t="n">
        <f aca="false">(Sens!$D$1789*Sens!$M$1671+(1-ext_sh)*Sens!$M$1713)*(1-Sens!$M$1672)</f>
        <v>21.0089402883976</v>
      </c>
      <c r="N1791" s="38" t="n">
        <f aca="false">Q!$N$30</f>
        <v>2.316</v>
      </c>
      <c r="O1791" s="38" t="n">
        <f aca="false">Q!$O$30</f>
        <v>2.591</v>
      </c>
    </row>
    <row r="1792" customFormat="false" ht="17.15" hidden="false" customHeight="false" outlineLevel="0" collapsed="false">
      <c r="A1792" s="0" t="s">
        <v>501</v>
      </c>
      <c r="B1792" s="0" t="s">
        <v>73</v>
      </c>
      <c r="C1792" s="38" t="n">
        <f aca="false">Sens!$C$1725</f>
        <v>13.32</v>
      </c>
      <c r="D1792" s="38" t="n">
        <f aca="false">Sens!$D$1725</f>
        <v>21.45</v>
      </c>
      <c r="E1792" s="38" t="n">
        <f aca="false">Sens!$E$1725</f>
        <v>15.353</v>
      </c>
      <c r="F1792" s="38" t="n">
        <f aca="false">Sens!$F$1725</f>
        <v>17.9584684845157</v>
      </c>
      <c r="G1792" s="38" t="n">
        <f aca="false">Sens!$G$1725</f>
        <v>33.3114684845157</v>
      </c>
      <c r="H1792" s="38" t="n">
        <f aca="false">Sens!$H$1725</f>
        <v>60.542517041212</v>
      </c>
      <c r="I1792" s="38" t="n">
        <f aca="false">Sens!$I$1725</f>
        <v>91.2582523014745</v>
      </c>
      <c r="J1792" s="38" t="n">
        <f aca="false">Sens!$J$1725</f>
        <v>123.006455222449</v>
      </c>
      <c r="K1792" s="38" t="n">
        <f aca="false">Sens!$K$1725</f>
        <v>151.785557696038</v>
      </c>
      <c r="L1792" s="38" t="n">
        <f aca="false">Sens!$L$1725</f>
        <v>181.478629121419</v>
      </c>
      <c r="M1792" s="38" t="n">
        <f aca="false">Sens!$M$1725</f>
        <v>209.637349643952</v>
      </c>
      <c r="N1792" s="38" t="n">
        <f aca="false">Sens!$N$1725</f>
        <v>9.234</v>
      </c>
      <c r="O1792" s="38" t="n">
        <f aca="false">Sens!$O$1725</f>
        <v>12.216</v>
      </c>
    </row>
    <row r="1793" customFormat="false" ht="17.15" hidden="false" customHeight="false" outlineLevel="0" collapsed="false">
      <c r="A1793" s="5" t="s">
        <v>694</v>
      </c>
      <c r="B1793" s="0" t="s">
        <v>73</v>
      </c>
      <c r="C1793" s="38" t="n">
        <f aca="false">Sens!$C$1790+Sens!$C$1791+Sens!$C$1792</f>
        <v>32.067</v>
      </c>
      <c r="D1793" s="38" t="n">
        <f aca="false">Sens!$D$1790+Sens!$D$1791+Sens!$D$1792</f>
        <v>41.86</v>
      </c>
      <c r="E1793" s="38" t="n">
        <f aca="false">Sens!$E$1790+Sens!$E$1791+Sens!$E$1792</f>
        <v>26.703</v>
      </c>
      <c r="F1793" s="38" t="n">
        <f aca="false">Sens!$F$1790+Sens!$F$1791+Sens!$F$1792</f>
        <v>31.3629294727834</v>
      </c>
      <c r="G1793" s="38" t="n">
        <f aca="false">Sens!$G$1790+Sens!$G$1791+Sens!$G$1792</f>
        <v>58.0659294727834</v>
      </c>
      <c r="H1793" s="38" t="n">
        <f aca="false">Sens!$H$1790+Sens!$H$1791+Sens!$H$1792</f>
        <v>93.1516408841727</v>
      </c>
      <c r="I1793" s="38" t="n">
        <f aca="false">Sens!$I$1790+Sens!$I$1791+Sens!$I$1792</f>
        <v>132.701497504495</v>
      </c>
      <c r="J1793" s="38" t="n">
        <f aca="false">Sens!$J$1790+Sens!$J$1791+Sens!$J$1792</f>
        <v>173.528804475425</v>
      </c>
      <c r="K1793" s="38" t="n">
        <f aca="false">Sens!$K$1790+Sens!$K$1791+Sens!$K$1792</f>
        <v>210.648216339013</v>
      </c>
      <c r="L1793" s="38" t="n">
        <f aca="false">Sens!$L$1790+Sens!$L$1791+Sens!$L$1792</f>
        <v>248.983156917804</v>
      </c>
      <c r="M1793" s="38" t="n">
        <f aca="false">Sens!$M$1790+Sens!$M$1791+Sens!$M$1792</f>
        <v>285.478468356653</v>
      </c>
      <c r="N1793" s="38" t="n">
        <f aca="false">Sens!$N$1790+Sens!$N$1791+Sens!$N$1792</f>
        <v>18.822</v>
      </c>
      <c r="O1793" s="38" t="n">
        <f aca="false">Sens!$O$1790+Sens!$O$1791+Sens!$O$1792</f>
        <v>23.038</v>
      </c>
    </row>
    <row r="1794" customFormat="false" ht="17.15" hidden="false" customHeight="false" outlineLevel="0" collapsed="false">
      <c r="A1794" s="0" t="s">
        <v>695</v>
      </c>
      <c r="B1794" s="0" t="s">
        <v>73</v>
      </c>
      <c r="C1794" s="38" t="n">
        <f aca="false">Sens!$C$1767+Sens!$C$1772</f>
        <v>28.107</v>
      </c>
      <c r="D1794" s="38" t="n">
        <f aca="false">Sens!$D$1767+Sens!$D$1772</f>
        <v>34.3175</v>
      </c>
      <c r="E1794" s="38" t="n">
        <f aca="false">Sens!$E$1767+Sens!$E$1772</f>
        <v>18.526</v>
      </c>
      <c r="F1794" s="38" t="n">
        <f aca="false">Sens!$F$1767+Sens!$F$1772</f>
        <v>24.0766690913691</v>
      </c>
      <c r="G1794" s="38" t="n">
        <f aca="false">Sens!$G$1767+Sens!$G$1772</f>
        <v>42.6026690913691</v>
      </c>
      <c r="H1794" s="38" t="n">
        <f aca="false">Sens!$H$1767+Sens!$H$1772</f>
        <v>51.1466809294702</v>
      </c>
      <c r="I1794" s="38" t="n">
        <f aca="false">Sens!$I$1767+Sens!$I$1772</f>
        <v>59.6899187926205</v>
      </c>
      <c r="J1794" s="38" t="n">
        <f aca="false">Sens!$J$1767+Sens!$J$1772</f>
        <v>67.6595395244221</v>
      </c>
      <c r="K1794" s="38" t="n">
        <f aca="false">Sens!$K$1767+Sens!$K$1772</f>
        <v>74.4254934768643</v>
      </c>
      <c r="L1794" s="38" t="n">
        <f aca="false">Sens!$L$1767+Sens!$L$1772</f>
        <v>81.8680428245508</v>
      </c>
      <c r="M1794" s="38" t="n">
        <f aca="false">Sens!$M$1767+Sens!$M$1772</f>
        <v>90.0548471070059</v>
      </c>
      <c r="N1794" s="38" t="n">
        <f aca="false">Sens!$N$1767+Sens!$N$1772</f>
        <v>14.8075</v>
      </c>
      <c r="O1794" s="38" t="n">
        <f aca="false">Sens!$O$1767+Sens!$O$1772</f>
        <v>19.51</v>
      </c>
    </row>
    <row r="1795" customFormat="false" ht="17.15" hidden="false" customHeight="false" outlineLevel="0" collapsed="false">
      <c r="A1795" s="0" t="s">
        <v>696</v>
      </c>
      <c r="B1795" s="0" t="s">
        <v>73</v>
      </c>
      <c r="C1795" s="38" t="n">
        <f aca="false">Sens!$C$1771+Sens!$C$1776+Sens!$C$1790+Sens!$C$1791-Sens!$C$1794</f>
        <v>19.399</v>
      </c>
      <c r="D1795" s="38" t="n">
        <f aca="false">Sens!$D$1771+Sens!$D$1776+Sens!$D$1790+Sens!$D$1791-Sens!$D$1794</f>
        <v>20.4615</v>
      </c>
      <c r="E1795" s="38" t="n">
        <f aca="false">Sens!$E$1771+Sens!$E$1776+Sens!$E$1790+Sens!$E$1791-Sens!$E$1794</f>
        <v>13.355</v>
      </c>
      <c r="F1795" s="38" t="n">
        <f aca="false">Sens!$F$1771+Sens!$F$1776+Sens!$F$1790+Sens!$F$1791-Sens!$F$1794</f>
        <v>13.2677640668505</v>
      </c>
      <c r="G1795" s="38" t="n">
        <f aca="false">Sens!$G$1771+Sens!$G$1776+Sens!$G$1790+Sens!$G$1791-Sens!$G$1794</f>
        <v>26.6227640668505</v>
      </c>
      <c r="H1795" s="38" t="n">
        <f aca="false">Sens!$H$1771+Sens!$H$1776+Sens!$H$1790+Sens!$H$1791-Sens!$H$1794</f>
        <v>29.2738761090197</v>
      </c>
      <c r="I1795" s="38" t="n">
        <f aca="false">Sens!$I$1771+Sens!$I$1776+Sens!$I$1790+Sens!$I$1791-Sens!$I$1794</f>
        <v>31.6111636065568</v>
      </c>
      <c r="J1795" s="38" t="n">
        <f aca="false">Sens!$J$1771+Sens!$J$1776+Sens!$J$1790+Sens!$J$1791-Sens!$J$1794</f>
        <v>33.9380680835835</v>
      </c>
      <c r="K1795" s="38" t="n">
        <f aca="false">Sens!$K$1771+Sens!$K$1776+Sens!$K$1790+Sens!$K$1791-Sens!$K$1794</f>
        <v>36.1146291846176</v>
      </c>
      <c r="L1795" s="38" t="n">
        <f aca="false">Sens!$L$1771+Sens!$L$1776+Sens!$L$1790+Sens!$L$1791-Sens!$L$1794</f>
        <v>36.8947786224198</v>
      </c>
      <c r="M1795" s="38" t="n">
        <f aca="false">Sens!$M$1771+Sens!$M$1776+Sens!$M$1790+Sens!$M$1791-Sens!$M$1794</f>
        <v>37.8672507794983</v>
      </c>
      <c r="N1795" s="38" t="n">
        <f aca="false">Sens!$N$1771+Sens!$N$1776+Sens!$N$1790+Sens!$N$1791-Sens!$N$1794</f>
        <v>10.6495</v>
      </c>
      <c r="O1795" s="38" t="n">
        <f aca="false">Sens!$O$1771+Sens!$O$1776+Sens!$O$1790+Sens!$O$1791-Sens!$O$1794</f>
        <v>9.81200000000001</v>
      </c>
    </row>
    <row r="1796" customFormat="false" ht="17.15" hidden="false" customHeight="false" outlineLevel="0" collapsed="false">
      <c r="A1796" s="0" t="s">
        <v>697</v>
      </c>
      <c r="B1796" s="0" t="s">
        <v>73</v>
      </c>
      <c r="C1796" s="38" t="n">
        <f aca="false">Sens!$C$1778+Sens!$C$1792-ext_sh*Sens!$C$1713</f>
        <v>51.3470500115664</v>
      </c>
      <c r="D1796" s="38" t="n">
        <f aca="false">Sens!$D$1778+Sens!$D$1792-ext_sh*Sens!$D$1713</f>
        <v>60.2799375433739</v>
      </c>
      <c r="E1796" s="38" t="n">
        <f aca="false">Sens!$E$1778+Sens!$E$1792-ext_sh*Sens!$E$1713</f>
        <v>39.5095167090767</v>
      </c>
      <c r="F1796" s="38" t="n">
        <f aca="false">Sens!$F$1778+Sens!$F$1792-ext_sh*Sens!$F$1713</f>
        <v>41.9674054225001</v>
      </c>
      <c r="G1796" s="38" t="n">
        <f aca="false">Sens!$G$1778+Sens!$G$1792-ext_sh*Sens!$G$1713</f>
        <v>81.4769221315768</v>
      </c>
      <c r="H1796" s="38" t="n">
        <f aca="false">Sens!$H$1778+Sens!$H$1792-ext_sh*Sens!$H$1713</f>
        <v>96.5917984187117</v>
      </c>
      <c r="I1796" s="38" t="n">
        <f aca="false">Sens!$I$1778+Sens!$I$1792-ext_sh*Sens!$I$1713</f>
        <v>112.479998926531</v>
      </c>
      <c r="J1796" s="38" t="n">
        <f aca="false">Sens!$J$1778+Sens!$J$1792-ext_sh*Sens!$J$1713</f>
        <v>126.230009021308</v>
      </c>
      <c r="K1796" s="38" t="n">
        <f aca="false">Sens!$K$1778+Sens!$K$1792-ext_sh*Sens!$K$1713</f>
        <v>136.328409743013</v>
      </c>
      <c r="L1796" s="38" t="n">
        <f aca="false">Sens!$L$1778+Sens!$L$1792-ext_sh*Sens!$L$1713</f>
        <v>147.234682522454</v>
      </c>
      <c r="M1796" s="38" t="n">
        <f aca="false">Sens!$M$1778+Sens!$M$1792-ext_sh*Sens!$M$1713</f>
        <v>159.01345712425</v>
      </c>
      <c r="N1796" s="38" t="n">
        <f aca="false">Sens!$N$1778+Sens!$N$1792-ext_sh*Sens!$N$1713</f>
        <v>28.5693781401809</v>
      </c>
      <c r="O1796" s="38" t="n">
        <f aca="false">Sens!$O$1778+Sens!$O$1792-ext_sh*Sens!$O$1713</f>
        <v>31.7105594031931</v>
      </c>
    </row>
    <row r="1797" customFormat="false" ht="17.15" hidden="false" customHeight="false" outlineLevel="0" collapsed="false">
      <c r="A1797" s="0" t="s">
        <v>698</v>
      </c>
      <c r="B1797" s="0" t="s">
        <v>73</v>
      </c>
      <c r="C1797" s="38" t="n">
        <f aca="false">Sens!$C$1716</f>
        <v>1.80694998843362</v>
      </c>
      <c r="D1797" s="38" t="n">
        <f aca="false">Sens!$D$1716</f>
        <v>6.77606245662607</v>
      </c>
      <c r="E1797" s="38" t="n">
        <f aca="false">Sens!$E$1716</f>
        <v>6.62548329092326</v>
      </c>
      <c r="F1797" s="38" t="n">
        <f aca="false">Sens!$F$1716</f>
        <v>11.7200577158706</v>
      </c>
      <c r="G1797" s="38" t="n">
        <f aca="false">Sens!$G$1716</f>
        <v>18.3455410067939</v>
      </c>
      <c r="H1797" s="38" t="n">
        <f aca="false">Sens!$H$1716</f>
        <v>47.5171727060453</v>
      </c>
      <c r="I1797" s="38" t="n">
        <f aca="false">Sens!$I$1716</f>
        <v>80.5539692643667</v>
      </c>
      <c r="J1797" s="38" t="n">
        <f aca="false">Sens!$J$1716</f>
        <v>113.759316834883</v>
      </c>
      <c r="K1797" s="38" t="n">
        <f aca="false">Sens!$K$1716</f>
        <v>147.020848076132</v>
      </c>
      <c r="L1797" s="38" t="n">
        <f aca="false">Sens!$L$1716</f>
        <v>180.307917349531</v>
      </c>
      <c r="M1797" s="38" t="n">
        <f aca="false">Sens!$M$1716</f>
        <v>213.608737871012</v>
      </c>
      <c r="N1797" s="38" t="n">
        <f aca="false">Sens!$N$1716</f>
        <v>2.37162185981912</v>
      </c>
      <c r="O1797" s="38" t="n">
        <f aca="false">Sens!$O$1716</f>
        <v>4.40444059680694</v>
      </c>
    </row>
    <row r="1798" customFormat="false" ht="17.15" hidden="false" customHeight="false" outlineLevel="0" collapsed="false">
      <c r="A1798" s="0" t="s">
        <v>699</v>
      </c>
      <c r="B1798" s="0" t="s">
        <v>73</v>
      </c>
      <c r="C1798" s="38" t="n">
        <f aca="false">Sens!$C$1781+Sens!$C$1793</f>
        <v>100.66</v>
      </c>
      <c r="D1798" s="38" t="n">
        <f aca="false">Sens!$D$1781+Sens!$D$1793</f>
        <v>121.835</v>
      </c>
      <c r="E1798" s="38" t="n">
        <f aca="false">Sens!$E$1781+Sens!$E$1793</f>
        <v>78.016</v>
      </c>
      <c r="F1798" s="38" t="n">
        <f aca="false">Sens!$F$1781+Sens!$F$1793</f>
        <v>91.0318962965903</v>
      </c>
      <c r="G1798" s="38" t="n">
        <f aca="false">Sens!$G$1781+Sens!$G$1793</f>
        <v>169.04789629659</v>
      </c>
      <c r="H1798" s="38" t="n">
        <f aca="false">Sens!$H$1781+Sens!$H$1793</f>
        <v>224.529528163247</v>
      </c>
      <c r="I1798" s="38" t="n">
        <f aca="false">Sens!$I$1781+Sens!$I$1793</f>
        <v>284.335050590075</v>
      </c>
      <c r="J1798" s="38" t="n">
        <f aca="false">Sens!$J$1781+Sens!$J$1793</f>
        <v>341.586933464197</v>
      </c>
      <c r="K1798" s="38" t="n">
        <f aca="false">Sens!$K$1781+Sens!$K$1793</f>
        <v>393.889380480627</v>
      </c>
      <c r="L1798" s="38" t="n">
        <f aca="false">Sens!$L$1781+Sens!$L$1793</f>
        <v>446.305421318956</v>
      </c>
      <c r="M1798" s="38" t="n">
        <f aca="false">Sens!$M$1781+Sens!$M$1793</f>
        <v>500.544292881766</v>
      </c>
      <c r="N1798" s="38" t="n">
        <f aca="false">Sens!$N$1781+Sens!$N$1793</f>
        <v>56.398</v>
      </c>
      <c r="O1798" s="38" t="n">
        <f aca="false">Sens!$O$1781+Sens!$O$1793</f>
        <v>65.437</v>
      </c>
    </row>
    <row r="1799" customFormat="false" ht="17.15" hidden="false" customHeight="false" outlineLevel="0" collapsed="false">
      <c r="A1799" s="1" t="s">
        <v>700</v>
      </c>
    </row>
    <row r="1800" customFormat="false" ht="15" hidden="false" customHeight="false" outlineLevel="0" collapsed="false">
      <c r="A1800" s="5" t="s">
        <v>504</v>
      </c>
      <c r="B1800" s="0" t="s">
        <v>73</v>
      </c>
      <c r="C1800" s="38" t="n">
        <f aca="false">Q!$D$34</f>
        <v>2.406</v>
      </c>
      <c r="D1800" s="38" t="n">
        <f aca="false">Q!$E$34</f>
        <v>2.274</v>
      </c>
      <c r="E1800" s="38" t="n">
        <f aca="false">Q!$P$34</f>
        <v>2.114</v>
      </c>
      <c r="F1800" s="38" t="n">
        <f aca="false">Sens!$F$1836</f>
        <v>3.24888964316061</v>
      </c>
      <c r="G1800" s="38" t="n">
        <f aca="false">Sens!$E$1800+Sens!$F$1800</f>
        <v>5.36288964316061</v>
      </c>
      <c r="H1800" s="38" t="n">
        <f aca="false">Sens!$H$1836</f>
        <v>7.42354178632123</v>
      </c>
      <c r="I1800" s="38" t="n">
        <f aca="false">Sens!$I$1836</f>
        <v>7.42354178632123</v>
      </c>
      <c r="J1800" s="38" t="n">
        <f aca="false">Sens!$J$1836</f>
        <v>7.74715997356853</v>
      </c>
      <c r="K1800" s="38" t="n">
        <f aca="false">Sens!$K$1836</f>
        <v>7.74715997356853</v>
      </c>
      <c r="L1800" s="38" t="n">
        <f aca="false">Sens!$L$1836</f>
        <v>7.74715997356853</v>
      </c>
      <c r="M1800" s="38" t="n">
        <f aca="false">Sens!$M$1836</f>
        <v>7.74715997356853</v>
      </c>
      <c r="N1800" s="38" t="n">
        <f aca="false">Q!$N$34</f>
        <v>1.057</v>
      </c>
      <c r="O1800" s="38" t="n">
        <f aca="false">Q!$O$34</f>
        <v>1.217</v>
      </c>
    </row>
    <row r="1801" customFormat="false" ht="15" hidden="false" customHeight="false" outlineLevel="0" collapsed="false">
      <c r="A1801" s="5" t="s">
        <v>701</v>
      </c>
      <c r="B1801" s="0" t="s">
        <v>73</v>
      </c>
      <c r="F1801" s="38" t="n">
        <f aca="false">Sens!$F$1837</f>
        <v>2.59</v>
      </c>
      <c r="H1801" s="38" t="n">
        <f aca="false">Sens!$H$1837</f>
        <v>4.03397649814014</v>
      </c>
      <c r="I1801" s="38" t="n">
        <f aca="false">Sens!$I$1837</f>
        <v>2.14992608851048</v>
      </c>
      <c r="J1801" s="38" t="n">
        <f aca="false">Sens!$J$1837</f>
        <v>2.10589651022864</v>
      </c>
      <c r="K1801" s="38" t="n">
        <f aca="false">Sens!$K$1837</f>
        <v>3.7327359588365</v>
      </c>
      <c r="L1801" s="38" t="n">
        <f aca="false">Sens!$L$1837</f>
        <v>5.84663738711057</v>
      </c>
      <c r="M1801" s="38" t="n">
        <f aca="false">Sens!$M$1837</f>
        <v>7.47610237566381</v>
      </c>
    </row>
    <row r="1802" customFormat="false" ht="17.15" hidden="false" customHeight="false" outlineLevel="0" collapsed="false">
      <c r="A1802" s="5" t="s">
        <v>702</v>
      </c>
      <c r="B1802" s="0" t="s">
        <v>73</v>
      </c>
      <c r="C1802" s="38" t="n">
        <f aca="false">Q!$D$39</f>
        <v>2.427</v>
      </c>
      <c r="D1802" s="38" t="n">
        <f aca="false">Q!$E$39</f>
        <v>19.61</v>
      </c>
      <c r="E1802" s="38" t="n">
        <f aca="false">Q!$P$39</f>
        <v>71.492</v>
      </c>
      <c r="F1802" s="41" t="n">
        <v>0</v>
      </c>
      <c r="G1802" s="38" t="n">
        <f aca="false">Sens!$E$1802+Sens!$F$1802</f>
        <v>71.492</v>
      </c>
      <c r="H1802" s="41" t="n">
        <v>0</v>
      </c>
      <c r="I1802" s="41" t="n">
        <v>0</v>
      </c>
      <c r="J1802" s="41" t="n">
        <v>0</v>
      </c>
      <c r="K1802" s="41" t="n">
        <v>0</v>
      </c>
      <c r="L1802" s="41" t="n">
        <v>0</v>
      </c>
      <c r="M1802" s="41" t="n">
        <v>0</v>
      </c>
      <c r="N1802" s="38" t="n">
        <f aca="false">Q!$N$39</f>
        <v>6.017</v>
      </c>
      <c r="O1802" s="38" t="n">
        <f aca="false">Q!$O$39</f>
        <v>13.593</v>
      </c>
      <c r="P1802" s="5" t="s">
        <v>703</v>
      </c>
    </row>
    <row r="1803" customFormat="false" ht="15" hidden="false" customHeight="false" outlineLevel="0" collapsed="false">
      <c r="A1803" s="5" t="s">
        <v>507</v>
      </c>
      <c r="B1803" s="0" t="s">
        <v>73</v>
      </c>
      <c r="C1803" s="38" t="n">
        <f aca="false">Q!$D$36</f>
        <v>68.614</v>
      </c>
      <c r="D1803" s="38" t="n">
        <f aca="false">Q!$E$36</f>
        <v>97.311</v>
      </c>
      <c r="E1803" s="38" t="n">
        <f aca="false">Q!$P$36</f>
        <v>120.691</v>
      </c>
      <c r="F1803" s="38" t="n">
        <f aca="false">Sens!$F$1781-Sens!$F$1800+Sens!$F$1801+Sens!$F$1802</f>
        <v>59.0100771806463</v>
      </c>
      <c r="G1803" s="38" t="n">
        <f aca="false">Sens!$E$1803+Sens!$F$1803</f>
        <v>179.701077180646</v>
      </c>
      <c r="H1803" s="38" t="n">
        <f aca="false">Sens!$H$1781-Sens!$H$1800+Sens!$H$1801+Sens!$H$1802</f>
        <v>127.988321990893</v>
      </c>
      <c r="I1803" s="38" t="n">
        <f aca="false">Sens!$I$1781-Sens!$I$1800+Sens!$I$1801+Sens!$I$1802</f>
        <v>146.35993738777</v>
      </c>
      <c r="J1803" s="38" t="n">
        <f aca="false">Sens!$J$1781-Sens!$J$1800+Sens!$J$1801+Sens!$J$1802</f>
        <v>162.416865525433</v>
      </c>
      <c r="K1803" s="38" t="n">
        <f aca="false">Sens!$K$1781-Sens!$K$1800+Sens!$K$1801+Sens!$K$1802</f>
        <v>179.226740126882</v>
      </c>
      <c r="L1803" s="38" t="n">
        <f aca="false">Sens!$L$1781-Sens!$L$1800+Sens!$L$1801+Sens!$L$1802</f>
        <v>195.421741814694</v>
      </c>
      <c r="M1803" s="38" t="n">
        <f aca="false">Sens!$M$1781-Sens!$M$1800+Sens!$M$1801+Sens!$M$1802</f>
        <v>214.794766927208</v>
      </c>
      <c r="N1803" s="38" t="n">
        <f aca="false">Q!$N$36</f>
        <v>42.536</v>
      </c>
      <c r="O1803" s="38" t="n">
        <f aca="false">Q!$O$36</f>
        <v>54.775</v>
      </c>
    </row>
    <row r="1804" customFormat="false" ht="15" hidden="false" customHeight="false" outlineLevel="0" collapsed="false">
      <c r="A1804" s="5" t="s">
        <v>508</v>
      </c>
      <c r="B1804" s="0" t="s">
        <v>73</v>
      </c>
      <c r="C1804" s="38" t="n">
        <f aca="false">Q!$D$37</f>
        <v>9.265</v>
      </c>
      <c r="D1804" s="38" t="n">
        <f aca="false">Q!$E$37</f>
        <v>19.087</v>
      </c>
      <c r="E1804" s="38" t="n">
        <f aca="false">Q!$P$37</f>
        <v>27.759</v>
      </c>
      <c r="F1804" s="38" t="n">
        <f aca="false">Sens!$F$1803*tax</f>
        <v>10.2432363132727</v>
      </c>
      <c r="G1804" s="38" t="n">
        <f aca="false">Sens!$E$1804+Sens!$F$1804</f>
        <v>38.0022363132727</v>
      </c>
      <c r="H1804" s="38" t="n">
        <f aca="false">Sens!$H$1803*tax</f>
        <v>22.2167922858086</v>
      </c>
      <c r="I1804" s="38" t="n">
        <f aca="false">Sens!$I$1803*tax</f>
        <v>25.405820447739</v>
      </c>
      <c r="J1804" s="38" t="n">
        <f aca="false">Sens!$J$1803*tax</f>
        <v>28.193054717503</v>
      </c>
      <c r="K1804" s="38" t="n">
        <f aca="false">Sens!$K$1803*tax</f>
        <v>31.1109888427544</v>
      </c>
      <c r="L1804" s="38" t="n">
        <f aca="false">Sens!$L$1803*tax</f>
        <v>33.92219054436</v>
      </c>
      <c r="M1804" s="38" t="n">
        <f aca="false">Sens!$M$1803*tax</f>
        <v>37.285047937733</v>
      </c>
      <c r="N1804" s="38" t="n">
        <f aca="false">Q!$N$37</f>
        <v>7.231</v>
      </c>
      <c r="O1804" s="38" t="n">
        <f aca="false">Q!$O$37</f>
        <v>11.856</v>
      </c>
    </row>
    <row r="1805" customFormat="false" ht="15" hidden="false" customHeight="false" outlineLevel="0" collapsed="false">
      <c r="A1805" s="3" t="s">
        <v>509</v>
      </c>
      <c r="B1805" s="8" t="s">
        <v>73</v>
      </c>
      <c r="C1805" s="38" t="n">
        <f aca="false">Q!$D$38</f>
        <v>59.248</v>
      </c>
      <c r="D1805" s="38" t="n">
        <f aca="false">Q!$E$38</f>
        <v>77.67</v>
      </c>
      <c r="E1805" s="38" t="n">
        <f aca="false">Q!$P$38</f>
        <v>92.902</v>
      </c>
      <c r="F1805" s="38" t="n">
        <f aca="false">Sens!$F$1803-Sens!$F$1804</f>
        <v>48.7668408673736</v>
      </c>
      <c r="G1805" s="38" t="n">
        <f aca="false">Sens!$E$1805+Sens!$F$1805</f>
        <v>141.668840867374</v>
      </c>
      <c r="H1805" s="38" t="n">
        <f aca="false">Sens!$H$1803-Sens!$H$1804</f>
        <v>105.771529705084</v>
      </c>
      <c r="I1805" s="38" t="n">
        <f aca="false">Sens!$I$1803-Sens!$I$1804</f>
        <v>120.954116940031</v>
      </c>
      <c r="J1805" s="38" t="n">
        <f aca="false">Sens!$J$1803-Sens!$J$1804</f>
        <v>134.22381080793</v>
      </c>
      <c r="K1805" s="38" t="n">
        <f aca="false">Sens!$K$1803-Sens!$K$1804</f>
        <v>148.115751284127</v>
      </c>
      <c r="L1805" s="38" t="n">
        <f aca="false">Sens!$L$1803-Sens!$L$1804</f>
        <v>161.499551270334</v>
      </c>
      <c r="M1805" s="38" t="n">
        <f aca="false">Sens!$M$1803-Sens!$M$1804</f>
        <v>177.509718989475</v>
      </c>
      <c r="N1805" s="38" t="n">
        <f aca="false">Q!$N$38</f>
        <v>35.291</v>
      </c>
      <c r="O1805" s="38" t="n">
        <f aca="false">Q!$O$38</f>
        <v>42.379</v>
      </c>
    </row>
    <row r="1806" customFormat="false" ht="17.15" hidden="false" customHeight="false" outlineLevel="0" collapsed="false">
      <c r="A1806" s="5" t="s">
        <v>512</v>
      </c>
      <c r="B1806" s="5" t="s">
        <v>33</v>
      </c>
      <c r="C1806" s="22" t="n">
        <f aca="false">Q!$D$41</f>
        <v>10.721</v>
      </c>
      <c r="D1806" s="22" t="n">
        <f aca="false">Q!$E$41</f>
        <v>10.827</v>
      </c>
      <c r="E1806" s="22" t="n">
        <f aca="false">(Q!$L$41+Q!$M$41)/2</f>
        <v>10.8885</v>
      </c>
      <c r="F1806" s="22" t="n">
        <f aca="false">Sens!$G$1806</f>
        <v>10.924806</v>
      </c>
      <c r="G1806" s="22" t="n">
        <f aca="false">Q!$M$41*(1+sh_g*0.25)</f>
        <v>10.924806</v>
      </c>
      <c r="H1806" s="22" t="n">
        <f aca="false">Sens!$G$1806*(1+sh_g)</f>
        <v>11.012204448</v>
      </c>
      <c r="I1806" s="22" t="n">
        <f aca="false">Sens!$H$1806*(1+sh_g)</f>
        <v>11.100302083584</v>
      </c>
      <c r="J1806" s="22" t="n">
        <f aca="false">Sens!$I$1806*(1+sh_g)</f>
        <v>11.1891045002527</v>
      </c>
      <c r="K1806" s="22" t="n">
        <f aca="false">Sens!$J$1806*(1+sh_g)</f>
        <v>11.2786173362547</v>
      </c>
      <c r="L1806" s="22" t="n">
        <f aca="false">Sens!$K$1806*(1+sh_g)</f>
        <v>11.3688462749447</v>
      </c>
      <c r="M1806" s="22" t="n">
        <f aca="false">Sens!$L$1806*(1+sh_g)</f>
        <v>11.4597970451443</v>
      </c>
      <c r="P1806" s="5" t="s">
        <v>704</v>
      </c>
    </row>
    <row r="1807" customFormat="false" ht="17.15" hidden="false" customHeight="false" outlineLevel="0" collapsed="false">
      <c r="A1807" s="42" t="s">
        <v>705</v>
      </c>
      <c r="B1807" s="13" t="s">
        <v>27</v>
      </c>
      <c r="C1807" s="43" t="n">
        <f aca="false">Sens!$C$1805/Sens!$C$1806</f>
        <v>5.52635015390355</v>
      </c>
      <c r="D1807" s="43" t="n">
        <f aca="false">Sens!$D$1805/Sens!$D$1806</f>
        <v>7.1737323358271</v>
      </c>
      <c r="E1807" s="43" t="n">
        <f aca="false">Sens!$E$1805/Sens!$E$1806</f>
        <v>8.53212104513937</v>
      </c>
      <c r="F1807" s="13"/>
      <c r="G1807" s="43" t="n">
        <f aca="false">Sens!$G$1805/Sens!$G$1806</f>
        <v>12.9676298935994</v>
      </c>
      <c r="H1807" s="43" t="n">
        <f aca="false">Sens!$H$1805/Sens!$H$1806</f>
        <v>9.60493697738188</v>
      </c>
      <c r="I1807" s="43" t="n">
        <f aca="false">Sens!$I$1805/Sens!$I$1806</f>
        <v>10.8964707473058</v>
      </c>
      <c r="J1807" s="43" t="n">
        <f aca="false">Sens!$J$1805/Sens!$J$1806</f>
        <v>11.9959386209056</v>
      </c>
      <c r="K1807" s="43" t="n">
        <f aca="false">Sens!$K$1805/Sens!$K$1806</f>
        <v>13.1324387438888</v>
      </c>
      <c r="L1807" s="43" t="n">
        <f aca="false">Sens!$L$1805/Sens!$L$1806</f>
        <v>14.2054477089954</v>
      </c>
      <c r="M1807" s="43" t="n">
        <f aca="false">Sens!$M$1805/Sens!$M$1806</f>
        <v>15.4897785964446</v>
      </c>
      <c r="N1807" s="13"/>
      <c r="O1807" s="13"/>
    </row>
    <row r="1808" customFormat="false" ht="17.15" hidden="false" customHeight="false" outlineLevel="0" collapsed="false">
      <c r="A1808" s="0" t="s">
        <v>706</v>
      </c>
      <c r="B1808" s="0" t="s">
        <v>27</v>
      </c>
      <c r="C1808" s="30" t="n">
        <f aca="false">(Sens!$C$1805-Sens!$C$1802*(1-tax))/Sens!$C$1806</f>
        <v>5.33926775917445</v>
      </c>
      <c r="D1808" s="30" t="n">
        <f aca="false">(Sens!$D$1805-Sens!$D$1802*(1-tax))/Sens!$D$1806</f>
        <v>5.67691812755503</v>
      </c>
      <c r="E1808" s="30" t="n">
        <f aca="false">(Sens!$E$1805-Sens!$E$1802*(1-tax))/Sens!$E$1806</f>
        <v>3.10602057006846</v>
      </c>
      <c r="G1808" s="30" t="n">
        <f aca="false">(Sens!$G$1805-Sens!$G$1802*(1-tax))/Sens!$G$1806</f>
        <v>7.55956177570237</v>
      </c>
      <c r="H1808" s="30" t="n">
        <f aca="false">(Sens!$H$1805-Sens!$H$1802*(1-tax))/Sens!$H$1806</f>
        <v>9.60493697738188</v>
      </c>
      <c r="I1808" s="30" t="n">
        <f aca="false">(Sens!$I$1805-Sens!$I$1802*(1-tax))/Sens!$I$1806</f>
        <v>10.8964707473058</v>
      </c>
      <c r="J1808" s="30" t="n">
        <f aca="false">(Sens!$J$1805-Sens!$J$1802*(1-tax))/Sens!$J$1806</f>
        <v>11.9959386209056</v>
      </c>
      <c r="K1808" s="30" t="n">
        <f aca="false">(Sens!$K$1805-Sens!$K$1802*(1-tax))/Sens!$K$1806</f>
        <v>13.1324387438888</v>
      </c>
      <c r="L1808" s="30" t="n">
        <f aca="false">(Sens!$L$1805-Sens!$L$1802*(1-tax))/Sens!$L$1806</f>
        <v>14.2054477089954</v>
      </c>
      <c r="M1808" s="30" t="n">
        <f aca="false">(Sens!$M$1805-Sens!$M$1802*(1-tax))/Sens!$M$1806</f>
        <v>15.4897785964446</v>
      </c>
      <c r="P1808" s="5" t="s">
        <v>707</v>
      </c>
    </row>
    <row r="1809" customFormat="false" ht="17.15" hidden="false" customHeight="false" outlineLevel="0" collapsed="false">
      <c r="A1809" s="0" t="s">
        <v>708</v>
      </c>
      <c r="B1809" s="0" t="s">
        <v>52</v>
      </c>
      <c r="H1809" s="12" t="n">
        <f aca="false">Sens!$H$1807/Sens!$G$1807-1</f>
        <v>-0.25931438079346</v>
      </c>
      <c r="I1809" s="12" t="n">
        <f aca="false">Sens!$I$1807/Sens!$H$1807-1</f>
        <v>0.134465616272683</v>
      </c>
      <c r="J1809" s="12" t="n">
        <f aca="false">Sens!$J$1807/Sens!$I$1807-1</f>
        <v>0.100901282543397</v>
      </c>
      <c r="K1809" s="12" t="n">
        <f aca="false">Sens!$K$1807/Sens!$J$1807-1</f>
        <v>0.0947404083080785</v>
      </c>
      <c r="L1809" s="12" t="n">
        <f aca="false">Sens!$L$1807/Sens!$K$1807-1</f>
        <v>0.0817067557696292</v>
      </c>
      <c r="M1809" s="12" t="n">
        <f aca="false">Sens!$M$1807/Sens!$L$1807-1</f>
        <v>0.090411151676407</v>
      </c>
    </row>
    <row r="1812" customFormat="false" ht="19.4" hidden="false" customHeight="false" outlineLevel="0" collapsed="false">
      <c r="A1812" s="31" t="s">
        <v>1081</v>
      </c>
    </row>
    <row r="1813" customFormat="false" ht="17.15" hidden="false" customHeight="false" outlineLevel="0" collapsed="false">
      <c r="A1813" s="6" t="s">
        <v>16</v>
      </c>
      <c r="B1813" s="6" t="s">
        <v>17</v>
      </c>
      <c r="C1813" s="20" t="s">
        <v>457</v>
      </c>
      <c r="D1813" s="20" t="s">
        <v>458</v>
      </c>
      <c r="E1813" s="20" t="s">
        <v>540</v>
      </c>
      <c r="F1813" s="20" t="s">
        <v>541</v>
      </c>
      <c r="G1813" s="20" t="s">
        <v>542</v>
      </c>
      <c r="H1813" s="20" t="s">
        <v>543</v>
      </c>
      <c r="I1813" s="20" t="s">
        <v>544</v>
      </c>
      <c r="J1813" s="20" t="s">
        <v>545</v>
      </c>
      <c r="K1813" s="20" t="s">
        <v>546</v>
      </c>
      <c r="L1813" s="20" t="s">
        <v>547</v>
      </c>
      <c r="M1813" s="20" t="s">
        <v>548</v>
      </c>
      <c r="N1813" s="20" t="s">
        <v>549</v>
      </c>
      <c r="O1813" s="20" t="s">
        <v>550</v>
      </c>
      <c r="P1813" s="6" t="s">
        <v>23</v>
      </c>
      <c r="R1813" s="20" t="n">
        <v>2023</v>
      </c>
      <c r="S1813" s="20" t="n">
        <v>2024</v>
      </c>
      <c r="T1813" s="20" t="n">
        <v>2025</v>
      </c>
      <c r="U1813" s="20" t="n">
        <v>2026</v>
      </c>
      <c r="V1813" s="20" t="n">
        <v>2027</v>
      </c>
      <c r="W1813" s="20" t="n">
        <v>2028</v>
      </c>
      <c r="X1813" s="20" t="n">
        <v>2029</v>
      </c>
      <c r="Y1813" s="20" t="n">
        <v>2030</v>
      </c>
      <c r="Z1813" s="20" t="n">
        <v>2031</v>
      </c>
      <c r="AA1813" s="20" t="n">
        <v>2032</v>
      </c>
    </row>
    <row r="1814" customFormat="false" ht="15" hidden="false" customHeight="false" outlineLevel="0" collapsed="false">
      <c r="A1814" s="5" t="s">
        <v>509</v>
      </c>
      <c r="B1814" s="0" t="s">
        <v>73</v>
      </c>
      <c r="C1814" s="38" t="n">
        <f aca="false">Sens!$C$1805</f>
        <v>59.248</v>
      </c>
      <c r="D1814" s="38" t="n">
        <f aca="false">Sens!$D$1805</f>
        <v>77.67</v>
      </c>
      <c r="E1814" s="38" t="n">
        <f aca="false">Sens!$E$1805</f>
        <v>92.902</v>
      </c>
      <c r="F1814" s="38" t="n">
        <f aca="false">Sens!$F$1805</f>
        <v>48.7668408673736</v>
      </c>
      <c r="G1814" s="38" t="n">
        <f aca="false">Sens!$G$1805</f>
        <v>141.668840867374</v>
      </c>
      <c r="H1814" s="38" t="n">
        <f aca="false">Sens!$H$1805</f>
        <v>105.771529705084</v>
      </c>
      <c r="I1814" s="38" t="n">
        <f aca="false">Sens!$I$1805</f>
        <v>120.954116940031</v>
      </c>
      <c r="J1814" s="38" t="n">
        <f aca="false">Sens!$J$1805</f>
        <v>134.22381080793</v>
      </c>
      <c r="K1814" s="38" t="n">
        <f aca="false">Sens!$K$1805</f>
        <v>148.115751284127</v>
      </c>
      <c r="L1814" s="38" t="n">
        <f aca="false">Sens!$L$1805</f>
        <v>161.499551270334</v>
      </c>
      <c r="M1814" s="38" t="n">
        <f aca="false">Sens!$M$1805</f>
        <v>177.509718989475</v>
      </c>
    </row>
    <row r="1815" customFormat="false" ht="17.15" hidden="false" customHeight="false" outlineLevel="0" collapsed="false">
      <c r="A1815" s="5" t="s">
        <v>730</v>
      </c>
      <c r="B1815" s="0" t="s">
        <v>73</v>
      </c>
      <c r="C1815" s="38" t="n">
        <f aca="false">Sens!$C$1793</f>
        <v>32.067</v>
      </c>
      <c r="D1815" s="38" t="n">
        <f aca="false">Sens!$D$1793</f>
        <v>41.86</v>
      </c>
      <c r="E1815" s="38" t="n">
        <f aca="false">Sens!$E$1793</f>
        <v>26.703</v>
      </c>
      <c r="F1815" s="38" t="n">
        <f aca="false">Sens!$F$1793</f>
        <v>31.3629294727834</v>
      </c>
      <c r="G1815" s="38" t="n">
        <f aca="false">Sens!$G$1793</f>
        <v>58.0659294727834</v>
      </c>
      <c r="H1815" s="38" t="n">
        <f aca="false">Sens!$H$1793</f>
        <v>93.1516408841727</v>
      </c>
      <c r="I1815" s="38" t="n">
        <f aca="false">Sens!$I$1793</f>
        <v>132.701497504495</v>
      </c>
      <c r="J1815" s="38" t="n">
        <f aca="false">Sens!$J$1793</f>
        <v>173.528804475425</v>
      </c>
      <c r="K1815" s="38" t="n">
        <f aca="false">Sens!$K$1793</f>
        <v>210.648216339013</v>
      </c>
      <c r="L1815" s="38" t="n">
        <f aca="false">Sens!$L$1793</f>
        <v>248.983156917804</v>
      </c>
      <c r="M1815" s="38" t="n">
        <f aca="false">Sens!$M$1793</f>
        <v>285.478468356653</v>
      </c>
    </row>
    <row r="1816" customFormat="false" ht="15" hidden="false" customHeight="false" outlineLevel="0" collapsed="false">
      <c r="A1816" s="5" t="s">
        <v>731</v>
      </c>
      <c r="B1816" s="0" t="s">
        <v>73</v>
      </c>
      <c r="C1816" s="38" t="n">
        <f aca="false">Q!$D$48</f>
        <v>22.011</v>
      </c>
      <c r="D1816" s="38" t="n">
        <f aca="false">Q!$E$48</f>
        <v>19.467</v>
      </c>
      <c r="E1816" s="38" t="n">
        <f aca="false">Q!$P$48</f>
        <v>10.07</v>
      </c>
      <c r="F1816" s="38" t="n">
        <f aca="false">sbc_r*Sens!$F$1737</f>
        <v>11.2170714500462</v>
      </c>
      <c r="G1816" s="38" t="n">
        <f aca="false">Sens!$E$1816+Sens!$F$1816</f>
        <v>21.2870714500462</v>
      </c>
      <c r="H1816" s="38" t="n">
        <f aca="false">sbc_r*Sens!$H$1737</f>
        <v>24.1772394325528</v>
      </c>
      <c r="I1816" s="38" t="n">
        <f aca="false">sbc_r*Sens!$I$1737</f>
        <v>27.6495284422397</v>
      </c>
      <c r="J1816" s="38" t="n">
        <f aca="false">sbc_r*Sens!$J$1737</f>
        <v>30.9042211184633</v>
      </c>
      <c r="K1816" s="38" t="n">
        <f aca="false">sbc_r*Sens!$K$1737</f>
        <v>33.8004145402678</v>
      </c>
      <c r="L1816" s="38" t="n">
        <f aca="false">sbc_r*Sens!$L$1737</f>
        <v>36.8322537652494</v>
      </c>
      <c r="M1816" s="38" t="n">
        <f aca="false">sbc_r*Sens!$M$1737</f>
        <v>40.0097627968013</v>
      </c>
    </row>
    <row r="1817" customFormat="false" ht="17.15" hidden="false" customHeight="false" outlineLevel="0" collapsed="false">
      <c r="A1817" s="5" t="s">
        <v>732</v>
      </c>
      <c r="B1817" s="0" t="s">
        <v>73</v>
      </c>
      <c r="C1817" s="38" t="n">
        <f aca="false">Q!$D$44-Sens!$C$1814-Sens!$C$1815-Sens!$C$1816</f>
        <v>2.551</v>
      </c>
      <c r="D1817" s="38" t="n">
        <f aca="false">Q!$E$44-Sens!$D$1814-Sens!$D$1815-Sens!$D$1816</f>
        <v>0.51700000000001</v>
      </c>
      <c r="E1817" s="38" t="n">
        <f aca="false">Q!$P$44-Sens!$E$1814-Sens!$E$1815-Sens!$E$1816</f>
        <v>-58.256</v>
      </c>
      <c r="F1817" s="38" t="n">
        <f aca="false">wc_2h26+oth_r*Sens!$F$1737</f>
        <v>7.34599241893378</v>
      </c>
      <c r="G1817" s="38" t="n">
        <f aca="false">Sens!$E$1817+Sens!$F$1817</f>
        <v>-50.9100075810662</v>
      </c>
      <c r="H1817" s="38" t="n">
        <f aca="false">oth_r*Sens!$H$1737</f>
        <v>11.6369707537667</v>
      </c>
      <c r="I1817" s="38" t="n">
        <f aca="false">oth_r*Sens!$I$1737</f>
        <v>13.3082502961262</v>
      </c>
      <c r="J1817" s="38" t="n">
        <f aca="false">oth_r*Sens!$J$1737</f>
        <v>14.8747965344332</v>
      </c>
      <c r="K1817" s="38" t="n">
        <f aca="false">oth_r*Sens!$K$1737</f>
        <v>16.2687901804328</v>
      </c>
      <c r="L1817" s="38" t="n">
        <f aca="false">oth_r*Sens!$L$1737</f>
        <v>17.7280727627002</v>
      </c>
      <c r="M1817" s="38" t="n">
        <f aca="false">oth_r*Sens!$M$1737</f>
        <v>19.2574690270319</v>
      </c>
      <c r="P1817" s="8" t="s">
        <v>733</v>
      </c>
    </row>
    <row r="1818" customFormat="false" ht="15" hidden="false" customHeight="false" outlineLevel="0" collapsed="false">
      <c r="A1818" s="3" t="s">
        <v>515</v>
      </c>
      <c r="B1818" s="8" t="s">
        <v>73</v>
      </c>
      <c r="C1818" s="38" t="n">
        <f aca="false">Q!$D$44</f>
        <v>115.877</v>
      </c>
      <c r="D1818" s="38" t="n">
        <f aca="false">Q!$E$44</f>
        <v>139.514</v>
      </c>
      <c r="E1818" s="38" t="n">
        <f aca="false">Q!$P$44</f>
        <v>71.419</v>
      </c>
      <c r="F1818" s="38" t="n">
        <f aca="false">Sens!$F$1814+Sens!$F$1815+Sens!$F$1816+Sens!$F$1817</f>
        <v>98.692834209137</v>
      </c>
      <c r="G1818" s="38" t="n">
        <f aca="false">Sens!$E$1818+Sens!$F$1818</f>
        <v>170.111834209137</v>
      </c>
      <c r="H1818" s="38" t="n">
        <f aca="false">Sens!$H$1814+Sens!$H$1815+Sens!$H$1816+Sens!$H$1817</f>
        <v>234.737380775577</v>
      </c>
      <c r="I1818" s="38" t="n">
        <f aca="false">Sens!$I$1814+Sens!$I$1815+Sens!$I$1816+Sens!$I$1817</f>
        <v>294.613393182891</v>
      </c>
      <c r="J1818" s="38" t="n">
        <f aca="false">Sens!$J$1814+Sens!$J$1815+Sens!$J$1816+Sens!$J$1817</f>
        <v>353.531632936251</v>
      </c>
      <c r="K1818" s="38" t="n">
        <f aca="false">Sens!$K$1814+Sens!$K$1815+Sens!$K$1816+Sens!$K$1817</f>
        <v>408.833172343841</v>
      </c>
      <c r="L1818" s="38" t="n">
        <f aca="false">Sens!$L$1814+Sens!$L$1815+Sens!$L$1816+Sens!$L$1817</f>
        <v>465.043034716087</v>
      </c>
      <c r="M1818" s="38" t="n">
        <f aca="false">Sens!$M$1814+Sens!$M$1815+Sens!$M$1816+Sens!$M$1817</f>
        <v>522.255419169962</v>
      </c>
    </row>
    <row r="1819" customFormat="false" ht="17.15" hidden="false" customHeight="false" outlineLevel="0" collapsed="false">
      <c r="A1819" s="5" t="s">
        <v>734</v>
      </c>
      <c r="B1819" s="0" t="s">
        <v>73</v>
      </c>
      <c r="C1819" s="38" t="n">
        <f aca="false">Sens!$C$1707</f>
        <v>25.2781053077374</v>
      </c>
      <c r="D1819" s="38" t="n">
        <f aca="false">Sens!$D$1707</f>
        <v>69.5686316310026</v>
      </c>
      <c r="E1819" s="38" t="n">
        <f aca="false">Sens!$E$1707</f>
        <v>64.1899206485108</v>
      </c>
      <c r="F1819" s="38" t="n">
        <f aca="false">Sens!$F$1707</f>
        <v>96.2481299895</v>
      </c>
      <c r="G1819" s="38" t="n">
        <f aca="false">Sens!$G$1707</f>
        <v>160.438050638011</v>
      </c>
      <c r="H1819" s="38" t="n">
        <f aca="false">Sens!$H$1707</f>
        <v>198.57136494475</v>
      </c>
      <c r="I1819" s="38" t="n">
        <f aca="false">Sens!$I$1707</f>
        <v>209.8832381105</v>
      </c>
      <c r="J1819" s="38" t="n">
        <f aca="false">Sens!$J$1707</f>
        <v>215.1200063105</v>
      </c>
      <c r="K1819" s="38" t="n">
        <f aca="false">Sens!$K$1707</f>
        <v>251.7773837105</v>
      </c>
      <c r="L1819" s="38" t="n">
        <f aca="false">Sens!$L$1707</f>
        <v>311.87584476575</v>
      </c>
      <c r="M1819" s="38" t="n">
        <f aca="false">Sens!$M$1707</f>
        <v>363.246358821</v>
      </c>
    </row>
    <row r="1820" customFormat="false" ht="17.15" hidden="false" customHeight="false" outlineLevel="0" collapsed="false">
      <c r="A1820" s="5" t="s">
        <v>735</v>
      </c>
      <c r="B1820" s="0" t="s">
        <v>73</v>
      </c>
      <c r="C1820" s="38" t="n">
        <f aca="false">cx_awso*Sens!$C$1735</f>
        <v>21.0469989286053</v>
      </c>
      <c r="D1820" s="38" t="n">
        <f aca="false">cx_awso*Sens!$D$1735</f>
        <v>24.0042459822698</v>
      </c>
      <c r="E1820" s="38" t="n">
        <f aca="false">cx_awso*Sens!$E$1735</f>
        <v>14.261729404886</v>
      </c>
      <c r="F1820" s="38" t="n">
        <f aca="false">cx_awso*Sens!$F$1735</f>
        <v>15.7190020837331</v>
      </c>
      <c r="G1820" s="38" t="n">
        <f aca="false">Sens!$E$1820+Sens!$F$1820</f>
        <v>29.9807314886191</v>
      </c>
      <c r="H1820" s="38" t="n">
        <f aca="false">cx_awso*Sens!$H$1735</f>
        <v>36.1787121536283</v>
      </c>
      <c r="I1820" s="38" t="n">
        <f aca="false">cx_awso*Sens!$I$1735</f>
        <v>42.1296794430021</v>
      </c>
      <c r="J1820" s="38" t="n">
        <f aca="false">cx_awso*Sens!$J$1735</f>
        <v>47.279781889299</v>
      </c>
      <c r="K1820" s="38" t="n">
        <f aca="false">cx_awso*Sens!$K$1735</f>
        <v>51.0621644404429</v>
      </c>
      <c r="L1820" s="38" t="n">
        <f aca="false">cx_awso*Sens!$L$1735</f>
        <v>55.1471375956783</v>
      </c>
      <c r="M1820" s="38" t="n">
        <f aca="false">cx_awso*Sens!$M$1735</f>
        <v>59.5589086033326</v>
      </c>
    </row>
    <row r="1821" customFormat="false" ht="17.15" hidden="false" customHeight="false" outlineLevel="0" collapsed="false">
      <c r="A1821" s="5" t="s">
        <v>736</v>
      </c>
      <c r="B1821" s="0" t="s">
        <v>73</v>
      </c>
      <c r="C1821" s="38" t="n">
        <f aca="false">Q!$D$46-Sens!$C$1819-Sens!$C$1820</f>
        <v>31.3328957636573</v>
      </c>
      <c r="D1821" s="38" t="n">
        <f aca="false">Q!$E$46-Sens!$D$1819-Sens!$D$1820</f>
        <v>34.7471223867276</v>
      </c>
      <c r="E1821" s="38" t="n">
        <f aca="false">Q!$P$46-Sens!$E$1819-Sens!$E$1820</f>
        <v>17.8583499466032</v>
      </c>
      <c r="F1821" s="38" t="n">
        <f aca="false">cx_rt*Sens!$F$1671</f>
        <v>21.0855744229195</v>
      </c>
      <c r="G1821" s="38" t="n">
        <f aca="false">Sens!$E$1821+Sens!$F$1821</f>
        <v>38.9439243695228</v>
      </c>
      <c r="H1821" s="38" t="n">
        <f aca="false">cx_rt*Sens!$H$1671</f>
        <v>43.1200434029767</v>
      </c>
      <c r="I1821" s="38" t="n">
        <f aca="false">cx_rt*Sens!$I$1671</f>
        <v>47.1583152318763</v>
      </c>
      <c r="J1821" s="38" t="n">
        <f aca="false">cx_rt*Sens!$J$1671</f>
        <v>50.9060281137911</v>
      </c>
      <c r="K1821" s="38" t="n">
        <f aca="false">cx_rt*Sens!$K$1671</f>
        <v>54.2035645673053</v>
      </c>
      <c r="L1821" s="38" t="n">
        <f aca="false">cx_rt*Sens!$L$1671</f>
        <v>57.7318979121519</v>
      </c>
      <c r="M1821" s="38" t="n">
        <f aca="false">cx_rt*Sens!$M$1671</f>
        <v>61.5084196557756</v>
      </c>
    </row>
    <row r="1822" customFormat="false" ht="15" hidden="false" customHeight="false" outlineLevel="0" collapsed="false">
      <c r="A1822" s="3" t="s">
        <v>737</v>
      </c>
      <c r="B1822" s="8" t="s">
        <v>73</v>
      </c>
      <c r="C1822" s="38" t="n">
        <f aca="false">Q!$D$46</f>
        <v>77.658</v>
      </c>
      <c r="D1822" s="38" t="n">
        <f aca="false">Q!$E$46</f>
        <v>128.32</v>
      </c>
      <c r="E1822" s="38" t="n">
        <f aca="false">Q!$P$46</f>
        <v>96.31</v>
      </c>
      <c r="F1822" s="38" t="n">
        <f aca="false">Sens!$F$1819+Sens!$F$1820+Sens!$F$1821</f>
        <v>133.052706496153</v>
      </c>
      <c r="G1822" s="38" t="n">
        <f aca="false">Sens!$E$1822+Sens!$F$1822</f>
        <v>229.362706496153</v>
      </c>
      <c r="H1822" s="38" t="n">
        <f aca="false">Sens!$H$1819+Sens!$H$1820+Sens!$H$1821</f>
        <v>277.870120501355</v>
      </c>
      <c r="I1822" s="38" t="n">
        <f aca="false">Sens!$I$1819+Sens!$I$1820+Sens!$I$1821</f>
        <v>299.171232785378</v>
      </c>
      <c r="J1822" s="38" t="n">
        <f aca="false">Sens!$J$1819+Sens!$J$1820+Sens!$J$1821</f>
        <v>313.30581631359</v>
      </c>
      <c r="K1822" s="38" t="n">
        <f aca="false">Sens!$K$1819+Sens!$K$1820+Sens!$K$1821</f>
        <v>357.043112718248</v>
      </c>
      <c r="L1822" s="38" t="n">
        <f aca="false">Sens!$L$1819+Sens!$L$1820+Sens!$L$1821</f>
        <v>424.75488027358</v>
      </c>
      <c r="M1822" s="38" t="n">
        <f aca="false">Sens!$M$1819+Sens!$M$1820+Sens!$M$1821</f>
        <v>484.313687080108</v>
      </c>
    </row>
    <row r="1823" customFormat="false" ht="17.15" hidden="false" customHeight="false" outlineLevel="0" collapsed="false">
      <c r="A1823" s="5" t="s">
        <v>523</v>
      </c>
      <c r="B1823" s="0" t="s">
        <v>73</v>
      </c>
      <c r="C1823" s="38" t="n">
        <f aca="false">Q!$D$50</f>
        <v>2.043</v>
      </c>
      <c r="D1823" s="38" t="n">
        <f aca="false">Q!$E$50</f>
        <v>1.557</v>
      </c>
      <c r="E1823" s="38" t="n">
        <f aca="false">lease_pr/2</f>
        <v>0.8</v>
      </c>
      <c r="F1823" s="38" t="n">
        <f aca="false">lease_pr/2</f>
        <v>0.8</v>
      </c>
      <c r="G1823" s="38" t="n">
        <f aca="false">Sens!$E$1823+Sens!$F$1823</f>
        <v>1.6</v>
      </c>
      <c r="H1823" s="38" t="n">
        <f aca="false">lease_pr</f>
        <v>1.6</v>
      </c>
      <c r="I1823" s="38" t="n">
        <f aca="false">lease_pr</f>
        <v>1.6</v>
      </c>
      <c r="J1823" s="38" t="n">
        <f aca="false">lease_pr</f>
        <v>1.6</v>
      </c>
      <c r="K1823" s="38" t="n">
        <f aca="false">lease_pr</f>
        <v>1.6</v>
      </c>
      <c r="L1823" s="38" t="n">
        <f aca="false">lease_pr</f>
        <v>1.6</v>
      </c>
      <c r="M1823" s="38" t="n">
        <f aca="false">lease_pr</f>
        <v>1.6</v>
      </c>
      <c r="P1823" s="8" t="s">
        <v>738</v>
      </c>
    </row>
    <row r="1824" customFormat="false" ht="15" hidden="false" customHeight="false" outlineLevel="0" collapsed="false">
      <c r="A1824" s="46" t="s">
        <v>739</v>
      </c>
      <c r="B1824" s="13" t="s">
        <v>73</v>
      </c>
      <c r="C1824" s="47" t="n">
        <f aca="false">Sens!$C$1818-Sens!$C$1822-Sens!$C$1823</f>
        <v>36.176</v>
      </c>
      <c r="D1824" s="47" t="n">
        <f aca="false">Sens!$D$1818-Sens!$D$1822-Sens!$D$1823</f>
        <v>9.63700000000002</v>
      </c>
      <c r="E1824" s="47" t="n">
        <f aca="false">Sens!$E$1818-Sens!$E$1822-Sens!$E$1823</f>
        <v>-25.691</v>
      </c>
      <c r="F1824" s="47" t="n">
        <f aca="false">Sens!$F$1818-Sens!$F$1822-Sens!$F$1823</f>
        <v>-35.1598722870156</v>
      </c>
      <c r="G1824" s="47" t="n">
        <f aca="false">Sens!$G$1818-Sens!$G$1822-Sens!$G$1823</f>
        <v>-60.8508722870156</v>
      </c>
      <c r="H1824" s="47" t="n">
        <f aca="false">Sens!$H$1818-Sens!$H$1822-Sens!$H$1823</f>
        <v>-44.7327397257785</v>
      </c>
      <c r="I1824" s="47" t="n">
        <f aca="false">Sens!$I$1818-Sens!$I$1822-Sens!$I$1823</f>
        <v>-6.15783960248715</v>
      </c>
      <c r="J1824" s="47" t="n">
        <f aca="false">Sens!$J$1818-Sens!$J$1822-Sens!$J$1823</f>
        <v>38.6258166226608</v>
      </c>
      <c r="K1824" s="47" t="n">
        <f aca="false">Sens!$K$1818-Sens!$K$1822-Sens!$K$1823</f>
        <v>50.1900596255929</v>
      </c>
      <c r="L1824" s="47" t="n">
        <f aca="false">Sens!$L$1818-Sens!$L$1822-Sens!$L$1823</f>
        <v>38.6881544425071</v>
      </c>
      <c r="M1824" s="47" t="n">
        <f aca="false">Sens!$M$1818-Sens!$M$1822-Sens!$M$1823</f>
        <v>36.3417320898534</v>
      </c>
      <c r="N1824" s="13"/>
      <c r="O1824" s="13"/>
    </row>
    <row r="1825" customFormat="false" ht="17.15" hidden="false" customHeight="false" outlineLevel="0" collapsed="false">
      <c r="A1825" s="5" t="s">
        <v>740</v>
      </c>
      <c r="B1825" s="0" t="s">
        <v>73</v>
      </c>
      <c r="C1825" s="38" t="n">
        <f aca="false">dps*Sens!$C$1806</f>
        <v>0</v>
      </c>
      <c r="D1825" s="38" t="n">
        <f aca="false">dps*Sens!$D$1806</f>
        <v>0</v>
      </c>
      <c r="E1825" s="38" t="n">
        <f aca="false">dps*Sens!$E$1806</f>
        <v>0</v>
      </c>
      <c r="F1825" s="38" t="n">
        <f aca="false">0</f>
        <v>0</v>
      </c>
      <c r="G1825" s="38" t="n">
        <f aca="false">dps*Sens!$G$1806</f>
        <v>0</v>
      </c>
      <c r="H1825" s="38" t="n">
        <f aca="false">dps*Sens!$H$1806</f>
        <v>0</v>
      </c>
      <c r="I1825" s="38" t="n">
        <f aca="false">dps*Sens!$I$1806</f>
        <v>0</v>
      </c>
      <c r="J1825" s="38" t="n">
        <f aca="false">dps*Sens!$J$1806</f>
        <v>0</v>
      </c>
      <c r="K1825" s="38" t="n">
        <f aca="false">dps*Sens!$K$1806</f>
        <v>0</v>
      </c>
      <c r="L1825" s="38" t="n">
        <f aca="false">dps*Sens!$L$1806</f>
        <v>0</v>
      </c>
      <c r="M1825" s="38" t="n">
        <f aca="false">dps*Sens!$M$1806</f>
        <v>0</v>
      </c>
      <c r="P1825" s="8" t="s">
        <v>741</v>
      </c>
    </row>
    <row r="1826" customFormat="false" ht="17.15" hidden="false" customHeight="false" outlineLevel="0" collapsed="false">
      <c r="A1826" s="5" t="s">
        <v>742</v>
      </c>
      <c r="B1826" s="0" t="s">
        <v>73</v>
      </c>
      <c r="C1826" s="38" t="n">
        <f aca="false">0</f>
        <v>0</v>
      </c>
      <c r="D1826" s="38" t="n">
        <f aca="false">0</f>
        <v>0</v>
      </c>
      <c r="E1826" s="38" t="n">
        <f aca="false">0</f>
        <v>0</v>
      </c>
      <c r="F1826" s="38" t="n">
        <f aca="false">0</f>
        <v>0</v>
      </c>
      <c r="G1826" s="38" t="n">
        <f aca="false">0</f>
        <v>0</v>
      </c>
      <c r="H1826" s="38" t="n">
        <f aca="false">0</f>
        <v>0</v>
      </c>
      <c r="I1826" s="38" t="n">
        <f aca="false">0</f>
        <v>0</v>
      </c>
      <c r="J1826" s="38" t="n">
        <f aca="false">0</f>
        <v>0</v>
      </c>
      <c r="K1826" s="38" t="n">
        <f aca="false">0</f>
        <v>0</v>
      </c>
      <c r="L1826" s="38" t="n">
        <f aca="false">0</f>
        <v>0</v>
      </c>
      <c r="M1826" s="38" t="n">
        <f aca="false">0</f>
        <v>0</v>
      </c>
      <c r="P1826" s="8" t="s">
        <v>743</v>
      </c>
    </row>
    <row r="1827" customFormat="false" ht="15" hidden="false" customHeight="false" outlineLevel="0" collapsed="false">
      <c r="A1827" s="3" t="s">
        <v>744</v>
      </c>
      <c r="B1827" s="8" t="s">
        <v>73</v>
      </c>
      <c r="C1827" s="38" t="n">
        <f aca="false">Sens!$C$1824-Sens!$C$1825</f>
        <v>36.176</v>
      </c>
      <c r="D1827" s="38" t="n">
        <f aca="false">Sens!$D$1824-Sens!$D$1825</f>
        <v>9.63700000000002</v>
      </c>
      <c r="E1827" s="38" t="n">
        <f aca="false">Sens!$E$1824-Sens!$E$1825</f>
        <v>-25.691</v>
      </c>
      <c r="F1827" s="38" t="n">
        <f aca="false">Sens!$F$1824-Sens!$F$1825</f>
        <v>-35.1598722870156</v>
      </c>
      <c r="G1827" s="38" t="n">
        <f aca="false">Sens!$G$1824-Sens!$G$1825</f>
        <v>-60.8508722870156</v>
      </c>
      <c r="H1827" s="38" t="n">
        <f aca="false">Sens!$H$1824-Sens!$H$1825</f>
        <v>-44.7327397257785</v>
      </c>
      <c r="I1827" s="38" t="n">
        <f aca="false">Sens!$I$1824-Sens!$I$1825</f>
        <v>-6.15783960248715</v>
      </c>
      <c r="J1827" s="38" t="n">
        <f aca="false">Sens!$J$1824-Sens!$J$1825</f>
        <v>38.6258166226608</v>
      </c>
      <c r="K1827" s="38" t="n">
        <f aca="false">Sens!$K$1824-Sens!$K$1825</f>
        <v>50.1900596255929</v>
      </c>
      <c r="L1827" s="38" t="n">
        <f aca="false">Sens!$L$1824-Sens!$L$1825</f>
        <v>38.6881544425071</v>
      </c>
      <c r="M1827" s="38" t="n">
        <f aca="false">Sens!$M$1824-Sens!$M$1825</f>
        <v>36.3417320898534</v>
      </c>
    </row>
    <row r="1828" customFormat="false" ht="17.15" hidden="false" customHeight="false" outlineLevel="0" collapsed="false">
      <c r="A1828" s="5" t="s">
        <v>745</v>
      </c>
      <c r="B1828" s="0" t="s">
        <v>73</v>
      </c>
      <c r="E1828" s="38" t="n">
        <f aca="false">Q!$P$53</f>
        <v>39.767</v>
      </c>
      <c r="F1828" s="38" t="n">
        <f aca="false">inv_2h26</f>
        <v>21.3</v>
      </c>
      <c r="G1828" s="38" t="n">
        <f aca="false">Sens!$E$1828+Sens!$F$1828</f>
        <v>61.067</v>
      </c>
      <c r="H1828" s="41" t="n">
        <v>0</v>
      </c>
      <c r="I1828" s="41" t="n">
        <v>0</v>
      </c>
      <c r="J1828" s="41" t="n">
        <v>0</v>
      </c>
      <c r="K1828" s="41" t="n">
        <v>0</v>
      </c>
      <c r="L1828" s="41" t="n">
        <v>0</v>
      </c>
      <c r="M1828" s="41" t="n">
        <v>0</v>
      </c>
    </row>
    <row r="1829" customFormat="false" ht="17.15" hidden="false" customHeight="false" outlineLevel="0" collapsed="false">
      <c r="A1829" s="5" t="s">
        <v>746</v>
      </c>
      <c r="B1829" s="0" t="s">
        <v>73</v>
      </c>
      <c r="F1829" s="38" t="n">
        <f aca="false">iss_2h26</f>
        <v>29.25</v>
      </c>
      <c r="G1829" s="38" t="n">
        <f aca="false">Sens!$F$1829</f>
        <v>29.25</v>
      </c>
      <c r="H1829" s="41" t="n">
        <v>0</v>
      </c>
      <c r="I1829" s="41" t="n">
        <v>0</v>
      </c>
      <c r="J1829" s="41" t="n">
        <v>0</v>
      </c>
      <c r="K1829" s="41" t="n">
        <v>0</v>
      </c>
      <c r="L1829" s="41" t="n">
        <v>0</v>
      </c>
      <c r="M1829" s="41" t="n">
        <v>0</v>
      </c>
    </row>
    <row r="1830" customFormat="false" ht="17.15" hidden="false" customHeight="false" outlineLevel="0" collapsed="false">
      <c r="A1830" s="5" t="s">
        <v>747</v>
      </c>
      <c r="B1830" s="0" t="s">
        <v>73</v>
      </c>
      <c r="F1830" s="38" t="n">
        <f aca="false">cash_q2</f>
        <v>122.988</v>
      </c>
      <c r="G1830" s="38" t="n">
        <f aca="false">cash_q2</f>
        <v>122.988</v>
      </c>
      <c r="H1830" s="38" t="n">
        <f aca="false">Sens!$G$1833</f>
        <v>95.7781277129844</v>
      </c>
      <c r="I1830" s="38" t="n">
        <f aca="false">Sens!$H$1833</f>
        <v>51.045387987206</v>
      </c>
      <c r="J1830" s="38" t="n">
        <f aca="false">Sens!$I$1833</f>
        <v>50</v>
      </c>
      <c r="K1830" s="38" t="n">
        <f aca="false">Sens!$J$1833</f>
        <v>88.6258166226608</v>
      </c>
      <c r="L1830" s="38" t="n">
        <f aca="false">Sens!$K$1833</f>
        <v>138.815876248254</v>
      </c>
      <c r="M1830" s="38" t="n">
        <f aca="false">Sens!$L$1833</f>
        <v>177.504030690761</v>
      </c>
    </row>
    <row r="1831" customFormat="false" ht="15" hidden="false" customHeight="false" outlineLevel="0" collapsed="false">
      <c r="A1831" s="5" t="s">
        <v>748</v>
      </c>
      <c r="B1831" s="0" t="s">
        <v>73</v>
      </c>
      <c r="F1831" s="38" t="n">
        <f aca="false">Sens!$F$1830+Sens!$F$1827-Sens!$F$1826-Sens!$F$1828+Sens!$F$1829</f>
        <v>95.7781277129844</v>
      </c>
      <c r="H1831" s="38" t="n">
        <f aca="false">Sens!$H$1830+Sens!$H$1827-Sens!$H$1826-Sens!$H$1828+Sens!$H$1829</f>
        <v>51.045387987206</v>
      </c>
      <c r="I1831" s="38" t="n">
        <f aca="false">Sens!$I$1830+Sens!$I$1827-Sens!$I$1826-Sens!$I$1828+Sens!$I$1829</f>
        <v>44.8875483847188</v>
      </c>
      <c r="J1831" s="38" t="n">
        <f aca="false">Sens!$J$1830+Sens!$J$1827-Sens!$J$1826-Sens!$J$1828+Sens!$J$1829</f>
        <v>88.6258166226608</v>
      </c>
      <c r="K1831" s="38" t="n">
        <f aca="false">Sens!$K$1830+Sens!$K$1827-Sens!$K$1826-Sens!$K$1828+Sens!$K$1829</f>
        <v>138.815876248254</v>
      </c>
      <c r="L1831" s="38" t="n">
        <f aca="false">Sens!$L$1830+Sens!$L$1827-Sens!$L$1826-Sens!$L$1828+Sens!$L$1829</f>
        <v>177.504030690761</v>
      </c>
      <c r="M1831" s="38" t="n">
        <f aca="false">Sens!$M$1830+Sens!$M$1827-Sens!$M$1826-Sens!$M$1828+Sens!$M$1829</f>
        <v>213.845762780614</v>
      </c>
    </row>
    <row r="1832" customFormat="false" ht="17.15" hidden="false" customHeight="false" outlineLevel="0" collapsed="false">
      <c r="A1832" s="5" t="s">
        <v>749</v>
      </c>
      <c r="B1832" s="0" t="s">
        <v>73</v>
      </c>
      <c r="F1832" s="38" t="n">
        <f aca="false">MAX(0,min_cash-Sens!$F$1831)</f>
        <v>0</v>
      </c>
      <c r="G1832" s="38" t="n">
        <f aca="false">Sens!$F$1832</f>
        <v>0</v>
      </c>
      <c r="H1832" s="38" t="n">
        <f aca="false">MAX(0,min_cash-Sens!$H$1831)</f>
        <v>0</v>
      </c>
      <c r="I1832" s="38" t="n">
        <f aca="false">MAX(0,min_cash-Sens!$I$1831)</f>
        <v>5.11245161528117</v>
      </c>
      <c r="J1832" s="38" t="n">
        <f aca="false">MAX(0,min_cash-Sens!$J$1831)</f>
        <v>0</v>
      </c>
      <c r="K1832" s="38" t="n">
        <f aca="false">MAX(0,min_cash-Sens!$K$1831)</f>
        <v>0</v>
      </c>
      <c r="L1832" s="38" t="n">
        <f aca="false">MAX(0,min_cash-Sens!$L$1831)</f>
        <v>0</v>
      </c>
      <c r="M1832" s="38" t="n">
        <f aca="false">MAX(0,min_cash-Sens!$M$1831)</f>
        <v>0</v>
      </c>
      <c r="P1832" s="5" t="s">
        <v>750</v>
      </c>
    </row>
    <row r="1833" customFormat="false" ht="15" hidden="false" customHeight="false" outlineLevel="0" collapsed="false">
      <c r="A1833" s="5" t="s">
        <v>751</v>
      </c>
      <c r="B1833" s="0" t="s">
        <v>73</v>
      </c>
      <c r="D1833" s="38" t="n">
        <f aca="false">Q!$E$61</f>
        <v>123.029</v>
      </c>
      <c r="E1833" s="38" t="n">
        <f aca="false">Q!$M$61</f>
        <v>122.988</v>
      </c>
      <c r="F1833" s="38" t="n">
        <f aca="false">Sens!$F$1831+Sens!$F$1832</f>
        <v>95.7781277129844</v>
      </c>
      <c r="G1833" s="38" t="n">
        <f aca="false">Sens!$F$1833</f>
        <v>95.7781277129844</v>
      </c>
      <c r="H1833" s="38" t="n">
        <f aca="false">Sens!$H$1831+Sens!$H$1832</f>
        <v>51.045387987206</v>
      </c>
      <c r="I1833" s="38" t="n">
        <f aca="false">Sens!$I$1831+Sens!$I$1832</f>
        <v>50</v>
      </c>
      <c r="J1833" s="38" t="n">
        <f aca="false">Sens!$J$1831+Sens!$J$1832</f>
        <v>88.6258166226608</v>
      </c>
      <c r="K1833" s="38" t="n">
        <f aca="false">Sens!$K$1831+Sens!$K$1832</f>
        <v>138.815876248254</v>
      </c>
      <c r="L1833" s="38" t="n">
        <f aca="false">Sens!$L$1831+Sens!$L$1832</f>
        <v>177.504030690761</v>
      </c>
      <c r="M1833" s="38" t="n">
        <f aca="false">Sens!$M$1831+Sens!$M$1832</f>
        <v>213.845762780614</v>
      </c>
    </row>
    <row r="1834" customFormat="false" ht="15" hidden="false" customHeight="false" outlineLevel="0" collapsed="false">
      <c r="A1834" s="5" t="s">
        <v>752</v>
      </c>
      <c r="B1834" s="0" t="s">
        <v>73</v>
      </c>
      <c r="D1834" s="38" t="n">
        <f aca="false">Q!$E$62</f>
        <v>68.836</v>
      </c>
      <c r="E1834" s="38" t="n">
        <f aca="false">Q!$M$62</f>
        <v>132.995</v>
      </c>
      <c r="F1834" s="38" t="n">
        <f aca="false">debt_q2+Sens!$F$1829+Sens!$F$1832</f>
        <v>162.245</v>
      </c>
      <c r="G1834" s="38" t="n">
        <f aca="false">Sens!$F$1834</f>
        <v>162.245</v>
      </c>
      <c r="H1834" s="38" t="n">
        <f aca="false">Sens!$G$1834+Sens!$H$1832</f>
        <v>162.245</v>
      </c>
      <c r="I1834" s="38" t="n">
        <f aca="false">Sens!$H$1834+Sens!$I$1832</f>
        <v>167.357451615281</v>
      </c>
      <c r="J1834" s="38" t="n">
        <f aca="false">Sens!$I$1834+Sens!$J$1832</f>
        <v>167.357451615281</v>
      </c>
      <c r="K1834" s="38" t="n">
        <f aca="false">Sens!$J$1834+Sens!$K$1832</f>
        <v>167.357451615281</v>
      </c>
      <c r="L1834" s="38" t="n">
        <f aca="false">Sens!$K$1834+Sens!$L$1832</f>
        <v>167.357451615281</v>
      </c>
      <c r="M1834" s="38" t="n">
        <f aca="false">Sens!$L$1834+Sens!$M$1832</f>
        <v>167.357451615281</v>
      </c>
    </row>
    <row r="1835" customFormat="false" ht="15" hidden="false" customHeight="false" outlineLevel="0" collapsed="false">
      <c r="A1835" s="5" t="s">
        <v>753</v>
      </c>
      <c r="B1835" s="0" t="s">
        <v>73</v>
      </c>
      <c r="D1835" s="38" t="n">
        <f aca="false">Sens!$D$1834-Sens!$D$1833</f>
        <v>-54.193</v>
      </c>
      <c r="E1835" s="38" t="n">
        <f aca="false">Sens!$E$1834-Sens!$E$1833</f>
        <v>10.007</v>
      </c>
      <c r="F1835" s="38" t="n">
        <f aca="false">Sens!$F$1834-Sens!$F$1833</f>
        <v>66.4668722870156</v>
      </c>
      <c r="G1835" s="38" t="n">
        <f aca="false">Sens!$G$1834-Sens!$G$1833</f>
        <v>66.4668722870156</v>
      </c>
      <c r="H1835" s="38" t="n">
        <f aca="false">Sens!$H$1834-Sens!$H$1833</f>
        <v>111.199612012794</v>
      </c>
      <c r="I1835" s="38" t="n">
        <f aca="false">Sens!$I$1834-Sens!$I$1833</f>
        <v>117.357451615281</v>
      </c>
      <c r="J1835" s="38" t="n">
        <f aca="false">Sens!$J$1834-Sens!$J$1833</f>
        <v>78.7316349926203</v>
      </c>
      <c r="K1835" s="38" t="n">
        <f aca="false">Sens!$K$1834-Sens!$K$1833</f>
        <v>28.5415753670274</v>
      </c>
      <c r="L1835" s="38" t="n">
        <f aca="false">Sens!$L$1834-Sens!$L$1833</f>
        <v>-10.1465790754796</v>
      </c>
      <c r="M1835" s="38" t="n">
        <f aca="false">Sens!$M$1834-Sens!$M$1833</f>
        <v>-46.488311165333</v>
      </c>
    </row>
    <row r="1836" customFormat="false" ht="17.15" hidden="false" customHeight="false" outlineLevel="0" collapsed="false">
      <c r="A1836" s="5" t="s">
        <v>754</v>
      </c>
      <c r="B1836" s="0" t="s">
        <v>73</v>
      </c>
      <c r="F1836" s="38" t="n">
        <f aca="false">debt_q2*kd_book*0.5+iss_2h26*kd_new*0.25</f>
        <v>3.24888964316061</v>
      </c>
      <c r="H1836" s="38" t="n">
        <f aca="false">debt_q2*kd_book+(Sens!$G$1834-debt_q2)*kd_new</f>
        <v>7.42354178632123</v>
      </c>
      <c r="I1836" s="38" t="n">
        <f aca="false">debt_q2*kd_book+(Sens!$H$1834-debt_q2)*kd_new</f>
        <v>7.42354178632123</v>
      </c>
      <c r="J1836" s="38" t="n">
        <f aca="false">debt_q2*kd_book+(Sens!$I$1834-debt_q2)*kd_new</f>
        <v>7.74715997356853</v>
      </c>
      <c r="K1836" s="38" t="n">
        <f aca="false">debt_q2*kd_book+(Sens!$J$1834-debt_q2)*kd_new</f>
        <v>7.74715997356853</v>
      </c>
      <c r="L1836" s="38" t="n">
        <f aca="false">debt_q2*kd_book+(Sens!$K$1834-debt_q2)*kd_new</f>
        <v>7.74715997356853</v>
      </c>
      <c r="M1836" s="38" t="n">
        <f aca="false">debt_q2*kd_book+(Sens!$L$1834-debt_q2)*kd_new</f>
        <v>7.74715997356853</v>
      </c>
    </row>
    <row r="1837" customFormat="false" ht="17.15" hidden="false" customHeight="false" outlineLevel="0" collapsed="false">
      <c r="A1837" s="5" t="s">
        <v>755</v>
      </c>
      <c r="B1837" s="0" t="s">
        <v>73</v>
      </c>
      <c r="F1837" s="38" t="n">
        <f aca="false">cash_q2*y_cash*0.5</f>
        <v>2.59</v>
      </c>
      <c r="H1837" s="38" t="n">
        <f aca="false">Sens!$G$1833*y_cash</f>
        <v>4.03397649814014</v>
      </c>
      <c r="I1837" s="38" t="n">
        <f aca="false">Sens!$H$1833*y_cash</f>
        <v>2.14992608851048</v>
      </c>
      <c r="J1837" s="38" t="n">
        <f aca="false">Sens!$I$1833*y_cash</f>
        <v>2.10589651022864</v>
      </c>
      <c r="K1837" s="38" t="n">
        <f aca="false">Sens!$J$1833*y_cash</f>
        <v>3.7327359588365</v>
      </c>
      <c r="L1837" s="38" t="n">
        <f aca="false">Sens!$K$1833*y_cash</f>
        <v>5.84663738711057</v>
      </c>
      <c r="M1837" s="38" t="n">
        <f aca="false">Sens!$L$1833*y_cash</f>
        <v>7.47610237566381</v>
      </c>
    </row>
    <row r="1838" customFormat="false" ht="17.15" hidden="false" customHeight="false" outlineLevel="0" collapsed="false">
      <c r="A1838" s="46" t="s">
        <v>756</v>
      </c>
      <c r="B1838" s="13" t="s">
        <v>73</v>
      </c>
      <c r="C1838" s="13"/>
      <c r="D1838" s="13"/>
      <c r="E1838" s="13"/>
      <c r="F1838" s="13"/>
      <c r="G1838" s="47" t="n">
        <f aca="false">SUM(Sens!$G$1827:$K$1827)</f>
        <v>-22.9255753670275</v>
      </c>
      <c r="H1838" s="13"/>
      <c r="I1838" s="13"/>
      <c r="J1838" s="13"/>
      <c r="K1838" s="13"/>
      <c r="L1838" s="13"/>
      <c r="M1838" s="13"/>
      <c r="N1838" s="13"/>
      <c r="O1838" s="13"/>
    </row>
    <row r="1839" customFormat="false" ht="17.15" hidden="false" customHeight="false" outlineLevel="0" collapsed="false">
      <c r="A1839" s="0" t="s">
        <v>723</v>
      </c>
      <c r="B1839" s="0" t="s">
        <v>73</v>
      </c>
      <c r="G1839" s="38" t="n">
        <f aca="false">SUM(Sens!$G$1832:$K$1832)</f>
        <v>5.11245161528117</v>
      </c>
    </row>
    <row r="1842" customFormat="false" ht="19.4" hidden="false" customHeight="false" outlineLevel="0" collapsed="false">
      <c r="A1842" s="31" t="s">
        <v>1082</v>
      </c>
    </row>
    <row r="1843" customFormat="false" ht="17.15" hidden="false" customHeight="false" outlineLevel="0" collapsed="false">
      <c r="A1843" s="6" t="s">
        <v>16</v>
      </c>
      <c r="B1843" s="6" t="s">
        <v>17</v>
      </c>
      <c r="C1843" s="20" t="s">
        <v>457</v>
      </c>
      <c r="D1843" s="20" t="s">
        <v>458</v>
      </c>
      <c r="E1843" s="20" t="s">
        <v>540</v>
      </c>
      <c r="F1843" s="20" t="s">
        <v>541</v>
      </c>
      <c r="G1843" s="20" t="s">
        <v>542</v>
      </c>
      <c r="H1843" s="20" t="s">
        <v>543</v>
      </c>
      <c r="I1843" s="20" t="s">
        <v>544</v>
      </c>
      <c r="J1843" s="20" t="s">
        <v>545</v>
      </c>
      <c r="K1843" s="20" t="s">
        <v>546</v>
      </c>
      <c r="L1843" s="20" t="s">
        <v>547</v>
      </c>
      <c r="M1843" s="20" t="s">
        <v>548</v>
      </c>
      <c r="N1843" s="20" t="s">
        <v>549</v>
      </c>
      <c r="O1843" s="20" t="s">
        <v>550</v>
      </c>
      <c r="P1843" s="6" t="s">
        <v>23</v>
      </c>
      <c r="R1843" s="20" t="n">
        <v>2023</v>
      </c>
      <c r="S1843" s="20" t="n">
        <v>2024</v>
      </c>
      <c r="T1843" s="20" t="n">
        <v>2025</v>
      </c>
      <c r="U1843" s="20" t="n">
        <v>2026</v>
      </c>
      <c r="V1843" s="20" t="n">
        <v>2027</v>
      </c>
      <c r="W1843" s="20" t="n">
        <v>2028</v>
      </c>
      <c r="X1843" s="20" t="n">
        <v>2029</v>
      </c>
      <c r="Y1843" s="20" t="n">
        <v>2030</v>
      </c>
      <c r="Z1843" s="20" t="n">
        <v>2031</v>
      </c>
      <c r="AA1843" s="20" t="n">
        <v>2032</v>
      </c>
    </row>
    <row r="1844" customFormat="false" ht="17.15" hidden="false" customHeight="false" outlineLevel="0" collapsed="false">
      <c r="A1844" s="1" t="s">
        <v>851</v>
      </c>
    </row>
    <row r="1845" customFormat="false" ht="17.15" hidden="false" customHeight="false" outlineLevel="0" collapsed="false">
      <c r="A1845" s="0" t="s">
        <v>852</v>
      </c>
      <c r="B1845" s="0" t="s">
        <v>73</v>
      </c>
      <c r="H1845" s="38" t="n">
        <f aca="false">Sens!$H$1781*(1-tax)</f>
        <v>108.572718907266</v>
      </c>
      <c r="I1845" s="38" t="n">
        <f aca="false">Sens!$I$1781*(1-tax)</f>
        <v>125.312314553356</v>
      </c>
      <c r="J1845" s="38" t="n">
        <f aca="false">Sens!$J$1781*(1-tax)</f>
        <v>138.885838223441</v>
      </c>
      <c r="K1845" s="38" t="n">
        <f aca="false">Sens!$K$1781*(1-tax)</f>
        <v>151.433333406606</v>
      </c>
      <c r="L1845" s="38" t="n">
        <f aca="false">Sens!$L$1781*(1-tax)</f>
        <v>163.070172543289</v>
      </c>
      <c r="M1845" s="38" t="n">
        <f aca="false">Sens!$M$1781*(1-tax)</f>
        <v>177.733725182561</v>
      </c>
    </row>
    <row r="1846" customFormat="false" ht="15" hidden="false" customHeight="false" outlineLevel="0" collapsed="false">
      <c r="A1846" s="5" t="s">
        <v>853</v>
      </c>
      <c r="B1846" s="0" t="s">
        <v>73</v>
      </c>
      <c r="H1846" s="38" t="n">
        <f aca="false">Sens!$H$1793</f>
        <v>93.1516408841727</v>
      </c>
      <c r="I1846" s="38" t="n">
        <f aca="false">Sens!$I$1793</f>
        <v>132.701497504495</v>
      </c>
      <c r="J1846" s="38" t="n">
        <f aca="false">Sens!$J$1793</f>
        <v>173.528804475425</v>
      </c>
      <c r="K1846" s="38" t="n">
        <f aca="false">Sens!$K$1793</f>
        <v>210.648216339013</v>
      </c>
      <c r="L1846" s="38" t="n">
        <f aca="false">Sens!$L$1793</f>
        <v>248.983156917804</v>
      </c>
      <c r="M1846" s="38" t="n">
        <f aca="false">Sens!$M$1793</f>
        <v>285.478468356653</v>
      </c>
    </row>
    <row r="1847" customFormat="false" ht="15" hidden="false" customHeight="false" outlineLevel="0" collapsed="false">
      <c r="A1847" s="5" t="s">
        <v>854</v>
      </c>
      <c r="B1847" s="0" t="s">
        <v>73</v>
      </c>
      <c r="H1847" s="38" t="n">
        <f aca="false">Sens!$H$1822</f>
        <v>277.870120501355</v>
      </c>
      <c r="I1847" s="38" t="n">
        <f aca="false">Sens!$I$1822</f>
        <v>299.171232785378</v>
      </c>
      <c r="J1847" s="38" t="n">
        <f aca="false">Sens!$J$1822</f>
        <v>313.30581631359</v>
      </c>
      <c r="K1847" s="38" t="n">
        <f aca="false">Sens!$K$1822</f>
        <v>357.043112718248</v>
      </c>
      <c r="L1847" s="38" t="n">
        <f aca="false">Sens!$L$1822</f>
        <v>424.75488027358</v>
      </c>
      <c r="M1847" s="38" t="n">
        <f aca="false">Sens!$M$1822</f>
        <v>484.313687080108</v>
      </c>
    </row>
    <row r="1848" customFormat="false" ht="15" hidden="false" customHeight="false" outlineLevel="0" collapsed="false">
      <c r="A1848" s="5" t="s">
        <v>855</v>
      </c>
      <c r="B1848" s="0" t="s">
        <v>73</v>
      </c>
      <c r="H1848" s="38" t="n">
        <f aca="false">Sens!$H$1823</f>
        <v>1.6</v>
      </c>
      <c r="I1848" s="38" t="n">
        <f aca="false">Sens!$I$1823</f>
        <v>1.6</v>
      </c>
      <c r="J1848" s="38" t="n">
        <f aca="false">Sens!$J$1823</f>
        <v>1.6</v>
      </c>
      <c r="K1848" s="38" t="n">
        <f aca="false">Sens!$K$1823</f>
        <v>1.6</v>
      </c>
      <c r="L1848" s="38" t="n">
        <f aca="false">Sens!$L$1823</f>
        <v>1.6</v>
      </c>
      <c r="M1848" s="38" t="n">
        <f aca="false">Sens!$M$1823</f>
        <v>1.6</v>
      </c>
    </row>
    <row r="1849" customFormat="false" ht="15" hidden="false" customHeight="false" outlineLevel="0" collapsed="false">
      <c r="A1849" s="5" t="s">
        <v>856</v>
      </c>
      <c r="B1849" s="0" t="s">
        <v>73</v>
      </c>
      <c r="H1849" s="38" t="n">
        <f aca="false">Sens!$H$1817</f>
        <v>11.6369707537667</v>
      </c>
      <c r="I1849" s="38" t="n">
        <f aca="false">Sens!$I$1817</f>
        <v>13.3082502961262</v>
      </c>
      <c r="J1849" s="38" t="n">
        <f aca="false">Sens!$J$1817</f>
        <v>14.8747965344332</v>
      </c>
      <c r="K1849" s="38" t="n">
        <f aca="false">Sens!$K$1817</f>
        <v>16.2687901804328</v>
      </c>
      <c r="L1849" s="38" t="n">
        <f aca="false">Sens!$L$1817</f>
        <v>17.7280727627002</v>
      </c>
      <c r="M1849" s="38" t="n">
        <f aca="false">Sens!$M$1817</f>
        <v>19.2574690270319</v>
      </c>
    </row>
    <row r="1850" customFormat="false" ht="17.15" hidden="false" customHeight="false" outlineLevel="0" collapsed="false">
      <c r="A1850" s="1" t="s">
        <v>857</v>
      </c>
      <c r="B1850" s="8" t="s">
        <v>73</v>
      </c>
      <c r="H1850" s="38" t="n">
        <f aca="false">Sens!$H$1845+Sens!$H$1846-Sens!$H$1847-Sens!$H$1848+Sens!$H$1849</f>
        <v>-66.1087899561502</v>
      </c>
      <c r="I1850" s="38" t="n">
        <f aca="false">Sens!$I$1845+Sens!$I$1846-Sens!$I$1847-Sens!$I$1848+Sens!$I$1849</f>
        <v>-29.4491704314018</v>
      </c>
      <c r="J1850" s="38" t="n">
        <f aca="false">Sens!$J$1845+Sens!$J$1846-Sens!$J$1847-Sens!$J$1848+Sens!$J$1849</f>
        <v>12.3836229197091</v>
      </c>
      <c r="K1850" s="38" t="n">
        <f aca="false">Sens!$K$1845+Sens!$K$1846-Sens!$K$1847-Sens!$K$1848+Sens!$K$1849</f>
        <v>19.7072272078037</v>
      </c>
      <c r="L1850" s="38" t="n">
        <f aca="false">Sens!$L$1845+Sens!$L$1846-Sens!$L$1847-Sens!$L$1848+Sens!$L$1849</f>
        <v>3.42652195021275</v>
      </c>
      <c r="M1850" s="38" t="n">
        <f aca="false">Sens!$M$1845+Sens!$M$1846-Sens!$M$1847-Sens!$M$1848+Sens!$M$1849</f>
        <v>-3.44402451386243</v>
      </c>
    </row>
    <row r="1851" customFormat="false" ht="15" hidden="false" customHeight="false" outlineLevel="0" collapsed="false">
      <c r="A1851" s="5" t="s">
        <v>858</v>
      </c>
      <c r="B1851" s="0" t="s">
        <v>57</v>
      </c>
      <c r="H1851" s="51" t="n">
        <f aca="false">1/(1+wacc)^(2027-2026-0.5)</f>
        <v>0.942858177653364</v>
      </c>
      <c r="I1851" s="51" t="n">
        <f aca="false">1/(1+wacc)^(2028-2026-0.5)</f>
        <v>0.838183517758688</v>
      </c>
      <c r="J1851" s="51" t="n">
        <f aca="false">1/(1+wacc)^(2029-2026-0.5)</f>
        <v>0.745129677074952</v>
      </c>
      <c r="K1851" s="51" t="n">
        <f aca="false">1/(1+wacc)^(2030-2026-0.5)</f>
        <v>0.662406530186232</v>
      </c>
      <c r="L1851" s="51" t="n">
        <f aca="false">1/(1+wacc)^(2031-2026-0.5)</f>
        <v>0.588867179409399</v>
      </c>
      <c r="M1851" s="51" t="n">
        <f aca="false">1/(1+wacc)^(2032-2026-0.5)</f>
        <v>0.52349205387225</v>
      </c>
    </row>
    <row r="1852" customFormat="false" ht="15" hidden="false" customHeight="false" outlineLevel="0" collapsed="false">
      <c r="A1852" s="5" t="s">
        <v>859</v>
      </c>
      <c r="B1852" s="0" t="s">
        <v>73</v>
      </c>
      <c r="H1852" s="38" t="n">
        <f aca="false">Sens!$H$1850*Sens!$H$1851</f>
        <v>-62.3312132249247</v>
      </c>
      <c r="I1852" s="38" t="n">
        <f aca="false">Sens!$I$1850*Sens!$I$1851</f>
        <v>-24.6838092672675</v>
      </c>
      <c r="J1852" s="38" t="n">
        <f aca="false">Sens!$J$1850*Sens!$J$1851</f>
        <v>9.2274049471808</v>
      </c>
      <c r="K1852" s="38" t="n">
        <f aca="false">Sens!$K$1850*Sens!$K$1851</f>
        <v>13.054195994313</v>
      </c>
      <c r="L1852" s="38" t="n">
        <f aca="false">Sens!$L$1850*Sens!$L$1851</f>
        <v>2.01776631600618</v>
      </c>
      <c r="M1852" s="38" t="n">
        <f aca="false">Sens!$M$1850*Sens!$M$1851</f>
        <v>-1.80291946634822</v>
      </c>
    </row>
    <row r="1853" customFormat="false" ht="15" hidden="false" customHeight="false" outlineLevel="0" collapsed="false">
      <c r="A1853" s="5" t="s">
        <v>860</v>
      </c>
      <c r="B1853" s="0" t="s">
        <v>73</v>
      </c>
      <c r="C1853" s="38" t="n">
        <f aca="false">SUM(Sens!$H$1852:$M$1852)</f>
        <v>-64.5185747010405</v>
      </c>
    </row>
    <row r="1854" customFormat="false" ht="17.15" hidden="false" customHeight="false" outlineLevel="0" collapsed="false">
      <c r="A1854" s="5" t="s">
        <v>861</v>
      </c>
      <c r="B1854" s="0" t="s">
        <v>73</v>
      </c>
      <c r="C1854" s="38" t="n">
        <f aca="false">Sens!$M$1845*(1+tg)*(1-tg/ronic)/(wacc-tg)</f>
        <v>1465.90094987847</v>
      </c>
    </row>
    <row r="1855" customFormat="false" ht="15" hidden="false" customHeight="false" outlineLevel="0" collapsed="false">
      <c r="A1855" s="5" t="s">
        <v>862</v>
      </c>
      <c r="B1855" s="0" t="s">
        <v>73</v>
      </c>
      <c r="C1855" s="38" t="n">
        <f aca="false">Sens!$C$1854/(1+wacc)^6</f>
        <v>723.537578884837</v>
      </c>
    </row>
    <row r="1856" customFormat="false" ht="17.15" hidden="false" customHeight="false" outlineLevel="0" collapsed="false">
      <c r="A1856" s="5" t="s">
        <v>863</v>
      </c>
      <c r="B1856" s="0" t="s">
        <v>73</v>
      </c>
      <c r="C1856" s="38" t="n">
        <f aca="false">Sens!$C$1853+Sens!$C$1855</f>
        <v>659.019004183797</v>
      </c>
    </row>
    <row r="1857" customFormat="false" ht="17.15" hidden="false" customHeight="false" outlineLevel="0" collapsed="false">
      <c r="A1857" s="5" t="s">
        <v>864</v>
      </c>
      <c r="B1857" s="0" t="s">
        <v>52</v>
      </c>
      <c r="C1857" s="12" t="n">
        <f aca="false">Sens!$C$1855/Sens!$C$1856</f>
        <v>1.09790093197835</v>
      </c>
    </row>
    <row r="1858" customFormat="false" ht="17.15" hidden="false" customHeight="false" outlineLevel="0" collapsed="false">
      <c r="A1858" s="5" t="s">
        <v>865</v>
      </c>
      <c r="B1858" s="0" t="s">
        <v>73</v>
      </c>
      <c r="C1858" s="38" t="n">
        <f aca="false">Sens!$G$1835</f>
        <v>66.4668722870156</v>
      </c>
    </row>
    <row r="1859" customFormat="false" ht="17.15" hidden="false" customHeight="false" outlineLevel="0" collapsed="false">
      <c r="A1859" s="5" t="s">
        <v>866</v>
      </c>
      <c r="B1859" s="0" t="s">
        <v>73</v>
      </c>
      <c r="C1859" s="38" t="n">
        <f aca="false">(ant_val*ant_sh+oai_val*oai_sh)*(1-liq_disc)</f>
        <v>178.944</v>
      </c>
    </row>
    <row r="1860" customFormat="false" ht="15" hidden="false" customHeight="false" outlineLevel="0" collapsed="false">
      <c r="A1860" s="5" t="s">
        <v>867</v>
      </c>
      <c r="B1860" s="0" t="s">
        <v>73</v>
      </c>
      <c r="C1860" s="38" t="n">
        <f aca="false">Sens!$C$1856-Sens!$C$1858+Sens!$C$1859</f>
        <v>771.496131896781</v>
      </c>
    </row>
    <row r="1861" customFormat="false" ht="17.15" hidden="false" customHeight="false" outlineLevel="0" collapsed="false">
      <c r="A1861" s="5" t="s">
        <v>868</v>
      </c>
      <c r="B1861" s="0" t="s">
        <v>27</v>
      </c>
      <c r="C1861" s="30" t="n">
        <f aca="false">Sens!$C$1860/sh_val</f>
        <v>69.9432610800364</v>
      </c>
    </row>
    <row r="1862" customFormat="false" ht="17.15" hidden="false" customHeight="false" outlineLevel="0" collapsed="false">
      <c r="A1862" s="1" t="s">
        <v>869</v>
      </c>
      <c r="B1862" s="8" t="s">
        <v>27</v>
      </c>
      <c r="C1862" s="30" t="n">
        <f aca="false">Sens!$C$1861*(1+ke)^tp_yf</f>
        <v>77.2484794176136</v>
      </c>
    </row>
    <row r="1863" customFormat="false" ht="17.15" hidden="false" customHeight="false" outlineLevel="0" collapsed="false">
      <c r="A1863" s="3" t="s">
        <v>870</v>
      </c>
    </row>
    <row r="1864" customFormat="false" ht="17.15" hidden="false" customHeight="false" outlineLevel="0" collapsed="false">
      <c r="A1864" s="5" t="s">
        <v>871</v>
      </c>
      <c r="B1864" s="0" t="s">
        <v>73</v>
      </c>
      <c r="C1864" s="38" t="n">
        <f aca="false">0.25*Sens!$H$1794+0.75*Sens!$I$1794</f>
        <v>57.5541093268329</v>
      </c>
    </row>
    <row r="1865" customFormat="false" ht="15" hidden="false" customHeight="false" outlineLevel="0" collapsed="false">
      <c r="A1865" s="5" t="s">
        <v>872</v>
      </c>
      <c r="B1865" s="0" t="s">
        <v>57</v>
      </c>
      <c r="C1865" s="30" t="n">
        <f aca="false">m_ads*m_x</f>
        <v>9.11</v>
      </c>
    </row>
    <row r="1866" customFormat="false" ht="17.15" hidden="false" customHeight="false" outlineLevel="0" collapsed="false">
      <c r="A1866" s="5" t="s">
        <v>873</v>
      </c>
      <c r="B1866" s="0" t="s">
        <v>73</v>
      </c>
      <c r="C1866" s="38" t="n">
        <f aca="false">Sens!$C$1864*Sens!$C$1865</f>
        <v>524.317935967448</v>
      </c>
    </row>
    <row r="1867" customFormat="false" ht="17.15" hidden="false" customHeight="false" outlineLevel="0" collapsed="false">
      <c r="A1867" s="5" t="s">
        <v>874</v>
      </c>
      <c r="B1867" s="0" t="s">
        <v>73</v>
      </c>
      <c r="C1867" s="38" t="n">
        <f aca="false">0.25*Sens!$H$1795+0.75*Sens!$I$1795</f>
        <v>31.0268417321725</v>
      </c>
    </row>
    <row r="1868" customFormat="false" ht="15" hidden="false" customHeight="false" outlineLevel="0" collapsed="false">
      <c r="A1868" s="5" t="s">
        <v>875</v>
      </c>
      <c r="B1868" s="0" t="s">
        <v>57</v>
      </c>
      <c r="C1868" s="30" t="n">
        <f aca="false">m_retail*m_x</f>
        <v>17.72</v>
      </c>
    </row>
    <row r="1869" customFormat="false" ht="17.15" hidden="false" customHeight="false" outlineLevel="0" collapsed="false">
      <c r="A1869" s="5" t="s">
        <v>876</v>
      </c>
      <c r="B1869" s="0" t="s">
        <v>73</v>
      </c>
      <c r="C1869" s="38" t="n">
        <f aca="false">Sens!$C$1867*Sens!$C$1868</f>
        <v>549.795635494097</v>
      </c>
    </row>
    <row r="1870" customFormat="false" ht="17.15" hidden="false" customHeight="false" outlineLevel="0" collapsed="false">
      <c r="A1870" s="0" t="s">
        <v>877</v>
      </c>
      <c r="B1870" s="0" t="s">
        <v>73</v>
      </c>
      <c r="C1870" s="38" t="n">
        <f aca="false">0.25*Sens!$H$1796+0.75*Sens!$I$1796</f>
        <v>108.507948799576</v>
      </c>
    </row>
    <row r="1871" customFormat="false" ht="17.15" hidden="false" customHeight="false" outlineLevel="0" collapsed="false">
      <c r="A1871" s="0" t="s">
        <v>878</v>
      </c>
      <c r="B1871" s="0" t="s">
        <v>57</v>
      </c>
      <c r="C1871" s="30" t="n">
        <f aca="false">m_cloud*m_x</f>
        <v>13.82</v>
      </c>
    </row>
    <row r="1872" customFormat="false" ht="17.15" hidden="false" customHeight="false" outlineLevel="0" collapsed="false">
      <c r="A1872" s="0" t="s">
        <v>879</v>
      </c>
      <c r="B1872" s="0" t="s">
        <v>73</v>
      </c>
      <c r="C1872" s="38" t="n">
        <f aca="false">Sens!$C$1870*Sens!$C$1871</f>
        <v>1499.57985241015</v>
      </c>
    </row>
    <row r="1873" customFormat="false" ht="17.15" hidden="false" customHeight="false" outlineLevel="0" collapsed="false">
      <c r="A1873" s="0" t="s">
        <v>880</v>
      </c>
      <c r="B1873" s="0" t="s">
        <v>73</v>
      </c>
      <c r="C1873" s="38" t="n">
        <f aca="false">0.25*Sens!$H$1797+0.75*Sens!$I$1797</f>
        <v>72.2947701247864</v>
      </c>
    </row>
    <row r="1874" customFormat="false" ht="17.15" hidden="false" customHeight="false" outlineLevel="0" collapsed="false">
      <c r="A1874" s="0" t="s">
        <v>881</v>
      </c>
      <c r="B1874" s="0" t="s">
        <v>57</v>
      </c>
      <c r="C1874" s="30" t="n">
        <f aca="false">m_ai</f>
        <v>6</v>
      </c>
    </row>
    <row r="1875" customFormat="false" ht="17.15" hidden="false" customHeight="false" outlineLevel="0" collapsed="false">
      <c r="A1875" s="0" t="s">
        <v>882</v>
      </c>
      <c r="B1875" s="0" t="s">
        <v>73</v>
      </c>
      <c r="C1875" s="38" t="n">
        <f aca="false">Sens!$C$1873*Sens!$C$1874</f>
        <v>433.768620748718</v>
      </c>
    </row>
    <row r="1876" customFormat="false" ht="17.15" hidden="false" customHeight="false" outlineLevel="0" collapsed="false">
      <c r="A1876" s="5" t="s">
        <v>883</v>
      </c>
      <c r="B1876" s="0" t="s">
        <v>73</v>
      </c>
      <c r="C1876" s="38" t="n">
        <f aca="false">Sens!$C$1866+Sens!$C$1869+Sens!$C$1872+Sens!$C$1875</f>
        <v>3007.46204462041</v>
      </c>
    </row>
    <row r="1877" customFormat="false" ht="17.15" hidden="false" customHeight="false" outlineLevel="0" collapsed="false">
      <c r="A1877" s="5" t="s">
        <v>884</v>
      </c>
      <c r="B1877" s="0" t="s">
        <v>73</v>
      </c>
      <c r="C1877" s="38" t="n">
        <f aca="false">Sens!$H$1835</f>
        <v>111.199612012794</v>
      </c>
    </row>
    <row r="1878" customFormat="false" ht="15" hidden="false" customHeight="false" outlineLevel="0" collapsed="false">
      <c r="A1878" s="5" t="s">
        <v>885</v>
      </c>
      <c r="B1878" s="0" t="s">
        <v>73</v>
      </c>
      <c r="C1878" s="38" t="n">
        <f aca="false">Sens!$C$1876-Sens!$C$1877+Sens!$C$1859</f>
        <v>3075.20643260761</v>
      </c>
    </row>
    <row r="1879" customFormat="false" ht="15" hidden="false" customHeight="false" outlineLevel="0" collapsed="false">
      <c r="A1879" s="3" t="s">
        <v>886</v>
      </c>
      <c r="B1879" s="8" t="s">
        <v>27</v>
      </c>
      <c r="C1879" s="30" t="n">
        <f aca="false">Sens!$C$1878/sh_val</f>
        <v>278.795910307505</v>
      </c>
    </row>
    <row r="1880" customFormat="false" ht="17.15" hidden="false" customHeight="false" outlineLevel="0" collapsed="false">
      <c r="A1880" s="46" t="s">
        <v>887</v>
      </c>
      <c r="B1880" s="13" t="s">
        <v>27</v>
      </c>
      <c r="C1880" s="43" t="n">
        <f aca="false">w_dcf*Sens!$C$1862+(1-w_dcf)*Sens!$C$1879</f>
        <v>178.022194862559</v>
      </c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</row>
    <row r="1881" customFormat="false" ht="17.15" hidden="false" customHeight="false" outlineLevel="0" collapsed="false">
      <c r="A1881" s="5" t="s">
        <v>888</v>
      </c>
      <c r="B1881" s="0" t="s">
        <v>27</v>
      </c>
      <c r="C1881" s="30" t="n">
        <f aca="false">0.45*Sens!$C$1862+0.55*Sens!$C$1879</f>
        <v>188.099566407054</v>
      </c>
    </row>
    <row r="1884" customFormat="false" ht="19.4" hidden="false" customHeight="false" outlineLevel="0" collapsed="false">
      <c r="A1884" s="31" t="s">
        <v>1083</v>
      </c>
    </row>
    <row r="1885" customFormat="false" ht="17.15" hidden="false" customHeight="false" outlineLevel="0" collapsed="false">
      <c r="A1885" s="6" t="s">
        <v>16</v>
      </c>
      <c r="B1885" s="6" t="s">
        <v>17</v>
      </c>
      <c r="C1885" s="20" t="s">
        <v>457</v>
      </c>
      <c r="D1885" s="20" t="s">
        <v>458</v>
      </c>
      <c r="E1885" s="20" t="s">
        <v>540</v>
      </c>
      <c r="F1885" s="20" t="s">
        <v>541</v>
      </c>
      <c r="G1885" s="20" t="s">
        <v>542</v>
      </c>
      <c r="H1885" s="20" t="s">
        <v>543</v>
      </c>
      <c r="I1885" s="20" t="s">
        <v>544</v>
      </c>
      <c r="J1885" s="20" t="s">
        <v>545</v>
      </c>
      <c r="K1885" s="20" t="s">
        <v>546</v>
      </c>
      <c r="L1885" s="20" t="s">
        <v>547</v>
      </c>
      <c r="M1885" s="20" t="s">
        <v>548</v>
      </c>
      <c r="N1885" s="20" t="s">
        <v>549</v>
      </c>
      <c r="O1885" s="20" t="s">
        <v>550</v>
      </c>
      <c r="P1885" s="6" t="s">
        <v>23</v>
      </c>
      <c r="R1885" s="20" t="n">
        <v>2023</v>
      </c>
      <c r="S1885" s="20" t="n">
        <v>2024</v>
      </c>
      <c r="T1885" s="20" t="n">
        <v>2025</v>
      </c>
      <c r="U1885" s="20" t="n">
        <v>2026</v>
      </c>
      <c r="V1885" s="20" t="n">
        <v>2027</v>
      </c>
      <c r="W1885" s="20" t="n">
        <v>2028</v>
      </c>
      <c r="X1885" s="20" t="n">
        <v>2029</v>
      </c>
      <c r="Y1885" s="20" t="n">
        <v>2030</v>
      </c>
      <c r="Z1885" s="20" t="n">
        <v>2031</v>
      </c>
      <c r="AA1885" s="20" t="n">
        <v>2032</v>
      </c>
    </row>
    <row r="1886" customFormat="false" ht="17.15" hidden="false" customHeight="false" outlineLevel="0" collapsed="false">
      <c r="A1886" s="1" t="s">
        <v>620</v>
      </c>
    </row>
    <row r="1887" customFormat="false" ht="17.15" hidden="false" customHeight="false" outlineLevel="0" collapsed="false">
      <c r="A1887" s="0" t="s">
        <v>479</v>
      </c>
      <c r="B1887" s="0" t="s">
        <v>73</v>
      </c>
      <c r="C1887" s="38" t="n">
        <f aca="false">Q!$D$10</f>
        <v>247.029</v>
      </c>
      <c r="D1887" s="38" t="n">
        <f aca="false">Q!$E$10</f>
        <v>269.287</v>
      </c>
      <c r="E1887" s="38" t="n">
        <f aca="false">Q!$P$10</f>
        <v>134.686</v>
      </c>
      <c r="F1887" s="38" t="n">
        <f aca="false">Sens!$O$1887*(1+Sens!$F$1888)-pd_amt*Q!$O$10/(Q!$O$10+Q!$O$12)</f>
        <v>160.728085930082</v>
      </c>
      <c r="G1887" s="38" t="n">
        <f aca="false">Sens!$E$1887+Sens!$F$1887</f>
        <v>295.414085930082</v>
      </c>
      <c r="H1887" s="38" t="n">
        <f aca="false">Sens!$G$1887*(1+Sens!$H$1888)</f>
        <v>320.828163943375</v>
      </c>
      <c r="I1887" s="38" t="n">
        <f aca="false">Sens!$H$1887*(1+Sens!$I$1888)</f>
        <v>344.575578072228</v>
      </c>
      <c r="J1887" s="38" t="n">
        <f aca="false">Sens!$I$1887*(1+Sens!$J$1888)</f>
        <v>365.942555779681</v>
      </c>
      <c r="K1887" s="38" t="n">
        <f aca="false">Sens!$J$1887*(1+Sens!$K$1888)</f>
        <v>384.239683568665</v>
      </c>
      <c r="L1887" s="38" t="n">
        <f aca="false">Sens!$K$1887*(1+Sens!$L$1888)</f>
        <v>403.451667747098</v>
      </c>
      <c r="M1887" s="38" t="n">
        <f aca="false">Sens!$L$1887*(1+Sens!$M$1888)</f>
        <v>423.624251134453</v>
      </c>
      <c r="N1887" s="38" t="n">
        <f aca="false">Q!$N$10</f>
        <v>118.892</v>
      </c>
      <c r="O1887" s="38" t="n">
        <f aca="false">Q!$O$10</f>
        <v>150.395</v>
      </c>
      <c r="P1887" s="8" t="s">
        <v>621</v>
      </c>
    </row>
    <row r="1888" customFormat="false" ht="17.15" hidden="false" customHeight="false" outlineLevel="0" collapsed="false">
      <c r="A1888" s="0" t="s">
        <v>622</v>
      </c>
      <c r="B1888" s="0" t="s">
        <v>52</v>
      </c>
      <c r="E1888" s="12" t="n">
        <f aca="false">Sens!$E$1887/Sens!$N$1887-1</f>
        <v>0.132843252699929</v>
      </c>
      <c r="F1888" s="12" t="n">
        <f aca="false">Sens!$O$1887/(Q!$F$10+Q!$G$10)-1</f>
        <v>0.0980382135842941</v>
      </c>
      <c r="G1888" s="12" t="n">
        <f aca="false">Sens!$G$1887/Sens!$D$1887-1</f>
        <v>0.0970231980380869</v>
      </c>
      <c r="H1888" s="12" t="n">
        <f aca="false">Sens!$F$1888+(g_os-Sens!$F$1888)*1/4</f>
        <v>0.0860286601882206</v>
      </c>
      <c r="I1888" s="12" t="n">
        <f aca="false">Sens!$F$1888+(g_os-Sens!$F$1888)*2/4</f>
        <v>0.074019106792147</v>
      </c>
      <c r="J1888" s="12" t="n">
        <f aca="false">Sens!$F$1888+(g_os-Sens!$F$1888)*3/4</f>
        <v>0.0620095533960735</v>
      </c>
      <c r="K1888" s="12" t="n">
        <f aca="false">Sens!$F$1888+(g_os-Sens!$F$1888)*4/4</f>
        <v>0.05</v>
      </c>
      <c r="L1888" s="12" t="n">
        <f aca="false">g_os</f>
        <v>0.05</v>
      </c>
      <c r="M1888" s="12" t="n">
        <f aca="false">g_os</f>
        <v>0.05</v>
      </c>
      <c r="P1888" s="8" t="s">
        <v>623</v>
      </c>
    </row>
    <row r="1889" customFormat="false" ht="17.15" hidden="false" customHeight="false" outlineLevel="0" collapsed="false">
      <c r="A1889" s="0" t="s">
        <v>480</v>
      </c>
      <c r="B1889" s="0" t="s">
        <v>73</v>
      </c>
      <c r="C1889" s="38" t="n">
        <f aca="false">Q!$D$11</f>
        <v>21.215</v>
      </c>
      <c r="D1889" s="38" t="n">
        <f aca="false">Q!$E$11</f>
        <v>22.561</v>
      </c>
      <c r="E1889" s="38" t="n">
        <f aca="false">Q!$P$11</f>
        <v>11.579</v>
      </c>
      <c r="F1889" s="38" t="n">
        <f aca="false">Sens!$O$1889*(1+Sens!$F$1890)</f>
        <v>12.0952613121125</v>
      </c>
      <c r="G1889" s="38" t="n">
        <f aca="false">Sens!$E$1889+Sens!$F$1889</f>
        <v>23.6742613121125</v>
      </c>
      <c r="H1889" s="38" t="n">
        <f aca="false">Sens!$G$1889*(1+Sens!$H$1890)</f>
        <v>24.8803243963206</v>
      </c>
      <c r="I1889" s="38" t="n">
        <f aca="false">Sens!$H$1889*(1+Sens!$I$1890)</f>
        <v>25.9741308664154</v>
      </c>
      <c r="J1889" s="38" t="n">
        <f aca="false">Sens!$I$1889*(1+Sens!$J$1890)</f>
        <v>26.9346894124267</v>
      </c>
      <c r="K1889" s="38" t="n">
        <f aca="false">Sens!$J$1889*(1+Sens!$K$1890)</f>
        <v>27.7427300947995</v>
      </c>
      <c r="L1889" s="38" t="n">
        <f aca="false">Sens!$K$1889*(1+Sens!$L$1890)</f>
        <v>28.5750119976435</v>
      </c>
      <c r="M1889" s="38" t="n">
        <f aca="false">Sens!$L$1889*(1+Sens!$M$1890)</f>
        <v>29.4322623575728</v>
      </c>
      <c r="N1889" s="38" t="n">
        <f aca="false">Q!$N$11</f>
        <v>11.128</v>
      </c>
      <c r="O1889" s="38" t="n">
        <f aca="false">Q!$O$11</f>
        <v>11.433</v>
      </c>
      <c r="P1889" s="8" t="s">
        <v>621</v>
      </c>
    </row>
    <row r="1890" customFormat="false" ht="17.15" hidden="false" customHeight="false" outlineLevel="0" collapsed="false">
      <c r="A1890" s="0" t="s">
        <v>624</v>
      </c>
      <c r="B1890" s="0" t="s">
        <v>52</v>
      </c>
      <c r="E1890" s="12" t="n">
        <f aca="false">Sens!$E$1889/Sens!$N$1889-1</f>
        <v>0.0405283968368082</v>
      </c>
      <c r="F1890" s="12" t="n">
        <f aca="false">Sens!$O$1889/(Q!$F$11+Q!$G$11)-1</f>
        <v>0.0579254187100955</v>
      </c>
      <c r="G1890" s="12" t="n">
        <f aca="false">Sens!$G$1889/Sens!$D$1889-1</f>
        <v>0.0493445021103904</v>
      </c>
      <c r="H1890" s="12" t="n">
        <f aca="false">Sens!$F$1890+(g_ps-Sens!$F$1890)*1/4</f>
        <v>0.0509440640325716</v>
      </c>
      <c r="I1890" s="12" t="n">
        <f aca="false">Sens!$F$1890+(g_ps-Sens!$F$1890)*2/4</f>
        <v>0.0439627093550477</v>
      </c>
      <c r="J1890" s="12" t="n">
        <f aca="false">Sens!$F$1890+(g_ps-Sens!$F$1890)*3/4</f>
        <v>0.0369813546775239</v>
      </c>
      <c r="K1890" s="12" t="n">
        <f aca="false">Sens!$F$1890+(g_ps-Sens!$F$1890)*4/4</f>
        <v>0.03</v>
      </c>
      <c r="L1890" s="12" t="n">
        <f aca="false">g_ps</f>
        <v>0.03</v>
      </c>
      <c r="M1890" s="12" t="n">
        <f aca="false">g_ps</f>
        <v>0.03</v>
      </c>
      <c r="P1890" s="8" t="s">
        <v>625</v>
      </c>
    </row>
    <row r="1891" customFormat="false" ht="17.15" hidden="false" customHeight="false" outlineLevel="0" collapsed="false">
      <c r="A1891" s="0" t="s">
        <v>481</v>
      </c>
      <c r="B1891" s="0" t="s">
        <v>73</v>
      </c>
      <c r="C1891" s="38" t="n">
        <f aca="false">Q!$D$12</f>
        <v>156.146</v>
      </c>
      <c r="D1891" s="38" t="n">
        <f aca="false">Q!$E$12</f>
        <v>172.162</v>
      </c>
      <c r="E1891" s="38" t="n">
        <f aca="false">Q!$P$12</f>
        <v>88.358</v>
      </c>
      <c r="F1891" s="38" t="n">
        <f aca="false">Sens!$O$1891*(1+Sens!$F$1892)-pd_amt*Q!$O$12/(Q!$O$10+Q!$O$12)</f>
        <v>103.62028337149</v>
      </c>
      <c r="G1891" s="38" t="n">
        <f aca="false">Sens!$E$1891+Sens!$F$1891</f>
        <v>191.97828337149</v>
      </c>
      <c r="H1891" s="38" t="n">
        <f aca="false">Sens!$G$1891*(1+Sens!$H$1892)</f>
        <v>212.128608444755</v>
      </c>
      <c r="I1891" s="38" t="n">
        <f aca="false">Sens!$H$1891*(1+Sens!$I$1892)</f>
        <v>231.92183134134</v>
      </c>
      <c r="J1891" s="38" t="n">
        <f aca="false">Sens!$I$1891*(1+Sens!$J$1892)</f>
        <v>250.859136487863</v>
      </c>
      <c r="K1891" s="38" t="n">
        <f aca="false">Sens!$J$1891*(1+Sens!$K$1892)</f>
        <v>268.419276042014</v>
      </c>
      <c r="L1891" s="38" t="n">
        <f aca="false">Sens!$K$1891*(1+Sens!$L$1892)</f>
        <v>287.208625364954</v>
      </c>
      <c r="M1891" s="38" t="n">
        <f aca="false">Sens!$L$1891*(1+Sens!$M$1892)</f>
        <v>307.313229140501</v>
      </c>
      <c r="N1891" s="38" t="n">
        <f aca="false">Q!$N$12</f>
        <v>76.86</v>
      </c>
      <c r="O1891" s="38" t="n">
        <f aca="false">Q!$O$12</f>
        <v>95.302</v>
      </c>
      <c r="P1891" s="8" t="s">
        <v>621</v>
      </c>
    </row>
    <row r="1892" customFormat="false" ht="17.15" hidden="false" customHeight="false" outlineLevel="0" collapsed="false">
      <c r="A1892" s="0" t="s">
        <v>626</v>
      </c>
      <c r="B1892" s="0" t="s">
        <v>52</v>
      </c>
      <c r="E1892" s="12" t="n">
        <f aca="false">Sens!$E$1891/Sens!$N$1891-1</f>
        <v>0.1495966692688</v>
      </c>
      <c r="F1892" s="12" t="n">
        <f aca="false">Sens!$O$1891/(Q!$F$12+Q!$G$12)-1</f>
        <v>0.11661530890813</v>
      </c>
      <c r="G1892" s="12" t="n">
        <f aca="false">Sens!$G$1891/Sens!$D$1891-1</f>
        <v>0.115102539303041</v>
      </c>
      <c r="H1892" s="12" t="n">
        <f aca="false">Sens!$F$1892+(g_sp-Sens!$F$1892)*1/4</f>
        <v>0.104961481681098</v>
      </c>
      <c r="I1892" s="12" t="n">
        <f aca="false">Sens!$F$1892+(g_sp-Sens!$F$1892)*2/4</f>
        <v>0.0933076544540651</v>
      </c>
      <c r="J1892" s="12" t="n">
        <f aca="false">Sens!$F$1892+(g_sp-Sens!$F$1892)*3/4</f>
        <v>0.0816538272270325</v>
      </c>
      <c r="K1892" s="12" t="n">
        <f aca="false">Sens!$F$1892+(g_sp-Sens!$F$1892)*4/4</f>
        <v>0.07</v>
      </c>
      <c r="L1892" s="12" t="n">
        <f aca="false">g_sp</f>
        <v>0.07</v>
      </c>
      <c r="M1892" s="12" t="n">
        <f aca="false">g_sp</f>
        <v>0.07</v>
      </c>
      <c r="P1892" s="8" t="s">
        <v>627</v>
      </c>
    </row>
    <row r="1893" customFormat="false" ht="17.15" hidden="false" customHeight="false" outlineLevel="0" collapsed="false">
      <c r="A1893" s="0" t="s">
        <v>482</v>
      </c>
      <c r="B1893" s="0" t="s">
        <v>73</v>
      </c>
      <c r="C1893" s="38" t="n">
        <f aca="false">Q!$D$13</f>
        <v>56.214</v>
      </c>
      <c r="D1893" s="38" t="n">
        <f aca="false">Q!$E$13</f>
        <v>68.635</v>
      </c>
      <c r="E1893" s="38" t="n">
        <f aca="false">Q!$P$13</f>
        <v>37.052</v>
      </c>
      <c r="F1893" s="38" t="n">
        <f aca="false">Sens!$O$1893*(1+Sens!$F$1894)</f>
        <v>48.1533381827382</v>
      </c>
      <c r="G1893" s="38" t="n">
        <f aca="false">Sens!$E$1893+Sens!$F$1893</f>
        <v>85.2053381827382</v>
      </c>
      <c r="H1893" s="38" t="n">
        <f aca="false">Sens!$G$1893*(1+Sens!$H$1894)</f>
        <v>102.29336185894</v>
      </c>
      <c r="I1893" s="38" t="n">
        <f aca="false">Sens!$H$1893*(1+Sens!$I$1894)</f>
        <v>119.379837585241</v>
      </c>
      <c r="J1893" s="38" t="n">
        <f aca="false">Sens!$I$1893*(1+Sens!$J$1894)</f>
        <v>135.319079048844</v>
      </c>
      <c r="K1893" s="38" t="n">
        <f aca="false">Sens!$J$1893*(1+Sens!$K$1894)</f>
        <v>148.850986953729</v>
      </c>
      <c r="L1893" s="38" t="n">
        <f aca="false">Sens!$K$1893*(1+Sens!$L$1894)</f>
        <v>163.736085649102</v>
      </c>
      <c r="M1893" s="38" t="n">
        <f aca="false">Sens!$L$1893*(1+Sens!$M$1894)</f>
        <v>180.109694214012</v>
      </c>
      <c r="N1893" s="38" t="n">
        <f aca="false">Q!$N$13</f>
        <v>29.615</v>
      </c>
      <c r="O1893" s="38" t="n">
        <f aca="false">Q!$O$13</f>
        <v>39.02</v>
      </c>
      <c r="P1893" s="8" t="s">
        <v>621</v>
      </c>
    </row>
    <row r="1894" customFormat="false" ht="17.15" hidden="false" customHeight="false" outlineLevel="0" collapsed="false">
      <c r="A1894" s="0" t="s">
        <v>628</v>
      </c>
      <c r="B1894" s="0" t="s">
        <v>52</v>
      </c>
      <c r="E1894" s="12" t="n">
        <f aca="false">Sens!$E$1893/Sens!$N$1893-1</f>
        <v>0.25112274185379</v>
      </c>
      <c r="F1894" s="12" t="n">
        <f aca="false">Sens!$O$1893/(Q!$F$13+Q!$G$13)-1</f>
        <v>0.234068123596572</v>
      </c>
      <c r="G1894" s="12" t="n">
        <f aca="false">Sens!$G$1893/Sens!$D$1893-1</f>
        <v>0.241426942270536</v>
      </c>
      <c r="H1894" s="12" t="n">
        <f aca="false">Sens!$F$1894+(g_ad-Sens!$F$1894)*1/4</f>
        <v>0.200551092697429</v>
      </c>
      <c r="I1894" s="12" t="n">
        <f aca="false">Sens!$F$1894+(g_ad-Sens!$F$1894)*2/4</f>
        <v>0.167034061798286</v>
      </c>
      <c r="J1894" s="12" t="n">
        <f aca="false">Sens!$F$1894+(g_ad-Sens!$F$1894)*3/4</f>
        <v>0.133517030899143</v>
      </c>
      <c r="K1894" s="12" t="n">
        <f aca="false">Sens!$F$1894+(g_ad-Sens!$F$1894)*4/4</f>
        <v>0.1</v>
      </c>
      <c r="L1894" s="12" t="n">
        <f aca="false">g_ad</f>
        <v>0.1</v>
      </c>
      <c r="M1894" s="12" t="n">
        <f aca="false">g_ad</f>
        <v>0.1</v>
      </c>
      <c r="P1894" s="8" t="s">
        <v>629</v>
      </c>
    </row>
    <row r="1895" customFormat="false" ht="17.15" hidden="false" customHeight="false" outlineLevel="0" collapsed="false">
      <c r="A1895" s="0" t="s">
        <v>483</v>
      </c>
      <c r="B1895" s="0" t="s">
        <v>73</v>
      </c>
      <c r="C1895" s="38" t="n">
        <f aca="false">Q!$D$14</f>
        <v>44.374</v>
      </c>
      <c r="D1895" s="38" t="n">
        <f aca="false">Q!$E$14</f>
        <v>49.619</v>
      </c>
      <c r="E1895" s="38" t="n">
        <f aca="false">Q!$P$14</f>
        <v>27.157</v>
      </c>
      <c r="F1895" s="38" t="n">
        <f aca="false">Sens!$O$1895*(1+Sens!$F$1896)</f>
        <v>28.9776360923374</v>
      </c>
      <c r="G1895" s="38" t="n">
        <f aca="false">Sens!$E$1895+Sens!$F$1895</f>
        <v>56.1346360923374</v>
      </c>
      <c r="H1895" s="38" t="n">
        <f aca="false">Sens!$G$1895*(1+Sens!$H$1896)</f>
        <v>62.4937078946075</v>
      </c>
      <c r="I1895" s="38" t="n">
        <f aca="false">Sens!$H$1895*(1+Sens!$I$1896)</f>
        <v>68.6715233062498</v>
      </c>
      <c r="J1895" s="38" t="n">
        <f aca="false">Sens!$I$1895*(1+Sens!$J$1896)</f>
        <v>74.4692882949818</v>
      </c>
      <c r="K1895" s="38" t="n">
        <f aca="false">Sens!$J$1895*(1+Sens!$K$1896)</f>
        <v>79.6821384756306</v>
      </c>
      <c r="L1895" s="38" t="n">
        <f aca="false">Sens!$K$1895*(1+Sens!$L$1896)</f>
        <v>85.2598881689247</v>
      </c>
      <c r="M1895" s="38" t="n">
        <f aca="false">Sens!$L$1895*(1+Sens!$M$1896)</f>
        <v>91.2280803407494</v>
      </c>
      <c r="N1895" s="38" t="n">
        <f aca="false">Q!$N$14</f>
        <v>23.923</v>
      </c>
      <c r="O1895" s="38" t="n">
        <f aca="false">Q!$O$14</f>
        <v>25.696</v>
      </c>
      <c r="P1895" s="8" t="s">
        <v>621</v>
      </c>
    </row>
    <row r="1896" customFormat="false" ht="17.15" hidden="false" customHeight="false" outlineLevel="0" collapsed="false">
      <c r="A1896" s="0" t="s">
        <v>630</v>
      </c>
      <c r="B1896" s="0" t="s">
        <v>52</v>
      </c>
      <c r="E1896" s="12" t="n">
        <f aca="false">Sens!$E$1895/Sens!$N$1895-1</f>
        <v>0.135183714417088</v>
      </c>
      <c r="F1896" s="12" t="n">
        <f aca="false">Sens!$O$1895/(Q!$F$14+Q!$G$14)-1</f>
        <v>0.127709997366804</v>
      </c>
      <c r="G1896" s="12" t="n">
        <f aca="false">Sens!$G$1895/Sens!$D$1895-1</f>
        <v>0.131313329416905</v>
      </c>
      <c r="H1896" s="12" t="n">
        <f aca="false">Sens!$F$1896+(g_sub-Sens!$F$1896)*1/4</f>
        <v>0.113282498025103</v>
      </c>
      <c r="I1896" s="12" t="n">
        <f aca="false">Sens!$F$1896+(g_sub-Sens!$F$1896)*2/4</f>
        <v>0.0988549986834021</v>
      </c>
      <c r="J1896" s="12" t="n">
        <f aca="false">Sens!$F$1896+(g_sub-Sens!$F$1896)*3/4</f>
        <v>0.084427499341701</v>
      </c>
      <c r="K1896" s="12" t="n">
        <f aca="false">Sens!$F$1896+(g_sub-Sens!$F$1896)*4/4</f>
        <v>0.07</v>
      </c>
      <c r="L1896" s="12" t="n">
        <f aca="false">g_sub</f>
        <v>0.07</v>
      </c>
      <c r="M1896" s="12" t="n">
        <f aca="false">g_sub</f>
        <v>0.07</v>
      </c>
      <c r="P1896" s="8" t="s">
        <v>631</v>
      </c>
    </row>
    <row r="1897" customFormat="false" ht="17.15" hidden="false" customHeight="false" outlineLevel="0" collapsed="false">
      <c r="A1897" s="0" t="s">
        <v>484</v>
      </c>
      <c r="B1897" s="0" t="s">
        <v>73</v>
      </c>
      <c r="C1897" s="38" t="n">
        <f aca="false">Q!$D$15</f>
        <v>5.425</v>
      </c>
      <c r="D1897" s="38" t="n">
        <f aca="false">Q!$E$15</f>
        <v>5.935</v>
      </c>
      <c r="E1897" s="38" t="n">
        <f aca="false">Q!$P$15</f>
        <v>3.474</v>
      </c>
      <c r="F1897" s="38" t="n">
        <f aca="false">Sens!$O$1897*(1+Sens!$F$1898)</f>
        <v>3.36182431966931</v>
      </c>
      <c r="G1897" s="38" t="n">
        <f aca="false">Sens!$E$1897+Sens!$F$1897</f>
        <v>6.83582431966931</v>
      </c>
      <c r="H1897" s="38" t="n">
        <f aca="false">Sens!$G$1897*(1+Sens!$H$1898)</f>
        <v>7.31157108370141</v>
      </c>
      <c r="I1897" s="38" t="n">
        <f aca="false">Sens!$H$1897*(1+Sens!$I$1898)</f>
        <v>7.77266852639815</v>
      </c>
      <c r="J1897" s="38" t="n">
        <f aca="false">Sens!$I$1897*(1+Sens!$J$1898)</f>
        <v>8.2120733019884</v>
      </c>
      <c r="K1897" s="38" t="n">
        <f aca="false">Sens!$J$1897*(1+Sens!$K$1898)</f>
        <v>8.62267696708783</v>
      </c>
      <c r="L1897" s="38" t="n">
        <f aca="false">Sens!$K$1897*(1+Sens!$L$1898)</f>
        <v>9.05381081544222</v>
      </c>
      <c r="M1897" s="38" t="n">
        <f aca="false">Sens!$L$1897*(1+Sens!$M$1898)</f>
        <v>9.50650135621433</v>
      </c>
      <c r="N1897" s="38" t="n">
        <f aca="false">Q!$N$15</f>
        <v>2.811</v>
      </c>
      <c r="O1897" s="38" t="n">
        <f aca="false">Q!$O$15</f>
        <v>3.124</v>
      </c>
      <c r="P1897" s="8" t="s">
        <v>621</v>
      </c>
    </row>
    <row r="1898" customFormat="false" ht="17.15" hidden="false" customHeight="false" outlineLevel="0" collapsed="false">
      <c r="A1898" s="0" t="s">
        <v>632</v>
      </c>
      <c r="B1898" s="0" t="s">
        <v>52</v>
      </c>
      <c r="E1898" s="12" t="n">
        <f aca="false">Sens!$E$1897/Sens!$N$1897-1</f>
        <v>0.235859124866596</v>
      </c>
      <c r="F1898" s="12" t="n">
        <f aca="false">Sens!$O$1897/(Q!$F$15+Q!$G$15)-1</f>
        <v>0.0761281433000345</v>
      </c>
      <c r="G1898" s="12" t="n">
        <f aca="false">Sens!$G$1897/Sens!$D$1897-1</f>
        <v>0.151781688234087</v>
      </c>
      <c r="H1898" s="12" t="n">
        <f aca="false">Sens!$F$1898+(g_ot-Sens!$F$1898)*1/4</f>
        <v>0.0695961074750259</v>
      </c>
      <c r="I1898" s="12" t="n">
        <f aca="false">Sens!$F$1898+(g_ot-Sens!$F$1898)*2/4</f>
        <v>0.0630640716500172</v>
      </c>
      <c r="J1898" s="12" t="n">
        <f aca="false">Sens!$F$1898+(g_ot-Sens!$F$1898)*3/4</f>
        <v>0.0565320358250086</v>
      </c>
      <c r="K1898" s="12" t="n">
        <f aca="false">Sens!$F$1898+(g_ot-Sens!$F$1898)*4/4</f>
        <v>0.05</v>
      </c>
      <c r="L1898" s="12" t="n">
        <f aca="false">g_ot</f>
        <v>0.05</v>
      </c>
      <c r="M1898" s="12" t="n">
        <f aca="false">g_ot</f>
        <v>0.05</v>
      </c>
      <c r="P1898" s="8" t="s">
        <v>633</v>
      </c>
    </row>
    <row r="1899" customFormat="false" ht="17.15" hidden="false" customHeight="false" outlineLevel="0" collapsed="false">
      <c r="A1899" s="3" t="s">
        <v>634</v>
      </c>
      <c r="B1899" s="8" t="s">
        <v>73</v>
      </c>
      <c r="C1899" s="38" t="n">
        <f aca="false">Sens!$C$1887+Sens!$C$1889+Sens!$C$1891+Sens!$C$1893+Sens!$C$1895+Sens!$C$1897</f>
        <v>530.403</v>
      </c>
      <c r="D1899" s="38" t="n">
        <f aca="false">Sens!$D$1887+Sens!$D$1889+Sens!$D$1891+Sens!$D$1893+Sens!$D$1895+Sens!$D$1897</f>
        <v>588.199</v>
      </c>
      <c r="E1899" s="38" t="n">
        <f aca="false">Sens!$E$1887+Sens!$E$1889+Sens!$E$1891+Sens!$E$1893+Sens!$E$1895+Sens!$E$1897</f>
        <v>302.306</v>
      </c>
      <c r="F1899" s="38" t="n">
        <f aca="false">Sens!$F$1887+Sens!$F$1889+Sens!$F$1891+Sens!$F$1893+Sens!$F$1895+Sens!$F$1897</f>
        <v>356.93642920843</v>
      </c>
      <c r="G1899" s="38" t="n">
        <f aca="false">Sens!$G$1887+Sens!$G$1889+Sens!$G$1891+Sens!$G$1893+Sens!$G$1895+Sens!$G$1897</f>
        <v>659.24242920843</v>
      </c>
      <c r="H1899" s="38" t="n">
        <f aca="false">Sens!$H$1887+Sens!$H$1889+Sens!$H$1891+Sens!$H$1893+Sens!$H$1895+Sens!$H$1897</f>
        <v>729.935737621701</v>
      </c>
      <c r="I1899" s="38" t="n">
        <f aca="false">Sens!$I$1887+Sens!$I$1889+Sens!$I$1891+Sens!$I$1893+Sens!$I$1895+Sens!$I$1897</f>
        <v>798.295569697873</v>
      </c>
      <c r="J1899" s="38" t="n">
        <f aca="false">Sens!$J$1887+Sens!$J$1889+Sens!$J$1891+Sens!$J$1893+Sens!$J$1895+Sens!$J$1897</f>
        <v>861.736822325785</v>
      </c>
      <c r="K1899" s="38" t="n">
        <f aca="false">Sens!$K$1887+Sens!$K$1889+Sens!$K$1891+Sens!$K$1893+Sens!$K$1895+Sens!$K$1897</f>
        <v>917.557492101925</v>
      </c>
      <c r="L1899" s="38" t="n">
        <f aca="false">Sens!$L$1887+Sens!$L$1889+Sens!$L$1891+Sens!$L$1893+Sens!$L$1895+Sens!$L$1897</f>
        <v>977.285089743165</v>
      </c>
      <c r="M1899" s="38" t="n">
        <f aca="false">Sens!$M$1887+Sens!$M$1889+Sens!$M$1891+Sens!$M$1893+Sens!$M$1895+Sens!$M$1897</f>
        <v>1041.2140185435</v>
      </c>
      <c r="N1899" s="38" t="n">
        <f aca="false">Sens!$N$1887+Sens!$N$1889+Sens!$N$1891+Sens!$N$1893+Sens!$N$1895+Sens!$N$1897</f>
        <v>263.229</v>
      </c>
      <c r="O1899" s="38" t="n">
        <f aca="false">Sens!$O$1887+Sens!$O$1889+Sens!$O$1891+Sens!$O$1893+Sens!$O$1895+Sens!$O$1897</f>
        <v>324.97</v>
      </c>
    </row>
    <row r="1900" customFormat="false" ht="17.15" hidden="false" customHeight="false" outlineLevel="0" collapsed="false">
      <c r="A1900" s="5" t="s">
        <v>635</v>
      </c>
      <c r="B1900" s="0" t="s">
        <v>52</v>
      </c>
      <c r="C1900" s="12" t="n">
        <f aca="false">Q!$D$5/(Q!$D$5+Q!$D$6)</f>
        <v>0.730570905519011</v>
      </c>
      <c r="D1900" s="12" t="n">
        <f aca="false">Q!$E$5/(Q!$E$5+Q!$E$6)</f>
        <v>0.724763217890544</v>
      </c>
      <c r="E1900" s="12" t="n">
        <f aca="false">Q!$P$5/(Q!$P$5+Q!$P$6)</f>
        <v>0.728797972914861</v>
      </c>
      <c r="F1900" s="12" t="n">
        <f aca="false">Sens!$O$1900</f>
        <v>0.718066283041511</v>
      </c>
      <c r="G1900" s="12" t="n">
        <f aca="false">Sens!$G$1901/Sens!$G$1899</f>
        <v>0.722987468473627</v>
      </c>
      <c r="H1900" s="12" t="n">
        <f aca="false">Sens!$G$1900</f>
        <v>0.722987468473627</v>
      </c>
      <c r="I1900" s="12" t="n">
        <f aca="false">Sens!$G$1900</f>
        <v>0.722987468473627</v>
      </c>
      <c r="J1900" s="12" t="n">
        <f aca="false">Sens!$G$1900</f>
        <v>0.722987468473627</v>
      </c>
      <c r="K1900" s="12" t="n">
        <f aca="false">Sens!$G$1900</f>
        <v>0.722987468473627</v>
      </c>
      <c r="L1900" s="12" t="n">
        <f aca="false">Sens!$G$1900</f>
        <v>0.722987468473627</v>
      </c>
      <c r="M1900" s="12" t="n">
        <f aca="false">Sens!$G$1900</f>
        <v>0.722987468473627</v>
      </c>
      <c r="N1900" s="12" t="n">
        <f aca="false">Q!$N$5/(Q!$N$5+Q!$N$6)</f>
        <v>0.733030935041352</v>
      </c>
      <c r="O1900" s="12" t="n">
        <f aca="false">Q!$O$5/(Q!$O$5+Q!$O$6)</f>
        <v>0.718066283041511</v>
      </c>
      <c r="P1900" s="8" t="s">
        <v>636</v>
      </c>
    </row>
    <row r="1901" customFormat="false" ht="17.15" hidden="false" customHeight="false" outlineLevel="0" collapsed="false">
      <c r="A1901" s="1" t="s">
        <v>472</v>
      </c>
      <c r="B1901" s="8" t="s">
        <v>73</v>
      </c>
      <c r="C1901" s="38" t="n">
        <f aca="false">Q!$D$5</f>
        <v>387.497</v>
      </c>
      <c r="D1901" s="38" t="n">
        <f aca="false">Q!$E$5</f>
        <v>426.305</v>
      </c>
      <c r="E1901" s="38" t="n">
        <f aca="false">Q!$P$5</f>
        <v>220.32</v>
      </c>
      <c r="F1901" s="38" t="n">
        <f aca="false">Sens!$F$1899*Sens!$F$1900</f>
        <v>256.304015003807</v>
      </c>
      <c r="G1901" s="38" t="n">
        <f aca="false">Sens!$E$1901+Sens!$F$1901</f>
        <v>476.624015003807</v>
      </c>
      <c r="H1901" s="38" t="n">
        <f aca="false">Sens!$H$1899*Sens!$H$1900</f>
        <v>527.734391091543</v>
      </c>
      <c r="I1901" s="38" t="n">
        <f aca="false">Sens!$I$1899*Sens!$I$1900</f>
        <v>577.157693029577</v>
      </c>
      <c r="J1901" s="38" t="n">
        <f aca="false">Sens!$J$1899*Sens!$J$1900</f>
        <v>623.024923663827</v>
      </c>
      <c r="K1901" s="38" t="n">
        <f aca="false">Sens!$K$1899*Sens!$K$1900</f>
        <v>663.382568393781</v>
      </c>
      <c r="L1901" s="38" t="n">
        <f aca="false">Sens!$L$1899*Sens!$L$1900</f>
        <v>706.564873010432</v>
      </c>
      <c r="M1901" s="38" t="n">
        <f aca="false">Sens!$M$1899*Sens!$M$1900</f>
        <v>752.784687406019</v>
      </c>
      <c r="N1901" s="38" t="n">
        <f aca="false">Q!$N$5</f>
        <v>192.955</v>
      </c>
      <c r="O1901" s="38" t="n">
        <f aca="false">Q!$O$5</f>
        <v>233.35</v>
      </c>
      <c r="P1901" s="5" t="s">
        <v>637</v>
      </c>
    </row>
    <row r="1902" customFormat="false" ht="17.15" hidden="false" customHeight="false" outlineLevel="0" collapsed="false">
      <c r="A1902" s="1" t="s">
        <v>475</v>
      </c>
      <c r="B1902" s="8" t="s">
        <v>73</v>
      </c>
      <c r="C1902" s="38" t="n">
        <f aca="false">Q!$D$6</f>
        <v>142.906</v>
      </c>
      <c r="D1902" s="38" t="n">
        <f aca="false">Q!$E$6</f>
        <v>161.894</v>
      </c>
      <c r="E1902" s="38" t="n">
        <f aca="false">Q!$P$6</f>
        <v>81.986</v>
      </c>
      <c r="F1902" s="38" t="n">
        <f aca="false">Sens!$F$1899*(1-Sens!$F$1900)</f>
        <v>100.632414204623</v>
      </c>
      <c r="G1902" s="38" t="n">
        <f aca="false">Sens!$E$1902+Sens!$F$1902</f>
        <v>182.618414204623</v>
      </c>
      <c r="H1902" s="38" t="n">
        <f aca="false">Sens!$H$1899*(1-Sens!$H$1900)</f>
        <v>202.201346530158</v>
      </c>
      <c r="I1902" s="38" t="n">
        <f aca="false">Sens!$I$1899*(1-Sens!$I$1900)</f>
        <v>221.137876668296</v>
      </c>
      <c r="J1902" s="38" t="n">
        <f aca="false">Sens!$J$1899*(1-Sens!$J$1900)</f>
        <v>238.711898661958</v>
      </c>
      <c r="K1902" s="38" t="n">
        <f aca="false">Sens!$K$1899*(1-Sens!$K$1900)</f>
        <v>254.174923708144</v>
      </c>
      <c r="L1902" s="38" t="n">
        <f aca="false">Sens!$L$1899*(1-Sens!$L$1900)</f>
        <v>270.720216732733</v>
      </c>
      <c r="M1902" s="38" t="n">
        <f aca="false">Sens!$M$1899*(1-Sens!$M$1900)</f>
        <v>288.429331137484</v>
      </c>
      <c r="N1902" s="38" t="n">
        <f aca="false">Q!$N$6</f>
        <v>70.274</v>
      </c>
      <c r="O1902" s="38" t="n">
        <f aca="false">Q!$O$6</f>
        <v>91.62</v>
      </c>
      <c r="P1902" s="5" t="s">
        <v>638</v>
      </c>
    </row>
    <row r="1903" customFormat="false" ht="17.15" hidden="false" customHeight="false" outlineLevel="0" collapsed="false">
      <c r="A1903" s="5" t="s">
        <v>639</v>
      </c>
      <c r="B1903" s="0" t="s">
        <v>73</v>
      </c>
      <c r="C1903" s="38" t="n">
        <f aca="false">Sens!$C$1893*Sens!$C$1900</f>
        <v>41.0683128828457</v>
      </c>
      <c r="D1903" s="38" t="n">
        <f aca="false">Sens!$D$1893*Sens!$D$1900</f>
        <v>49.7441234599175</v>
      </c>
      <c r="E1903" s="38" t="n">
        <f aca="false">Sens!$E$1893*Sens!$E$1900</f>
        <v>27.0034224924414</v>
      </c>
      <c r="F1903" s="38" t="n">
        <f aca="false">Sens!$F$1893*Sens!$F$1900</f>
        <v>34.5772885649197</v>
      </c>
      <c r="G1903" s="38" t="n">
        <f aca="false">Sens!$G$1893*Sens!$G$1900</f>
        <v>61.6023917531772</v>
      </c>
      <c r="H1903" s="38" t="n">
        <f aca="false">Sens!$H$1893*Sens!$H$1900</f>
        <v>73.9568187320519</v>
      </c>
      <c r="I1903" s="38" t="n">
        <f aca="false">Sens!$I$1893*Sens!$I$1900</f>
        <v>86.3101265625461</v>
      </c>
      <c r="J1903" s="38" t="n">
        <f aca="false">Sens!$J$1893*Sens!$J$1900</f>
        <v>97.8339983977065</v>
      </c>
      <c r="K1903" s="38" t="n">
        <f aca="false">Sens!$K$1893*Sens!$K$1900</f>
        <v>107.617398237477</v>
      </c>
      <c r="L1903" s="38" t="n">
        <f aca="false">Sens!$L$1893*Sens!$L$1900</f>
        <v>118.379138061225</v>
      </c>
      <c r="M1903" s="38" t="n">
        <f aca="false">Sens!$M$1893*Sens!$M$1900</f>
        <v>130.217051867347</v>
      </c>
      <c r="N1903" s="38" t="n">
        <f aca="false">Sens!$N$1893*Sens!$N$1900</f>
        <v>21.7087111412496</v>
      </c>
      <c r="O1903" s="38" t="n">
        <f aca="false">Sens!$O$1893*Sens!$O$1900</f>
        <v>28.0189463642798</v>
      </c>
      <c r="P1903" s="5" t="s">
        <v>640</v>
      </c>
    </row>
    <row r="1904" customFormat="false" ht="15" hidden="false" customHeight="false" outlineLevel="0" collapsed="false">
      <c r="A1904" s="5" t="s">
        <v>641</v>
      </c>
      <c r="B1904" s="0" t="s">
        <v>73</v>
      </c>
      <c r="C1904" s="38" t="n">
        <f aca="false">Sens!$C$1893-Sens!$C$1903</f>
        <v>15.1456871171543</v>
      </c>
      <c r="D1904" s="38" t="n">
        <f aca="false">Sens!$D$1893-Sens!$D$1903</f>
        <v>18.8908765400825</v>
      </c>
      <c r="E1904" s="38" t="n">
        <f aca="false">Sens!$E$1893-Sens!$E$1903</f>
        <v>10.0485775075586</v>
      </c>
      <c r="F1904" s="38" t="n">
        <f aca="false">Sens!$F$1893-Sens!$F$1903</f>
        <v>13.5760496178185</v>
      </c>
      <c r="G1904" s="38" t="n">
        <f aca="false">Sens!$G$1893-Sens!$G$1903</f>
        <v>23.6029464295611</v>
      </c>
      <c r="H1904" s="38" t="n">
        <f aca="false">Sens!$H$1893-Sens!$H$1903</f>
        <v>28.3365431268884</v>
      </c>
      <c r="I1904" s="38" t="n">
        <f aca="false">Sens!$I$1893-Sens!$I$1903</f>
        <v>33.0697110226949</v>
      </c>
      <c r="J1904" s="38" t="n">
        <f aca="false">Sens!$J$1893-Sens!$J$1903</f>
        <v>37.4850806511378</v>
      </c>
      <c r="K1904" s="38" t="n">
        <f aca="false">Sens!$K$1893-Sens!$K$1903</f>
        <v>41.2335887162515</v>
      </c>
      <c r="L1904" s="38" t="n">
        <f aca="false">Sens!$L$1893-Sens!$L$1903</f>
        <v>45.3569475878767</v>
      </c>
      <c r="M1904" s="38" t="n">
        <f aca="false">Sens!$M$1893-Sens!$M$1903</f>
        <v>49.8926423466644</v>
      </c>
      <c r="N1904" s="38" t="n">
        <f aca="false">Sens!$N$1893-Sens!$N$1903</f>
        <v>7.90628885875037</v>
      </c>
      <c r="O1904" s="38" t="n">
        <f aca="false">Sens!$O$1893-Sens!$O$1903</f>
        <v>11.0010536357202</v>
      </c>
    </row>
    <row r="1905" customFormat="false" ht="19.4" hidden="false" customHeight="false" outlineLevel="0" collapsed="false">
      <c r="A1905" s="31" t="s">
        <v>1084</v>
      </c>
    </row>
    <row r="1906" customFormat="false" ht="17.15" hidden="false" customHeight="false" outlineLevel="0" collapsed="false">
      <c r="A1906" s="6" t="s">
        <v>16</v>
      </c>
      <c r="B1906" s="6" t="s">
        <v>17</v>
      </c>
      <c r="C1906" s="20" t="s">
        <v>457</v>
      </c>
      <c r="D1906" s="20" t="s">
        <v>458</v>
      </c>
      <c r="E1906" s="20" t="s">
        <v>540</v>
      </c>
      <c r="F1906" s="20" t="s">
        <v>541</v>
      </c>
      <c r="G1906" s="20" t="s">
        <v>542</v>
      </c>
      <c r="H1906" s="20" t="s">
        <v>543</v>
      </c>
      <c r="I1906" s="20" t="s">
        <v>544</v>
      </c>
      <c r="J1906" s="20" t="s">
        <v>545</v>
      </c>
      <c r="K1906" s="20" t="s">
        <v>546</v>
      </c>
      <c r="L1906" s="20" t="s">
        <v>547</v>
      </c>
      <c r="M1906" s="20" t="s">
        <v>548</v>
      </c>
      <c r="N1906" s="20" t="s">
        <v>549</v>
      </c>
      <c r="O1906" s="20" t="s">
        <v>550</v>
      </c>
      <c r="P1906" s="6" t="s">
        <v>23</v>
      </c>
      <c r="R1906" s="20" t="n">
        <v>2023</v>
      </c>
      <c r="S1906" s="20" t="n">
        <v>2024</v>
      </c>
      <c r="T1906" s="20" t="n">
        <v>2025</v>
      </c>
      <c r="U1906" s="20" t="n">
        <v>2026</v>
      </c>
      <c r="V1906" s="20" t="n">
        <v>2027</v>
      </c>
      <c r="W1906" s="20" t="n">
        <v>2028</v>
      </c>
      <c r="X1906" s="20" t="n">
        <v>2029</v>
      </c>
      <c r="Y1906" s="20" t="n">
        <v>2030</v>
      </c>
      <c r="Z1906" s="20" t="n">
        <v>2031</v>
      </c>
      <c r="AA1906" s="20" t="n">
        <v>2032</v>
      </c>
    </row>
    <row r="1907" customFormat="false" ht="17.15" hidden="false" customHeight="false" outlineLevel="0" collapsed="false">
      <c r="A1907" s="1" t="s">
        <v>551</v>
      </c>
    </row>
    <row r="1908" customFormat="false" ht="17.15" hidden="false" customHeight="false" outlineLevel="0" collapsed="false">
      <c r="A1908" s="14" t="s">
        <v>552</v>
      </c>
      <c r="B1908" s="13" t="s">
        <v>108</v>
      </c>
      <c r="C1908" s="32" t="n">
        <f aca="false">mw_ye24</f>
        <v>360</v>
      </c>
      <c r="D1908" s="32" t="n">
        <f aca="false">mw_ye25</f>
        <v>1440</v>
      </c>
      <c r="E1908" s="32" t="n">
        <f aca="false">mw_open</f>
        <v>2080</v>
      </c>
      <c r="F1908" s="32" t="n">
        <f aca="false">Sens!$E$1908+pace_B*0.5</f>
        <v>3897.15</v>
      </c>
      <c r="G1908" s="32" t="n">
        <f aca="false">Sens!$F$1908</f>
        <v>3897.15</v>
      </c>
      <c r="H1908" s="32" t="n">
        <f aca="false">Sens!$G$1908+pace_B</f>
        <v>7531.45</v>
      </c>
      <c r="I1908" s="32" t="n">
        <f aca="false">Sens!$H$1908+pace_B</f>
        <v>11165.75</v>
      </c>
      <c r="J1908" s="32" t="n">
        <f aca="false">Sens!$I$1908+pace_B</f>
        <v>14800.05</v>
      </c>
      <c r="K1908" s="32" t="n">
        <f aca="false">Sens!$J$1908+pace_B</f>
        <v>18434.35</v>
      </c>
      <c r="L1908" s="32" t="n">
        <f aca="false">Sens!$K$1908+pace_B</f>
        <v>22068.65</v>
      </c>
      <c r="M1908" s="32" t="n">
        <f aca="false">Sens!$L$1908+pace_B</f>
        <v>25702.95</v>
      </c>
      <c r="N1908" s="32" t="n">
        <f aca="false">(mw_ye24+mw_ye25)/2</f>
        <v>900</v>
      </c>
      <c r="O1908" s="32" t="n">
        <f aca="false">mw_ye25</f>
        <v>1440</v>
      </c>
      <c r="P1908" s="5" t="s">
        <v>553</v>
      </c>
    </row>
    <row r="1909" customFormat="false" ht="17.15" hidden="false" customHeight="false" outlineLevel="0" collapsed="false">
      <c r="A1909" s="5" t="s">
        <v>554</v>
      </c>
      <c r="B1909" s="0" t="s">
        <v>108</v>
      </c>
      <c r="C1909" s="33" t="n">
        <f aca="false">(mw_ye23+mw_ye24)/2</f>
        <v>240</v>
      </c>
      <c r="D1909" s="33" t="n">
        <f aca="false">(Sens!$C$1908+Sens!$D$1908)/2</f>
        <v>900</v>
      </c>
      <c r="E1909" s="33" t="n">
        <f aca="false">(Sens!$D$1908+Sens!$E$1908)/2</f>
        <v>1760</v>
      </c>
      <c r="F1909" s="33" t="n">
        <f aca="false">(Sens!$E$1908+Sens!$F$1908)/2</f>
        <v>2988.575</v>
      </c>
      <c r="G1909" s="33" t="n">
        <f aca="false">(Sens!$E$1909+Sens!$F$1909)/2</f>
        <v>2374.2875</v>
      </c>
      <c r="H1909" s="33" t="n">
        <f aca="false">(Sens!$G$1908+Sens!$H$1908)/2</f>
        <v>5714.3</v>
      </c>
      <c r="I1909" s="33" t="n">
        <f aca="false">(Sens!$H$1908+Sens!$I$1908)/2</f>
        <v>9348.6</v>
      </c>
      <c r="J1909" s="33" t="n">
        <f aca="false">(Sens!$I$1908+Sens!$J$1908)/2</f>
        <v>12982.9</v>
      </c>
      <c r="K1909" s="33" t="n">
        <f aca="false">(Sens!$J$1908+Sens!$K$1908)/2</f>
        <v>16617.2</v>
      </c>
      <c r="L1909" s="33" t="n">
        <f aca="false">(Sens!$K$1908+Sens!$L$1908)/2</f>
        <v>20251.5</v>
      </c>
      <c r="M1909" s="33" t="n">
        <f aca="false">(Sens!$L$1908+Sens!$M$1908)/2</f>
        <v>23885.8</v>
      </c>
      <c r="N1909" s="33" t="n">
        <f aca="false">(Sens!$C$1908+Sens!$N$1908)/2</f>
        <v>630</v>
      </c>
      <c r="O1909" s="33" t="n">
        <f aca="false">(Sens!$N$1908+Sens!$O$1908)/2</f>
        <v>1170</v>
      </c>
    </row>
    <row r="1910" customFormat="false" ht="15" hidden="false" customHeight="false" outlineLevel="0" collapsed="false">
      <c r="A1910" s="5" t="s">
        <v>555</v>
      </c>
      <c r="B1910" s="5" t="s">
        <v>102</v>
      </c>
      <c r="C1910" s="34" t="n">
        <v>1</v>
      </c>
      <c r="D1910" s="34" t="n">
        <v>1</v>
      </c>
      <c r="E1910" s="34" t="n">
        <v>0.5</v>
      </c>
      <c r="F1910" s="34" t="n">
        <v>0.5</v>
      </c>
      <c r="G1910" s="34" t="n">
        <v>1</v>
      </c>
      <c r="H1910" s="34" t="n">
        <v>1</v>
      </c>
      <c r="I1910" s="34" t="n">
        <v>1</v>
      </c>
      <c r="J1910" s="34" t="n">
        <v>1</v>
      </c>
      <c r="K1910" s="34" t="n">
        <v>1</v>
      </c>
      <c r="L1910" s="34" t="n">
        <v>1</v>
      </c>
      <c r="M1910" s="34" t="n">
        <v>1</v>
      </c>
      <c r="N1910" s="34" t="n">
        <v>0.5</v>
      </c>
      <c r="O1910" s="34" t="n">
        <v>0.5</v>
      </c>
    </row>
    <row r="1911" customFormat="false" ht="17.15" hidden="false" customHeight="false" outlineLevel="0" collapsed="false">
      <c r="A1911" s="5" t="s">
        <v>556</v>
      </c>
      <c r="B1911" s="0" t="s">
        <v>108</v>
      </c>
      <c r="C1911" s="33" t="n">
        <f aca="false">Sens!$C$1908-mw_ye23</f>
        <v>240</v>
      </c>
      <c r="D1911" s="33" t="n">
        <f aca="false">Sens!$D$1908-Sens!$C$1908</f>
        <v>1080</v>
      </c>
      <c r="E1911" s="33" t="n">
        <f aca="false">Sens!$E$1908-Sens!$D$1908</f>
        <v>640</v>
      </c>
      <c r="F1911" s="33" t="n">
        <f aca="false">Sens!$F$1908-Sens!$E$1908</f>
        <v>1817.15</v>
      </c>
      <c r="G1911" s="33" t="n">
        <f aca="false">Sens!$E$1911+Sens!$F$1911</f>
        <v>2457.15</v>
      </c>
      <c r="H1911" s="33" t="n">
        <f aca="false">Sens!$H$1908-Sens!$G$1908</f>
        <v>3634.3</v>
      </c>
      <c r="I1911" s="33" t="n">
        <f aca="false">Sens!$I$1908-Sens!$H$1908</f>
        <v>3634.3</v>
      </c>
      <c r="J1911" s="33" t="n">
        <f aca="false">Sens!$J$1908-Sens!$I$1908</f>
        <v>3634.3</v>
      </c>
      <c r="K1911" s="33" t="n">
        <f aca="false">Sens!$K$1908-Sens!$J$1908</f>
        <v>3634.3</v>
      </c>
      <c r="L1911" s="33" t="n">
        <f aca="false">Sens!$L$1908-Sens!$K$1908</f>
        <v>3634.3</v>
      </c>
      <c r="M1911" s="33" t="n">
        <f aca="false">Sens!$M$1908-Sens!$L$1908</f>
        <v>3634.3</v>
      </c>
      <c r="N1911" s="33" t="n">
        <f aca="false">Sens!$N$1908-Sens!$C$1908</f>
        <v>540</v>
      </c>
      <c r="O1911" s="33" t="n">
        <f aca="false">Sens!$O$1908-Sens!$N$1908</f>
        <v>540</v>
      </c>
    </row>
    <row r="1912" customFormat="false" ht="17.15" hidden="false" customHeight="false" outlineLevel="0" collapsed="false">
      <c r="A1912" s="5" t="s">
        <v>557</v>
      </c>
      <c r="B1912" s="0" t="s">
        <v>108</v>
      </c>
      <c r="C1912" s="33" t="n">
        <f aca="false">Sens!$C$1911/ext_sh</f>
        <v>300</v>
      </c>
      <c r="D1912" s="33" t="n">
        <f aca="false">Sens!$D$1911/ext_sh</f>
        <v>1350</v>
      </c>
      <c r="E1912" s="33" t="n">
        <f aca="false">Sens!$E$1911/ext_sh</f>
        <v>800</v>
      </c>
      <c r="F1912" s="33" t="n">
        <f aca="false">Sens!$F$1911/ext_sh</f>
        <v>2271.4375</v>
      </c>
      <c r="G1912" s="33" t="n">
        <f aca="false">Sens!$G$1911/ext_sh</f>
        <v>3071.4375</v>
      </c>
      <c r="H1912" s="33" t="n">
        <f aca="false">Sens!$H$1911/ext_sh</f>
        <v>4542.875</v>
      </c>
      <c r="I1912" s="33" t="n">
        <f aca="false">Sens!$I$1911/ext_sh</f>
        <v>4542.875</v>
      </c>
      <c r="J1912" s="33" t="n">
        <f aca="false">Sens!$J$1911/ext_sh</f>
        <v>4542.875</v>
      </c>
      <c r="K1912" s="33" t="n">
        <f aca="false">Sens!$K$1911/ext_sh</f>
        <v>4542.875</v>
      </c>
      <c r="L1912" s="33" t="n">
        <f aca="false">Sens!$L$1911/ext_sh</f>
        <v>4542.875</v>
      </c>
      <c r="M1912" s="33" t="n">
        <f aca="false">Sens!$M$1911/ext_sh</f>
        <v>4542.875</v>
      </c>
      <c r="N1912" s="33" t="n">
        <f aca="false">Sens!$N$1911/ext_sh</f>
        <v>675</v>
      </c>
      <c r="O1912" s="33" t="n">
        <f aca="false">Sens!$O$1911/ext_sh</f>
        <v>675</v>
      </c>
      <c r="P1912" s="8" t="s">
        <v>558</v>
      </c>
      <c r="R1912" s="33" t="n">
        <f aca="false">mw_ye23/ext_sh</f>
        <v>150</v>
      </c>
      <c r="S1912" s="33" t="n">
        <f aca="false">Sens!$C$1912</f>
        <v>300</v>
      </c>
      <c r="T1912" s="33" t="n">
        <f aca="false">Sens!$D$1912</f>
        <v>1350</v>
      </c>
      <c r="U1912" s="33" t="n">
        <f aca="false">Sens!$G$1912</f>
        <v>3071.4375</v>
      </c>
      <c r="V1912" s="33" t="n">
        <f aca="false">Sens!$H$1912</f>
        <v>4542.875</v>
      </c>
      <c r="W1912" s="33" t="n">
        <f aca="false">Sens!$I$1912</f>
        <v>4542.875</v>
      </c>
      <c r="X1912" s="33" t="n">
        <f aca="false">Sens!$J$1912</f>
        <v>4542.875</v>
      </c>
      <c r="Y1912" s="33" t="n">
        <f aca="false">Sens!$K$1912</f>
        <v>4542.875</v>
      </c>
      <c r="Z1912" s="33" t="n">
        <f aca="false">Sens!$L$1912</f>
        <v>4542.875</v>
      </c>
      <c r="AA1912" s="33" t="n">
        <f aca="false">Sens!$M$1912</f>
        <v>4542.875</v>
      </c>
    </row>
    <row r="1913" customFormat="false" ht="17.15" hidden="false" customHeight="false" outlineLevel="0" collapsed="false">
      <c r="A1913" s="1" t="s">
        <v>559</v>
      </c>
    </row>
    <row r="1914" customFormat="false" ht="17.15" hidden="false" customHeight="false" outlineLevel="0" collapsed="false">
      <c r="A1914" s="0" t="s">
        <v>560</v>
      </c>
      <c r="B1914" s="0" t="s">
        <v>52</v>
      </c>
      <c r="F1914" s="35" t="n">
        <f aca="false">na_vr26</f>
        <v>0</v>
      </c>
      <c r="G1914" s="35" t="n">
        <f aca="false">na_vr26</f>
        <v>0</v>
      </c>
      <c r="H1914" s="35" t="n">
        <f aca="false">na_vr27</f>
        <v>0.5</v>
      </c>
      <c r="I1914" s="35" t="n">
        <f aca="false">na_vr28</f>
        <v>1</v>
      </c>
      <c r="J1914" s="35" t="n">
        <f aca="false">na_vr28</f>
        <v>1</v>
      </c>
      <c r="K1914" s="35" t="n">
        <f aca="false">na_vr28</f>
        <v>1</v>
      </c>
      <c r="L1914" s="35" t="n">
        <f aca="false">na_vr28</f>
        <v>1</v>
      </c>
      <c r="M1914" s="35" t="n">
        <f aca="false">na_vr28</f>
        <v>1</v>
      </c>
    </row>
    <row r="1915" customFormat="false" ht="17.15" hidden="false" customHeight="false" outlineLevel="0" collapsed="false">
      <c r="A1915" s="5" t="s">
        <v>561</v>
      </c>
      <c r="B1915" s="0" t="s">
        <v>151</v>
      </c>
      <c r="F1915" s="36" t="n">
        <f aca="false">cust_sh*tk_he_gb300*cf_chip+(1-cust_sh)*((1-Sens!$F$1914)*tk_he_gb300+Sens!$F$1914*tk_he_vr200)</f>
        <v>10.8864110021101</v>
      </c>
      <c r="G1915" s="36" t="n">
        <f aca="false">cust_sh*tk_he_gb300*cf_chip+(1-cust_sh)*((1-Sens!$G$1914)*tk_he_gb300+Sens!$G$1914*tk_he_vr200)</f>
        <v>10.8864110021101</v>
      </c>
      <c r="H1915" s="36" t="n">
        <f aca="false">cust_sh*tk_he_gb300*cf_chip+(1-cust_sh)*((1-Sens!$H$1914)*tk_he_gb300+Sens!$H$1914*tk_he_vr200)</f>
        <v>11.2211760027286</v>
      </c>
      <c r="I1915" s="36" t="n">
        <f aca="false">cust_sh*tk_he_gb300*cf_chip+(1-cust_sh)*((1-Sens!$I$1914)*tk_he_gb300+Sens!$I$1914*tk_he_vr200)</f>
        <v>11.5559410033471</v>
      </c>
      <c r="J1915" s="36" t="n">
        <f aca="false">cust_sh*tk_he_gb300*cf_chip+(1-cust_sh)*((1-Sens!$J$1914)*tk_he_gb300+Sens!$J$1914*tk_he_vr200)</f>
        <v>11.5559410033471</v>
      </c>
      <c r="K1915" s="36" t="n">
        <f aca="false">cust_sh*tk_he_gb300*cf_chip+(1-cust_sh)*((1-Sens!$K$1914)*tk_he_gb300+Sens!$K$1914*tk_he_vr200)</f>
        <v>11.5559410033471</v>
      </c>
      <c r="L1915" s="36" t="n">
        <f aca="false">cust_sh*tk_he_gb300*cf_chip+(1-cust_sh)*((1-Sens!$L$1914)*tk_he_gb300+Sens!$L$1914*tk_he_vr200)</f>
        <v>11.5559410033471</v>
      </c>
      <c r="M1915" s="36" t="n">
        <f aca="false">cust_sh*tk_he_gb300*cf_chip+(1-cust_sh)*((1-Sens!$M$1914)*tk_he_gb300+Sens!$M$1914*tk_he_vr200)</f>
        <v>11.5559410033471</v>
      </c>
    </row>
    <row r="1916" customFormat="false" ht="17.15" hidden="false" customHeight="false" outlineLevel="0" collapsed="false">
      <c r="A1916" s="5" t="s">
        <v>562</v>
      </c>
      <c r="B1916" s="0" t="s">
        <v>151</v>
      </c>
      <c r="F1916" s="36" t="n">
        <f aca="false">cust_sh*tk_ox_gb300+(1-cust_sh)*((1-Sens!$F$1914)*tk_ox_gb300+Sens!$F$1914*tk_ox_vr200)</f>
        <v>1.98263481314457</v>
      </c>
      <c r="G1916" s="36" t="n">
        <f aca="false">cust_sh*tk_ox_gb300+(1-cust_sh)*((1-Sens!$G$1914)*tk_ox_gb300+Sens!$G$1914*tk_ox_vr200)</f>
        <v>1.98263481314457</v>
      </c>
      <c r="H1916" s="36" t="n">
        <f aca="false">cust_sh*tk_ox_gb300+(1-cust_sh)*((1-Sens!$H$1914)*tk_ox_gb300+Sens!$H$1914*tk_ox_vr200)</f>
        <v>2.01034999693694</v>
      </c>
      <c r="I1916" s="36" t="n">
        <f aca="false">cust_sh*tk_ox_gb300+(1-cust_sh)*((1-Sens!$I$1914)*tk_ox_gb300+Sens!$I$1914*tk_ox_vr200)</f>
        <v>2.0380651807293</v>
      </c>
      <c r="J1916" s="36" t="n">
        <f aca="false">cust_sh*tk_ox_gb300+(1-cust_sh)*((1-Sens!$J$1914)*tk_ox_gb300+Sens!$J$1914*tk_ox_vr200)</f>
        <v>2.0380651807293</v>
      </c>
      <c r="K1916" s="36" t="n">
        <f aca="false">cust_sh*tk_ox_gb300+(1-cust_sh)*((1-Sens!$K$1914)*tk_ox_gb300+Sens!$K$1914*tk_ox_vr200)</f>
        <v>2.0380651807293</v>
      </c>
      <c r="L1916" s="36" t="n">
        <f aca="false">cust_sh*tk_ox_gb300+(1-cust_sh)*((1-Sens!$L$1914)*tk_ox_gb300+Sens!$L$1914*tk_ox_vr200)</f>
        <v>2.0380651807293</v>
      </c>
      <c r="M1916" s="36" t="n">
        <f aca="false">cust_sh*tk_ox_gb300+(1-cust_sh)*((1-Sens!$M$1914)*tk_ox_gb300+Sens!$M$1914*tk_ox_vr200)</f>
        <v>2.0380651807293</v>
      </c>
    </row>
    <row r="1917" customFormat="false" ht="17.15" hidden="false" customHeight="false" outlineLevel="0" collapsed="false">
      <c r="A1917" s="5" t="s">
        <v>563</v>
      </c>
      <c r="B1917" s="0" t="s">
        <v>170</v>
      </c>
      <c r="F1917" s="36" t="n">
        <f aca="false">cust_sh*tk_cx_gb300*cf_cx+(1-cust_sh)*((1-Sens!$F$1914)*tk_cx_gb300+Sens!$F$1914*tk_cx_vr200)</f>
        <v>32.237224</v>
      </c>
      <c r="G1917" s="36" t="n">
        <f aca="false">cust_sh*tk_cx_gb300*cf_cx+(1-cust_sh)*((1-Sens!$G$1914)*tk_cx_gb300+Sens!$G$1914*tk_cx_vr200)</f>
        <v>32.237224</v>
      </c>
      <c r="H1917" s="36" t="n">
        <f aca="false">cust_sh*tk_cx_gb300*cf_cx+(1-cust_sh)*((1-Sens!$H$1914)*tk_cx_gb300+Sens!$H$1914*tk_cx_vr200)</f>
        <v>33.574506</v>
      </c>
      <c r="I1917" s="36" t="n">
        <f aca="false">cust_sh*tk_cx_gb300*cf_cx+(1-cust_sh)*((1-Sens!$I$1914)*tk_cx_gb300+Sens!$I$1914*tk_cx_vr200)</f>
        <v>34.911788</v>
      </c>
      <c r="J1917" s="36" t="n">
        <f aca="false">cust_sh*tk_cx_gb300*cf_cx+(1-cust_sh)*((1-Sens!$J$1914)*tk_cx_gb300+Sens!$J$1914*tk_cx_vr200)</f>
        <v>34.911788</v>
      </c>
      <c r="K1917" s="36" t="n">
        <f aca="false">cust_sh*tk_cx_gb300*cf_cx+(1-cust_sh)*((1-Sens!$K$1914)*tk_cx_gb300+Sens!$K$1914*tk_cx_vr200)</f>
        <v>34.911788</v>
      </c>
      <c r="L1917" s="36" t="n">
        <f aca="false">cust_sh*tk_cx_gb300*cf_cx+(1-cust_sh)*((1-Sens!$L$1914)*tk_cx_gb300+Sens!$L$1914*tk_cx_vr200)</f>
        <v>34.911788</v>
      </c>
      <c r="M1917" s="36" t="n">
        <f aca="false">cust_sh*tk_cx_gb300*cf_cx+(1-cust_sh)*((1-Sens!$M$1914)*tk_cx_gb300+Sens!$M$1914*tk_cx_vr200)</f>
        <v>34.911788</v>
      </c>
    </row>
    <row r="1918" customFormat="false" ht="17.15" hidden="false" customHeight="false" outlineLevel="0" collapsed="false">
      <c r="A1918" s="5" t="s">
        <v>564</v>
      </c>
      <c r="B1918" s="0" t="s">
        <v>108</v>
      </c>
      <c r="F1918" s="33" t="n">
        <f aca="false">Sens!$F$1908-mw_open</f>
        <v>1817.15</v>
      </c>
      <c r="G1918" s="33" t="n">
        <f aca="false">Sens!$F$1918</f>
        <v>1817.15</v>
      </c>
      <c r="H1918" s="33" t="n">
        <f aca="false">Sens!$H$1908-mw_open</f>
        <v>5451.45</v>
      </c>
      <c r="I1918" s="33" t="n">
        <f aca="false">Sens!$I$1908-mw_open</f>
        <v>9085.75</v>
      </c>
      <c r="J1918" s="33" t="n">
        <f aca="false">Sens!$J$1908-mw_open</f>
        <v>12720.05</v>
      </c>
      <c r="K1918" s="33" t="n">
        <f aca="false">Sens!$K$1908-mw_open</f>
        <v>16354.35</v>
      </c>
      <c r="L1918" s="33" t="n">
        <f aca="false">Sens!$L$1908-mw_open</f>
        <v>19988.65</v>
      </c>
      <c r="M1918" s="33" t="n">
        <f aca="false">Sens!$M$1908-mw_open</f>
        <v>23622.95</v>
      </c>
    </row>
    <row r="1919" customFormat="false" ht="17.15" hidden="false" customHeight="false" outlineLevel="0" collapsed="false">
      <c r="A1919" s="0" t="s">
        <v>565</v>
      </c>
      <c r="B1919" s="0" t="s">
        <v>566</v>
      </c>
      <c r="F1919" s="33" t="n">
        <f aca="false">Sens!$F$1911*Sens!$F$1915</f>
        <v>19782.2417524844</v>
      </c>
      <c r="G1919" s="33" t="n">
        <f aca="false">Sens!$F$1919</f>
        <v>19782.2417524844</v>
      </c>
      <c r="H1919" s="33" t="n">
        <f aca="false">Sens!$G$1919+Sens!$H$1911*Sens!$H$1915</f>
        <v>60563.3616992009</v>
      </c>
      <c r="I1919" s="33" t="n">
        <f aca="false">Sens!$H$1919+Sens!$I$1911*Sens!$I$1915</f>
        <v>102561.118087665</v>
      </c>
      <c r="J1919" s="33" t="n">
        <f aca="false">Sens!$I$1919+Sens!$J$1911*Sens!$J$1915</f>
        <v>144558.87447613</v>
      </c>
      <c r="K1919" s="33" t="n">
        <f aca="false">Sens!$J$1919+Sens!$K$1911*Sens!$K$1915</f>
        <v>186556.630864594</v>
      </c>
      <c r="L1919" s="33" t="n">
        <f aca="false">Sens!$K$1919+Sens!$L$1911*Sens!$L$1915</f>
        <v>228554.387253058</v>
      </c>
      <c r="M1919" s="33" t="n">
        <f aca="false">Sens!$L$1919+Sens!$M$1911*Sens!$M$1915</f>
        <v>270552.143641523</v>
      </c>
    </row>
    <row r="1920" customFormat="false" ht="17.15" hidden="false" customHeight="false" outlineLevel="0" collapsed="false">
      <c r="A1920" s="0" t="s">
        <v>567</v>
      </c>
      <c r="B1920" s="0" t="s">
        <v>566</v>
      </c>
      <c r="F1920" s="33" t="n">
        <f aca="false">Sens!$F$1911*Sens!$F$1916</f>
        <v>3602.74485070566</v>
      </c>
      <c r="G1920" s="33" t="n">
        <f aca="false">Sens!$F$1920</f>
        <v>3602.74485070566</v>
      </c>
      <c r="H1920" s="33" t="n">
        <f aca="false">Sens!$G$1920+Sens!$H$1911*Sens!$H$1916</f>
        <v>10908.9598445736</v>
      </c>
      <c r="I1920" s="33" t="n">
        <f aca="false">Sens!$H$1920+Sens!$I$1911*Sens!$I$1916</f>
        <v>18315.9001308981</v>
      </c>
      <c r="J1920" s="33" t="n">
        <f aca="false">Sens!$I$1920+Sens!$J$1911*Sens!$J$1916</f>
        <v>25722.8404172225</v>
      </c>
      <c r="K1920" s="33" t="n">
        <f aca="false">Sens!$J$1920+Sens!$K$1911*Sens!$K$1916</f>
        <v>33129.780703547</v>
      </c>
      <c r="L1920" s="33" t="n">
        <f aca="false">Sens!$K$1920+Sens!$L$1911*Sens!$L$1916</f>
        <v>40536.7209898715</v>
      </c>
      <c r="M1920" s="33" t="n">
        <f aca="false">Sens!$L$1920+Sens!$M$1911*Sens!$M$1916</f>
        <v>47943.661276196</v>
      </c>
    </row>
    <row r="1921" customFormat="false" ht="17.15" hidden="false" customHeight="false" outlineLevel="0" collapsed="false">
      <c r="A1921" s="5" t="s">
        <v>568</v>
      </c>
      <c r="B1921" s="0" t="s">
        <v>151</v>
      </c>
      <c r="F1921" s="36" t="n">
        <f aca="false">IF(Sens!$F$1918&gt;0,Sens!$F$1919/Sens!$F$1918,Sens!$F$1915)</f>
        <v>10.8864110021101</v>
      </c>
      <c r="G1921" s="36" t="n">
        <f aca="false">IF(Sens!$G$1918&gt;0,Sens!$G$1919/Sens!$G$1918,Sens!$G$1915)</f>
        <v>10.8864110021101</v>
      </c>
      <c r="H1921" s="36" t="n">
        <f aca="false">IF(Sens!$H$1918&gt;0,Sens!$H$1919/Sens!$H$1918,Sens!$H$1915)</f>
        <v>11.1095876691891</v>
      </c>
      <c r="I1921" s="36" t="n">
        <f aca="false">IF(Sens!$I$1918&gt;0,Sens!$I$1919/Sens!$I$1918,Sens!$I$1915)</f>
        <v>11.2881290028523</v>
      </c>
      <c r="J1921" s="36" t="n">
        <f aca="false">IF(Sens!$J$1918&gt;0,Sens!$J$1919/Sens!$J$1918,Sens!$J$1915)</f>
        <v>11.3646467172794</v>
      </c>
      <c r="K1921" s="36" t="n">
        <f aca="false">IF(Sens!$K$1918&gt;0,Sens!$K$1919/Sens!$K$1918,Sens!$K$1915)</f>
        <v>11.4071565586278</v>
      </c>
      <c r="L1921" s="36" t="n">
        <f aca="false">IF(Sens!$L$1918&gt;0,Sens!$L$1919/Sens!$L$1918,Sens!$L$1915)</f>
        <v>11.4342082758495</v>
      </c>
      <c r="M1921" s="36" t="n">
        <f aca="false">IF(Sens!$M$1918&gt;0,Sens!$M$1919/Sens!$M$1918,Sens!$M$1915)</f>
        <v>11.4529363877722</v>
      </c>
    </row>
    <row r="1922" customFormat="false" ht="17.15" hidden="false" customHeight="false" outlineLevel="0" collapsed="false">
      <c r="A1922" s="5" t="s">
        <v>569</v>
      </c>
      <c r="B1922" s="0" t="s">
        <v>151</v>
      </c>
      <c r="F1922" s="36" t="n">
        <f aca="false">IF(Sens!$F$1918&gt;0,Sens!$F$1920/Sens!$F$1918,Sens!$F$1916)</f>
        <v>1.98263481314457</v>
      </c>
      <c r="G1922" s="36" t="n">
        <f aca="false">IF(Sens!$G$1918&gt;0,Sens!$G$1920/Sens!$G$1918,Sens!$G$1916)</f>
        <v>1.98263481314457</v>
      </c>
      <c r="H1922" s="36" t="n">
        <f aca="false">IF(Sens!$H$1918&gt;0,Sens!$H$1920/Sens!$H$1918,Sens!$H$1916)</f>
        <v>2.00111160233948</v>
      </c>
      <c r="I1922" s="36" t="n">
        <f aca="false">IF(Sens!$I$1918&gt;0,Sens!$I$1920/Sens!$I$1918,Sens!$I$1916)</f>
        <v>2.01589303369541</v>
      </c>
      <c r="J1922" s="36" t="n">
        <f aca="false">IF(Sens!$J$1918&gt;0,Sens!$J$1920/Sens!$J$1918,Sens!$J$1916)</f>
        <v>2.02222793284795</v>
      </c>
      <c r="K1922" s="36" t="n">
        <f aca="false">IF(Sens!$K$1918&gt;0,Sens!$K$1920/Sens!$K$1918,Sens!$K$1916)</f>
        <v>2.02574732126603</v>
      </c>
      <c r="L1922" s="36" t="n">
        <f aca="false">IF(Sens!$L$1918&gt;0,Sens!$L$1920/Sens!$L$1918,Sens!$L$1916)</f>
        <v>2.02798693207753</v>
      </c>
      <c r="M1922" s="36" t="n">
        <f aca="false">IF(Sens!$M$1918&gt;0,Sens!$M$1920/Sens!$M$1918,Sens!$M$1916)</f>
        <v>2.02953743187011</v>
      </c>
    </row>
    <row r="1923" customFormat="false" ht="17.15" hidden="false" customHeight="false" outlineLevel="0" collapsed="false">
      <c r="A1923" s="14" t="s">
        <v>570</v>
      </c>
      <c r="B1923" s="13" t="s">
        <v>151</v>
      </c>
      <c r="C1923" s="13"/>
      <c r="D1923" s="13"/>
      <c r="E1923" s="13"/>
      <c r="F1923" s="37" t="n">
        <f aca="false">Sens!$F$1921*k_B</f>
        <v>10.7987645808025</v>
      </c>
      <c r="G1923" s="37" t="n">
        <f aca="false">Sens!$G$1921*k_B</f>
        <v>10.7987645808025</v>
      </c>
      <c r="H1923" s="37" t="n">
        <f aca="false">Sens!$H$1921*k_B</f>
        <v>11.0201444540452</v>
      </c>
      <c r="I1923" s="37" t="n">
        <f aca="false">Sens!$I$1921*k_B</f>
        <v>11.1972483526393</v>
      </c>
      <c r="J1923" s="37" t="n">
        <f aca="false">Sens!$J$1921*k_B</f>
        <v>11.2731500234653</v>
      </c>
      <c r="K1923" s="37" t="n">
        <f aca="false">Sens!$K$1921*k_B</f>
        <v>11.3153176183687</v>
      </c>
      <c r="L1923" s="37" t="n">
        <f aca="false">Sens!$L$1921*k_B</f>
        <v>11.3421515423981</v>
      </c>
      <c r="M1923" s="37" t="n">
        <f aca="false">Sens!$M$1921*k_B</f>
        <v>11.3607288744184</v>
      </c>
      <c r="N1923" s="13"/>
      <c r="O1923" s="13"/>
      <c r="P1923" s="5" t="s">
        <v>571</v>
      </c>
    </row>
    <row r="1924" customFormat="false" ht="17.15" hidden="false" customHeight="false" outlineLevel="0" collapsed="false">
      <c r="A1924" s="5" t="s">
        <v>572</v>
      </c>
      <c r="B1924" s="0" t="s">
        <v>108</v>
      </c>
      <c r="F1924" s="33" t="n">
        <f aca="false">Sens!$F$1918/2</f>
        <v>908.575</v>
      </c>
      <c r="H1924" s="33" t="n">
        <f aca="false">(Sens!$G$1918+Sens!$H$1918)/2</f>
        <v>3634.3</v>
      </c>
      <c r="I1924" s="33" t="n">
        <f aca="false">(Sens!$H$1918+Sens!$I$1918)/2</f>
        <v>7268.6</v>
      </c>
      <c r="J1924" s="33" t="n">
        <f aca="false">(Sens!$I$1918+Sens!$J$1918)/2</f>
        <v>10902.9</v>
      </c>
      <c r="K1924" s="33" t="n">
        <f aca="false">(Sens!$J$1918+Sens!$K$1918)/2</f>
        <v>14537.2</v>
      </c>
      <c r="L1924" s="33" t="n">
        <f aca="false">(Sens!$K$1918+Sens!$L$1918)/2</f>
        <v>18171.5</v>
      </c>
      <c r="M1924" s="33" t="n">
        <f aca="false">(Sens!$L$1918+Sens!$M$1918)/2</f>
        <v>21805.8</v>
      </c>
    </row>
    <row r="1925" customFormat="false" ht="17.15" hidden="false" customHeight="false" outlineLevel="0" collapsed="false">
      <c r="A1925" s="1" t="s">
        <v>573</v>
      </c>
    </row>
    <row r="1926" customFormat="false" ht="17.15" hidden="false" customHeight="false" outlineLevel="0" collapsed="false">
      <c r="A1926" s="1" t="s">
        <v>574</v>
      </c>
      <c r="B1926" s="8" t="s">
        <v>73</v>
      </c>
      <c r="C1926" s="38" t="n">
        <f aca="false">Sens!$C$1909*rpm_open*Sens!$C$1910/1000</f>
        <v>2.32100535697364</v>
      </c>
      <c r="D1926" s="38" t="n">
        <f aca="false">Sens!$D$1909*rpm_open*Sens!$D$1910/1000</f>
        <v>8.70377008865116</v>
      </c>
      <c r="E1926" s="38" t="n">
        <f aca="false">Sens!$E$1909*rpm_open*Sens!$E$1910/1000</f>
        <v>8.51035297557002</v>
      </c>
      <c r="F1926" s="38" t="n">
        <f aca="false">(mw_open*rpm_open+Sens!$F$1924*Sens!$F$1923)*Sens!$F$1910/1000</f>
        <v>14.9634336447205</v>
      </c>
      <c r="G1926" s="38" t="n">
        <f aca="false">Sens!$E$1926+Sens!$F$1926</f>
        <v>23.4737866202905</v>
      </c>
      <c r="H1926" s="38" t="n">
        <f aca="false">(mw_open*rpm_open+Sens!$H$1924*Sens!$H$1923)/1000</f>
        <v>60.1658907497746</v>
      </c>
      <c r="I1926" s="38" t="n">
        <f aca="false">(mw_open*rpm_open+Sens!$I$1924*Sens!$I$1923)/1000</f>
        <v>101.503699136432</v>
      </c>
      <c r="J1926" s="38" t="n">
        <f aca="false">(mw_open*rpm_open+Sens!$J$1924*Sens!$J$1923)/1000</f>
        <v>143.025407151278</v>
      </c>
      <c r="K1926" s="38" t="n">
        <f aca="false">(mw_open*rpm_open+Sens!$K$1924*Sens!$K$1923)/1000</f>
        <v>184.608415042187</v>
      </c>
      <c r="L1926" s="38" t="n">
        <f aca="false">(mw_open*rpm_open+Sens!$L$1924*Sens!$L$1923)/1000</f>
        <v>226.219286513125</v>
      </c>
      <c r="M1926" s="38" t="n">
        <f aca="false">(mw_open*rpm_open+Sens!$M$1924*Sens!$M$1923)/1000</f>
        <v>267.845161450232</v>
      </c>
      <c r="N1926" s="38" t="n">
        <f aca="false">Sens!$N$1909*rpm_open*Sens!$N$1910/1000</f>
        <v>3.04631953102791</v>
      </c>
      <c r="O1926" s="38" t="n">
        <f aca="false">Sens!$O$1909*rpm_open*Sens!$O$1910/1000</f>
        <v>5.65745055762326</v>
      </c>
      <c r="P1926" s="5" t="s">
        <v>575</v>
      </c>
    </row>
    <row r="1927" customFormat="false" ht="17.15" hidden="false" customHeight="false" outlineLevel="0" collapsed="false">
      <c r="A1927" s="5" t="s">
        <v>576</v>
      </c>
      <c r="B1927" s="0" t="s">
        <v>151</v>
      </c>
      <c r="C1927" s="36" t="n">
        <f aca="false">Sens!$C$1926*1000/(Sens!$C$1909*Sens!$C$1910)</f>
        <v>9.67085565405685</v>
      </c>
      <c r="D1927" s="36" t="n">
        <f aca="false">Sens!$D$1926*1000/(Sens!$D$1909*Sens!$D$1910)</f>
        <v>9.67085565405685</v>
      </c>
      <c r="E1927" s="36" t="n">
        <f aca="false">Sens!$E$1926*1000/(Sens!$E$1909*Sens!$E$1910)</f>
        <v>9.67085565405685</v>
      </c>
      <c r="F1927" s="36" t="n">
        <f aca="false">Sens!$F$1926*1000/(Sens!$F$1909*Sens!$F$1910)</f>
        <v>10.0137581588017</v>
      </c>
      <c r="G1927" s="36" t="n">
        <f aca="false">Sens!$G$1926*1000/(Sens!$G$1909*Sens!$G$1910)</f>
        <v>9.88666562928478</v>
      </c>
      <c r="H1927" s="36" t="n">
        <f aca="false">Sens!$H$1926*1000/(Sens!$H$1909*Sens!$H$1910)</f>
        <v>10.5290045586992</v>
      </c>
      <c r="I1927" s="36" t="n">
        <f aca="false">Sens!$I$1926*1000/(Sens!$I$1909*Sens!$I$1910)</f>
        <v>10.8576363451674</v>
      </c>
      <c r="J1927" s="36" t="n">
        <f aca="false">Sens!$J$1926*1000/(Sens!$J$1909*Sens!$J$1910)</f>
        <v>11.0164452588619</v>
      </c>
      <c r="K1927" s="36" t="n">
        <f aca="false">Sens!$K$1926*1000/(Sens!$K$1909*Sens!$K$1910)</f>
        <v>11.1094778327388</v>
      </c>
      <c r="L1927" s="36" t="n">
        <f aca="false">Sens!$L$1926*1000/(Sens!$L$1909*Sens!$L$1910)</f>
        <v>11.1704953466718</v>
      </c>
      <c r="M1927" s="36" t="n">
        <f aca="false">Sens!$M$1926*1000/(Sens!$M$1909*Sens!$M$1910)</f>
        <v>11.2135729785158</v>
      </c>
      <c r="N1927" s="36" t="n">
        <f aca="false">Sens!$N$1926*1000/(Sens!$N$1909*Sens!$N$1910)</f>
        <v>9.67085565405685</v>
      </c>
      <c r="O1927" s="36" t="n">
        <f aca="false">Sens!$O$1926*1000/(Sens!$O$1909*Sens!$O$1910)</f>
        <v>9.67085565405685</v>
      </c>
    </row>
    <row r="1928" customFormat="false" ht="17.15" hidden="false" customHeight="false" outlineLevel="0" collapsed="false">
      <c r="A1928" s="0" t="s">
        <v>577</v>
      </c>
      <c r="B1928" s="0" t="s">
        <v>73</v>
      </c>
      <c r="C1928" s="38" t="n">
        <f aca="false">Sens!$C$1909/ext_sh*(ox_open+rent_mw)*Sens!$C$1910/1000</f>
        <v>0.642569210675032</v>
      </c>
      <c r="D1928" s="38" t="n">
        <f aca="false">Sens!$D$1909/ext_sh*(ox_open+rent_mw)*Sens!$D$1910/1000</f>
        <v>2.40963454003137</v>
      </c>
      <c r="E1928" s="38" t="n">
        <f aca="false">Sens!$E$1909/ext_sh*(ox_open+rent_mw)*Sens!$E$1910/1000</f>
        <v>2.35608710580845</v>
      </c>
      <c r="F1928" s="38" t="n">
        <f aca="false">((mw_open*ox_open+Sens!$F$1924*Sens!$F$1922)/ext_sh+Sens!$F$1909/ext_sh*rent_mw)*Sens!$F$1910/1000</f>
        <v>4.05421991106232</v>
      </c>
      <c r="G1928" s="38" t="n">
        <f aca="false">Sens!$E$1928+Sens!$F$1928</f>
        <v>6.41030701687077</v>
      </c>
      <c r="H1928" s="38" t="n">
        <f aca="false">((mw_open*ox_open+Sens!$H$1924*Sens!$H$1922)/ext_sh+Sens!$H$1909/ext_sh*rent_mw)*Sens!$H$1910/1000</f>
        <v>15.8108975546616</v>
      </c>
      <c r="I1928" s="38" t="n">
        <f aca="false">((mw_open*ox_open+Sens!$I$1924*Sens!$I$1922)/ext_sh+Sens!$I$1909/ext_sh*rent_mw)*Sens!$I$1910/1000</f>
        <v>26.1871623400817</v>
      </c>
      <c r="J1928" s="38" t="n">
        <f aca="false">((mw_open*ox_open+Sens!$J$1924*Sens!$J$1922)/ext_sh+Sens!$J$1909/ext_sh*rent_mw)*Sens!$J$1910/1000</f>
        <v>36.5826128954935</v>
      </c>
      <c r="K1928" s="38" t="n">
        <f aca="false">((mw_open*ox_open+Sens!$K$1924*Sens!$K$1922)/ext_sh+Sens!$K$1909/ext_sh*rent_mw)*Sens!$K$1910/1000</f>
        <v>46.9844587075692</v>
      </c>
      <c r="L1928" s="38" t="n">
        <f aca="false">((mw_open*ox_open+Sens!$L$1924*Sens!$L$1922)/ext_sh+Sens!$L$1909/ext_sh*rent_mw)*Sens!$L$1910/1000</f>
        <v>57.3892114544922</v>
      </c>
      <c r="M1928" s="38" t="n">
        <f aca="false">((mw_open*ox_open+Sens!$M$1924*Sens!$M$1922)/ext_sh+Sens!$M$1909/ext_sh*rent_mw)*Sens!$M$1910/1000</f>
        <v>67.7955294740252</v>
      </c>
      <c r="N1928" s="38" t="n">
        <f aca="false">Sens!$N$1909/ext_sh*(ox_open+rent_mw)*Sens!$N$1910/1000</f>
        <v>0.84337208901098</v>
      </c>
      <c r="O1928" s="38" t="n">
        <f aca="false">Sens!$O$1909/ext_sh*(ox_open+rent_mw)*Sens!$O$1910/1000</f>
        <v>1.56626245102039</v>
      </c>
    </row>
    <row r="1929" customFormat="false" ht="17.15" hidden="false" customHeight="false" outlineLevel="0" collapsed="false">
      <c r="A1929" s="0" t="s">
        <v>578</v>
      </c>
      <c r="B1929" s="0" t="s">
        <v>73</v>
      </c>
      <c r="C1929" s="38" t="n">
        <f aca="false">Q!$D$7</f>
        <v>107.556</v>
      </c>
      <c r="D1929" s="38" t="n">
        <f aca="false">Q!$E$7</f>
        <v>128.725</v>
      </c>
      <c r="E1929" s="38" t="n">
        <f aca="false">Q!$P$7</f>
        <v>79.819</v>
      </c>
      <c r="N1929" s="38" t="n">
        <f aca="false">Q!$N$7</f>
        <v>60.14</v>
      </c>
      <c r="O1929" s="38" t="n">
        <f aca="false">Q!$O$7</f>
        <v>68.585</v>
      </c>
    </row>
    <row r="1930" customFormat="false" ht="17.15" hidden="false" customHeight="false" outlineLevel="0" collapsed="false">
      <c r="A1930" s="1" t="s">
        <v>579</v>
      </c>
      <c r="B1930" s="8" t="s">
        <v>73</v>
      </c>
      <c r="C1930" s="38" t="n">
        <f aca="false">Sens!$C$1929-Sens!$C$1926</f>
        <v>105.234994643026</v>
      </c>
      <c r="D1930" s="38" t="n">
        <f aca="false">Sens!$D$1929-Sens!$D$1926</f>
        <v>120.021229911349</v>
      </c>
      <c r="E1930" s="38" t="n">
        <f aca="false">Sens!$E$1929-Sens!$E$1926</f>
        <v>71.30864702443</v>
      </c>
      <c r="F1930" s="38" t="n">
        <f aca="false">Sens!$O$1930*(1+Sens!$F$1931)</f>
        <v>78.5950104186653</v>
      </c>
      <c r="G1930" s="38" t="n">
        <f aca="false">Sens!$E$1930+Sens!$F$1930</f>
        <v>149.903657443095</v>
      </c>
      <c r="H1930" s="38" t="n">
        <f aca="false">Sens!$G$1930*(1+Sens!$H$1931)</f>
        <v>180.893560768142</v>
      </c>
      <c r="I1930" s="38" t="n">
        <f aca="false">Sens!$H$1930*(1+Sens!$I$1931)</f>
        <v>210.64839721501</v>
      </c>
      <c r="J1930" s="38" t="n">
        <f aca="false">Sens!$I$1930*(1+Sens!$J$1931)</f>
        <v>236.398909446495</v>
      </c>
      <c r="K1930" s="38" t="n">
        <f aca="false">Sens!$J$1930*(1+Sens!$K$1931)</f>
        <v>255.310822202215</v>
      </c>
      <c r="L1930" s="38" t="n">
        <f aca="false">Sens!$K$1930*(1+Sens!$L$1931)</f>
        <v>275.735687978392</v>
      </c>
      <c r="M1930" s="38" t="n">
        <f aca="false">Sens!$L$1930*(1+Sens!$M$1931)</f>
        <v>297.794543016663</v>
      </c>
      <c r="N1930" s="38" t="n">
        <f aca="false">Sens!$N$1929-Sens!$N$1926</f>
        <v>57.0936804689721</v>
      </c>
      <c r="O1930" s="38" t="n">
        <f aca="false">Sens!$O$1929-Sens!$O$1926</f>
        <v>62.9275494423768</v>
      </c>
      <c r="P1930" s="5" t="s">
        <v>580</v>
      </c>
    </row>
    <row r="1931" customFormat="false" ht="17.15" hidden="false" customHeight="false" outlineLevel="0" collapsed="false">
      <c r="A1931" s="0" t="s">
        <v>581</v>
      </c>
      <c r="B1931" s="0" t="s">
        <v>52</v>
      </c>
      <c r="E1931" s="12" t="n">
        <f aca="false">Sens!$E$1930/Sens!$N$1930-1</f>
        <v>0.248976181579029</v>
      </c>
      <c r="F1931" s="12" t="n">
        <f aca="false">Sens!$E$1931</f>
        <v>0.248976181579029</v>
      </c>
      <c r="G1931" s="12" t="n">
        <f aca="false">Sens!$G$1930/Sens!$D$1930-1</f>
        <v>0.248976181579029</v>
      </c>
      <c r="H1931" s="12" t="n">
        <f aca="false">Sens!$E$1931+(g_awso_lt-Sens!$E$1931)*1/4</f>
        <v>0.206732136184272</v>
      </c>
      <c r="I1931" s="12" t="n">
        <f aca="false">Sens!$E$1931+(g_awso_lt-Sens!$E$1931)*2/4</f>
        <v>0.164488090789515</v>
      </c>
      <c r="J1931" s="12" t="n">
        <f aca="false">Sens!$E$1931+(g_awso_lt-Sens!$E$1931)*3/4</f>
        <v>0.122244045394757</v>
      </c>
      <c r="K1931" s="12" t="n">
        <f aca="false">Sens!$E$1931+(g_awso_lt-Sens!$E$1931)*4/4</f>
        <v>0.08</v>
      </c>
      <c r="L1931" s="12" t="n">
        <f aca="false">g_awso_lt</f>
        <v>0.08</v>
      </c>
      <c r="M1931" s="12" t="n">
        <f aca="false">g_awso_lt</f>
        <v>0.08</v>
      </c>
      <c r="P1931" s="8" t="s">
        <v>582</v>
      </c>
    </row>
    <row r="1932" customFormat="false" ht="17.15" hidden="false" customHeight="false" outlineLevel="0" collapsed="false">
      <c r="A1932" s="1" t="s">
        <v>583</v>
      </c>
    </row>
    <row r="1933" customFormat="false" ht="17.15" hidden="false" customHeight="false" outlineLevel="0" collapsed="false">
      <c r="A1933" s="0" t="s">
        <v>584</v>
      </c>
      <c r="B1933" s="0" t="s">
        <v>73</v>
      </c>
      <c r="F1933" s="38" t="n">
        <f aca="false">cx_rt*Sens!$F$1899+cx_awso*Sens!$F$1930</f>
        <v>36.8045765066526</v>
      </c>
    </row>
    <row r="1934" customFormat="false" ht="17.15" hidden="false" customHeight="false" outlineLevel="0" collapsed="false">
      <c r="A1934" s="0" t="s">
        <v>585</v>
      </c>
      <c r="B1934" s="0" t="s">
        <v>52</v>
      </c>
      <c r="C1934" s="12" t="n">
        <f aca="false">tk_cx_h100/(tk_cx_h100+tk_fac*(1-colo_sh))</f>
        <v>0.730756458006641</v>
      </c>
      <c r="D1934" s="12" t="n">
        <f aca="false">tk_cx_h100/(tk_cx_h100+tk_fac*(1-colo_sh))</f>
        <v>0.730756458006641</v>
      </c>
      <c r="E1934" s="12" t="n">
        <f aca="false">Sens!$F$1934</f>
        <v>0.760792334328868</v>
      </c>
      <c r="F1934" s="12" t="n">
        <f aca="false">Sens!$F$1917/(Sens!$F$1917+tk_fac*(1-colo_sh))</f>
        <v>0.760792334328868</v>
      </c>
      <c r="G1934" s="12" t="n">
        <f aca="false">Sens!$G$1917/(Sens!$G$1917+tk_fac*(1-colo_sh))</f>
        <v>0.760792334328868</v>
      </c>
      <c r="H1934" s="12" t="n">
        <f aca="false">Sens!$H$1917/(Sens!$H$1917+tk_fac*(1-colo_sh))</f>
        <v>0.768110668862996</v>
      </c>
      <c r="I1934" s="12" t="n">
        <f aca="false">Sens!$I$1917/(Sens!$I$1917+tk_fac*(1-colo_sh))</f>
        <v>0.77499450139483</v>
      </c>
      <c r="J1934" s="12" t="n">
        <f aca="false">Sens!$J$1917/(Sens!$J$1917+tk_fac*(1-colo_sh))</f>
        <v>0.77499450139483</v>
      </c>
      <c r="K1934" s="12" t="n">
        <f aca="false">Sens!$K$1917/(Sens!$K$1917+tk_fac*(1-colo_sh))</f>
        <v>0.77499450139483</v>
      </c>
      <c r="L1934" s="12" t="n">
        <f aca="false">Sens!$L$1917/(Sens!$L$1917+tk_fac*(1-colo_sh))</f>
        <v>0.77499450139483</v>
      </c>
      <c r="M1934" s="12" t="n">
        <f aca="false">Sens!$M$1917/(Sens!$M$1917+tk_fac*(1-colo_sh))</f>
        <v>0.77499450139483</v>
      </c>
    </row>
    <row r="1935" customFormat="false" ht="17.15" hidden="false" customHeight="false" outlineLevel="0" collapsed="false">
      <c r="A1935" s="1" t="s">
        <v>586</v>
      </c>
      <c r="B1935" s="8" t="s">
        <v>73</v>
      </c>
      <c r="C1935" s="38" t="n">
        <f aca="false">Q!$D$46-cx_rt*Q!$D$16-cx_awso*Sens!$C$1930</f>
        <v>25.2781053077374</v>
      </c>
      <c r="D1935" s="38" t="n">
        <f aca="false">Q!$E$46-cx_rt*Q!$E$16-cx_awso*Sens!$D$1930</f>
        <v>69.5686316310026</v>
      </c>
      <c r="E1935" s="38" t="n">
        <f aca="false">Q!$P$46-cx_rt*Q!$P$16-cx_awso*Sens!$E$1930</f>
        <v>64.1899206485108</v>
      </c>
      <c r="F1935" s="38" t="n">
        <f aca="false">MAX(Sens!$F$1912*(Sens!$F$1917+tk_fac*(1-colo_sh))/1000,capex_g26-Q!$P$46-Sens!$F$1933)</f>
        <v>96.2481299895</v>
      </c>
      <c r="G1935" s="38" t="n">
        <f aca="false">Sens!$E$1935+Sens!$F$1935</f>
        <v>160.438050638011</v>
      </c>
      <c r="H1935" s="38" t="n">
        <f aca="false">Sens!$H$1912*(Sens!$H$1917+tk_fac*(1-colo_sh))/1000+Sens!$H$1936</f>
        <v>198.57136494475</v>
      </c>
      <c r="I1935" s="38" t="n">
        <f aca="false">Sens!$I$1912*(Sens!$I$1917+tk_fac*(1-colo_sh))/1000+Sens!$I$1936</f>
        <v>204.6464699105</v>
      </c>
      <c r="J1935" s="38" t="n">
        <f aca="false">Sens!$J$1912*(Sens!$J$1917+tk_fac*(1-colo_sh))/1000+Sens!$J$1936</f>
        <v>204.6464699105</v>
      </c>
      <c r="K1935" s="38" t="n">
        <f aca="false">Sens!$K$1912*(Sens!$K$1917+tk_fac*(1-colo_sh))/1000+Sens!$K$1936</f>
        <v>209.8832381105</v>
      </c>
      <c r="L1935" s="38" t="n">
        <f aca="false">Sens!$L$1912*(Sens!$L$1917+tk_fac*(1-colo_sh))/1000+Sens!$L$1936</f>
        <v>215.1200063105</v>
      </c>
      <c r="M1935" s="38" t="n">
        <f aca="false">Sens!$M$1912*(Sens!$M$1917+tk_fac*(1-colo_sh))/1000+Sens!$M$1936</f>
        <v>251.7773837105</v>
      </c>
      <c r="P1935" s="5" t="s">
        <v>587</v>
      </c>
      <c r="R1935" s="38" t="n">
        <f aca="false">Q!$C$46-cx_rt*Q!$C$16-cx_awso*(Q!$C$7-mw_ye23/2*rpm_open/1000)</f>
        <v>1.50429979529945</v>
      </c>
      <c r="S1935" s="38" t="n">
        <f aca="false">Sens!$C$1935</f>
        <v>25.2781053077374</v>
      </c>
      <c r="T1935" s="38" t="n">
        <f aca="false">Sens!$D$1935</f>
        <v>69.5686316310026</v>
      </c>
      <c r="U1935" s="38" t="n">
        <f aca="false">Sens!$G$1935</f>
        <v>160.438050638011</v>
      </c>
      <c r="V1935" s="38" t="n">
        <f aca="false">Sens!$H$1935</f>
        <v>198.57136494475</v>
      </c>
      <c r="W1935" s="38" t="n">
        <f aca="false">Sens!$I$1935</f>
        <v>204.6464699105</v>
      </c>
      <c r="X1935" s="38" t="n">
        <f aca="false">Sens!$J$1935</f>
        <v>204.6464699105</v>
      </c>
      <c r="Y1935" s="38" t="n">
        <f aca="false">Sens!$K$1935</f>
        <v>209.8832381105</v>
      </c>
      <c r="Z1935" s="38" t="n">
        <f aca="false">Sens!$L$1935</f>
        <v>215.1200063105</v>
      </c>
      <c r="AA1935" s="38" t="n">
        <f aca="false">Sens!$M$1935</f>
        <v>251.7773837105</v>
      </c>
    </row>
    <row r="1936" customFormat="false" ht="17.15" hidden="false" customHeight="false" outlineLevel="0" collapsed="false">
      <c r="A1936" s="0" t="s">
        <v>588</v>
      </c>
      <c r="B1936" s="0" t="s">
        <v>73</v>
      </c>
      <c r="H1936" s="38" t="n">
        <f aca="false">SUMPRODUCT(--(Sens!$R$1906:$AA$1906=2027-tk_life_hi),Sens!$R$1912:$AA$1912)*Sens!$H$1917/1000</f>
        <v>0</v>
      </c>
      <c r="I1936" s="38" t="n">
        <f aca="false">SUMPRODUCT(--(Sens!$R$1906:$AA$1906=2028-tk_life_hi),Sens!$R$1912:$AA$1912)*Sens!$I$1917/1000</f>
        <v>0</v>
      </c>
      <c r="J1936" s="38" t="n">
        <f aca="false">SUMPRODUCT(--(Sens!$R$1906:$AA$1906=2029-tk_life_hi),Sens!$R$1912:$AA$1912)*Sens!$J$1917/1000</f>
        <v>0</v>
      </c>
      <c r="K1936" s="38" t="n">
        <f aca="false">SUMPRODUCT(--(Sens!$R$1906:$AA$1906=2030-tk_life_hi),Sens!$R$1912:$AA$1912)*Sens!$K$1917/1000</f>
        <v>5.2367682</v>
      </c>
      <c r="L1936" s="38" t="n">
        <f aca="false">SUMPRODUCT(--(Sens!$R$1906:$AA$1906=2031-tk_life_hi),Sens!$R$1912:$AA$1912)*Sens!$L$1917/1000</f>
        <v>10.4735364</v>
      </c>
      <c r="M1936" s="38" t="n">
        <f aca="false">SUMPRODUCT(--(Sens!$R$1906:$AA$1906=2032-tk_life_hi),Sens!$R$1912:$AA$1912)*Sens!$M$1917/1000</f>
        <v>47.1309138</v>
      </c>
    </row>
    <row r="1937" customFormat="false" ht="17.15" hidden="false" customHeight="false" outlineLevel="0" collapsed="false">
      <c r="A1937" s="5" t="s">
        <v>589</v>
      </c>
      <c r="B1937" s="0" t="s">
        <v>73</v>
      </c>
      <c r="C1937" s="38" t="n">
        <f aca="false">Sens!$C$1935*Sens!$C$1934</f>
        <v>18.472138699801</v>
      </c>
      <c r="D1937" s="38" t="n">
        <f aca="false">Sens!$D$1935*Sens!$D$1934</f>
        <v>50.8377268390402</v>
      </c>
      <c r="E1937" s="38" t="n">
        <f aca="false">Sens!$E$1935*Sens!$E$1934</f>
        <v>48.8351995705653</v>
      </c>
      <c r="F1937" s="38" t="n">
        <f aca="false">Sens!$F$1935*Sens!$F$1934</f>
        <v>73.2248394895</v>
      </c>
      <c r="G1937" s="38" t="n">
        <f aca="false">Sens!$E$1937+Sens!$F$1937</f>
        <v>122.060039060065</v>
      </c>
      <c r="H1937" s="38" t="n">
        <f aca="false">(Sens!$H$1935-Sens!$H$1936)*Sens!$H$1934+Sens!$H$1936</f>
        <v>152.52478394475</v>
      </c>
      <c r="I1937" s="38" t="n">
        <f aca="false">(Sens!$I$1935-Sens!$I$1936)*Sens!$I$1934+Sens!$I$1936</f>
        <v>158.5998889105</v>
      </c>
      <c r="J1937" s="38" t="n">
        <f aca="false">(Sens!$J$1935-Sens!$J$1936)*Sens!$J$1934+Sens!$J$1936</f>
        <v>158.5998889105</v>
      </c>
      <c r="K1937" s="38" t="n">
        <f aca="false">(Sens!$K$1935-Sens!$K$1936)*Sens!$K$1934+Sens!$K$1936</f>
        <v>163.8366571105</v>
      </c>
      <c r="L1937" s="38" t="n">
        <f aca="false">(Sens!$L$1935-Sens!$L$1936)*Sens!$L$1934+Sens!$L$1936</f>
        <v>169.0734253105</v>
      </c>
      <c r="M1937" s="38" t="n">
        <f aca="false">(Sens!$M$1935-Sens!$M$1936)*Sens!$M$1934+Sens!$M$1936</f>
        <v>205.7308027105</v>
      </c>
      <c r="R1937" s="38" t="n">
        <f aca="false">Sens!$R$1935*Sens!$C$1934</f>
        <v>1.09927679019314</v>
      </c>
      <c r="S1937" s="38" t="n">
        <f aca="false">Sens!$C$1937</f>
        <v>18.472138699801</v>
      </c>
      <c r="T1937" s="38" t="n">
        <f aca="false">Sens!$D$1937</f>
        <v>50.8377268390402</v>
      </c>
      <c r="U1937" s="38" t="n">
        <f aca="false">Sens!$G$1937</f>
        <v>122.060039060065</v>
      </c>
      <c r="V1937" s="38" t="n">
        <f aca="false">Sens!$H$1937</f>
        <v>152.52478394475</v>
      </c>
      <c r="W1937" s="38" t="n">
        <f aca="false">Sens!$I$1937</f>
        <v>158.5998889105</v>
      </c>
      <c r="X1937" s="38" t="n">
        <f aca="false">Sens!$J$1937</f>
        <v>158.5998889105</v>
      </c>
      <c r="Y1937" s="38" t="n">
        <f aca="false">Sens!$K$1937</f>
        <v>163.8366571105</v>
      </c>
      <c r="Z1937" s="38" t="n">
        <f aca="false">Sens!$L$1937</f>
        <v>169.0734253105</v>
      </c>
      <c r="AA1937" s="38" t="n">
        <f aca="false">Sens!$M$1937</f>
        <v>205.7308027105</v>
      </c>
    </row>
    <row r="1938" customFormat="false" ht="15" hidden="false" customHeight="false" outlineLevel="0" collapsed="false">
      <c r="A1938" s="5" t="s">
        <v>590</v>
      </c>
      <c r="B1938" s="0" t="s">
        <v>73</v>
      </c>
      <c r="R1938" s="38" t="n">
        <f aca="false">Sens!$R$1935-Sens!$R$1937</f>
        <v>0.405023005106309</v>
      </c>
      <c r="S1938" s="38" t="n">
        <f aca="false">Sens!$S$1935-Sens!$S$1937</f>
        <v>6.80596660793636</v>
      </c>
      <c r="T1938" s="38" t="n">
        <f aca="false">Sens!$T$1935-Sens!$T$1937</f>
        <v>18.7309047919624</v>
      </c>
      <c r="U1938" s="38" t="n">
        <f aca="false">Sens!$U$1935-Sens!$U$1937</f>
        <v>38.3780115779455</v>
      </c>
      <c r="V1938" s="38" t="n">
        <f aca="false">Sens!$V$1935-Sens!$V$1937</f>
        <v>46.046581</v>
      </c>
      <c r="W1938" s="38" t="n">
        <f aca="false">Sens!$W$1935-Sens!$W$1937</f>
        <v>46.046581</v>
      </c>
      <c r="X1938" s="38" t="n">
        <f aca="false">Sens!$X$1935-Sens!$X$1937</f>
        <v>46.046581</v>
      </c>
      <c r="Y1938" s="38" t="n">
        <f aca="false">Sens!$Y$1935-Sens!$Y$1937</f>
        <v>46.046581</v>
      </c>
      <c r="Z1938" s="38" t="n">
        <f aca="false">Sens!$Z$1935-Sens!$Z$1937</f>
        <v>46.046581</v>
      </c>
      <c r="AA1938" s="38" t="n">
        <f aca="false">Sens!$AA$1935-Sens!$AA$1937</f>
        <v>46.046581</v>
      </c>
    </row>
    <row r="1939" customFormat="false" ht="17.15" hidden="false" customHeight="false" outlineLevel="0" collapsed="false">
      <c r="A1939" s="0" t="s">
        <v>591</v>
      </c>
      <c r="B1939" s="0" t="s">
        <v>73</v>
      </c>
      <c r="C1939" s="38" t="n">
        <f aca="false">Sens!$S$1939</f>
        <v>0.157039541456163</v>
      </c>
      <c r="D1939" s="38" t="n">
        <f aca="false">Sens!$T$1939</f>
        <v>2.7959164985706</v>
      </c>
      <c r="E1939" s="38" t="n">
        <f aca="false">Sens!$G$1939/2</f>
        <v>5.02922445207389</v>
      </c>
      <c r="F1939" s="38" t="n">
        <f aca="false">Sens!$G$1939/2</f>
        <v>5.02922445207389</v>
      </c>
      <c r="G1939" s="38" t="n">
        <f aca="false">Sens!$U$1939</f>
        <v>10.0584489041478</v>
      </c>
      <c r="H1939" s="38" t="n">
        <f aca="false">Sens!$V$1939</f>
        <v>27.4955973413</v>
      </c>
      <c r="I1939" s="38" t="n">
        <f aca="false">Sens!$W$1939</f>
        <v>49.28485219055</v>
      </c>
      <c r="J1939" s="38" t="n">
        <f aca="false">Sens!$X$1939</f>
        <v>71.9419791777642</v>
      </c>
      <c r="K1939" s="38" t="n">
        <f aca="false">Sens!$Y$1939</f>
        <v>94.5991061649785</v>
      </c>
      <c r="L1939" s="38" t="n">
        <f aca="false">Sens!$Z$1939</f>
        <v>117.847303353594</v>
      </c>
      <c r="M1939" s="38" t="n">
        <f aca="false">Sens!$AA$1939</f>
        <v>139.361772869408</v>
      </c>
      <c r="N1939" s="38" t="n">
        <f aca="false">Sens!$D$1939/2</f>
        <v>1.3979582492853</v>
      </c>
      <c r="O1939" s="38" t="n">
        <f aca="false">Sens!$D$1939/2</f>
        <v>1.3979582492853</v>
      </c>
      <c r="R1939" s="38" t="n">
        <f aca="false">SUMPRODUCT(--(Sens!$R$1906:$AA$1906&lt;Sens!R$1906),--(Sens!$R$1906:$AA$1906&gt;=Sens!R$1906-tk_life_hi),Sens!$R$1937:$AA$1937)/tk_life_hi</f>
        <v>0</v>
      </c>
      <c r="S1939" s="38" t="n">
        <f aca="false">SUMPRODUCT(--(Sens!$R$1906:$AA$1906&lt;Sens!S$1906),--(Sens!$R$1906:$AA$1906&gt;=Sens!S$1906-tk_life_hi),Sens!$R$1937:$AA$1937)/tk_life_hi</f>
        <v>0.157039541456163</v>
      </c>
      <c r="T1939" s="38" t="n">
        <f aca="false">SUMPRODUCT(--(Sens!$R$1906:$AA$1906&lt;Sens!T$1906),--(Sens!$R$1906:$AA$1906&gt;=Sens!T$1906-tk_life_hi),Sens!$R$1937:$AA$1937)/tk_life_hi</f>
        <v>2.7959164985706</v>
      </c>
      <c r="U1939" s="38" t="n">
        <f aca="false">SUMPRODUCT(--(Sens!$R$1906:$AA$1906&lt;Sens!U$1906),--(Sens!$R$1906:$AA$1906&gt;=Sens!U$1906-tk_life_hi),Sens!$R$1937:$AA$1937)/tk_life_hi</f>
        <v>10.0584489041478</v>
      </c>
      <c r="V1939" s="38" t="n">
        <f aca="false">SUMPRODUCT(--(Sens!$R$1906:$AA$1906&lt;Sens!V$1906),--(Sens!$R$1906:$AA$1906&gt;=Sens!V$1906-tk_life_hi),Sens!$R$1937:$AA$1937)/tk_life_hi</f>
        <v>27.4955973413</v>
      </c>
      <c r="W1939" s="38" t="n">
        <f aca="false">SUMPRODUCT(--(Sens!$R$1906:$AA$1906&lt;Sens!W$1906),--(Sens!$R$1906:$AA$1906&gt;=Sens!W$1906-tk_life_hi),Sens!$R$1937:$AA$1937)/tk_life_hi</f>
        <v>49.28485219055</v>
      </c>
      <c r="X1939" s="38" t="n">
        <f aca="false">SUMPRODUCT(--(Sens!$R$1906:$AA$1906&lt;Sens!X$1906),--(Sens!$R$1906:$AA$1906&gt;=Sens!X$1906-tk_life_hi),Sens!$R$1937:$AA$1937)/tk_life_hi</f>
        <v>71.9419791777642</v>
      </c>
      <c r="Y1939" s="38" t="n">
        <f aca="false">SUMPRODUCT(--(Sens!$R$1906:$AA$1906&lt;Sens!Y$1906),--(Sens!$R$1906:$AA$1906&gt;=Sens!Y$1906-tk_life_hi),Sens!$R$1937:$AA$1937)/tk_life_hi</f>
        <v>94.5991061649785</v>
      </c>
      <c r="Z1939" s="38" t="n">
        <f aca="false">SUMPRODUCT(--(Sens!$R$1906:$AA$1906&lt;Sens!Z$1906),--(Sens!$R$1906:$AA$1906&gt;=Sens!Z$1906-tk_life_hi),Sens!$R$1937:$AA$1937)/tk_life_hi</f>
        <v>117.847303353594</v>
      </c>
      <c r="AA1939" s="38" t="n">
        <f aca="false">SUMPRODUCT(--(Sens!$R$1906:$AA$1906&lt;Sens!AA$1906),--(Sens!$R$1906:$AA$1906&gt;=Sens!AA$1906-tk_life_hi),Sens!$R$1937:$AA$1937)/tk_life_hi</f>
        <v>139.361772869408</v>
      </c>
    </row>
    <row r="1940" customFormat="false" ht="17.15" hidden="false" customHeight="false" outlineLevel="0" collapsed="false">
      <c r="A1940" s="0" t="s">
        <v>592</v>
      </c>
      <c r="B1940" s="0" t="s">
        <v>73</v>
      </c>
      <c r="C1940" s="38" t="n">
        <f aca="false">Sens!$S$1940</f>
        <v>0.0202511502553155</v>
      </c>
      <c r="D1940" s="38" t="n">
        <f aca="false">Sens!$T$1940</f>
        <v>0.360549480652134</v>
      </c>
      <c r="E1940" s="38" t="n">
        <f aca="false">Sens!$G$1940/2</f>
        <v>0.648547360125127</v>
      </c>
      <c r="F1940" s="38" t="n">
        <f aca="false">Sens!$G$1940/2</f>
        <v>0.648547360125127</v>
      </c>
      <c r="G1940" s="38" t="n">
        <f aca="false">Sens!$U$1940</f>
        <v>1.29709472025025</v>
      </c>
      <c r="H1940" s="38" t="n">
        <f aca="false">Sens!$V$1940</f>
        <v>3.21599529914753</v>
      </c>
      <c r="I1940" s="38" t="n">
        <f aca="false">Sens!$W$1940</f>
        <v>5.51832434914753</v>
      </c>
      <c r="J1940" s="38" t="n">
        <f aca="false">Sens!$X$1940</f>
        <v>7.82065339914753</v>
      </c>
      <c r="K1940" s="38" t="n">
        <f aca="false">Sens!$Y$1940</f>
        <v>10.1229824491475</v>
      </c>
      <c r="L1940" s="38" t="n">
        <f aca="false">Sens!$Z$1940</f>
        <v>12.4253114991475</v>
      </c>
      <c r="M1940" s="38" t="n">
        <f aca="false">Sens!$AA$1940</f>
        <v>14.7276405491475</v>
      </c>
      <c r="N1940" s="38" t="n">
        <f aca="false">Sens!$D$1940/2</f>
        <v>0.180274740326067</v>
      </c>
      <c r="O1940" s="38" t="n">
        <f aca="false">Sens!$D$1940/2</f>
        <v>0.180274740326067</v>
      </c>
      <c r="R1940" s="38" t="n">
        <f aca="false">SUMPRODUCT(--(Sens!$R$1906:$AA$1906&lt;Sens!R$1906),Sens!$R$1938:$AA$1938)/fac_life</f>
        <v>0</v>
      </c>
      <c r="S1940" s="38" t="n">
        <f aca="false">SUMPRODUCT(--(Sens!$R$1906:$AA$1906&lt;Sens!S$1906),Sens!$R$1938:$AA$1938)/fac_life</f>
        <v>0.0202511502553155</v>
      </c>
      <c r="T1940" s="38" t="n">
        <f aca="false">SUMPRODUCT(--(Sens!$R$1906:$AA$1906&lt;Sens!T$1906),Sens!$R$1938:$AA$1938)/fac_life</f>
        <v>0.360549480652134</v>
      </c>
      <c r="U1940" s="38" t="n">
        <f aca="false">SUMPRODUCT(--(Sens!$R$1906:$AA$1906&lt;Sens!U$1906),Sens!$R$1938:$AA$1938)/fac_life</f>
        <v>1.29709472025025</v>
      </c>
      <c r="V1940" s="38" t="n">
        <f aca="false">SUMPRODUCT(--(Sens!$R$1906:$AA$1906&lt;Sens!V$1906),Sens!$R$1938:$AA$1938)/fac_life</f>
        <v>3.21599529914753</v>
      </c>
      <c r="W1940" s="38" t="n">
        <f aca="false">SUMPRODUCT(--(Sens!$R$1906:$AA$1906&lt;Sens!W$1906),Sens!$R$1938:$AA$1938)/fac_life</f>
        <v>5.51832434914753</v>
      </c>
      <c r="X1940" s="38" t="n">
        <f aca="false">SUMPRODUCT(--(Sens!$R$1906:$AA$1906&lt;Sens!X$1906),Sens!$R$1938:$AA$1938)/fac_life</f>
        <v>7.82065339914753</v>
      </c>
      <c r="Y1940" s="38" t="n">
        <f aca="false">SUMPRODUCT(--(Sens!$R$1906:$AA$1906&lt;Sens!Y$1906),Sens!$R$1938:$AA$1938)/fac_life</f>
        <v>10.1229824491475</v>
      </c>
      <c r="Z1940" s="38" t="n">
        <f aca="false">SUMPRODUCT(--(Sens!$R$1906:$AA$1906&lt;Sens!Z$1906),Sens!$R$1938:$AA$1938)/fac_life</f>
        <v>12.4253114991475</v>
      </c>
      <c r="AA1940" s="38" t="n">
        <f aca="false">SUMPRODUCT(--(Sens!$R$1906:$AA$1906&lt;Sens!AA$1906),Sens!$R$1938:$AA$1938)/fac_life</f>
        <v>14.7276405491475</v>
      </c>
    </row>
    <row r="1941" customFormat="false" ht="17.15" hidden="false" customHeight="false" outlineLevel="0" collapsed="false">
      <c r="A1941" s="1" t="s">
        <v>593</v>
      </c>
      <c r="B1941" s="8" t="s">
        <v>73</v>
      </c>
      <c r="C1941" s="38" t="n">
        <f aca="false">Sens!$C$1939+Sens!$C$1940</f>
        <v>0.177290691711478</v>
      </c>
      <c r="D1941" s="38" t="n">
        <f aca="false">Sens!$D$1939+Sens!$D$1940</f>
        <v>3.15646597922273</v>
      </c>
      <c r="E1941" s="38" t="n">
        <f aca="false">Sens!$E$1939+Sens!$E$1940</f>
        <v>5.67777181219901</v>
      </c>
      <c r="F1941" s="38" t="n">
        <f aca="false">Sens!$F$1939+Sens!$F$1940</f>
        <v>5.67777181219901</v>
      </c>
      <c r="G1941" s="38" t="n">
        <f aca="false">Sens!$G$1939+Sens!$G$1940</f>
        <v>11.355543624398</v>
      </c>
      <c r="H1941" s="38" t="n">
        <f aca="false">Sens!$H$1939+Sens!$H$1940</f>
        <v>30.7115926404475</v>
      </c>
      <c r="I1941" s="38" t="n">
        <f aca="false">Sens!$I$1939+Sens!$I$1940</f>
        <v>54.8031765396975</v>
      </c>
      <c r="J1941" s="38" t="n">
        <f aca="false">Sens!$J$1939+Sens!$J$1940</f>
        <v>79.7626325769118</v>
      </c>
      <c r="K1941" s="38" t="n">
        <f aca="false">Sens!$K$1939+Sens!$K$1940</f>
        <v>104.722088614126</v>
      </c>
      <c r="L1941" s="38" t="n">
        <f aca="false">Sens!$L$1939+Sens!$L$1940</f>
        <v>130.272614852741</v>
      </c>
      <c r="M1941" s="38" t="n">
        <f aca="false">Sens!$M$1939+Sens!$M$1940</f>
        <v>154.089413418555</v>
      </c>
      <c r="N1941" s="38" t="n">
        <f aca="false">Sens!$N$1939+Sens!$N$1940</f>
        <v>1.57823298961137</v>
      </c>
      <c r="O1941" s="38" t="n">
        <f aca="false">Sens!$O$1939+Sens!$O$1940</f>
        <v>1.57823298961137</v>
      </c>
      <c r="R1941" s="38" t="n">
        <f aca="false">Sens!$R$1939+Sens!$R$1940</f>
        <v>0</v>
      </c>
      <c r="S1941" s="38" t="n">
        <f aca="false">Sens!$S$1939+Sens!$S$1940</f>
        <v>0.177290691711478</v>
      </c>
      <c r="T1941" s="38" t="n">
        <f aca="false">Sens!$T$1939+Sens!$T$1940</f>
        <v>3.15646597922273</v>
      </c>
      <c r="U1941" s="38" t="n">
        <f aca="false">Sens!$U$1939+Sens!$U$1940</f>
        <v>11.355543624398</v>
      </c>
      <c r="V1941" s="38" t="n">
        <f aca="false">Sens!$V$1939+Sens!$V$1940</f>
        <v>30.7115926404475</v>
      </c>
      <c r="W1941" s="38" t="n">
        <f aca="false">Sens!$W$1939+Sens!$W$1940</f>
        <v>54.8031765396975</v>
      </c>
      <c r="X1941" s="38" t="n">
        <f aca="false">Sens!$X$1939+Sens!$X$1940</f>
        <v>79.7626325769118</v>
      </c>
      <c r="Y1941" s="38" t="n">
        <f aca="false">Sens!$Y$1939+Sens!$Y$1940</f>
        <v>104.722088614126</v>
      </c>
      <c r="Z1941" s="38" t="n">
        <f aca="false">Sens!$Z$1939+Sens!$Z$1940</f>
        <v>130.272614852741</v>
      </c>
      <c r="AA1941" s="38" t="n">
        <f aca="false">Sens!$AA$1939+Sens!$AA$1940</f>
        <v>154.089413418555</v>
      </c>
    </row>
    <row r="1942" customFormat="false" ht="17.15" hidden="false" customHeight="false" outlineLevel="0" collapsed="false">
      <c r="A1942" s="0" t="s">
        <v>594</v>
      </c>
      <c r="B1942" s="0" t="s">
        <v>73</v>
      </c>
      <c r="C1942" s="38" t="n">
        <f aca="false">Sens!$S$1942</f>
        <v>26.6051144113254</v>
      </c>
      <c r="D1942" s="38" t="n">
        <f aca="false">Sens!$T$1942</f>
        <v>93.0172800631053</v>
      </c>
      <c r="G1942" s="38" t="n">
        <f aca="false">Sens!$U$1942</f>
        <v>242.099787076718</v>
      </c>
      <c r="H1942" s="38" t="n">
        <f aca="false">Sens!$V$1942</f>
        <v>409.959559381021</v>
      </c>
      <c r="I1942" s="38" t="n">
        <f aca="false">Sens!$W$1942</f>
        <v>559.802852751823</v>
      </c>
      <c r="J1942" s="38" t="n">
        <f aca="false">Sens!$X$1942</f>
        <v>684.686690085411</v>
      </c>
      <c r="K1942" s="38" t="n">
        <f aca="false">Sens!$Y$1942</f>
        <v>789.847839581785</v>
      </c>
      <c r="L1942" s="38" t="n">
        <f aca="false">Sens!$Z$1942</f>
        <v>874.695231039544</v>
      </c>
      <c r="M1942" s="38" t="n">
        <f aca="false">Sens!$AA$1942</f>
        <v>972.383201331489</v>
      </c>
      <c r="R1942" s="38" t="n">
        <f aca="false">SUM(Sens!$R$1935:$R$1935)-SUM(Sens!$R$1941:$R$1941)</f>
        <v>1.50429979529945</v>
      </c>
      <c r="S1942" s="38" t="n">
        <f aca="false">SUM(Sens!$R$1935:$S$1935)-SUM(Sens!$R$1941:$S$1941)</f>
        <v>26.6051144113254</v>
      </c>
      <c r="T1942" s="38" t="n">
        <f aca="false">SUM(Sens!$R$1935:$T$1935)-SUM(Sens!$R$1941:$T$1941)</f>
        <v>93.0172800631053</v>
      </c>
      <c r="U1942" s="38" t="n">
        <f aca="false">SUM(Sens!$R$1935:$U$1935)-SUM(Sens!$R$1941:$U$1941)</f>
        <v>242.099787076718</v>
      </c>
      <c r="V1942" s="38" t="n">
        <f aca="false">SUM(Sens!$R$1935:$V$1935)-SUM(Sens!$R$1941:$V$1941)</f>
        <v>409.959559381021</v>
      </c>
      <c r="W1942" s="38" t="n">
        <f aca="false">SUM(Sens!$R$1935:$W$1935)-SUM(Sens!$R$1941:$W$1941)</f>
        <v>559.802852751823</v>
      </c>
      <c r="X1942" s="38" t="n">
        <f aca="false">SUM(Sens!$R$1935:$X$1935)-SUM(Sens!$R$1941:$X$1941)</f>
        <v>684.686690085411</v>
      </c>
      <c r="Y1942" s="38" t="n">
        <f aca="false">SUM(Sens!$R$1935:$Y$1935)-SUM(Sens!$R$1941:$Y$1941)</f>
        <v>789.847839581785</v>
      </c>
      <c r="Z1942" s="38" t="n">
        <f aca="false">SUM(Sens!$R$1935:$Z$1935)-SUM(Sens!$R$1941:$Z$1941)</f>
        <v>874.695231039544</v>
      </c>
      <c r="AA1942" s="38" t="n">
        <f aca="false">SUM(Sens!$R$1935:$AA$1935)-SUM(Sens!$R$1941:$AA$1941)</f>
        <v>972.383201331489</v>
      </c>
    </row>
    <row r="1943" customFormat="false" ht="17.15" hidden="false" customHeight="false" outlineLevel="0" collapsed="false">
      <c r="A1943" s="1" t="s">
        <v>595</v>
      </c>
    </row>
    <row r="1944" customFormat="false" ht="17.15" hidden="false" customHeight="false" outlineLevel="0" collapsed="false">
      <c r="A1944" s="0" t="s">
        <v>596</v>
      </c>
      <c r="B1944" s="0" t="s">
        <v>73</v>
      </c>
      <c r="C1944" s="38" t="n">
        <f aca="false">Sens!$C$1926-ext_sh*Sens!$C$1928</f>
        <v>1.80694998843362</v>
      </c>
      <c r="D1944" s="38" t="n">
        <f aca="false">Sens!$D$1926-ext_sh*Sens!$D$1928</f>
        <v>6.77606245662607</v>
      </c>
      <c r="E1944" s="38" t="n">
        <f aca="false">Sens!$E$1926-ext_sh*Sens!$E$1928</f>
        <v>6.62548329092326</v>
      </c>
      <c r="F1944" s="38" t="n">
        <f aca="false">Sens!$F$1926-ext_sh*Sens!$F$1928</f>
        <v>11.7200577158706</v>
      </c>
      <c r="G1944" s="38" t="n">
        <f aca="false">Sens!$G$1926-ext_sh*Sens!$G$1928</f>
        <v>18.3455410067939</v>
      </c>
      <c r="H1944" s="38" t="n">
        <f aca="false">Sens!$H$1926-ext_sh*Sens!$H$1928</f>
        <v>47.5171727060453</v>
      </c>
      <c r="I1944" s="38" t="n">
        <f aca="false">Sens!$I$1926-ext_sh*Sens!$I$1928</f>
        <v>80.5539692643667</v>
      </c>
      <c r="J1944" s="38" t="n">
        <f aca="false">Sens!$J$1926-ext_sh*Sens!$J$1928</f>
        <v>113.759316834883</v>
      </c>
      <c r="K1944" s="38" t="n">
        <f aca="false">Sens!$K$1926-ext_sh*Sens!$K$1928</f>
        <v>147.020848076132</v>
      </c>
      <c r="L1944" s="38" t="n">
        <f aca="false">Sens!$L$1926-ext_sh*Sens!$L$1928</f>
        <v>180.307917349531</v>
      </c>
      <c r="M1944" s="38" t="n">
        <f aca="false">Sens!$M$1926-ext_sh*Sens!$M$1928</f>
        <v>213.608737871012</v>
      </c>
      <c r="N1944" s="38" t="n">
        <f aca="false">Sens!$N$1926-ext_sh*Sens!$N$1928</f>
        <v>2.37162185981912</v>
      </c>
      <c r="O1944" s="38" t="n">
        <f aca="false">Sens!$O$1926-ext_sh*Sens!$O$1928</f>
        <v>4.40444059680694</v>
      </c>
    </row>
    <row r="1945" customFormat="false" ht="17.15" hidden="false" customHeight="false" outlineLevel="0" collapsed="false">
      <c r="A1945" s="1" t="s">
        <v>597</v>
      </c>
      <c r="B1945" s="8" t="s">
        <v>73</v>
      </c>
      <c r="C1945" s="38" t="n">
        <f aca="false">Sens!$C$1944-ext_sh*Sens!$C$1941</f>
        <v>1.66511743506443</v>
      </c>
      <c r="D1945" s="38" t="n">
        <f aca="false">Sens!$D$1944-ext_sh*Sens!$D$1941</f>
        <v>4.25088967324788</v>
      </c>
      <c r="E1945" s="38" t="n">
        <f aca="false">Sens!$E$1944-ext_sh*Sens!$E$1941</f>
        <v>2.08326584116405</v>
      </c>
      <c r="F1945" s="38" t="n">
        <f aca="false">Sens!$F$1944-ext_sh*Sens!$F$1941</f>
        <v>7.17784026611138</v>
      </c>
      <c r="G1945" s="38" t="n">
        <f aca="false">Sens!$G$1944-ext_sh*Sens!$G$1941</f>
        <v>9.26110610727544</v>
      </c>
      <c r="H1945" s="38" t="n">
        <f aca="false">Sens!$H$1944-ext_sh*Sens!$H$1941</f>
        <v>22.9478985936873</v>
      </c>
      <c r="I1945" s="38" t="n">
        <f aca="false">Sens!$I$1944-ext_sh*Sens!$I$1941</f>
        <v>36.7114280326087</v>
      </c>
      <c r="J1945" s="38" t="n">
        <f aca="false">Sens!$J$1944-ext_sh*Sens!$J$1941</f>
        <v>49.949210773354</v>
      </c>
      <c r="K1945" s="38" t="n">
        <f aca="false">Sens!$K$1944-ext_sh*Sens!$K$1941</f>
        <v>63.243177184831</v>
      </c>
      <c r="L1945" s="38" t="n">
        <f aca="false">Sens!$L$1944-ext_sh*Sens!$L$1941</f>
        <v>76.089825467338</v>
      </c>
      <c r="M1945" s="38" t="n">
        <f aca="false">Sens!$M$1944-ext_sh*Sens!$M$1941</f>
        <v>90.3372071361673</v>
      </c>
      <c r="N1945" s="38" t="n">
        <f aca="false">Sens!$N$1944-ext_sh*Sens!$N$1941</f>
        <v>1.10903546813003</v>
      </c>
      <c r="O1945" s="38" t="n">
        <f aca="false">Sens!$O$1944-ext_sh*Sens!$O$1941</f>
        <v>3.14185420511785</v>
      </c>
    </row>
    <row r="1946" customFormat="false" ht="17.15" hidden="false" customHeight="false" outlineLevel="0" collapsed="false">
      <c r="A1946" s="0" t="s">
        <v>598</v>
      </c>
      <c r="B1946" s="0" t="s">
        <v>52</v>
      </c>
      <c r="C1946" s="12" t="n">
        <f aca="false">Sens!$C$1945/Sens!$C$1926</f>
        <v>0.717412146448287</v>
      </c>
      <c r="D1946" s="12" t="n">
        <f aca="false">Sens!$D$1945/Sens!$D$1926</f>
        <v>0.4883963650178</v>
      </c>
      <c r="E1946" s="12" t="n">
        <f aca="false">Sens!$E$1945/Sens!$E$1926</f>
        <v>0.244791943077369</v>
      </c>
      <c r="F1946" s="12" t="n">
        <f aca="false">Sens!$F$1945/Sens!$F$1926</f>
        <v>0.479692057086372</v>
      </c>
      <c r="G1946" s="12" t="n">
        <f aca="false">Sens!$G$1945/Sens!$G$1926</f>
        <v>0.394529704861091</v>
      </c>
      <c r="H1946" s="12" t="n">
        <f aca="false">Sens!$H$1945/Sens!$H$1926</f>
        <v>0.38141043550948</v>
      </c>
      <c r="I1946" s="12" t="n">
        <f aca="false">Sens!$I$1945/Sens!$I$1926</f>
        <v>0.361675764971526</v>
      </c>
      <c r="J1946" s="12" t="n">
        <f aca="false">Sens!$J$1945/Sens!$J$1926</f>
        <v>0.349233131149367</v>
      </c>
      <c r="K1946" s="12" t="n">
        <f aca="false">Sens!$K$1945/Sens!$K$1926</f>
        <v>0.342580142786982</v>
      </c>
      <c r="L1946" s="12" t="n">
        <f aca="false">Sens!$L$1945/Sens!$L$1926</f>
        <v>0.336354281017164</v>
      </c>
      <c r="M1946" s="12" t="n">
        <f aca="false">Sens!$M$1945/Sens!$M$1926</f>
        <v>0.337273993104978</v>
      </c>
      <c r="N1946" s="12" t="n">
        <f aca="false">Sens!$N$1945/Sens!$N$1926</f>
        <v>0.364057498510609</v>
      </c>
      <c r="O1946" s="12" t="n">
        <f aca="false">Sens!$O$1945/Sens!$O$1926</f>
        <v>0.555348062367826</v>
      </c>
    </row>
    <row r="1947" customFormat="false" ht="17.15" hidden="false" customHeight="false" outlineLevel="0" collapsed="false">
      <c r="A1947" s="5" t="s">
        <v>599</v>
      </c>
      <c r="B1947" s="0" t="s">
        <v>73</v>
      </c>
      <c r="C1947" s="38" t="n">
        <f aca="false">rd2*(1-ext_sh)/ext_sh*Sens!$C$1909*he_open*Sens!$C$1910/1000</f>
        <v>0</v>
      </c>
      <c r="D1947" s="38" t="n">
        <f aca="false">rd2*(1-ext_sh)/ext_sh*Sens!$D$1909*he_open*Sens!$D$1910/1000</f>
        <v>0</v>
      </c>
      <c r="E1947" s="38" t="n">
        <f aca="false">rd2*(1-ext_sh)/ext_sh*Sens!$E$1909*he_open*Sens!$E$1910/1000</f>
        <v>0</v>
      </c>
      <c r="F1947" s="38" t="n">
        <f aca="false">rd2*(1-ext_sh)/ext_sh*(mw_open*he_open+Sens!$F$1924*Sens!$F$1921)*Sens!$F$1910/1000</f>
        <v>0</v>
      </c>
      <c r="G1947" s="38" t="n">
        <f aca="false">Sens!$E$1947+Sens!$F$1947</f>
        <v>0</v>
      </c>
      <c r="H1947" s="38" t="n">
        <f aca="false">rd2*(1-ext_sh)/ext_sh*(mw_open*he_open+Sens!$H$1924*Sens!$H$1921)*Sens!$H$1910/1000</f>
        <v>0</v>
      </c>
      <c r="I1947" s="38" t="n">
        <f aca="false">rd2*(1-ext_sh)/ext_sh*(mw_open*he_open+Sens!$I$1924*Sens!$I$1921)*Sens!$I$1910/1000</f>
        <v>0</v>
      </c>
      <c r="J1947" s="38" t="n">
        <f aca="false">rd2*(1-ext_sh)/ext_sh*(mw_open*he_open+Sens!$J$1924*Sens!$J$1921)*Sens!$J$1910/1000</f>
        <v>0</v>
      </c>
      <c r="K1947" s="38" t="n">
        <f aca="false">rd2*(1-ext_sh)/ext_sh*(mw_open*he_open+Sens!$K$1924*Sens!$K$1921)*Sens!$K$1910/1000</f>
        <v>0</v>
      </c>
      <c r="L1947" s="38" t="n">
        <f aca="false">rd2*(1-ext_sh)/ext_sh*(mw_open*he_open+Sens!$L$1924*Sens!$L$1921)*Sens!$L$1910/1000</f>
        <v>0</v>
      </c>
      <c r="M1947" s="38" t="n">
        <f aca="false">rd2*(1-ext_sh)/ext_sh*(mw_open*he_open+Sens!$M$1924*Sens!$M$1921)*Sens!$M$1910/1000</f>
        <v>0</v>
      </c>
      <c r="N1947" s="38" t="n">
        <f aca="false">rd2*(1-ext_sh)/ext_sh*Sens!$N$1909*he_open*Sens!$N$1910/1000</f>
        <v>0</v>
      </c>
      <c r="O1947" s="38" t="n">
        <f aca="false">rd2*(1-ext_sh)/ext_sh*Sens!$O$1909*he_open*Sens!$O$1910/1000</f>
        <v>0</v>
      </c>
      <c r="P1947" s="8" t="s">
        <v>600</v>
      </c>
    </row>
    <row r="1948" customFormat="false" ht="17.15" hidden="false" customHeight="false" outlineLevel="0" collapsed="false">
      <c r="A1948" s="5" t="s">
        <v>601</v>
      </c>
      <c r="B1948" s="0" t="s">
        <v>73</v>
      </c>
      <c r="C1948" s="38" t="n">
        <f aca="false">(1-ext_sh)*(Sens!$C$1928+Sens!$C$1941)-Sens!$C$1947</f>
        <v>0.163971980477302</v>
      </c>
      <c r="D1948" s="38" t="n">
        <f aca="false">(1-ext_sh)*(Sens!$D$1928+Sens!$D$1941)-Sens!$D$1947</f>
        <v>1.11322010385082</v>
      </c>
      <c r="E1948" s="38" t="n">
        <f aca="false">(1-ext_sh)*(Sens!$E$1928+Sens!$E$1941)-Sens!$E$1947</f>
        <v>1.60677178360149</v>
      </c>
      <c r="F1948" s="38" t="n">
        <f aca="false">(1-ext_sh)*(Sens!$F$1928+Sens!$F$1941)-Sens!$F$1947</f>
        <v>1.94639834465227</v>
      </c>
      <c r="G1948" s="38" t="n">
        <f aca="false">(1-ext_sh)*(Sens!$G$1928+Sens!$G$1941)-Sens!$G$1947</f>
        <v>3.55317012825376</v>
      </c>
      <c r="H1948" s="38" t="n">
        <f aca="false">(1-ext_sh)*(Sens!$H$1928+Sens!$H$1941)-Sens!$H$1947</f>
        <v>9.30449803902181</v>
      </c>
      <c r="I1948" s="38" t="n">
        <f aca="false">(1-ext_sh)*(Sens!$I$1928+Sens!$I$1941)-Sens!$I$1947</f>
        <v>16.1980677759558</v>
      </c>
      <c r="J1948" s="38" t="n">
        <f aca="false">(1-ext_sh)*(Sens!$J$1928+Sens!$J$1941)-Sens!$J$1947</f>
        <v>23.269049094481</v>
      </c>
      <c r="K1948" s="38" t="n">
        <f aca="false">(1-ext_sh)*(Sens!$K$1928+Sens!$K$1941)-Sens!$K$1947</f>
        <v>30.341309464339</v>
      </c>
      <c r="L1948" s="38" t="n">
        <f aca="false">(1-ext_sh)*(Sens!$L$1928+Sens!$L$1941)-Sens!$L$1947</f>
        <v>37.5323652614467</v>
      </c>
      <c r="M1948" s="38" t="n">
        <f aca="false">(1-ext_sh)*(Sens!$M$1928+Sens!$M$1941)-Sens!$M$1947</f>
        <v>44.3769885785161</v>
      </c>
      <c r="N1948" s="38" t="n">
        <f aca="false">(1-ext_sh)*(Sens!$N$1928+Sens!$N$1941)-Sens!$N$1947</f>
        <v>0.484321015724469</v>
      </c>
      <c r="O1948" s="38" t="n">
        <f aca="false">(1-ext_sh)*(Sens!$O$1928+Sens!$O$1941)-Sens!$O$1947</f>
        <v>0.628899088126351</v>
      </c>
    </row>
    <row r="1949" customFormat="false" ht="17.15" hidden="false" customHeight="false" outlineLevel="0" collapsed="false">
      <c r="A1949" s="0" t="s">
        <v>602</v>
      </c>
      <c r="B1949" s="0" t="s">
        <v>73</v>
      </c>
      <c r="C1949" s="38" t="n">
        <f aca="false">Q!$D$24</f>
        <v>39.834</v>
      </c>
      <c r="D1949" s="38" t="n">
        <f aca="false">Q!$E$24</f>
        <v>45.606</v>
      </c>
      <c r="E1949" s="38" t="n">
        <f aca="false">Q!$P$24</f>
        <v>30.782</v>
      </c>
      <c r="N1949" s="38" t="n">
        <f aca="false">Q!$N$24</f>
        <v>21.707</v>
      </c>
      <c r="O1949" s="38" t="n">
        <f aca="false">Q!$O$24</f>
        <v>23.899</v>
      </c>
    </row>
    <row r="1950" customFormat="false" ht="17.15" hidden="false" customHeight="false" outlineLevel="0" collapsed="false">
      <c r="A1950" s="0" t="s">
        <v>603</v>
      </c>
      <c r="B1950" s="0" t="s">
        <v>73</v>
      </c>
      <c r="C1950" s="38" t="n">
        <f aca="false">Sens!$C$1949-Sens!$C$1945</f>
        <v>38.1688825649356</v>
      </c>
      <c r="D1950" s="38" t="n">
        <f aca="false">Sens!$D$1949-Sens!$D$1945</f>
        <v>41.3551103267521</v>
      </c>
      <c r="E1950" s="38" t="n">
        <f aca="false">Sens!$E$1949-Sens!$E$1945</f>
        <v>28.6987341588359</v>
      </c>
      <c r="F1950" s="38" t="n">
        <f aca="false">Sens!$F$1930*Sens!$F$1951</f>
        <v>28.9563135915274</v>
      </c>
      <c r="G1950" s="38" t="n">
        <f aca="false">Sens!$E$1950+Sens!$F$1950</f>
        <v>57.6550477503633</v>
      </c>
      <c r="H1950" s="38" t="n">
        <f aca="false">Sens!$H$1930*Sens!$H$1951</f>
        <v>66.6455878609613</v>
      </c>
      <c r="I1950" s="38" t="n">
        <f aca="false">Sens!$I$1930*Sens!$I$1951</f>
        <v>77.6079933677556</v>
      </c>
      <c r="J1950" s="38" t="n">
        <f aca="false">Sens!$J$1930*Sens!$J$1951</f>
        <v>87.0951084319996</v>
      </c>
      <c r="K1950" s="38" t="n">
        <f aca="false">Sens!$K$1930*Sens!$K$1951</f>
        <v>94.0627171065595</v>
      </c>
      <c r="L1950" s="38" t="n">
        <f aca="false">Sens!$L$1930*Sens!$L$1951</f>
        <v>101.587734475084</v>
      </c>
      <c r="M1950" s="38" t="n">
        <f aca="false">Sens!$M$1930*Sens!$M$1951</f>
        <v>109.714753233091</v>
      </c>
      <c r="N1950" s="38" t="n">
        <f aca="false">Sens!$N$1949-Sens!$N$1945</f>
        <v>20.59796453187</v>
      </c>
      <c r="O1950" s="38" t="n">
        <f aca="false">Sens!$O$1949-Sens!$O$1945</f>
        <v>20.7571457948822</v>
      </c>
      <c r="P1950" s="5" t="s">
        <v>604</v>
      </c>
    </row>
    <row r="1951" customFormat="false" ht="17.15" hidden="false" customHeight="false" outlineLevel="0" collapsed="false">
      <c r="A1951" s="0" t="s">
        <v>605</v>
      </c>
      <c r="B1951" s="0" t="s">
        <v>52</v>
      </c>
      <c r="C1951" s="12" t="n">
        <f aca="false">Sens!$C$1950/Sens!$C$1930</f>
        <v>0.362701425456526</v>
      </c>
      <c r="D1951" s="12" t="n">
        <f aca="false">Sens!$D$1950/Sens!$D$1930</f>
        <v>0.344564960359915</v>
      </c>
      <c r="E1951" s="12" t="n">
        <f aca="false">Sens!$E$1950/Sens!$E$1930</f>
        <v>0.402457981694757</v>
      </c>
      <c r="F1951" s="12" t="n">
        <f aca="false">(Sens!$O$1950+Sens!$E$1950)/(Sens!$O$1930+Sens!$E$1930)</f>
        <v>0.368424324105066</v>
      </c>
      <c r="G1951" s="12" t="n">
        <f aca="false">Sens!$G$1950/Sens!$G$1930</f>
        <v>0.38461401632078</v>
      </c>
      <c r="H1951" s="12" t="n">
        <f aca="false">Sens!$F$1951</f>
        <v>0.368424324105066</v>
      </c>
      <c r="I1951" s="12" t="n">
        <f aca="false">Sens!$F$1951</f>
        <v>0.368424324105066</v>
      </c>
      <c r="J1951" s="12" t="n">
        <f aca="false">Sens!$F$1951</f>
        <v>0.368424324105066</v>
      </c>
      <c r="K1951" s="12" t="n">
        <f aca="false">Sens!$F$1951</f>
        <v>0.368424324105066</v>
      </c>
      <c r="L1951" s="12" t="n">
        <f aca="false">Sens!$F$1951</f>
        <v>0.368424324105066</v>
      </c>
      <c r="M1951" s="12" t="n">
        <f aca="false">Sens!$F$1951</f>
        <v>0.368424324105066</v>
      </c>
      <c r="N1951" s="12" t="n">
        <f aca="false">Sens!$N$1950/Sens!$N$1930</f>
        <v>0.360774859190661</v>
      </c>
      <c r="O1951" s="12" t="n">
        <f aca="false">Sens!$O$1950/Sens!$O$1930</f>
        <v>0.329857844121034</v>
      </c>
      <c r="P1951" s="8" t="s">
        <v>606</v>
      </c>
    </row>
    <row r="1952" customFormat="false" ht="17.15" hidden="false" customHeight="false" outlineLevel="0" collapsed="false">
      <c r="A1952" s="0" t="s">
        <v>607</v>
      </c>
      <c r="B1952" s="0" t="s">
        <v>52</v>
      </c>
      <c r="D1952" s="12" t="n">
        <f aca="false">(Q!$E$31-ext_sh*Sens!$D$1941)/Sens!$D$1930</f>
        <v>0.157678997545686</v>
      </c>
    </row>
    <row r="1953" customFormat="false" ht="17.15" hidden="false" customHeight="false" outlineLevel="0" collapsed="false">
      <c r="A1953" s="0" t="s">
        <v>608</v>
      </c>
      <c r="B1953" s="0" t="s">
        <v>73</v>
      </c>
      <c r="C1953" s="38" t="n">
        <f aca="false">Q!$D$31</f>
        <v>13.32</v>
      </c>
      <c r="D1953" s="38" t="n">
        <f aca="false">Q!$E$31</f>
        <v>21.45</v>
      </c>
      <c r="E1953" s="38" t="n">
        <f aca="false">Q!$P$31</f>
        <v>15.353</v>
      </c>
      <c r="F1953" s="38" t="n">
        <f aca="false">ext_sh*Sens!$F$1941+Sens!$D$1952*Sens!$F$1930</f>
        <v>16.9349999046671</v>
      </c>
      <c r="G1953" s="38" t="n">
        <f aca="false">Sens!$E$1953+Sens!$F$1953</f>
        <v>32.2879999046671</v>
      </c>
      <c r="H1953" s="38" t="n">
        <f aca="false">ext_sh*Sens!$H$1941+Sens!$D$1952*Sens!$H$1930</f>
        <v>53.0923894367483</v>
      </c>
      <c r="I1953" s="38" t="n">
        <f aca="false">ext_sh*Sens!$I$1941+Sens!$D$1952*Sens!$I$1930</f>
        <v>77.0573693392263</v>
      </c>
      <c r="J1953" s="38" t="n">
        <f aca="false">ext_sh*Sens!$J$1941+Sens!$D$1952*Sens!$J$1930</f>
        <v>101.085249123946</v>
      </c>
      <c r="K1953" s="38" t="n">
        <f aca="false">ext_sh*Sens!$K$1941+Sens!$D$1952*Sens!$K$1930</f>
        <v>124.034825398711</v>
      </c>
      <c r="L1953" s="38" t="n">
        <f aca="false">ext_sh*Sens!$L$1941+Sens!$D$1952*Sens!$L$1930</f>
        <v>147.695818750196</v>
      </c>
      <c r="M1953" s="38" t="n">
        <f aca="false">ext_sh*Sens!$M$1941+Sens!$D$1952*Sens!$M$1930</f>
        <v>170.227475752288</v>
      </c>
      <c r="N1953" s="38" t="n">
        <f aca="false">Q!$N$31</f>
        <v>9.234</v>
      </c>
      <c r="O1953" s="38" t="n">
        <f aca="false">Q!$O$31</f>
        <v>12.216</v>
      </c>
    </row>
    <row r="1954" customFormat="false" ht="17.15" hidden="false" customHeight="false" outlineLevel="0" collapsed="false">
      <c r="A1954" s="1" t="s">
        <v>609</v>
      </c>
    </row>
    <row r="1955" customFormat="false" ht="17.15" hidden="false" customHeight="false" outlineLevel="0" collapsed="false">
      <c r="A1955" s="14" t="s">
        <v>610</v>
      </c>
      <c r="B1955" s="13" t="s">
        <v>52</v>
      </c>
      <c r="C1955" s="13"/>
      <c r="D1955" s="13"/>
      <c r="E1955" s="13"/>
      <c r="F1955" s="13"/>
      <c r="G1955" s="16" t="n">
        <f aca="false">Sens!$G$1945*(1-tax)/(ext_sh*(Sens!$D$1942+Sens!$G$1942)/2)</f>
        <v>0.0570958788594286</v>
      </c>
      <c r="H1955" s="16" t="n">
        <f aca="false">Sens!$H$1945*(1-tax)/(ext_sh*(Sens!$G$1942+Sens!$H$1942)/2)</f>
        <v>0.0727100170497439</v>
      </c>
      <c r="I1955" s="16" t="n">
        <f aca="false">Sens!$I$1945*(1-tax)/(ext_sh*(Sens!$H$1942+Sens!$I$1942)/2)</f>
        <v>0.0782121780459111</v>
      </c>
      <c r="J1955" s="16" t="n">
        <f aca="false">Sens!$J$1945*(1-tax)/(ext_sh*(Sens!$I$1942+Sens!$J$1942)/2)</f>
        <v>0.0829231569356109</v>
      </c>
      <c r="K1955" s="16" t="n">
        <f aca="false">Sens!$K$1945*(1-tax)/(ext_sh*(Sens!$J$1942+Sens!$K$1942)/2)</f>
        <v>0.0886129472718905</v>
      </c>
      <c r="L1955" s="16" t="n">
        <f aca="false">Sens!$L$1945*(1-tax)/(ext_sh*(Sens!$K$1942+Sens!$L$1942)/2)</f>
        <v>0.0944430490306292</v>
      </c>
      <c r="M1955" s="16" t="n">
        <f aca="false">Sens!$M$1945*(1-tax)/(ext_sh*(Sens!$L$1942+Sens!$M$1942)/2)</f>
        <v>0.101046150085972</v>
      </c>
      <c r="N1955" s="13"/>
      <c r="O1955" s="13"/>
      <c r="P1955" s="8" t="s">
        <v>611</v>
      </c>
    </row>
    <row r="1956" customFormat="false" ht="17.15" hidden="false" customHeight="false" outlineLevel="0" collapsed="false">
      <c r="A1956" s="5" t="s">
        <v>612</v>
      </c>
      <c r="B1956" s="0" t="s">
        <v>57</v>
      </c>
      <c r="H1956" s="36" t="n">
        <f aca="false">Sens!$H$1926*1000/(mw_open*he_open+Sens!$H$1924*Sens!$H$1921)</f>
        <v>0.991949006767191</v>
      </c>
      <c r="I1956" s="36" t="n">
        <f aca="false">Sens!$I$1926*1000/(mw_open*he_open+Sens!$I$1924*Sens!$I$1921)</f>
        <v>0.991949006767191</v>
      </c>
      <c r="J1956" s="36" t="n">
        <f aca="false">Sens!$J$1926*1000/(mw_open*he_open+Sens!$J$1924*Sens!$J$1921)</f>
        <v>0.991949006767191</v>
      </c>
      <c r="K1956" s="36" t="n">
        <f aca="false">Sens!$K$1926*1000/(mw_open*he_open+Sens!$K$1924*Sens!$K$1921)</f>
        <v>0.991949006767191</v>
      </c>
      <c r="L1956" s="36" t="n">
        <f aca="false">Sens!$L$1926*1000/(mw_open*he_open+Sens!$L$1924*Sens!$L$1921)</f>
        <v>0.991949006767191</v>
      </c>
      <c r="M1956" s="36" t="n">
        <f aca="false">Sens!$M$1926*1000/(mw_open*he_open+Sens!$M$1924*Sens!$M$1921)</f>
        <v>0.991949006767192</v>
      </c>
    </row>
    <row r="1957" customFormat="false" ht="17.15" hidden="false" customHeight="false" outlineLevel="0" collapsed="false">
      <c r="A1957" s="5" t="s">
        <v>613</v>
      </c>
      <c r="B1957" s="0" t="s">
        <v>57</v>
      </c>
      <c r="H1957" s="36" t="n">
        <f aca="false">Sens!$H$1956*(Sens!$H$1926+wacc*ext_sh*(Sens!$G$1942+Sens!$H$1942)/2/(1-tax)-Sens!$H$1945)/Sens!$H$1926</f>
        <v>1.26342487495819</v>
      </c>
      <c r="I1957" s="36" t="n">
        <f aca="false">Sens!$I$1956*(Sens!$I$1926+wacc*ext_sh*(Sens!$H$1942+Sens!$I$1942)/2/(1-tax)-Sens!$I$1945)/Sens!$I$1926</f>
        <v>1.20602968275762</v>
      </c>
      <c r="J1957" s="36" t="n">
        <f aca="false">Sens!$J$1956*(Sens!$J$1926+wacc*ext_sh*(Sens!$I$1942+Sens!$J$1942)/2/(1-tax)-Sens!$J$1945)/Sens!$J$1926</f>
        <v>1.16724023741139</v>
      </c>
      <c r="K1957" s="36" t="n">
        <f aca="false">Sens!$K$1956*(Sens!$K$1926+wacc*ext_sh*(Sens!$J$1942+Sens!$K$1942)/2/(1-tax)-Sens!$K$1945)/Sens!$K$1926</f>
        <v>1.13104015899799</v>
      </c>
      <c r="L1957" s="36" t="n">
        <f aca="false">Sens!$L$1956*(Sens!$L$1926+wacc*ext_sh*(Sens!$K$1942+Sens!$L$1942)/2/(1-tax)-Sens!$L$1945)/Sens!$L$1926</f>
        <v>1.0994856908879</v>
      </c>
      <c r="M1957" s="36" t="n">
        <f aca="false">Sens!$M$1956*(Sens!$M$1926+wacc*ext_sh*(Sens!$L$1942+Sens!$M$1942)/2/(1-tax)-Sens!$M$1945)/Sens!$M$1926</f>
        <v>1.07087075121144</v>
      </c>
    </row>
    <row r="1958" customFormat="false" ht="17.15" hidden="false" customHeight="false" outlineLevel="0" collapsed="false">
      <c r="A1958" s="5" t="s">
        <v>614</v>
      </c>
      <c r="B1958" s="0" t="s">
        <v>52</v>
      </c>
      <c r="C1958" s="12" t="n">
        <f aca="false">Sens!$C$1927/tk_pq</f>
        <v>0.195316432429398</v>
      </c>
      <c r="D1958" s="12" t="n">
        <f aca="false">Sens!$D$1927/tk_pq</f>
        <v>0.195316432429398</v>
      </c>
      <c r="E1958" s="12" t="n">
        <f aca="false">Sens!$E$1927/tk_pq</f>
        <v>0.195316432429398</v>
      </c>
      <c r="F1958" s="12" t="n">
        <f aca="false">Sens!$F$1927/tk_pq</f>
        <v>0.202241827274866</v>
      </c>
      <c r="G1958" s="12" t="n">
        <f aca="false">Sens!$G$1927/tk_pq</f>
        <v>0.199675016194063</v>
      </c>
      <c r="H1958" s="12" t="n">
        <f aca="false">Sens!$H$1927/tk_pq</f>
        <v>0.212647947710325</v>
      </c>
      <c r="I1958" s="12" t="n">
        <f aca="false">Sens!$I$1927/tk_pq</f>
        <v>0.219285125475351</v>
      </c>
      <c r="J1958" s="12" t="n">
        <f aca="false">Sens!$J$1927/tk_pq</f>
        <v>0.222492493217189</v>
      </c>
      <c r="K1958" s="12" t="n">
        <f aca="false">Sens!$K$1927/tk_pq</f>
        <v>0.224371415939166</v>
      </c>
      <c r="L1958" s="12" t="n">
        <f aca="false">Sens!$L$1927/tk_pq</f>
        <v>0.225603749825993</v>
      </c>
      <c r="M1958" s="12" t="n">
        <f aca="false">Sens!$M$1927/tk_pq</f>
        <v>0.22647376274628</v>
      </c>
      <c r="N1958" s="12" t="n">
        <f aca="false">Sens!$N$1927/tk_pq</f>
        <v>0.195316432429398</v>
      </c>
      <c r="O1958" s="12" t="n">
        <f aca="false">Sens!$O$1927/tk_pq</f>
        <v>0.195316432429398</v>
      </c>
      <c r="P1958" s="5" t="s">
        <v>615</v>
      </c>
    </row>
    <row r="1961" customFormat="false" ht="17.15" hidden="false" customHeight="false" outlineLevel="0" collapsed="false">
      <c r="A1961" s="1" t="s">
        <v>642</v>
      </c>
    </row>
    <row r="1962" customFormat="false" ht="17.15" hidden="false" customHeight="false" outlineLevel="0" collapsed="false">
      <c r="A1962" s="0" t="s">
        <v>643</v>
      </c>
      <c r="B1962" s="0" t="s">
        <v>73</v>
      </c>
      <c r="C1962" s="38" t="n">
        <f aca="false">Sens!$C$1926</f>
        <v>2.32100535697364</v>
      </c>
      <c r="D1962" s="38" t="n">
        <f aca="false">Sens!$D$1926</f>
        <v>8.70377008865116</v>
      </c>
      <c r="E1962" s="38" t="n">
        <f aca="false">Sens!$E$1926</f>
        <v>8.51035297557002</v>
      </c>
      <c r="F1962" s="38" t="n">
        <f aca="false">Sens!$F$1926</f>
        <v>14.9634336447205</v>
      </c>
      <c r="G1962" s="38" t="n">
        <f aca="false">Sens!$G$1926</f>
        <v>23.4737866202905</v>
      </c>
      <c r="H1962" s="38" t="n">
        <f aca="false">Sens!$H$1926</f>
        <v>60.1658907497746</v>
      </c>
      <c r="I1962" s="38" t="n">
        <f aca="false">Sens!$I$1926</f>
        <v>101.503699136432</v>
      </c>
      <c r="J1962" s="38" t="n">
        <f aca="false">Sens!$J$1926</f>
        <v>143.025407151278</v>
      </c>
      <c r="K1962" s="38" t="n">
        <f aca="false">Sens!$K$1926</f>
        <v>184.608415042187</v>
      </c>
      <c r="L1962" s="38" t="n">
        <f aca="false">Sens!$L$1926</f>
        <v>226.219286513125</v>
      </c>
      <c r="M1962" s="38" t="n">
        <f aca="false">Sens!$M$1926</f>
        <v>267.845161450232</v>
      </c>
      <c r="N1962" s="38" t="n">
        <f aca="false">Sens!$N$1926</f>
        <v>3.04631953102791</v>
      </c>
      <c r="O1962" s="38" t="n">
        <f aca="false">Sens!$O$1926</f>
        <v>5.65745055762326</v>
      </c>
      <c r="P1962" s="8" t="s">
        <v>644</v>
      </c>
    </row>
    <row r="1963" customFormat="false" ht="17.15" hidden="false" customHeight="false" outlineLevel="0" collapsed="false">
      <c r="A1963" s="0" t="s">
        <v>645</v>
      </c>
      <c r="B1963" s="0" t="s">
        <v>73</v>
      </c>
      <c r="C1963" s="38" t="n">
        <f aca="false">Sens!$C$1930</f>
        <v>105.234994643026</v>
      </c>
      <c r="D1963" s="38" t="n">
        <f aca="false">Sens!$D$1930</f>
        <v>120.021229911349</v>
      </c>
      <c r="E1963" s="38" t="n">
        <f aca="false">Sens!$E$1930</f>
        <v>71.30864702443</v>
      </c>
      <c r="F1963" s="38" t="n">
        <f aca="false">Sens!$F$1930</f>
        <v>78.5950104186653</v>
      </c>
      <c r="G1963" s="38" t="n">
        <f aca="false">Sens!$G$1930</f>
        <v>149.903657443095</v>
      </c>
      <c r="H1963" s="38" t="n">
        <f aca="false">Sens!$H$1930</f>
        <v>180.893560768142</v>
      </c>
      <c r="I1963" s="38" t="n">
        <f aca="false">Sens!$I$1930</f>
        <v>210.64839721501</v>
      </c>
      <c r="J1963" s="38" t="n">
        <f aca="false">Sens!$J$1930</f>
        <v>236.398909446495</v>
      </c>
      <c r="K1963" s="38" t="n">
        <f aca="false">Sens!$K$1930</f>
        <v>255.310822202215</v>
      </c>
      <c r="L1963" s="38" t="n">
        <f aca="false">Sens!$L$1930</f>
        <v>275.735687978392</v>
      </c>
      <c r="M1963" s="38" t="n">
        <f aca="false">Sens!$M$1930</f>
        <v>297.794543016663</v>
      </c>
      <c r="N1963" s="38" t="n">
        <f aca="false">Sens!$N$1930</f>
        <v>57.0936804689721</v>
      </c>
      <c r="O1963" s="38" t="n">
        <f aca="false">Sens!$O$1930</f>
        <v>62.9275494423768</v>
      </c>
      <c r="P1963" s="8" t="s">
        <v>644</v>
      </c>
    </row>
    <row r="1964" customFormat="false" ht="17.15" hidden="false" customHeight="false" outlineLevel="0" collapsed="false">
      <c r="A1964" s="1" t="s">
        <v>476</v>
      </c>
      <c r="B1964" s="8" t="s">
        <v>73</v>
      </c>
      <c r="C1964" s="38" t="n">
        <f aca="false">Q!$D$7</f>
        <v>107.556</v>
      </c>
      <c r="D1964" s="38" t="n">
        <f aca="false">Q!$E$7</f>
        <v>128.725</v>
      </c>
      <c r="E1964" s="38" t="n">
        <f aca="false">Q!$P$7</f>
        <v>79.819</v>
      </c>
      <c r="F1964" s="38" t="n">
        <f aca="false">Sens!$F$1962+Sens!$F$1963</f>
        <v>93.5584440633857</v>
      </c>
      <c r="G1964" s="38" t="n">
        <f aca="false">Sens!$G$1962+Sens!$G$1963</f>
        <v>173.377444063386</v>
      </c>
      <c r="H1964" s="38" t="n">
        <f aca="false">Sens!$H$1962+Sens!$H$1963</f>
        <v>241.059451517916</v>
      </c>
      <c r="I1964" s="38" t="n">
        <f aca="false">Sens!$I$1962+Sens!$I$1963</f>
        <v>312.152096351442</v>
      </c>
      <c r="J1964" s="38" t="n">
        <f aca="false">Sens!$J$1962+Sens!$J$1963</f>
        <v>379.424316597773</v>
      </c>
      <c r="K1964" s="38" t="n">
        <f aca="false">Sens!$K$1962+Sens!$K$1963</f>
        <v>439.919237244402</v>
      </c>
      <c r="L1964" s="38" t="n">
        <f aca="false">Sens!$L$1962+Sens!$L$1963</f>
        <v>501.954974491517</v>
      </c>
      <c r="M1964" s="38" t="n">
        <f aca="false">Sens!$M$1962+Sens!$M$1963</f>
        <v>565.639704466895</v>
      </c>
      <c r="N1964" s="38" t="n">
        <f aca="false">Q!$N$7</f>
        <v>60.14</v>
      </c>
      <c r="O1964" s="38" t="n">
        <f aca="false">Q!$O$7</f>
        <v>68.585</v>
      </c>
      <c r="P1964" s="5" t="s">
        <v>646</v>
      </c>
    </row>
    <row r="1965" customFormat="false" ht="15" hidden="false" customHeight="false" outlineLevel="0" collapsed="false">
      <c r="A1965" s="3" t="s">
        <v>647</v>
      </c>
      <c r="B1965" s="8" t="s">
        <v>73</v>
      </c>
      <c r="C1965" s="38" t="n">
        <f aca="false">Q!$D$8</f>
        <v>637.959</v>
      </c>
      <c r="D1965" s="38" t="n">
        <f aca="false">Q!$E$8</f>
        <v>716.924</v>
      </c>
      <c r="E1965" s="38" t="n">
        <f aca="false">Q!$P$8</f>
        <v>382.125</v>
      </c>
      <c r="F1965" s="38" t="n">
        <f aca="false">Sens!$F$1899+Sens!$F$1964</f>
        <v>450.494873271816</v>
      </c>
      <c r="G1965" s="38" t="n">
        <f aca="false">Sens!$G$1899+Sens!$G$1964</f>
        <v>832.619873271816</v>
      </c>
      <c r="H1965" s="38" t="n">
        <f aca="false">Sens!$H$1899+Sens!$H$1964</f>
        <v>970.995189139617</v>
      </c>
      <c r="I1965" s="38" t="n">
        <f aca="false">Sens!$I$1899+Sens!$I$1964</f>
        <v>1110.44766604932</v>
      </c>
      <c r="J1965" s="38" t="n">
        <f aca="false">Sens!$J$1899+Sens!$J$1964</f>
        <v>1241.16113892356</v>
      </c>
      <c r="K1965" s="38" t="n">
        <f aca="false">Sens!$K$1899+Sens!$K$1964</f>
        <v>1357.47672934633</v>
      </c>
      <c r="L1965" s="38" t="n">
        <f aca="false">Sens!$L$1899+Sens!$L$1964</f>
        <v>1479.24006423468</v>
      </c>
      <c r="M1965" s="38" t="n">
        <f aca="false">Sens!$M$1899+Sens!$M$1964</f>
        <v>1606.8537230104</v>
      </c>
      <c r="N1965" s="38" t="n">
        <f aca="false">Q!$N$8</f>
        <v>323.369</v>
      </c>
      <c r="O1965" s="38" t="n">
        <f aca="false">Q!$O$8</f>
        <v>393.555</v>
      </c>
    </row>
    <row r="1966" customFormat="false" ht="17.15" hidden="false" customHeight="false" outlineLevel="0" collapsed="false">
      <c r="A1966" s="24" t="s">
        <v>655</v>
      </c>
      <c r="B1966" s="25" t="s">
        <v>73</v>
      </c>
      <c r="C1966" s="39" t="n">
        <f aca="false">Sens!$C$1899-(Sens!$C$1901+Sens!$C$1902)</f>
        <v>0</v>
      </c>
      <c r="D1966" s="39" t="n">
        <f aca="false">Sens!$D$1899-(Sens!$D$1901+Sens!$D$1902)</f>
        <v>0</v>
      </c>
      <c r="E1966" s="39" t="n">
        <f aca="false">Sens!$E$1899-(Sens!$E$1901+Sens!$E$1902)</f>
        <v>0</v>
      </c>
      <c r="F1966" s="39" t="n">
        <f aca="false">Sens!$F$1899-(Sens!$F$1901+Sens!$F$1902)</f>
        <v>0</v>
      </c>
      <c r="G1966" s="39" t="n">
        <f aca="false">Sens!$G$1899-(Sens!$G$1901+Sens!$G$1902)</f>
        <v>0</v>
      </c>
      <c r="H1966" s="39" t="n">
        <f aca="false">Sens!$H$1899-(Sens!$H$1901+Sens!$H$1902)</f>
        <v>0</v>
      </c>
      <c r="I1966" s="39" t="n">
        <f aca="false">Sens!$I$1899-(Sens!$I$1901+Sens!$I$1902)</f>
        <v>0</v>
      </c>
      <c r="J1966" s="39" t="n">
        <f aca="false">Sens!$J$1899-(Sens!$J$1901+Sens!$J$1902)</f>
        <v>0</v>
      </c>
      <c r="K1966" s="39" t="n">
        <f aca="false">Sens!$K$1899-(Sens!$K$1901+Sens!$K$1902)</f>
        <v>0</v>
      </c>
      <c r="L1966" s="39" t="n">
        <f aca="false">Sens!$L$1899-(Sens!$L$1901+Sens!$L$1902)</f>
        <v>0</v>
      </c>
      <c r="M1966" s="39" t="n">
        <f aca="false">Sens!$M$1899-(Sens!$M$1901+Sens!$M$1902)</f>
        <v>0</v>
      </c>
      <c r="N1966" s="39" t="n">
        <f aca="false">Sens!$N$1899-(Sens!$N$1901+Sens!$N$1902)</f>
        <v>0</v>
      </c>
      <c r="O1966" s="39" t="n">
        <f aca="false">Sens!$O$1899-(Sens!$O$1901+Sens!$O$1902)</f>
        <v>0</v>
      </c>
    </row>
    <row r="1967" customFormat="false" ht="17.15" hidden="false" customHeight="false" outlineLevel="0" collapsed="false">
      <c r="A1967" s="24" t="s">
        <v>656</v>
      </c>
      <c r="B1967" s="25" t="s">
        <v>73</v>
      </c>
      <c r="C1967" s="39" t="n">
        <f aca="false">Sens!$C$1962+Sens!$C$1963-Sens!$C$1964</f>
        <v>0</v>
      </c>
      <c r="D1967" s="39" t="n">
        <f aca="false">Sens!$D$1962+Sens!$D$1963-Sens!$D$1964</f>
        <v>0</v>
      </c>
      <c r="E1967" s="39" t="n">
        <f aca="false">Sens!$E$1962+Sens!$E$1963-Sens!$E$1964</f>
        <v>0</v>
      </c>
      <c r="F1967" s="39" t="n">
        <f aca="false">Sens!$F$1962+Sens!$F$1963-Sens!$F$1964</f>
        <v>0</v>
      </c>
      <c r="G1967" s="39" t="n">
        <f aca="false">Sens!$G$1962+Sens!$G$1963-Sens!$G$1964</f>
        <v>0</v>
      </c>
      <c r="H1967" s="39" t="n">
        <f aca="false">Sens!$H$1962+Sens!$H$1963-Sens!$H$1964</f>
        <v>0</v>
      </c>
      <c r="I1967" s="39" t="n">
        <f aca="false">Sens!$I$1962+Sens!$I$1963-Sens!$I$1964</f>
        <v>0</v>
      </c>
      <c r="J1967" s="39" t="n">
        <f aca="false">Sens!$J$1962+Sens!$J$1963-Sens!$J$1964</f>
        <v>0</v>
      </c>
      <c r="K1967" s="39" t="n">
        <f aca="false">Sens!$K$1962+Sens!$K$1963-Sens!$K$1964</f>
        <v>0</v>
      </c>
      <c r="L1967" s="39" t="n">
        <f aca="false">Sens!$L$1962+Sens!$L$1963-Sens!$L$1964</f>
        <v>0</v>
      </c>
      <c r="M1967" s="39" t="n">
        <f aca="false">Sens!$M$1962+Sens!$M$1963-Sens!$M$1964</f>
        <v>0</v>
      </c>
      <c r="N1967" s="39" t="n">
        <f aca="false">Sens!$N$1962+Sens!$N$1963-Sens!$N$1964</f>
        <v>0</v>
      </c>
      <c r="O1967" s="39" t="n">
        <f aca="false">Sens!$O$1962+Sens!$O$1963-Sens!$O$1964</f>
        <v>0</v>
      </c>
    </row>
    <row r="1968" customFormat="false" ht="17.15" hidden="false" customHeight="false" outlineLevel="0" collapsed="false">
      <c r="A1968" s="24" t="s">
        <v>657</v>
      </c>
      <c r="B1968" s="25" t="s">
        <v>73</v>
      </c>
      <c r="C1968" s="39" t="n">
        <f aca="false">Sens!$C$1901+Sens!$C$1902+Sens!$C$1964-Sens!$C$1965</f>
        <v>0</v>
      </c>
      <c r="D1968" s="39" t="n">
        <f aca="false">Sens!$D$1901+Sens!$D$1902+Sens!$D$1964-Sens!$D$1965</f>
        <v>0</v>
      </c>
      <c r="E1968" s="39" t="n">
        <f aca="false">Sens!$E$1901+Sens!$E$1902+Sens!$E$1964-Sens!$E$1965</f>
        <v>0</v>
      </c>
      <c r="F1968" s="39" t="n">
        <f aca="false">Sens!$F$1901+Sens!$F$1902+Sens!$F$1964-Sens!$F$1965</f>
        <v>0</v>
      </c>
      <c r="G1968" s="39" t="n">
        <f aca="false">Sens!$G$1901+Sens!$G$1902+Sens!$G$1964-Sens!$G$1965</f>
        <v>0</v>
      </c>
      <c r="H1968" s="39" t="n">
        <f aca="false">Sens!$H$1901+Sens!$H$1902+Sens!$H$1964-Sens!$H$1965</f>
        <v>0</v>
      </c>
      <c r="I1968" s="39" t="n">
        <f aca="false">Sens!$I$1901+Sens!$I$1902+Sens!$I$1964-Sens!$I$1965</f>
        <v>0</v>
      </c>
      <c r="J1968" s="39" t="n">
        <f aca="false">Sens!$J$1901+Sens!$J$1902+Sens!$J$1964-Sens!$J$1965</f>
        <v>0</v>
      </c>
      <c r="K1968" s="39" t="n">
        <f aca="false">Sens!$K$1901+Sens!$K$1902+Sens!$K$1964-Sens!$K$1965</f>
        <v>0</v>
      </c>
      <c r="L1968" s="39" t="n">
        <f aca="false">Sens!$L$1901+Sens!$L$1902+Sens!$L$1964-Sens!$L$1965</f>
        <v>0</v>
      </c>
      <c r="M1968" s="39" t="n">
        <f aca="false">Sens!$M$1901+Sens!$M$1902+Sens!$M$1964-Sens!$M$1965</f>
        <v>0</v>
      </c>
      <c r="N1968" s="39" t="n">
        <f aca="false">Sens!$N$1901+Sens!$N$1902+Sens!$N$1964-Sens!$N$1965</f>
        <v>0</v>
      </c>
      <c r="O1968" s="39" t="n">
        <f aca="false">Sens!$O$1901+Sens!$O$1902+Sens!$O$1964-Sens!$O$1965</f>
        <v>0</v>
      </c>
    </row>
    <row r="1969" customFormat="false" ht="15" hidden="false" customHeight="false" outlineLevel="0" collapsed="false">
      <c r="A1969" s="5" t="s">
        <v>651</v>
      </c>
      <c r="B1969" s="0" t="s">
        <v>52</v>
      </c>
      <c r="G1969" s="12" t="n">
        <f aca="false">Sens!$G$1965/Sens!$D$1965-1</f>
        <v>0.161378156222718</v>
      </c>
      <c r="H1969" s="12" t="n">
        <f aca="false">Sens!$H$1965/Sens!$G$1965-1</f>
        <v>0.166192665236357</v>
      </c>
      <c r="I1969" s="12" t="n">
        <f aca="false">Sens!$I$1965/Sens!$H$1965-1</f>
        <v>0.143618092519351</v>
      </c>
      <c r="J1969" s="12" t="n">
        <f aca="false">Sens!$J$1965/Sens!$I$1965-1</f>
        <v>0.117712411733268</v>
      </c>
      <c r="K1969" s="12" t="n">
        <f aca="false">Sens!$K$1965/Sens!$J$1965-1</f>
        <v>0.0937151404237868</v>
      </c>
      <c r="L1969" s="12" t="n">
        <f aca="false">Sens!$L$1965/Sens!$K$1965-1</f>
        <v>0.0896982852494186</v>
      </c>
      <c r="M1969" s="12" t="n">
        <f aca="false">Sens!$M$1965/Sens!$L$1965-1</f>
        <v>0.0862697420528154</v>
      </c>
    </row>
    <row r="1970" customFormat="false" ht="17.15" hidden="false" customHeight="false" outlineLevel="0" collapsed="false">
      <c r="A1970" s="0" t="s">
        <v>652</v>
      </c>
      <c r="B1970" s="0" t="s">
        <v>52</v>
      </c>
      <c r="C1970" s="12" t="n">
        <f aca="false">Sens!$C$1964/Sens!$C$1965</f>
        <v>0.168593906504964</v>
      </c>
      <c r="D1970" s="12" t="n">
        <f aca="false">Sens!$D$1964/Sens!$D$1965</f>
        <v>0.179551807444025</v>
      </c>
      <c r="E1970" s="12" t="n">
        <f aca="false">Sens!$E$1964/Sens!$E$1965</f>
        <v>0.208881910369643</v>
      </c>
      <c r="F1970" s="12" t="n">
        <f aca="false">Sens!$F$1964/Sens!$F$1965</f>
        <v>0.207679264769203</v>
      </c>
      <c r="G1970" s="12" t="n">
        <f aca="false">Sens!$G$1964/Sens!$G$1965</f>
        <v>0.208231210458731</v>
      </c>
      <c r="H1970" s="12" t="n">
        <f aca="false">Sens!$H$1964/Sens!$H$1965</f>
        <v>0.248260191414043</v>
      </c>
      <c r="I1970" s="12" t="n">
        <f aca="false">Sens!$I$1964/Sens!$I$1965</f>
        <v>0.28110473450946</v>
      </c>
      <c r="J1970" s="12" t="n">
        <f aca="false">Sens!$J$1964/Sens!$J$1965</f>
        <v>0.30570109287086</v>
      </c>
      <c r="K1970" s="12" t="n">
        <f aca="false">Sens!$K$1964/Sens!$K$1965</f>
        <v>0.324071291782835</v>
      </c>
      <c r="L1970" s="12" t="n">
        <f aca="false">Sens!$L$1964/Sens!$L$1965</f>
        <v>0.339333003903741</v>
      </c>
      <c r="M1970" s="12" t="n">
        <f aca="false">Sens!$M$1964/Sens!$M$1965</f>
        <v>0.3520169237354</v>
      </c>
      <c r="N1970" s="12" t="n">
        <f aca="false">Sens!$N$1964/Sens!$N$1965</f>
        <v>0.185979484737251</v>
      </c>
      <c r="O1970" s="12" t="n">
        <f aca="false">Sens!$O$1964/Sens!$O$1965</f>
        <v>0.174270432341096</v>
      </c>
    </row>
    <row r="1971" customFormat="false" ht="17.15" hidden="false" customHeight="false" outlineLevel="0" collapsed="false">
      <c r="A1971" s="0" t="s">
        <v>653</v>
      </c>
      <c r="B1971" s="0" t="s">
        <v>52</v>
      </c>
      <c r="C1971" s="12" t="n">
        <f aca="false">Sens!$C$1962/Sens!$C$1964</f>
        <v>0.0215795060896058</v>
      </c>
      <c r="D1971" s="12" t="n">
        <f aca="false">Sens!$D$1962/Sens!$D$1964</f>
        <v>0.0676152269462122</v>
      </c>
      <c r="E1971" s="12" t="n">
        <f aca="false">Sens!$E$1962/Sens!$E$1964</f>
        <v>0.106620641395783</v>
      </c>
      <c r="F1971" s="12" t="n">
        <f aca="false">Sens!$F$1962/Sens!$F$1964</f>
        <v>0.159936751776064</v>
      </c>
      <c r="G1971" s="12" t="n">
        <f aca="false">Sens!$G$1962/Sens!$G$1964</f>
        <v>0.135391237003751</v>
      </c>
      <c r="H1971" s="12" t="n">
        <f aca="false">Sens!$H$1962/Sens!$H$1964</f>
        <v>0.249589428545194</v>
      </c>
      <c r="I1971" s="12" t="n">
        <f aca="false">Sens!$I$1962/Sens!$I$1964</f>
        <v>0.325173850577483</v>
      </c>
      <c r="J1971" s="12" t="n">
        <f aca="false">Sens!$J$1962/Sens!$J$1964</f>
        <v>0.376953718817392</v>
      </c>
      <c r="K1971" s="12" t="n">
        <f aca="false">Sens!$K$1962/Sens!$K$1964</f>
        <v>0.419641605578676</v>
      </c>
      <c r="L1971" s="12" t="n">
        <f aca="false">Sens!$L$1962/Sens!$L$1964</f>
        <v>0.450676451094615</v>
      </c>
      <c r="M1971" s="12" t="n">
        <f aca="false">Sens!$M$1962/Sens!$M$1964</f>
        <v>0.473526096798086</v>
      </c>
      <c r="N1971" s="12" t="n">
        <f aca="false">Sens!$N$1962/Sens!$N$1964</f>
        <v>0.0506537999838362</v>
      </c>
      <c r="O1971" s="12" t="n">
        <f aca="false">Sens!$O$1962/Sens!$O$1964</f>
        <v>0.0824881615167056</v>
      </c>
    </row>
    <row r="1974" customFormat="false" ht="19.4" hidden="false" customHeight="false" outlineLevel="0" collapsed="false">
      <c r="A1974" s="31" t="s">
        <v>1085</v>
      </c>
    </row>
    <row r="1975" customFormat="false" ht="17.15" hidden="false" customHeight="false" outlineLevel="0" collapsed="false">
      <c r="A1975" s="6" t="s">
        <v>16</v>
      </c>
      <c r="B1975" s="6" t="s">
        <v>17</v>
      </c>
      <c r="C1975" s="20" t="s">
        <v>457</v>
      </c>
      <c r="D1975" s="20" t="s">
        <v>458</v>
      </c>
      <c r="E1975" s="20" t="s">
        <v>540</v>
      </c>
      <c r="F1975" s="20" t="s">
        <v>541</v>
      </c>
      <c r="G1975" s="20" t="s">
        <v>542</v>
      </c>
      <c r="H1975" s="20" t="s">
        <v>543</v>
      </c>
      <c r="I1975" s="20" t="s">
        <v>544</v>
      </c>
      <c r="J1975" s="20" t="s">
        <v>545</v>
      </c>
      <c r="K1975" s="20" t="s">
        <v>546</v>
      </c>
      <c r="L1975" s="20" t="s">
        <v>547</v>
      </c>
      <c r="M1975" s="20" t="s">
        <v>548</v>
      </c>
      <c r="N1975" s="20" t="s">
        <v>549</v>
      </c>
      <c r="O1975" s="20" t="s">
        <v>550</v>
      </c>
      <c r="P1975" s="6" t="s">
        <v>23</v>
      </c>
      <c r="R1975" s="20" t="n">
        <v>2023</v>
      </c>
      <c r="S1975" s="20" t="n">
        <v>2024</v>
      </c>
      <c r="T1975" s="20" t="n">
        <v>2025</v>
      </c>
      <c r="U1975" s="20" t="n">
        <v>2026</v>
      </c>
      <c r="V1975" s="20" t="n">
        <v>2027</v>
      </c>
      <c r="W1975" s="20" t="n">
        <v>2028</v>
      </c>
      <c r="X1975" s="20" t="n">
        <v>2029</v>
      </c>
      <c r="Y1975" s="20" t="n">
        <v>2030</v>
      </c>
      <c r="Z1975" s="20" t="n">
        <v>2031</v>
      </c>
      <c r="AA1975" s="20" t="n">
        <v>2032</v>
      </c>
    </row>
    <row r="1976" customFormat="false" ht="17.15" hidden="false" customHeight="false" outlineLevel="0" collapsed="false">
      <c r="A1976" s="1" t="s">
        <v>668</v>
      </c>
    </row>
    <row r="1977" customFormat="false" ht="15" hidden="false" customHeight="false" outlineLevel="0" collapsed="false">
      <c r="A1977" s="0" t="s">
        <v>479</v>
      </c>
      <c r="B1977" s="0" t="s">
        <v>73</v>
      </c>
      <c r="C1977" s="38" t="n">
        <f aca="false">Sens!$C$1887</f>
        <v>247.029</v>
      </c>
      <c r="D1977" s="38" t="n">
        <f aca="false">Sens!$D$1887</f>
        <v>269.287</v>
      </c>
      <c r="E1977" s="38" t="n">
        <f aca="false">Sens!$E$1887</f>
        <v>134.686</v>
      </c>
      <c r="F1977" s="38" t="n">
        <f aca="false">Sens!$F$1887</f>
        <v>160.728085930082</v>
      </c>
      <c r="G1977" s="38" t="n">
        <f aca="false">Sens!$G$1887</f>
        <v>295.414085930082</v>
      </c>
      <c r="H1977" s="38" t="n">
        <f aca="false">Sens!$H$1887</f>
        <v>320.828163943375</v>
      </c>
      <c r="I1977" s="38" t="n">
        <f aca="false">Sens!$I$1887</f>
        <v>344.575578072228</v>
      </c>
      <c r="J1977" s="38" t="n">
        <f aca="false">Sens!$J$1887</f>
        <v>365.942555779681</v>
      </c>
      <c r="K1977" s="38" t="n">
        <f aca="false">Sens!$K$1887</f>
        <v>384.239683568665</v>
      </c>
      <c r="L1977" s="38" t="n">
        <f aca="false">Sens!$L$1887</f>
        <v>403.451667747098</v>
      </c>
      <c r="M1977" s="38" t="n">
        <f aca="false">Sens!$M$1887</f>
        <v>423.624251134453</v>
      </c>
      <c r="N1977" s="38" t="n">
        <f aca="false">Sens!$N$1887</f>
        <v>118.892</v>
      </c>
      <c r="O1977" s="38" t="n">
        <f aca="false">Sens!$O$1887</f>
        <v>150.395</v>
      </c>
    </row>
    <row r="1978" customFormat="false" ht="15" hidden="false" customHeight="false" outlineLevel="0" collapsed="false">
      <c r="A1978" s="0" t="s">
        <v>480</v>
      </c>
      <c r="B1978" s="0" t="s">
        <v>73</v>
      </c>
      <c r="C1978" s="38" t="n">
        <f aca="false">Sens!$C$1889</f>
        <v>21.215</v>
      </c>
      <c r="D1978" s="38" t="n">
        <f aca="false">Sens!$D$1889</f>
        <v>22.561</v>
      </c>
      <c r="E1978" s="38" t="n">
        <f aca="false">Sens!$E$1889</f>
        <v>11.579</v>
      </c>
      <c r="F1978" s="38" t="n">
        <f aca="false">Sens!$F$1889</f>
        <v>12.0952613121125</v>
      </c>
      <c r="G1978" s="38" t="n">
        <f aca="false">Sens!$G$1889</f>
        <v>23.6742613121125</v>
      </c>
      <c r="H1978" s="38" t="n">
        <f aca="false">Sens!$H$1889</f>
        <v>24.8803243963206</v>
      </c>
      <c r="I1978" s="38" t="n">
        <f aca="false">Sens!$I$1889</f>
        <v>25.9741308664154</v>
      </c>
      <c r="J1978" s="38" t="n">
        <f aca="false">Sens!$J$1889</f>
        <v>26.9346894124267</v>
      </c>
      <c r="K1978" s="38" t="n">
        <f aca="false">Sens!$K$1889</f>
        <v>27.7427300947995</v>
      </c>
      <c r="L1978" s="38" t="n">
        <f aca="false">Sens!$L$1889</f>
        <v>28.5750119976435</v>
      </c>
      <c r="M1978" s="38" t="n">
        <f aca="false">Sens!$M$1889</f>
        <v>29.4322623575728</v>
      </c>
      <c r="N1978" s="38" t="n">
        <f aca="false">Sens!$N$1889</f>
        <v>11.128</v>
      </c>
      <c r="O1978" s="38" t="n">
        <f aca="false">Sens!$O$1889</f>
        <v>11.433</v>
      </c>
    </row>
    <row r="1979" customFormat="false" ht="15" hidden="false" customHeight="false" outlineLevel="0" collapsed="false">
      <c r="A1979" s="0" t="s">
        <v>481</v>
      </c>
      <c r="B1979" s="0" t="s">
        <v>73</v>
      </c>
      <c r="C1979" s="38" t="n">
        <f aca="false">Sens!$C$1891</f>
        <v>156.146</v>
      </c>
      <c r="D1979" s="38" t="n">
        <f aca="false">Sens!$D$1891</f>
        <v>172.162</v>
      </c>
      <c r="E1979" s="38" t="n">
        <f aca="false">Sens!$E$1891</f>
        <v>88.358</v>
      </c>
      <c r="F1979" s="38" t="n">
        <f aca="false">Sens!$F$1891</f>
        <v>103.62028337149</v>
      </c>
      <c r="G1979" s="38" t="n">
        <f aca="false">Sens!$G$1891</f>
        <v>191.97828337149</v>
      </c>
      <c r="H1979" s="38" t="n">
        <f aca="false">Sens!$H$1891</f>
        <v>212.128608444755</v>
      </c>
      <c r="I1979" s="38" t="n">
        <f aca="false">Sens!$I$1891</f>
        <v>231.92183134134</v>
      </c>
      <c r="J1979" s="38" t="n">
        <f aca="false">Sens!$J$1891</f>
        <v>250.859136487863</v>
      </c>
      <c r="K1979" s="38" t="n">
        <f aca="false">Sens!$K$1891</f>
        <v>268.419276042014</v>
      </c>
      <c r="L1979" s="38" t="n">
        <f aca="false">Sens!$L$1891</f>
        <v>287.208625364954</v>
      </c>
      <c r="M1979" s="38" t="n">
        <f aca="false">Sens!$M$1891</f>
        <v>307.313229140501</v>
      </c>
      <c r="N1979" s="38" t="n">
        <f aca="false">Sens!$N$1891</f>
        <v>76.86</v>
      </c>
      <c r="O1979" s="38" t="n">
        <f aca="false">Sens!$O$1891</f>
        <v>95.302</v>
      </c>
    </row>
    <row r="1980" customFormat="false" ht="15" hidden="false" customHeight="false" outlineLevel="0" collapsed="false">
      <c r="A1980" s="0" t="s">
        <v>482</v>
      </c>
      <c r="B1980" s="0" t="s">
        <v>73</v>
      </c>
      <c r="C1980" s="38" t="n">
        <f aca="false">Sens!$C$1893</f>
        <v>56.214</v>
      </c>
      <c r="D1980" s="38" t="n">
        <f aca="false">Sens!$D$1893</f>
        <v>68.635</v>
      </c>
      <c r="E1980" s="38" t="n">
        <f aca="false">Sens!$E$1893</f>
        <v>37.052</v>
      </c>
      <c r="F1980" s="38" t="n">
        <f aca="false">Sens!$F$1893</f>
        <v>48.1533381827382</v>
      </c>
      <c r="G1980" s="38" t="n">
        <f aca="false">Sens!$G$1893</f>
        <v>85.2053381827382</v>
      </c>
      <c r="H1980" s="38" t="n">
        <f aca="false">Sens!$H$1893</f>
        <v>102.29336185894</v>
      </c>
      <c r="I1980" s="38" t="n">
        <f aca="false">Sens!$I$1893</f>
        <v>119.379837585241</v>
      </c>
      <c r="J1980" s="38" t="n">
        <f aca="false">Sens!$J$1893</f>
        <v>135.319079048844</v>
      </c>
      <c r="K1980" s="38" t="n">
        <f aca="false">Sens!$K$1893</f>
        <v>148.850986953729</v>
      </c>
      <c r="L1980" s="38" t="n">
        <f aca="false">Sens!$L$1893</f>
        <v>163.736085649102</v>
      </c>
      <c r="M1980" s="38" t="n">
        <f aca="false">Sens!$M$1893</f>
        <v>180.109694214012</v>
      </c>
      <c r="N1980" s="38" t="n">
        <f aca="false">Sens!$N$1893</f>
        <v>29.615</v>
      </c>
      <c r="O1980" s="38" t="n">
        <f aca="false">Sens!$O$1893</f>
        <v>39.02</v>
      </c>
    </row>
    <row r="1981" customFormat="false" ht="15" hidden="false" customHeight="false" outlineLevel="0" collapsed="false">
      <c r="A1981" s="0" t="s">
        <v>483</v>
      </c>
      <c r="B1981" s="0" t="s">
        <v>73</v>
      </c>
      <c r="C1981" s="38" t="n">
        <f aca="false">Sens!$C$1895</f>
        <v>44.374</v>
      </c>
      <c r="D1981" s="38" t="n">
        <f aca="false">Sens!$D$1895</f>
        <v>49.619</v>
      </c>
      <c r="E1981" s="38" t="n">
        <f aca="false">Sens!$E$1895</f>
        <v>27.157</v>
      </c>
      <c r="F1981" s="38" t="n">
        <f aca="false">Sens!$F$1895</f>
        <v>28.9776360923374</v>
      </c>
      <c r="G1981" s="38" t="n">
        <f aca="false">Sens!$G$1895</f>
        <v>56.1346360923374</v>
      </c>
      <c r="H1981" s="38" t="n">
        <f aca="false">Sens!$H$1895</f>
        <v>62.4937078946075</v>
      </c>
      <c r="I1981" s="38" t="n">
        <f aca="false">Sens!$I$1895</f>
        <v>68.6715233062498</v>
      </c>
      <c r="J1981" s="38" t="n">
        <f aca="false">Sens!$J$1895</f>
        <v>74.4692882949818</v>
      </c>
      <c r="K1981" s="38" t="n">
        <f aca="false">Sens!$K$1895</f>
        <v>79.6821384756306</v>
      </c>
      <c r="L1981" s="38" t="n">
        <f aca="false">Sens!$L$1895</f>
        <v>85.2598881689247</v>
      </c>
      <c r="M1981" s="38" t="n">
        <f aca="false">Sens!$M$1895</f>
        <v>91.2280803407494</v>
      </c>
      <c r="N1981" s="38" t="n">
        <f aca="false">Sens!$N$1895</f>
        <v>23.923</v>
      </c>
      <c r="O1981" s="38" t="n">
        <f aca="false">Sens!$O$1895</f>
        <v>25.696</v>
      </c>
    </row>
    <row r="1982" customFormat="false" ht="15" hidden="false" customHeight="false" outlineLevel="0" collapsed="false">
      <c r="A1982" s="0" t="s">
        <v>484</v>
      </c>
      <c r="B1982" s="0" t="s">
        <v>73</v>
      </c>
      <c r="C1982" s="38" t="n">
        <f aca="false">Sens!$C$1897</f>
        <v>5.425</v>
      </c>
      <c r="D1982" s="38" t="n">
        <f aca="false">Sens!$D$1897</f>
        <v>5.935</v>
      </c>
      <c r="E1982" s="38" t="n">
        <f aca="false">Sens!$E$1897</f>
        <v>3.474</v>
      </c>
      <c r="F1982" s="38" t="n">
        <f aca="false">Sens!$F$1897</f>
        <v>3.36182431966931</v>
      </c>
      <c r="G1982" s="38" t="n">
        <f aca="false">Sens!$G$1897</f>
        <v>6.83582431966931</v>
      </c>
      <c r="H1982" s="38" t="n">
        <f aca="false">Sens!$H$1897</f>
        <v>7.31157108370141</v>
      </c>
      <c r="I1982" s="38" t="n">
        <f aca="false">Sens!$I$1897</f>
        <v>7.77266852639815</v>
      </c>
      <c r="J1982" s="38" t="n">
        <f aca="false">Sens!$J$1897</f>
        <v>8.2120733019884</v>
      </c>
      <c r="K1982" s="38" t="n">
        <f aca="false">Sens!$K$1897</f>
        <v>8.62267696708783</v>
      </c>
      <c r="L1982" s="38" t="n">
        <f aca="false">Sens!$L$1897</f>
        <v>9.05381081544222</v>
      </c>
      <c r="M1982" s="38" t="n">
        <f aca="false">Sens!$M$1897</f>
        <v>9.50650135621433</v>
      </c>
      <c r="N1982" s="38" t="n">
        <f aca="false">Sens!$N$1897</f>
        <v>2.811</v>
      </c>
      <c r="O1982" s="38" t="n">
        <f aca="false">Sens!$O$1897</f>
        <v>3.124</v>
      </c>
    </row>
    <row r="1983" customFormat="false" ht="17.15" hidden="false" customHeight="false" outlineLevel="0" collapsed="false">
      <c r="A1983" s="0" t="s">
        <v>669</v>
      </c>
      <c r="B1983" s="0" t="s">
        <v>73</v>
      </c>
      <c r="C1983" s="38" t="n">
        <f aca="false">Sens!$C$1964</f>
        <v>107.556</v>
      </c>
      <c r="D1983" s="38" t="n">
        <f aca="false">Sens!$D$1964</f>
        <v>128.725</v>
      </c>
      <c r="E1983" s="38" t="n">
        <f aca="false">Sens!$E$1964</f>
        <v>79.819</v>
      </c>
      <c r="F1983" s="38" t="n">
        <f aca="false">Sens!$F$1964</f>
        <v>93.5584440633857</v>
      </c>
      <c r="G1983" s="38" t="n">
        <f aca="false">Sens!$G$1964</f>
        <v>173.377444063386</v>
      </c>
      <c r="H1983" s="38" t="n">
        <f aca="false">Sens!$H$1964</f>
        <v>241.059451517916</v>
      </c>
      <c r="I1983" s="38" t="n">
        <f aca="false">Sens!$I$1964</f>
        <v>312.152096351442</v>
      </c>
      <c r="J1983" s="38" t="n">
        <f aca="false">Sens!$J$1964</f>
        <v>379.424316597773</v>
      </c>
      <c r="K1983" s="38" t="n">
        <f aca="false">Sens!$K$1964</f>
        <v>439.919237244402</v>
      </c>
      <c r="L1983" s="38" t="n">
        <f aca="false">Sens!$L$1964</f>
        <v>501.954974491517</v>
      </c>
      <c r="M1983" s="38" t="n">
        <f aca="false">Sens!$M$1964</f>
        <v>565.639704466895</v>
      </c>
      <c r="N1983" s="38" t="n">
        <f aca="false">Sens!$N$1964</f>
        <v>60.14</v>
      </c>
      <c r="O1983" s="38" t="n">
        <f aca="false">Sens!$O$1964</f>
        <v>68.585</v>
      </c>
    </row>
    <row r="1984" customFormat="false" ht="15" hidden="false" customHeight="false" outlineLevel="0" collapsed="false">
      <c r="A1984" s="1" t="s">
        <v>472</v>
      </c>
      <c r="B1984" s="8" t="s">
        <v>73</v>
      </c>
      <c r="C1984" s="38" t="n">
        <f aca="false">Sens!$C$1901</f>
        <v>387.497</v>
      </c>
      <c r="D1984" s="38" t="n">
        <f aca="false">Sens!$D$1901</f>
        <v>426.305</v>
      </c>
      <c r="E1984" s="38" t="n">
        <f aca="false">Sens!$E$1901</f>
        <v>220.32</v>
      </c>
      <c r="F1984" s="38" t="n">
        <f aca="false">Sens!$F$1901</f>
        <v>256.304015003807</v>
      </c>
      <c r="G1984" s="38" t="n">
        <f aca="false">Sens!$G$1901</f>
        <v>476.624015003807</v>
      </c>
      <c r="H1984" s="38" t="n">
        <f aca="false">Sens!$H$1901</f>
        <v>527.734391091543</v>
      </c>
      <c r="I1984" s="38" t="n">
        <f aca="false">Sens!$I$1901</f>
        <v>577.157693029577</v>
      </c>
      <c r="J1984" s="38" t="n">
        <f aca="false">Sens!$J$1901</f>
        <v>623.024923663827</v>
      </c>
      <c r="K1984" s="38" t="n">
        <f aca="false">Sens!$K$1901</f>
        <v>663.382568393781</v>
      </c>
      <c r="L1984" s="38" t="n">
        <f aca="false">Sens!$L$1901</f>
        <v>706.564873010432</v>
      </c>
      <c r="M1984" s="38" t="n">
        <f aca="false">Sens!$M$1901</f>
        <v>752.784687406019</v>
      </c>
      <c r="N1984" s="38" t="n">
        <f aca="false">Sens!$N$1901</f>
        <v>192.955</v>
      </c>
      <c r="O1984" s="38" t="n">
        <f aca="false">Sens!$O$1901</f>
        <v>233.35</v>
      </c>
    </row>
    <row r="1985" customFormat="false" ht="15" hidden="false" customHeight="false" outlineLevel="0" collapsed="false">
      <c r="A1985" s="1" t="s">
        <v>475</v>
      </c>
      <c r="B1985" s="8" t="s">
        <v>73</v>
      </c>
      <c r="C1985" s="38" t="n">
        <f aca="false">Sens!$C$1902</f>
        <v>142.906</v>
      </c>
      <c r="D1985" s="38" t="n">
        <f aca="false">Sens!$D$1902</f>
        <v>161.894</v>
      </c>
      <c r="E1985" s="38" t="n">
        <f aca="false">Sens!$E$1902</f>
        <v>81.986</v>
      </c>
      <c r="F1985" s="38" t="n">
        <f aca="false">Sens!$F$1902</f>
        <v>100.632414204623</v>
      </c>
      <c r="G1985" s="38" t="n">
        <f aca="false">Sens!$G$1902</f>
        <v>182.618414204623</v>
      </c>
      <c r="H1985" s="38" t="n">
        <f aca="false">Sens!$H$1902</f>
        <v>202.201346530158</v>
      </c>
      <c r="I1985" s="38" t="n">
        <f aca="false">Sens!$I$1902</f>
        <v>221.137876668296</v>
      </c>
      <c r="J1985" s="38" t="n">
        <f aca="false">Sens!$J$1902</f>
        <v>238.711898661958</v>
      </c>
      <c r="K1985" s="38" t="n">
        <f aca="false">Sens!$K$1902</f>
        <v>254.174923708144</v>
      </c>
      <c r="L1985" s="38" t="n">
        <f aca="false">Sens!$L$1902</f>
        <v>270.720216732733</v>
      </c>
      <c r="M1985" s="38" t="n">
        <f aca="false">Sens!$M$1902</f>
        <v>288.429331137484</v>
      </c>
      <c r="N1985" s="38" t="n">
        <f aca="false">Sens!$N$1902</f>
        <v>70.274</v>
      </c>
      <c r="O1985" s="38" t="n">
        <f aca="false">Sens!$O$1902</f>
        <v>91.62</v>
      </c>
    </row>
    <row r="1986" customFormat="false" ht="15" hidden="false" customHeight="false" outlineLevel="0" collapsed="false">
      <c r="A1986" s="1" t="s">
        <v>476</v>
      </c>
      <c r="B1986" s="8" t="s">
        <v>73</v>
      </c>
      <c r="C1986" s="38" t="n">
        <f aca="false">Sens!$C$1964</f>
        <v>107.556</v>
      </c>
      <c r="D1986" s="38" t="n">
        <f aca="false">Sens!$D$1964</f>
        <v>128.725</v>
      </c>
      <c r="E1986" s="38" t="n">
        <f aca="false">Sens!$E$1964</f>
        <v>79.819</v>
      </c>
      <c r="F1986" s="38" t="n">
        <f aca="false">Sens!$F$1964</f>
        <v>93.5584440633857</v>
      </c>
      <c r="G1986" s="38" t="n">
        <f aca="false">Sens!$G$1964</f>
        <v>173.377444063386</v>
      </c>
      <c r="H1986" s="38" t="n">
        <f aca="false">Sens!$H$1964</f>
        <v>241.059451517916</v>
      </c>
      <c r="I1986" s="38" t="n">
        <f aca="false">Sens!$I$1964</f>
        <v>312.152096351442</v>
      </c>
      <c r="J1986" s="38" t="n">
        <f aca="false">Sens!$J$1964</f>
        <v>379.424316597773</v>
      </c>
      <c r="K1986" s="38" t="n">
        <f aca="false">Sens!$K$1964</f>
        <v>439.919237244402</v>
      </c>
      <c r="L1986" s="38" t="n">
        <f aca="false">Sens!$L$1964</f>
        <v>501.954974491517</v>
      </c>
      <c r="M1986" s="38" t="n">
        <f aca="false">Sens!$M$1964</f>
        <v>565.639704466895</v>
      </c>
      <c r="N1986" s="38" t="n">
        <f aca="false">Sens!$N$1964</f>
        <v>60.14</v>
      </c>
      <c r="O1986" s="38" t="n">
        <f aca="false">Sens!$O$1964</f>
        <v>68.585</v>
      </c>
    </row>
    <row r="1987" customFormat="false" ht="17.15" hidden="false" customHeight="false" outlineLevel="0" collapsed="false">
      <c r="A1987" s="0" t="s">
        <v>643</v>
      </c>
      <c r="B1987" s="0" t="s">
        <v>73</v>
      </c>
      <c r="C1987" s="38" t="n">
        <f aca="false">Sens!$C$1962</f>
        <v>2.32100535697364</v>
      </c>
      <c r="D1987" s="38" t="n">
        <f aca="false">Sens!$D$1962</f>
        <v>8.70377008865116</v>
      </c>
      <c r="E1987" s="38" t="n">
        <f aca="false">Sens!$E$1962</f>
        <v>8.51035297557002</v>
      </c>
      <c r="F1987" s="38" t="n">
        <f aca="false">Sens!$F$1962</f>
        <v>14.9634336447205</v>
      </c>
      <c r="G1987" s="38" t="n">
        <f aca="false">Sens!$G$1962</f>
        <v>23.4737866202905</v>
      </c>
      <c r="H1987" s="38" t="n">
        <f aca="false">Sens!$H$1962</f>
        <v>60.1658907497746</v>
      </c>
      <c r="I1987" s="38" t="n">
        <f aca="false">Sens!$I$1962</f>
        <v>101.503699136432</v>
      </c>
      <c r="J1987" s="38" t="n">
        <f aca="false">Sens!$J$1962</f>
        <v>143.025407151278</v>
      </c>
      <c r="K1987" s="38" t="n">
        <f aca="false">Sens!$K$1962</f>
        <v>184.608415042187</v>
      </c>
      <c r="L1987" s="38" t="n">
        <f aca="false">Sens!$L$1962</f>
        <v>226.219286513125</v>
      </c>
      <c r="M1987" s="38" t="n">
        <f aca="false">Sens!$M$1962</f>
        <v>267.845161450232</v>
      </c>
      <c r="N1987" s="38" t="n">
        <f aca="false">Sens!$N$1962</f>
        <v>3.04631953102791</v>
      </c>
      <c r="O1987" s="38" t="n">
        <f aca="false">Sens!$O$1962</f>
        <v>5.65745055762326</v>
      </c>
    </row>
    <row r="1988" customFormat="false" ht="17.15" hidden="false" customHeight="false" outlineLevel="0" collapsed="false">
      <c r="A1988" s="0" t="s">
        <v>645</v>
      </c>
      <c r="B1988" s="0" t="s">
        <v>73</v>
      </c>
      <c r="C1988" s="38" t="n">
        <f aca="false">Sens!$C$1963</f>
        <v>105.234994643026</v>
      </c>
      <c r="D1988" s="38" t="n">
        <f aca="false">Sens!$D$1963</f>
        <v>120.021229911349</v>
      </c>
      <c r="E1988" s="38" t="n">
        <f aca="false">Sens!$E$1963</f>
        <v>71.30864702443</v>
      </c>
      <c r="F1988" s="38" t="n">
        <f aca="false">Sens!$F$1963</f>
        <v>78.5950104186653</v>
      </c>
      <c r="G1988" s="38" t="n">
        <f aca="false">Sens!$G$1963</f>
        <v>149.903657443095</v>
      </c>
      <c r="H1988" s="38" t="n">
        <f aca="false">Sens!$H$1963</f>
        <v>180.893560768142</v>
      </c>
      <c r="I1988" s="38" t="n">
        <f aca="false">Sens!$I$1963</f>
        <v>210.64839721501</v>
      </c>
      <c r="J1988" s="38" t="n">
        <f aca="false">Sens!$J$1963</f>
        <v>236.398909446495</v>
      </c>
      <c r="K1988" s="38" t="n">
        <f aca="false">Sens!$K$1963</f>
        <v>255.310822202215</v>
      </c>
      <c r="L1988" s="38" t="n">
        <f aca="false">Sens!$L$1963</f>
        <v>275.735687978392</v>
      </c>
      <c r="M1988" s="38" t="n">
        <f aca="false">Sens!$M$1963</f>
        <v>297.794543016663</v>
      </c>
      <c r="N1988" s="38" t="n">
        <f aca="false">Sens!$N$1963</f>
        <v>57.0936804689721</v>
      </c>
      <c r="O1988" s="38" t="n">
        <f aca="false">Sens!$O$1963</f>
        <v>62.9275494423768</v>
      </c>
    </row>
    <row r="1989" customFormat="false" ht="15" hidden="false" customHeight="false" outlineLevel="0" collapsed="false">
      <c r="A1989" s="3" t="s">
        <v>477</v>
      </c>
      <c r="B1989" s="8" t="s">
        <v>73</v>
      </c>
      <c r="C1989" s="38" t="n">
        <f aca="false">Sens!$C$1965</f>
        <v>637.959</v>
      </c>
      <c r="D1989" s="38" t="n">
        <f aca="false">Sens!$D$1965</f>
        <v>716.924</v>
      </c>
      <c r="E1989" s="38" t="n">
        <f aca="false">Sens!$E$1965</f>
        <v>382.125</v>
      </c>
      <c r="F1989" s="38" t="n">
        <f aca="false">Sens!$F$1965</f>
        <v>450.494873271816</v>
      </c>
      <c r="G1989" s="38" t="n">
        <f aca="false">Sens!$G$1965</f>
        <v>832.619873271816</v>
      </c>
      <c r="H1989" s="38" t="n">
        <f aca="false">Sens!$H$1965</f>
        <v>970.995189139617</v>
      </c>
      <c r="I1989" s="38" t="n">
        <f aca="false">Sens!$I$1965</f>
        <v>1110.44766604932</v>
      </c>
      <c r="J1989" s="38" t="n">
        <f aca="false">Sens!$J$1965</f>
        <v>1241.16113892356</v>
      </c>
      <c r="K1989" s="38" t="n">
        <f aca="false">Sens!$K$1965</f>
        <v>1357.47672934633</v>
      </c>
      <c r="L1989" s="38" t="n">
        <f aca="false">Sens!$L$1965</f>
        <v>1479.24006423468</v>
      </c>
      <c r="M1989" s="38" t="n">
        <f aca="false">Sens!$M$1965</f>
        <v>1606.8537230104</v>
      </c>
      <c r="N1989" s="38" t="n">
        <f aca="false">Sens!$N$1965</f>
        <v>323.369</v>
      </c>
      <c r="O1989" s="38" t="n">
        <f aca="false">Sens!$O$1965</f>
        <v>393.555</v>
      </c>
    </row>
    <row r="1990" customFormat="false" ht="17.15" hidden="false" customHeight="false" outlineLevel="0" collapsed="false">
      <c r="A1990" s="24" t="s">
        <v>655</v>
      </c>
      <c r="B1990" s="25" t="s">
        <v>73</v>
      </c>
      <c r="C1990" s="39" t="n">
        <f aca="false">Sens!$C$1977+Sens!$C$1978+Sens!$C$1979+Sens!$C$1980+Sens!$C$1981+Sens!$C$1982-(Sens!$C$1984+Sens!$C$1985)</f>
        <v>0</v>
      </c>
      <c r="D1990" s="39" t="n">
        <f aca="false">Sens!$D$1977+Sens!$D$1978+Sens!$D$1979+Sens!$D$1980+Sens!$D$1981+Sens!$D$1982-(Sens!$D$1984+Sens!$D$1985)</f>
        <v>0</v>
      </c>
      <c r="E1990" s="39" t="n">
        <f aca="false">Sens!$E$1977+Sens!$E$1978+Sens!$E$1979+Sens!$E$1980+Sens!$E$1981+Sens!$E$1982-(Sens!$E$1984+Sens!$E$1985)</f>
        <v>0</v>
      </c>
      <c r="F1990" s="39" t="n">
        <f aca="false">Sens!$F$1977+Sens!$F$1978+Sens!$F$1979+Sens!$F$1980+Sens!$F$1981+Sens!$F$1982-(Sens!$F$1984+Sens!$F$1985)</f>
        <v>0</v>
      </c>
      <c r="G1990" s="39" t="n">
        <f aca="false">Sens!$G$1977+Sens!$G$1978+Sens!$G$1979+Sens!$G$1980+Sens!$G$1981+Sens!$G$1982-(Sens!$G$1984+Sens!$G$1985)</f>
        <v>0</v>
      </c>
      <c r="H1990" s="39" t="n">
        <f aca="false">Sens!$H$1977+Sens!$H$1978+Sens!$H$1979+Sens!$H$1980+Sens!$H$1981+Sens!$H$1982-(Sens!$H$1984+Sens!$H$1985)</f>
        <v>0</v>
      </c>
      <c r="I1990" s="39" t="n">
        <f aca="false">Sens!$I$1977+Sens!$I$1978+Sens!$I$1979+Sens!$I$1980+Sens!$I$1981+Sens!$I$1982-(Sens!$I$1984+Sens!$I$1985)</f>
        <v>0</v>
      </c>
      <c r="J1990" s="39" t="n">
        <f aca="false">Sens!$J$1977+Sens!$J$1978+Sens!$J$1979+Sens!$J$1980+Sens!$J$1981+Sens!$J$1982-(Sens!$J$1984+Sens!$J$1985)</f>
        <v>0</v>
      </c>
      <c r="K1990" s="39" t="n">
        <f aca="false">Sens!$K$1977+Sens!$K$1978+Sens!$K$1979+Sens!$K$1980+Sens!$K$1981+Sens!$K$1982-(Sens!$K$1984+Sens!$K$1985)</f>
        <v>0</v>
      </c>
      <c r="L1990" s="39" t="n">
        <f aca="false">Sens!$L$1977+Sens!$L$1978+Sens!$L$1979+Sens!$L$1980+Sens!$L$1981+Sens!$L$1982-(Sens!$L$1984+Sens!$L$1985)</f>
        <v>0</v>
      </c>
      <c r="M1990" s="39" t="n">
        <f aca="false">Sens!$M$1977+Sens!$M$1978+Sens!$M$1979+Sens!$M$1980+Sens!$M$1981+Sens!$M$1982-(Sens!$M$1984+Sens!$M$1985)</f>
        <v>0</v>
      </c>
      <c r="N1990" s="39" t="n">
        <f aca="false">Sens!$N$1977+Sens!$N$1978+Sens!$N$1979+Sens!$N$1980+Sens!$N$1981+Sens!$N$1982-(Sens!$N$1984+Sens!$N$1985)</f>
        <v>0</v>
      </c>
      <c r="O1990" s="39" t="n">
        <f aca="false">Sens!$O$1977+Sens!$O$1978+Sens!$O$1979+Sens!$O$1980+Sens!$O$1981+Sens!$O$1982-(Sens!$O$1984+Sens!$O$1985)</f>
        <v>0</v>
      </c>
    </row>
    <row r="1991" customFormat="false" ht="17.15" hidden="false" customHeight="false" outlineLevel="0" collapsed="false">
      <c r="A1991" s="24" t="s">
        <v>656</v>
      </c>
      <c r="B1991" s="25" t="s">
        <v>73</v>
      </c>
      <c r="C1991" s="39" t="n">
        <f aca="false">Sens!$C$1987+Sens!$C$1988-Sens!$C$1986</f>
        <v>0</v>
      </c>
      <c r="D1991" s="39" t="n">
        <f aca="false">Sens!$D$1987+Sens!$D$1988-Sens!$D$1986</f>
        <v>0</v>
      </c>
      <c r="E1991" s="39" t="n">
        <f aca="false">Sens!$E$1987+Sens!$E$1988-Sens!$E$1986</f>
        <v>0</v>
      </c>
      <c r="F1991" s="39" t="n">
        <f aca="false">Sens!$F$1987+Sens!$F$1988-Sens!$F$1986</f>
        <v>0</v>
      </c>
      <c r="G1991" s="39" t="n">
        <f aca="false">Sens!$G$1987+Sens!$G$1988-Sens!$G$1986</f>
        <v>0</v>
      </c>
      <c r="H1991" s="39" t="n">
        <f aca="false">Sens!$H$1987+Sens!$H$1988-Sens!$H$1986</f>
        <v>0</v>
      </c>
      <c r="I1991" s="39" t="n">
        <f aca="false">Sens!$I$1987+Sens!$I$1988-Sens!$I$1986</f>
        <v>0</v>
      </c>
      <c r="J1991" s="39" t="n">
        <f aca="false">Sens!$J$1987+Sens!$J$1988-Sens!$J$1986</f>
        <v>0</v>
      </c>
      <c r="K1991" s="39" t="n">
        <f aca="false">Sens!$K$1987+Sens!$K$1988-Sens!$K$1986</f>
        <v>0</v>
      </c>
      <c r="L1991" s="39" t="n">
        <f aca="false">Sens!$L$1987+Sens!$L$1988-Sens!$L$1986</f>
        <v>0</v>
      </c>
      <c r="M1991" s="39" t="n">
        <f aca="false">Sens!$M$1987+Sens!$M$1988-Sens!$M$1986</f>
        <v>0</v>
      </c>
      <c r="N1991" s="39" t="n">
        <f aca="false">Sens!$N$1987+Sens!$N$1988-Sens!$N$1986</f>
        <v>0</v>
      </c>
      <c r="O1991" s="39" t="n">
        <f aca="false">Sens!$O$1987+Sens!$O$1988-Sens!$O$1986</f>
        <v>0</v>
      </c>
    </row>
    <row r="1992" customFormat="false" ht="17.15" hidden="false" customHeight="false" outlineLevel="0" collapsed="false">
      <c r="A1992" s="24" t="s">
        <v>710</v>
      </c>
      <c r="B1992" s="25" t="s">
        <v>73</v>
      </c>
      <c r="C1992" s="39" t="n">
        <f aca="false">Sens!$C$1977+Sens!$C$1978+Sens!$C$1979+Sens!$C$1980+Sens!$C$1981+Sens!$C$1982+Sens!$C$1983-Sens!$C$1989</f>
        <v>0</v>
      </c>
      <c r="D1992" s="39" t="n">
        <f aca="false">Sens!$D$1977+Sens!$D$1978+Sens!$D$1979+Sens!$D$1980+Sens!$D$1981+Sens!$D$1982+Sens!$D$1983-Sens!$D$1989</f>
        <v>0</v>
      </c>
      <c r="E1992" s="39" t="n">
        <f aca="false">Sens!$E$1977+Sens!$E$1978+Sens!$E$1979+Sens!$E$1980+Sens!$E$1981+Sens!$E$1982+Sens!$E$1983-Sens!$E$1989</f>
        <v>0</v>
      </c>
      <c r="F1992" s="39" t="n">
        <f aca="false">Sens!$F$1977+Sens!$F$1978+Sens!$F$1979+Sens!$F$1980+Sens!$F$1981+Sens!$F$1982+Sens!$F$1983-Sens!$F$1989</f>
        <v>0</v>
      </c>
      <c r="G1992" s="39" t="n">
        <f aca="false">Sens!$G$1977+Sens!$G$1978+Sens!$G$1979+Sens!$G$1980+Sens!$G$1981+Sens!$G$1982+Sens!$G$1983-Sens!$G$1989</f>
        <v>0</v>
      </c>
      <c r="H1992" s="39" t="n">
        <f aca="false">Sens!$H$1977+Sens!$H$1978+Sens!$H$1979+Sens!$H$1980+Sens!$H$1981+Sens!$H$1982+Sens!$H$1983-Sens!$H$1989</f>
        <v>0</v>
      </c>
      <c r="I1992" s="39" t="n">
        <f aca="false">Sens!$I$1977+Sens!$I$1978+Sens!$I$1979+Sens!$I$1980+Sens!$I$1981+Sens!$I$1982+Sens!$I$1983-Sens!$I$1989</f>
        <v>0</v>
      </c>
      <c r="J1992" s="39" t="n">
        <f aca="false">Sens!$J$1977+Sens!$J$1978+Sens!$J$1979+Sens!$J$1980+Sens!$J$1981+Sens!$J$1982+Sens!$J$1983-Sens!$J$1989</f>
        <v>0</v>
      </c>
      <c r="K1992" s="39" t="n">
        <f aca="false">Sens!$K$1977+Sens!$K$1978+Sens!$K$1979+Sens!$K$1980+Sens!$K$1981+Sens!$K$1982+Sens!$K$1983-Sens!$K$1989</f>
        <v>0</v>
      </c>
      <c r="L1992" s="39" t="n">
        <f aca="false">Sens!$L$1977+Sens!$L$1978+Sens!$L$1979+Sens!$L$1980+Sens!$L$1981+Sens!$L$1982+Sens!$L$1983-Sens!$L$1989</f>
        <v>0</v>
      </c>
      <c r="M1992" s="39" t="n">
        <f aca="false">Sens!$M$1977+Sens!$M$1978+Sens!$M$1979+Sens!$M$1980+Sens!$M$1981+Sens!$M$1982+Sens!$M$1983-Sens!$M$1989</f>
        <v>0</v>
      </c>
      <c r="N1992" s="39" t="n">
        <f aca="false">Sens!$N$1977+Sens!$N$1978+Sens!$N$1979+Sens!$N$1980+Sens!$N$1981+Sens!$N$1982+Sens!$N$1983-Sens!$N$1989</f>
        <v>0</v>
      </c>
      <c r="O1992" s="39" t="n">
        <f aca="false">Sens!$O$1977+Sens!$O$1978+Sens!$O$1979+Sens!$O$1980+Sens!$O$1981+Sens!$O$1982+Sens!$O$1983-Sens!$O$1989</f>
        <v>0</v>
      </c>
    </row>
    <row r="1993" customFormat="false" ht="17.15" hidden="false" customHeight="false" outlineLevel="0" collapsed="false">
      <c r="A1993" s="24" t="s">
        <v>657</v>
      </c>
      <c r="B1993" s="25" t="s">
        <v>73</v>
      </c>
      <c r="C1993" s="39" t="n">
        <f aca="false">Sens!$C$1984+Sens!$C$1985+Sens!$C$1986-Sens!$C$1989</f>
        <v>0</v>
      </c>
      <c r="D1993" s="39" t="n">
        <f aca="false">Sens!$D$1984+Sens!$D$1985+Sens!$D$1986-Sens!$D$1989</f>
        <v>0</v>
      </c>
      <c r="E1993" s="39" t="n">
        <f aca="false">Sens!$E$1984+Sens!$E$1985+Sens!$E$1986-Sens!$E$1989</f>
        <v>0</v>
      </c>
      <c r="F1993" s="39" t="n">
        <f aca="false">Sens!$F$1984+Sens!$F$1985+Sens!$F$1986-Sens!$F$1989</f>
        <v>0</v>
      </c>
      <c r="G1993" s="39" t="n">
        <f aca="false">Sens!$G$1984+Sens!$G$1985+Sens!$G$1986-Sens!$G$1989</f>
        <v>0</v>
      </c>
      <c r="H1993" s="39" t="n">
        <f aca="false">Sens!$H$1984+Sens!$H$1985+Sens!$H$1986-Sens!$H$1989</f>
        <v>0</v>
      </c>
      <c r="I1993" s="39" t="n">
        <f aca="false">Sens!$I$1984+Sens!$I$1985+Sens!$I$1986-Sens!$I$1989</f>
        <v>0</v>
      </c>
      <c r="J1993" s="39" t="n">
        <f aca="false">Sens!$J$1984+Sens!$J$1985+Sens!$J$1986-Sens!$J$1989</f>
        <v>0</v>
      </c>
      <c r="K1993" s="39" t="n">
        <f aca="false">Sens!$K$1984+Sens!$K$1985+Sens!$K$1986-Sens!$K$1989</f>
        <v>0</v>
      </c>
      <c r="L1993" s="39" t="n">
        <f aca="false">Sens!$L$1984+Sens!$L$1985+Sens!$L$1986-Sens!$L$1989</f>
        <v>0</v>
      </c>
      <c r="M1993" s="39" t="n">
        <f aca="false">Sens!$M$1984+Sens!$M$1985+Sens!$M$1986-Sens!$M$1989</f>
        <v>0</v>
      </c>
      <c r="N1993" s="39" t="n">
        <f aca="false">Sens!$N$1984+Sens!$N$1985+Sens!$N$1986-Sens!$N$1989</f>
        <v>0</v>
      </c>
      <c r="O1993" s="39" t="n">
        <f aca="false">Sens!$O$1984+Sens!$O$1985+Sens!$O$1986-Sens!$O$1989</f>
        <v>0</v>
      </c>
    </row>
    <row r="1994" customFormat="false" ht="17.15" hidden="false" customHeight="false" outlineLevel="0" collapsed="false">
      <c r="A1994" s="1" t="s">
        <v>671</v>
      </c>
    </row>
    <row r="1995" customFormat="false" ht="17.15" hidden="false" customHeight="false" outlineLevel="0" collapsed="false">
      <c r="A1995" s="0" t="s">
        <v>672</v>
      </c>
      <c r="B1995" s="0" t="s">
        <v>73</v>
      </c>
      <c r="C1995" s="38" t="n">
        <f aca="false">Sens!$C$1903*m_ad</f>
        <v>20.5341564414228</v>
      </c>
      <c r="D1995" s="38" t="n">
        <f aca="false">Sens!$D$1903*m_ad</f>
        <v>24.8720617299587</v>
      </c>
      <c r="E1995" s="38" t="n">
        <f aca="false">Sens!$E$1903*m_ad</f>
        <v>13.5017112462207</v>
      </c>
      <c r="F1995" s="38" t="n">
        <f aca="false">Sens!$F$1903*m_ad</f>
        <v>17.2886442824599</v>
      </c>
      <c r="G1995" s="38" t="n">
        <f aca="false">Sens!$G$1903*m_ad</f>
        <v>30.8011958765886</v>
      </c>
      <c r="H1995" s="38" t="n">
        <f aca="false">Sens!$H$1903*m_ad</f>
        <v>36.978409366026</v>
      </c>
      <c r="I1995" s="38" t="n">
        <f aca="false">Sens!$I$1903*m_ad</f>
        <v>43.155063281273</v>
      </c>
      <c r="J1995" s="38" t="n">
        <f aca="false">Sens!$J$1903*m_ad</f>
        <v>48.9169991988532</v>
      </c>
      <c r="K1995" s="38" t="n">
        <f aca="false">Sens!$K$1903*m_ad</f>
        <v>53.8086991187386</v>
      </c>
      <c r="L1995" s="38" t="n">
        <f aca="false">Sens!$L$1903*m_ad</f>
        <v>59.1895690306124</v>
      </c>
      <c r="M1995" s="38" t="n">
        <f aca="false">Sens!$M$1903*m_ad</f>
        <v>65.1085259336737</v>
      </c>
      <c r="N1995" s="38" t="n">
        <f aca="false">Sens!$N$1903*m_ad</f>
        <v>10.8543555706248</v>
      </c>
      <c r="O1995" s="38" t="n">
        <f aca="false">Sens!$O$1903*m_ad</f>
        <v>14.0094731821399</v>
      </c>
    </row>
    <row r="1996" customFormat="false" ht="17.15" hidden="false" customHeight="false" outlineLevel="0" collapsed="false">
      <c r="A1996" s="0" t="s">
        <v>673</v>
      </c>
      <c r="B1996" s="0" t="s">
        <v>73</v>
      </c>
      <c r="C1996" s="38" t="n">
        <f aca="false">Sens!$C$1901-Sens!$C$1903</f>
        <v>346.428687117154</v>
      </c>
      <c r="D1996" s="38" t="n">
        <f aca="false">Sens!$D$1901-Sens!$D$1903</f>
        <v>376.560876540083</v>
      </c>
      <c r="E1996" s="38" t="n">
        <f aca="false">Sens!$E$1901-Sens!$E$1903</f>
        <v>193.316577507559</v>
      </c>
      <c r="F1996" s="38" t="n">
        <f aca="false">Sens!$F$1901-Sens!$F$1903</f>
        <v>221.726726438887</v>
      </c>
      <c r="G1996" s="38" t="n">
        <f aca="false">Sens!$G$1901-Sens!$G$1903</f>
        <v>415.02162325063</v>
      </c>
      <c r="H1996" s="38" t="n">
        <f aca="false">Sens!$H$1901-Sens!$H$1903</f>
        <v>453.777572359491</v>
      </c>
      <c r="I1996" s="38" t="n">
        <f aca="false">Sens!$I$1901-Sens!$I$1903</f>
        <v>490.847566467031</v>
      </c>
      <c r="J1996" s="38" t="n">
        <f aca="false">Sens!$J$1901-Sens!$J$1903</f>
        <v>525.190925266121</v>
      </c>
      <c r="K1996" s="38" t="n">
        <f aca="false">Sens!$K$1901-Sens!$K$1903</f>
        <v>555.765170156304</v>
      </c>
      <c r="L1996" s="38" t="n">
        <f aca="false">Sens!$L$1901-Sens!$L$1903</f>
        <v>588.185734949207</v>
      </c>
      <c r="M1996" s="38" t="n">
        <f aca="false">Sens!$M$1901-Sens!$M$1903</f>
        <v>622.567635538672</v>
      </c>
      <c r="N1996" s="38" t="n">
        <f aca="false">Sens!$N$1901-Sens!$N$1903</f>
        <v>171.24628885875</v>
      </c>
      <c r="O1996" s="38" t="n">
        <f aca="false">Sens!$O$1901-Sens!$O$1903</f>
        <v>205.33105363572</v>
      </c>
    </row>
    <row r="1997" customFormat="false" ht="17.15" hidden="false" customHeight="false" outlineLevel="0" collapsed="false">
      <c r="A1997" s="0" t="s">
        <v>674</v>
      </c>
      <c r="B1997" s="0" t="s">
        <v>73</v>
      </c>
      <c r="C1997" s="38" t="n">
        <f aca="false">Sens!$C$1948*Sens!$C$1900</f>
        <v>0.119793158257048</v>
      </c>
      <c r="D1997" s="38" t="n">
        <f aca="false">Sens!$D$1948*Sens!$D$1900</f>
        <v>0.806820984687366</v>
      </c>
      <c r="E1997" s="38" t="n">
        <f aca="false">Sens!$E$1948*Sens!$E$1900</f>
        <v>1.17101201882556</v>
      </c>
      <c r="F1997" s="38" t="n">
        <f aca="false">Sens!$F$1948*Sens!$F$1900</f>
        <v>1.3976430246626</v>
      </c>
      <c r="G1997" s="38" t="n">
        <f aca="false">Sens!$G$1948*Sens!$G$1900</f>
        <v>2.5688974760823</v>
      </c>
      <c r="H1997" s="38" t="n">
        <f aca="false">Sens!$H$1948*Sens!$H$1900</f>
        <v>6.7270354826502</v>
      </c>
      <c r="I1997" s="38" t="n">
        <f aca="false">Sens!$I$1948*Sens!$I$1900</f>
        <v>11.7110000155025</v>
      </c>
      <c r="J1997" s="38" t="n">
        <f aca="false">Sens!$J$1948*Sens!$J$1900</f>
        <v>16.8232308986074</v>
      </c>
      <c r="K1997" s="38" t="n">
        <f aca="false">Sens!$K$1948*Sens!$K$1900</f>
        <v>21.9363865197974</v>
      </c>
      <c r="L1997" s="38" t="n">
        <f aca="false">Sens!$L$1948*Sens!$L$1900</f>
        <v>27.1354297462008</v>
      </c>
      <c r="M1997" s="38" t="n">
        <f aca="false">Sens!$M$1948*Sens!$M$1900</f>
        <v>32.0840066308644</v>
      </c>
      <c r="N1997" s="38" t="n">
        <f aca="false">Sens!$N$1948*Sens!$N$1900</f>
        <v>0.355022287016685</v>
      </c>
      <c r="O1997" s="38" t="n">
        <f aca="false">Sens!$O$1948*Sens!$O$1900</f>
        <v>0.451591230619085</v>
      </c>
    </row>
    <row r="1998" customFormat="false" ht="17.15" hidden="false" customHeight="false" outlineLevel="0" collapsed="false">
      <c r="A1998" s="0" t="s">
        <v>675</v>
      </c>
      <c r="B1998" s="0" t="s">
        <v>52</v>
      </c>
      <c r="C1998" s="28" t="n">
        <f aca="false">(Sens!$C$1999-Sens!$C$1995+Sens!$C$1997)/Sens!$C$1996</f>
        <v>0.0131416273713343</v>
      </c>
      <c r="D1998" s="28" t="n">
        <f aca="false">(Sens!$D$1999-Sens!$D$1995+Sens!$D$1997)/Sens!$D$1996</f>
        <v>0.014748635879961</v>
      </c>
      <c r="E1998" s="28" t="n">
        <f aca="false">(Sens!$E$1999-Sens!$E$1995+Sens!$E$1997)/Sens!$E$1996</f>
        <v>0.0261710652952514</v>
      </c>
      <c r="F1998" s="28" t="n">
        <f aca="false">Sens!$O$1998+(Sens!$E$1998-Sens!$N$1998)</f>
        <v>0.0226424413172865</v>
      </c>
      <c r="G1998" s="28" t="n">
        <f aca="false">(Sens!$G$1999-Sens!$G$1995+Sens!$G$1997)/Sens!$G$1996</f>
        <v>0.0242617171854605</v>
      </c>
      <c r="H1998" s="28" t="n">
        <f aca="false">Sens!$G$1998+step_na</f>
        <v>0.0272617171854605</v>
      </c>
      <c r="I1998" s="28" t="n">
        <f aca="false">Sens!$H$1998+step_na</f>
        <v>0.0302617171854605</v>
      </c>
      <c r="J1998" s="28" t="n">
        <f aca="false">Sens!$I$1998+step_na</f>
        <v>0.0332617171854605</v>
      </c>
      <c r="K1998" s="28" t="n">
        <f aca="false">Sens!$J$1998+step_na</f>
        <v>0.0362617171854605</v>
      </c>
      <c r="L1998" s="28" t="n">
        <f aca="false">Sens!$K$1998</f>
        <v>0.0362617171854605</v>
      </c>
      <c r="M1998" s="28" t="n">
        <f aca="false">Sens!$L$1998</f>
        <v>0.0362617171854605</v>
      </c>
      <c r="N1998" s="28" t="n">
        <f aca="false">(Sens!$N$1999-Sens!$N$1995+Sens!$N$1997)/Sens!$N$1996</f>
        <v>0.0166933060882259</v>
      </c>
      <c r="O1998" s="28" t="n">
        <f aca="false">(Sens!$O$1999-Sens!$O$1995+Sens!$O$1997)/Sens!$O$1996</f>
        <v>0.0131646821102609</v>
      </c>
      <c r="P1998" s="8" t="s">
        <v>676</v>
      </c>
    </row>
    <row r="1999" customFormat="false" ht="17.15" hidden="false" customHeight="false" outlineLevel="0" collapsed="false">
      <c r="A1999" s="1" t="s">
        <v>677</v>
      </c>
      <c r="B1999" s="8" t="s">
        <v>73</v>
      </c>
      <c r="C1999" s="38" t="n">
        <f aca="false">Q!$D$22</f>
        <v>24.967</v>
      </c>
      <c r="D1999" s="38" t="n">
        <f aca="false">Q!$E$22</f>
        <v>29.619</v>
      </c>
      <c r="E1999" s="38" t="n">
        <f aca="false">Q!$P$22</f>
        <v>17.39</v>
      </c>
      <c r="F1999" s="38" t="n">
        <f aca="false">Sens!$F$1995+Sens!$F$1996*Sens!$F$1998-Sens!$F$1997</f>
        <v>20.9114356496638</v>
      </c>
      <c r="G1999" s="38" t="n">
        <f aca="false">Sens!$E$1999+Sens!$F$1999</f>
        <v>38.3014356496638</v>
      </c>
      <c r="H1999" s="38" t="n">
        <f aca="false">Sens!$H$1995+Sens!$H$1996*Sens!$H$1998-Sens!$H$1997</f>
        <v>42.622129726145</v>
      </c>
      <c r="I1999" s="38" t="n">
        <f aca="false">Sens!$I$1995+Sens!$I$1996*Sens!$I$1998-Sens!$I$1997</f>
        <v>46.2979535033673</v>
      </c>
      <c r="J1999" s="38" t="n">
        <f aca="false">Sens!$J$1995+Sens!$J$1996*Sens!$J$1998-Sens!$J$1997</f>
        <v>49.5625203248179</v>
      </c>
      <c r="K1999" s="38" t="n">
        <f aca="false">Sens!$K$1995+Sens!$K$1996*Sens!$K$1998-Sens!$K$1997</f>
        <v>52.0253120206784</v>
      </c>
      <c r="L1999" s="38" t="n">
        <f aca="false">Sens!$L$1995+Sens!$L$1996*Sens!$L$1998-Sens!$L$1997</f>
        <v>53.382764057662</v>
      </c>
      <c r="M1999" s="38" t="n">
        <f aca="false">Sens!$M$1995+Sens!$M$1996*Sens!$M$1998-Sens!$M$1997</f>
        <v>55.5998908315334</v>
      </c>
      <c r="N1999" s="38" t="n">
        <f aca="false">Q!$N$22</f>
        <v>13.358</v>
      </c>
      <c r="O1999" s="38" t="n">
        <f aca="false">Q!$O$22</f>
        <v>16.261</v>
      </c>
    </row>
    <row r="2000" customFormat="false" ht="17.15" hidden="false" customHeight="false" outlineLevel="0" collapsed="false">
      <c r="A2000" s="0" t="s">
        <v>678</v>
      </c>
      <c r="B2000" s="0" t="s">
        <v>73</v>
      </c>
      <c r="C2000" s="38" t="n">
        <f aca="false">Sens!$C$1904*m_ad</f>
        <v>7.57284355857716</v>
      </c>
      <c r="D2000" s="38" t="n">
        <f aca="false">Sens!$D$1904*m_ad</f>
        <v>9.44543827004127</v>
      </c>
      <c r="E2000" s="38" t="n">
        <f aca="false">Sens!$E$1904*m_ad</f>
        <v>5.02428875377928</v>
      </c>
      <c r="F2000" s="38" t="n">
        <f aca="false">Sens!$F$1904*m_ad</f>
        <v>6.78802480890925</v>
      </c>
      <c r="G2000" s="38" t="n">
        <f aca="false">Sens!$G$1904*m_ad</f>
        <v>11.8014732147805</v>
      </c>
      <c r="H2000" s="38" t="n">
        <f aca="false">Sens!$H$1904*m_ad</f>
        <v>14.1682715634442</v>
      </c>
      <c r="I2000" s="38" t="n">
        <f aca="false">Sens!$I$1904*m_ad</f>
        <v>16.5348555113474</v>
      </c>
      <c r="J2000" s="38" t="n">
        <f aca="false">Sens!$J$1904*m_ad</f>
        <v>18.7425403255689</v>
      </c>
      <c r="K2000" s="38" t="n">
        <f aca="false">Sens!$K$1904*m_ad</f>
        <v>20.6167943581258</v>
      </c>
      <c r="L2000" s="38" t="n">
        <f aca="false">Sens!$L$1904*m_ad</f>
        <v>22.6784737939383</v>
      </c>
      <c r="M2000" s="38" t="n">
        <f aca="false">Sens!$M$1904*m_ad</f>
        <v>24.9463211733322</v>
      </c>
      <c r="N2000" s="38" t="n">
        <f aca="false">Sens!$N$1904*m_ad</f>
        <v>3.95314442937518</v>
      </c>
      <c r="O2000" s="38" t="n">
        <f aca="false">Sens!$O$1904*m_ad</f>
        <v>5.50052681786011</v>
      </c>
    </row>
    <row r="2001" customFormat="false" ht="17.15" hidden="false" customHeight="false" outlineLevel="0" collapsed="false">
      <c r="A2001" s="0" t="s">
        <v>679</v>
      </c>
      <c r="B2001" s="0" t="s">
        <v>73</v>
      </c>
      <c r="C2001" s="38" t="n">
        <f aca="false">Sens!$C$1902-Sens!$C$1904</f>
        <v>127.760312882846</v>
      </c>
      <c r="D2001" s="38" t="n">
        <f aca="false">Sens!$D$1902-Sens!$D$1904</f>
        <v>143.003123459917</v>
      </c>
      <c r="E2001" s="38" t="n">
        <f aca="false">Sens!$E$1902-Sens!$E$1904</f>
        <v>71.9374224924414</v>
      </c>
      <c r="F2001" s="38" t="n">
        <f aca="false">Sens!$F$1902-Sens!$F$1904</f>
        <v>87.0563645868046</v>
      </c>
      <c r="G2001" s="38" t="n">
        <f aca="false">Sens!$G$1902-Sens!$G$1904</f>
        <v>159.015467775062</v>
      </c>
      <c r="H2001" s="38" t="n">
        <f aca="false">Sens!$H$1902-Sens!$H$1904</f>
        <v>173.864803403269</v>
      </c>
      <c r="I2001" s="38" t="n">
        <f aca="false">Sens!$I$1902-Sens!$I$1904</f>
        <v>188.068165645601</v>
      </c>
      <c r="J2001" s="38" t="n">
        <f aca="false">Sens!$J$1902-Sens!$J$1904</f>
        <v>201.22681801082</v>
      </c>
      <c r="K2001" s="38" t="n">
        <f aca="false">Sens!$K$1902-Sens!$K$1904</f>
        <v>212.941334991893</v>
      </c>
      <c r="L2001" s="38" t="n">
        <f aca="false">Sens!$L$1902-Sens!$L$1904</f>
        <v>225.363269144856</v>
      </c>
      <c r="M2001" s="38" t="n">
        <f aca="false">Sens!$M$1902-Sens!$M$1904</f>
        <v>238.536688790819</v>
      </c>
      <c r="N2001" s="38" t="n">
        <f aca="false">Sens!$N$1902-Sens!$N$1904</f>
        <v>62.3677111412496</v>
      </c>
      <c r="O2001" s="38" t="n">
        <f aca="false">Sens!$O$1902-Sens!$O$1904</f>
        <v>80.6189463642798</v>
      </c>
    </row>
    <row r="2002" customFormat="false" ht="17.15" hidden="false" customHeight="false" outlineLevel="0" collapsed="false">
      <c r="A2002" s="0" t="s">
        <v>680</v>
      </c>
      <c r="B2002" s="0" t="s">
        <v>73</v>
      </c>
      <c r="C2002" s="38" t="n">
        <f aca="false">Sens!$C$1948*(1-Sens!$C$1900)</f>
        <v>0.0441788222202539</v>
      </c>
      <c r="D2002" s="38" t="n">
        <f aca="false">Sens!$D$1948*(1-Sens!$D$1900)</f>
        <v>0.306399119163454</v>
      </c>
      <c r="E2002" s="38" t="n">
        <f aca="false">Sens!$E$1948*(1-Sens!$E$1900)</f>
        <v>0.435759764775929</v>
      </c>
      <c r="F2002" s="38" t="n">
        <f aca="false">Sens!$F$1948*(1-Sens!$F$1900)</f>
        <v>0.548755319989663</v>
      </c>
      <c r="G2002" s="38" t="n">
        <f aca="false">Sens!$G$1948*(1-Sens!$G$1900)</f>
        <v>0.984272652171462</v>
      </c>
      <c r="H2002" s="38" t="n">
        <f aca="false">Sens!$H$1948*(1-Sens!$H$1900)</f>
        <v>2.57746255637161</v>
      </c>
      <c r="I2002" s="38" t="n">
        <f aca="false">Sens!$I$1948*(1-Sens!$I$1900)</f>
        <v>4.48706776045329</v>
      </c>
      <c r="J2002" s="38" t="n">
        <f aca="false">Sens!$J$1948*(1-Sens!$J$1900)</f>
        <v>6.44581819587366</v>
      </c>
      <c r="K2002" s="38" t="n">
        <f aca="false">Sens!$K$1948*(1-Sens!$K$1900)</f>
        <v>8.40492294454167</v>
      </c>
      <c r="L2002" s="38" t="n">
        <f aca="false">Sens!$L$1948*(1-Sens!$L$1900)</f>
        <v>10.3969355152459</v>
      </c>
      <c r="M2002" s="38" t="n">
        <f aca="false">Sens!$M$1948*(1-Sens!$M$1900)</f>
        <v>12.2929819476517</v>
      </c>
      <c r="N2002" s="38" t="n">
        <f aca="false">Sens!$N$1948*(1-Sens!$N$1900)</f>
        <v>0.129298728707784</v>
      </c>
      <c r="O2002" s="38" t="n">
        <f aca="false">Sens!$O$1948*(1-Sens!$O$1900)</f>
        <v>0.177307857507266</v>
      </c>
    </row>
    <row r="2003" customFormat="false" ht="17.15" hidden="false" customHeight="false" outlineLevel="0" collapsed="false">
      <c r="A2003" s="0" t="s">
        <v>681</v>
      </c>
      <c r="B2003" s="0" t="s">
        <v>52</v>
      </c>
      <c r="C2003" s="28" t="n">
        <f aca="false">(Sens!$C$2004-Sens!$C$2000+Sens!$C$2002)/Sens!$C$2001</f>
        <v>-0.0292474607492811</v>
      </c>
      <c r="D2003" s="28" t="n">
        <f aca="false">(Sens!$D$2004-Sens!$D$2000+Sens!$D$2002)/Sens!$D$2001</f>
        <v>-0.0306919110903757</v>
      </c>
      <c r="E2003" s="28" t="n">
        <f aca="false">(Sens!$E$2004-Sens!$E$2000+Sens!$E$2002)/Sens!$E$2001</f>
        <v>-0.0201220580172364</v>
      </c>
      <c r="F2003" s="28" t="n">
        <f aca="false">Sens!$O$2003+(Sens!$E$2003-Sens!$N$2003)</f>
        <v>-0.0373287227786323</v>
      </c>
      <c r="G2003" s="28" t="n">
        <f aca="false">(Sens!$G$2004-Sens!$G$2000+Sens!$G$2002)/Sens!$G$2001</f>
        <v>-0.0294728182046756</v>
      </c>
      <c r="H2003" s="28" t="n">
        <f aca="false">Sens!$G$2003+step_in</f>
        <v>-0.0294728182046756</v>
      </c>
      <c r="I2003" s="28" t="n">
        <f aca="false">Sens!$H$2003+step_in</f>
        <v>-0.0294728182046756</v>
      </c>
      <c r="J2003" s="28" t="n">
        <f aca="false">Sens!$I$2003+step_in</f>
        <v>-0.0294728182046756</v>
      </c>
      <c r="K2003" s="28" t="n">
        <f aca="false">Sens!$J$2003+step_in</f>
        <v>-0.0294728182046756</v>
      </c>
      <c r="L2003" s="28" t="n">
        <f aca="false">Sens!$K$2003</f>
        <v>-0.0294728182046756</v>
      </c>
      <c r="M2003" s="28" t="n">
        <f aca="false">Sens!$L$2003</f>
        <v>-0.0294728182046756</v>
      </c>
      <c r="N2003" s="28" t="n">
        <f aca="false">(Sens!$N$2004-Sens!$N$2000+Sens!$N$2002)/Sens!$N$2001</f>
        <v>-0.0210500862809296</v>
      </c>
      <c r="O2003" s="28" t="n">
        <f aca="false">(Sens!$O$2004-Sens!$O$2000+Sens!$O$2002)/Sens!$O$2001</f>
        <v>-0.0382567510423255</v>
      </c>
      <c r="P2003" s="8" t="s">
        <v>676</v>
      </c>
    </row>
    <row r="2004" customFormat="false" ht="17.15" hidden="false" customHeight="false" outlineLevel="0" collapsed="false">
      <c r="A2004" s="1" t="s">
        <v>682</v>
      </c>
      <c r="B2004" s="8" t="s">
        <v>73</v>
      </c>
      <c r="C2004" s="38" t="n">
        <f aca="false">Q!$D$23</f>
        <v>3.792</v>
      </c>
      <c r="D2004" s="38" t="n">
        <f aca="false">Q!$E$23</f>
        <v>4.75</v>
      </c>
      <c r="E2004" s="38" t="n">
        <f aca="false">Q!$P$23</f>
        <v>3.141</v>
      </c>
      <c r="F2004" s="38" t="n">
        <f aca="false">Sens!$F$2000+Sens!$F$2001*Sens!$F$2003-Sens!$F$2002</f>
        <v>2.98956658914321</v>
      </c>
      <c r="G2004" s="38" t="n">
        <f aca="false">Sens!$E$2004+Sens!$F$2004</f>
        <v>6.13056658914321</v>
      </c>
      <c r="H2004" s="38" t="n">
        <f aca="false">Sens!$H$2000+Sens!$H$2001*Sens!$H$2003-Sens!$H$2002</f>
        <v>6.46652326417637</v>
      </c>
      <c r="I2004" s="38" t="n">
        <f aca="false">Sens!$I$2000+Sens!$I$2001*Sens!$I$2003-Sens!$I$2002</f>
        <v>6.50488889473452</v>
      </c>
      <c r="J2004" s="38" t="n">
        <f aca="false">Sens!$J$2000+Sens!$J$2001*Sens!$J$2003-Sens!$J$2002</f>
        <v>6.36600070455697</v>
      </c>
      <c r="K2004" s="38" t="n">
        <f aca="false">Sens!$K$2000+Sens!$K$2001*Sens!$K$2003-Sens!$K$2002</f>
        <v>5.93589015910711</v>
      </c>
      <c r="L2004" s="38" t="n">
        <f aca="false">Sens!$L$2000+Sens!$L$2001*Sens!$L$2003-Sens!$L$2002</f>
        <v>5.63944761717475</v>
      </c>
      <c r="M2004" s="38" t="n">
        <f aca="false">Sens!$M$2000+Sens!$M$2001*Sens!$M$2003-Sens!$M$2002</f>
        <v>5.62299076180338</v>
      </c>
      <c r="N2004" s="38" t="n">
        <f aca="false">Q!$N$23</f>
        <v>2.511</v>
      </c>
      <c r="O2004" s="38" t="n">
        <f aca="false">Q!$O$23</f>
        <v>2.239</v>
      </c>
    </row>
    <row r="2005" customFormat="false" ht="17.15" hidden="false" customHeight="false" outlineLevel="0" collapsed="false">
      <c r="A2005" s="0" t="s">
        <v>683</v>
      </c>
      <c r="B2005" s="0" t="s">
        <v>73</v>
      </c>
      <c r="C2005" s="38" t="n">
        <f aca="false">Sens!$C$1945</f>
        <v>1.66511743506443</v>
      </c>
      <c r="D2005" s="38" t="n">
        <f aca="false">Sens!$D$1945</f>
        <v>4.25088967324788</v>
      </c>
      <c r="E2005" s="38" t="n">
        <f aca="false">Sens!$E$1945</f>
        <v>2.08326584116405</v>
      </c>
      <c r="F2005" s="38" t="n">
        <f aca="false">Sens!$F$1945</f>
        <v>7.17784026611138</v>
      </c>
      <c r="G2005" s="38" t="n">
        <f aca="false">Sens!$G$1945</f>
        <v>9.26110610727544</v>
      </c>
      <c r="H2005" s="38" t="n">
        <f aca="false">Sens!$H$1945</f>
        <v>22.9478985936873</v>
      </c>
      <c r="I2005" s="38" t="n">
        <f aca="false">Sens!$I$1945</f>
        <v>36.7114280326087</v>
      </c>
      <c r="J2005" s="38" t="n">
        <f aca="false">Sens!$J$1945</f>
        <v>49.949210773354</v>
      </c>
      <c r="K2005" s="38" t="n">
        <f aca="false">Sens!$K$1945</f>
        <v>63.243177184831</v>
      </c>
      <c r="L2005" s="38" t="n">
        <f aca="false">Sens!$L$1945</f>
        <v>76.089825467338</v>
      </c>
      <c r="M2005" s="38" t="n">
        <f aca="false">Sens!$M$1945</f>
        <v>90.3372071361673</v>
      </c>
      <c r="N2005" s="38" t="n">
        <f aca="false">Sens!$N$1945</f>
        <v>1.10903546813003</v>
      </c>
      <c r="O2005" s="38" t="n">
        <f aca="false">Sens!$O$1945</f>
        <v>3.14185420511785</v>
      </c>
    </row>
    <row r="2006" customFormat="false" ht="17.15" hidden="false" customHeight="false" outlineLevel="0" collapsed="false">
      <c r="A2006" s="0" t="s">
        <v>603</v>
      </c>
      <c r="B2006" s="0" t="s">
        <v>73</v>
      </c>
      <c r="C2006" s="38" t="n">
        <f aca="false">Sens!$C$1950</f>
        <v>38.1688825649356</v>
      </c>
      <c r="D2006" s="38" t="n">
        <f aca="false">Sens!$D$1950</f>
        <v>41.3551103267521</v>
      </c>
      <c r="E2006" s="38" t="n">
        <f aca="false">Sens!$E$1950</f>
        <v>28.6987341588359</v>
      </c>
      <c r="F2006" s="38" t="n">
        <f aca="false">Sens!$F$1950</f>
        <v>28.9563135915274</v>
      </c>
      <c r="G2006" s="38" t="n">
        <f aca="false">Sens!$G$1950</f>
        <v>57.6550477503633</v>
      </c>
      <c r="H2006" s="38" t="n">
        <f aca="false">Sens!$H$1950</f>
        <v>66.6455878609613</v>
      </c>
      <c r="I2006" s="38" t="n">
        <f aca="false">Sens!$I$1950</f>
        <v>77.6079933677556</v>
      </c>
      <c r="J2006" s="38" t="n">
        <f aca="false">Sens!$J$1950</f>
        <v>87.0951084319996</v>
      </c>
      <c r="K2006" s="38" t="n">
        <f aca="false">Sens!$K$1950</f>
        <v>94.0627171065595</v>
      </c>
      <c r="L2006" s="38" t="n">
        <f aca="false">Sens!$L$1950</f>
        <v>101.587734475084</v>
      </c>
      <c r="M2006" s="38" t="n">
        <f aca="false">Sens!$M$1950</f>
        <v>109.714753233091</v>
      </c>
      <c r="N2006" s="38" t="n">
        <f aca="false">Sens!$N$1950</f>
        <v>20.59796453187</v>
      </c>
      <c r="O2006" s="38" t="n">
        <f aca="false">Sens!$O$1950</f>
        <v>20.7571457948822</v>
      </c>
    </row>
    <row r="2007" customFormat="false" ht="17.15" hidden="false" customHeight="false" outlineLevel="0" collapsed="false">
      <c r="A2007" s="1" t="s">
        <v>684</v>
      </c>
      <c r="B2007" s="8" t="s">
        <v>73</v>
      </c>
      <c r="C2007" s="38" t="n">
        <f aca="false">Q!$D$24</f>
        <v>39.834</v>
      </c>
      <c r="D2007" s="38" t="n">
        <f aca="false">Q!$E$24</f>
        <v>45.606</v>
      </c>
      <c r="E2007" s="38" t="n">
        <f aca="false">Q!$P$24</f>
        <v>30.782</v>
      </c>
      <c r="F2007" s="38" t="n">
        <f aca="false">Sens!$F$2005+Sens!$F$2006</f>
        <v>36.1341538576388</v>
      </c>
      <c r="G2007" s="38" t="n">
        <f aca="false">Sens!$G$2005+Sens!$G$2006</f>
        <v>66.9161538576388</v>
      </c>
      <c r="H2007" s="38" t="n">
        <f aca="false">Sens!$H$2005+Sens!$H$2006</f>
        <v>89.5934864546486</v>
      </c>
      <c r="I2007" s="38" t="n">
        <f aca="false">Sens!$I$2005+Sens!$I$2006</f>
        <v>114.319421400364</v>
      </c>
      <c r="J2007" s="38" t="n">
        <f aca="false">Sens!$J$2005+Sens!$J$2006</f>
        <v>137.044319205354</v>
      </c>
      <c r="K2007" s="38" t="n">
        <f aca="false">Sens!$K$2005+Sens!$K$2006</f>
        <v>157.305894291391</v>
      </c>
      <c r="L2007" s="38" t="n">
        <f aca="false">Sens!$L$2005+Sens!$L$2006</f>
        <v>177.677559942422</v>
      </c>
      <c r="M2007" s="38" t="n">
        <f aca="false">Sens!$M$2005+Sens!$M$2006</f>
        <v>200.051960369258</v>
      </c>
      <c r="N2007" s="38" t="n">
        <f aca="false">Q!$N$24</f>
        <v>21.707</v>
      </c>
      <c r="O2007" s="38" t="n">
        <f aca="false">Q!$O$24</f>
        <v>23.899</v>
      </c>
    </row>
    <row r="2008" customFormat="false" ht="17.15" hidden="false" customHeight="false" outlineLevel="0" collapsed="false">
      <c r="A2008" s="5" t="s">
        <v>685</v>
      </c>
      <c r="B2008" s="0" t="s">
        <v>73</v>
      </c>
      <c r="C2008" s="38" t="n">
        <f aca="false">Q!$D$26</f>
        <v>0</v>
      </c>
      <c r="D2008" s="38" t="n">
        <f aca="false">Q!$E$26</f>
        <v>0</v>
      </c>
      <c r="E2008" s="38" t="n">
        <f aca="false">Q!$P$26</f>
        <v>0</v>
      </c>
      <c r="F2008" s="41" t="n">
        <v>0</v>
      </c>
      <c r="G2008" s="38" t="n">
        <f aca="false">Sens!$E$2008+Sens!$F$2008</f>
        <v>0</v>
      </c>
      <c r="H2008" s="41" t="n">
        <v>0</v>
      </c>
      <c r="I2008" s="41" t="n">
        <v>0</v>
      </c>
      <c r="J2008" s="41" t="n">
        <v>0</v>
      </c>
      <c r="K2008" s="41" t="n">
        <v>0</v>
      </c>
      <c r="L2008" s="41" t="n">
        <v>0</v>
      </c>
      <c r="M2008" s="41" t="n">
        <v>0</v>
      </c>
      <c r="N2008" s="38" t="n">
        <f aca="false">Q!$N$26</f>
        <v>0</v>
      </c>
      <c r="O2008" s="38" t="n">
        <f aca="false">Q!$O$26</f>
        <v>0</v>
      </c>
    </row>
    <row r="2009" customFormat="false" ht="15" hidden="false" customHeight="false" outlineLevel="0" collapsed="false">
      <c r="A2009" s="3" t="s">
        <v>494</v>
      </c>
      <c r="B2009" s="8" t="s">
        <v>73</v>
      </c>
      <c r="C2009" s="38" t="n">
        <f aca="false">Q!$D$25</f>
        <v>68.593</v>
      </c>
      <c r="D2009" s="38" t="n">
        <f aca="false">Q!$E$25</f>
        <v>79.975</v>
      </c>
      <c r="E2009" s="38" t="n">
        <f aca="false">Q!$P$25</f>
        <v>51.313</v>
      </c>
      <c r="F2009" s="38" t="n">
        <f aca="false">Sens!$F$1999+Sens!$F$2004+Sens!$F$2007+Sens!$F$2008</f>
        <v>60.0351560964458</v>
      </c>
      <c r="G2009" s="38" t="n">
        <f aca="false">Sens!$G$1999+Sens!$G$2004+Sens!$G$2007+Sens!$G$2008</f>
        <v>111.348156096446</v>
      </c>
      <c r="H2009" s="38" t="n">
        <f aca="false">Sens!$H$1999+Sens!$H$2004+Sens!$H$2007+Sens!$H$2008</f>
        <v>138.68213944497</v>
      </c>
      <c r="I2009" s="38" t="n">
        <f aca="false">Sens!$I$1999+Sens!$I$2004+Sens!$I$2007+Sens!$I$2008</f>
        <v>167.122263798466</v>
      </c>
      <c r="J2009" s="38" t="n">
        <f aca="false">Sens!$J$1999+Sens!$J$2004+Sens!$J$2007+Sens!$J$2008</f>
        <v>192.972840234728</v>
      </c>
      <c r="K2009" s="38" t="n">
        <f aca="false">Sens!$K$1999+Sens!$K$2004+Sens!$K$2007+Sens!$K$2008</f>
        <v>215.267096471176</v>
      </c>
      <c r="L2009" s="38" t="n">
        <f aca="false">Sens!$L$1999+Sens!$L$2004+Sens!$L$2007+Sens!$L$2008</f>
        <v>236.699771617259</v>
      </c>
      <c r="M2009" s="38" t="n">
        <f aca="false">Sens!$M$1999+Sens!$M$2004+Sens!$M$2007+Sens!$M$2008</f>
        <v>261.274841962595</v>
      </c>
      <c r="N2009" s="38" t="n">
        <f aca="false">Q!$N$25</f>
        <v>37.576</v>
      </c>
      <c r="O2009" s="38" t="n">
        <f aca="false">Q!$O$25</f>
        <v>42.399</v>
      </c>
    </row>
    <row r="2010" customFormat="false" ht="17.15" hidden="false" customHeight="false" outlineLevel="0" collapsed="false">
      <c r="A2010" s="24" t="s">
        <v>711</v>
      </c>
      <c r="B2010" s="25" t="s">
        <v>73</v>
      </c>
      <c r="C2010" s="39" t="n">
        <f aca="false">Sens!$C$1999+Sens!$C$2004+Sens!$C$2007+Sens!$C$2008-Sens!$C$2009</f>
        <v>0</v>
      </c>
      <c r="D2010" s="39" t="n">
        <f aca="false">Sens!$D$1999+Sens!$D$2004+Sens!$D$2007+Sens!$D$2008-Sens!$D$2009</f>
        <v>0</v>
      </c>
      <c r="E2010" s="39" t="n">
        <f aca="false">Sens!$E$1999+Sens!$E$2004+Sens!$E$2007+Sens!$E$2008-Sens!$E$2009</f>
        <v>0</v>
      </c>
      <c r="F2010" s="39" t="n">
        <f aca="false">Sens!$F$1999+Sens!$F$2004+Sens!$F$2007+Sens!$F$2008-Sens!$F$2009</f>
        <v>0</v>
      </c>
      <c r="G2010" s="39" t="n">
        <f aca="false">Sens!$G$1999+Sens!$G$2004+Sens!$G$2007+Sens!$G$2008-Sens!$G$2009</f>
        <v>0</v>
      </c>
      <c r="H2010" s="39" t="n">
        <f aca="false">Sens!$H$1999+Sens!$H$2004+Sens!$H$2007+Sens!$H$2008-Sens!$H$2009</f>
        <v>0</v>
      </c>
      <c r="I2010" s="39" t="n">
        <f aca="false">Sens!$I$1999+Sens!$I$2004+Sens!$I$2007+Sens!$I$2008-Sens!$I$2009</f>
        <v>0</v>
      </c>
      <c r="J2010" s="39" t="n">
        <f aca="false">Sens!$J$1999+Sens!$J$2004+Sens!$J$2007+Sens!$J$2008-Sens!$J$2009</f>
        <v>0</v>
      </c>
      <c r="K2010" s="39" t="n">
        <f aca="false">Sens!$K$1999+Sens!$K$2004+Sens!$K$2007+Sens!$K$2008-Sens!$K$2009</f>
        <v>0</v>
      </c>
      <c r="L2010" s="39" t="n">
        <f aca="false">Sens!$L$1999+Sens!$L$2004+Sens!$L$2007+Sens!$L$2008-Sens!$L$2009</f>
        <v>0</v>
      </c>
      <c r="M2010" s="39" t="n">
        <f aca="false">Sens!$M$1999+Sens!$M$2004+Sens!$M$2007+Sens!$M$2008-Sens!$M$2009</f>
        <v>0</v>
      </c>
      <c r="N2010" s="39" t="n">
        <f aca="false">Sens!$N$1999+Sens!$N$2004+Sens!$N$2007+Sens!$N$2008-Sens!$N$2009</f>
        <v>0</v>
      </c>
      <c r="O2010" s="39" t="n">
        <f aca="false">Sens!$O$1999+Sens!$O$2004+Sens!$O$2007+Sens!$O$2008-Sens!$O$2009</f>
        <v>0</v>
      </c>
    </row>
    <row r="2011" customFormat="false" ht="17.15" hidden="false" customHeight="false" outlineLevel="0" collapsed="false">
      <c r="A2011" s="0" t="s">
        <v>687</v>
      </c>
      <c r="B2011" s="0" t="s">
        <v>52</v>
      </c>
      <c r="C2011" s="12" t="n">
        <f aca="false">Sens!$C$1999/Sens!$C$1984</f>
        <v>0.0644314665661928</v>
      </c>
      <c r="D2011" s="12" t="n">
        <f aca="false">Sens!$D$1999/Sens!$D$1984</f>
        <v>0.0694784250712518</v>
      </c>
      <c r="E2011" s="12" t="n">
        <f aca="false">Sens!$E$1999/Sens!$E$1984</f>
        <v>0.0789306463326071</v>
      </c>
      <c r="F2011" s="12" t="n">
        <f aca="false">Sens!$F$1999/Sens!$F$1984</f>
        <v>0.0815884044943783</v>
      </c>
      <c r="G2011" s="12" t="n">
        <f aca="false">Sens!$G$1999/Sens!$G$1984</f>
        <v>0.0803598527223977</v>
      </c>
      <c r="H2011" s="12" t="n">
        <f aca="false">Sens!$H$1999/Sens!$H$1984</f>
        <v>0.0807643588244974</v>
      </c>
      <c r="I2011" s="12" t="n">
        <f aca="false">Sens!$I$1999/Sens!$I$1984</f>
        <v>0.0802171643253047</v>
      </c>
      <c r="J2011" s="12" t="n">
        <f aca="false">Sens!$J$1999/Sens!$J$1984</f>
        <v>0.0795514247381231</v>
      </c>
      <c r="K2011" s="12" t="n">
        <f aca="false">Sens!$K$1999/Sens!$K$1984</f>
        <v>0.0784242976818716</v>
      </c>
      <c r="L2011" s="12" t="n">
        <f aca="false">Sens!$L$1999/Sens!$L$1984</f>
        <v>0.0755525304141093</v>
      </c>
      <c r="M2011" s="12" t="n">
        <f aca="false">Sens!$M$1999/Sens!$M$1984</f>
        <v>0.0738589556372648</v>
      </c>
      <c r="N2011" s="12" t="n">
        <f aca="false">Sens!$N$1999/Sens!$N$1984</f>
        <v>0.069228576611127</v>
      </c>
      <c r="O2011" s="12" t="n">
        <f aca="false">Sens!$O$1999/Sens!$O$1984</f>
        <v>0.069685022498393</v>
      </c>
    </row>
    <row r="2012" customFormat="false" ht="17.15" hidden="false" customHeight="false" outlineLevel="0" collapsed="false">
      <c r="A2012" s="0" t="s">
        <v>688</v>
      </c>
      <c r="B2012" s="0" t="s">
        <v>52</v>
      </c>
      <c r="C2012" s="12" t="n">
        <f aca="false">Sens!$C$2004/Sens!$C$1985</f>
        <v>0.026534925055631</v>
      </c>
      <c r="D2012" s="12" t="n">
        <f aca="false">Sens!$D$2004/Sens!$D$1985</f>
        <v>0.0293401855535103</v>
      </c>
      <c r="E2012" s="12" t="n">
        <f aca="false">Sens!$E$2004/Sens!$E$1985</f>
        <v>0.03831141902276</v>
      </c>
      <c r="F2012" s="12" t="n">
        <f aca="false">Sens!$F$2004/Sens!$F$1985</f>
        <v>0.0297077896100586</v>
      </c>
      <c r="G2012" s="12" t="n">
        <f aca="false">Sens!$G$2004/Sens!$G$1985</f>
        <v>0.0335703637327282</v>
      </c>
      <c r="H2012" s="12" t="n">
        <f aca="false">Sens!$H$2004/Sens!$H$1985</f>
        <v>0.031980614249826</v>
      </c>
      <c r="I2012" s="12" t="n">
        <f aca="false">Sens!$I$2004/Sens!$I$1985</f>
        <v>0.0294155347457359</v>
      </c>
      <c r="J2012" s="12" t="n">
        <f aca="false">Sens!$J$2004/Sens!$J$1985</f>
        <v>0.0266681331774413</v>
      </c>
      <c r="K2012" s="12" t="n">
        <f aca="false">Sens!$K$2004/Sens!$K$1985</f>
        <v>0.0233535632567868</v>
      </c>
      <c r="L2012" s="12" t="n">
        <f aca="false">Sens!$L$2004/Sens!$L$1985</f>
        <v>0.0208312762350596</v>
      </c>
      <c r="M2012" s="12" t="n">
        <f aca="false">Sens!$M$2004/Sens!$M$1985</f>
        <v>0.0194952113213587</v>
      </c>
      <c r="N2012" s="12" t="n">
        <f aca="false">Sens!$N$2004/Sens!$N$1985</f>
        <v>0.0357315650169337</v>
      </c>
      <c r="O2012" s="12" t="n">
        <f aca="false">Sens!$O$2004/Sens!$O$1985</f>
        <v>0.0244378956559703</v>
      </c>
    </row>
    <row r="2013" customFormat="false" ht="17.15" hidden="false" customHeight="false" outlineLevel="0" collapsed="false">
      <c r="A2013" s="13" t="s">
        <v>689</v>
      </c>
      <c r="B2013" s="13" t="s">
        <v>52</v>
      </c>
      <c r="C2013" s="16" t="n">
        <f aca="false">Sens!$C$2007/Sens!$C$1986</f>
        <v>0.370355907620217</v>
      </c>
      <c r="D2013" s="16" t="n">
        <f aca="false">Sens!$D$2007/Sens!$D$1986</f>
        <v>0.35429015342785</v>
      </c>
      <c r="E2013" s="16" t="n">
        <f aca="false">Sens!$E$2007/Sens!$E$1986</f>
        <v>0.385647527531039</v>
      </c>
      <c r="F2013" s="16" t="n">
        <f aca="false">Sens!$F$2007/Sens!$F$1986</f>
        <v>0.386220123895582</v>
      </c>
      <c r="G2013" s="16" t="n">
        <f aca="false">Sens!$G$2007/Sens!$G$1986</f>
        <v>0.385956513657997</v>
      </c>
      <c r="H2013" s="16" t="n">
        <f aca="false">Sens!$H$2007/Sens!$H$1986</f>
        <v>0.371665520229518</v>
      </c>
      <c r="I2013" s="16" t="n">
        <f aca="false">Sens!$I$2007/Sens!$I$1986</f>
        <v>0.366229869145763</v>
      </c>
      <c r="J2013" s="16" t="n">
        <f aca="false">Sens!$J$2007/Sens!$J$1986</f>
        <v>0.361190132551873</v>
      </c>
      <c r="K2013" s="16" t="n">
        <f aca="false">Sens!$K$2007/Sens!$K$1986</f>
        <v>0.357579030361879</v>
      </c>
      <c r="L2013" s="16" t="n">
        <f aca="false">Sens!$L$2007/Sens!$L$1986</f>
        <v>0.353971110899759</v>
      </c>
      <c r="M2013" s="16" t="n">
        <f aca="false">Sens!$M$2007/Sens!$M$1986</f>
        <v>0.353673829452626</v>
      </c>
      <c r="N2013" s="16" t="n">
        <f aca="false">Sens!$N$2007/Sens!$N$1986</f>
        <v>0.360941137346192</v>
      </c>
      <c r="O2013" s="16" t="n">
        <f aca="false">Sens!$O$2007/Sens!$O$1986</f>
        <v>0.348458117664212</v>
      </c>
    </row>
    <row r="2014" customFormat="false" ht="17.15" hidden="false" customHeight="false" outlineLevel="0" collapsed="false">
      <c r="A2014" s="0" t="s">
        <v>690</v>
      </c>
      <c r="B2014" s="0" t="s">
        <v>52</v>
      </c>
      <c r="C2014" s="12" t="n">
        <f aca="false">Sens!$C$2005/Sens!$C$1987</f>
        <v>0.717412146448287</v>
      </c>
      <c r="D2014" s="12" t="n">
        <f aca="false">Sens!$D$2005/Sens!$D$1987</f>
        <v>0.4883963650178</v>
      </c>
      <c r="E2014" s="12" t="n">
        <f aca="false">Sens!$E$2005/Sens!$E$1987</f>
        <v>0.244791943077369</v>
      </c>
      <c r="F2014" s="12" t="n">
        <f aca="false">Sens!$F$2005/Sens!$F$1987</f>
        <v>0.479692057086372</v>
      </c>
      <c r="G2014" s="12" t="n">
        <f aca="false">Sens!$G$2005/Sens!$G$1987</f>
        <v>0.394529704861091</v>
      </c>
      <c r="H2014" s="12" t="n">
        <f aca="false">Sens!$H$2005/Sens!$H$1987</f>
        <v>0.38141043550948</v>
      </c>
      <c r="I2014" s="12" t="n">
        <f aca="false">Sens!$I$2005/Sens!$I$1987</f>
        <v>0.361675764971526</v>
      </c>
      <c r="J2014" s="12" t="n">
        <f aca="false">Sens!$J$2005/Sens!$J$1987</f>
        <v>0.349233131149367</v>
      </c>
      <c r="K2014" s="12" t="n">
        <f aca="false">Sens!$K$2005/Sens!$K$1987</f>
        <v>0.342580142786982</v>
      </c>
      <c r="L2014" s="12" t="n">
        <f aca="false">Sens!$L$2005/Sens!$L$1987</f>
        <v>0.336354281017164</v>
      </c>
      <c r="M2014" s="12" t="n">
        <f aca="false">Sens!$M$2005/Sens!$M$1987</f>
        <v>0.337273993104978</v>
      </c>
      <c r="N2014" s="12" t="n">
        <f aca="false">Sens!$N$2005/Sens!$N$1987</f>
        <v>0.364057498510609</v>
      </c>
      <c r="O2014" s="12" t="n">
        <f aca="false">Sens!$O$2005/Sens!$O$1987</f>
        <v>0.555348062367826</v>
      </c>
    </row>
    <row r="2015" customFormat="false" ht="15" hidden="false" customHeight="false" outlineLevel="0" collapsed="false">
      <c r="A2015" s="5" t="s">
        <v>691</v>
      </c>
      <c r="B2015" s="0" t="s">
        <v>52</v>
      </c>
      <c r="C2015" s="12" t="n">
        <f aca="false">Sens!$C$2009/Sens!$C$1989</f>
        <v>0.107519448742004</v>
      </c>
      <c r="D2015" s="12" t="n">
        <f aca="false">Sens!$D$2009/Sens!$D$1989</f>
        <v>0.111552967957552</v>
      </c>
      <c r="E2015" s="12" t="n">
        <f aca="false">Sens!$E$2009/Sens!$E$1989</f>
        <v>0.13428328426562</v>
      </c>
      <c r="F2015" s="12" t="n">
        <f aca="false">Sens!$F$2009/Sens!$F$1989</f>
        <v>0.133264904127382</v>
      </c>
      <c r="G2015" s="12" t="n">
        <f aca="false">Sens!$G$2009/Sens!$G$1989</f>
        <v>0.133732282486723</v>
      </c>
      <c r="H2015" s="12" t="n">
        <f aca="false">Sens!$H$2009/Sens!$H$1989</f>
        <v>0.142824744134782</v>
      </c>
      <c r="I2015" s="12" t="n">
        <f aca="false">Sens!$I$2009/Sens!$I$1989</f>
        <v>0.150499900993123</v>
      </c>
      <c r="J2015" s="12" t="n">
        <f aca="false">Sens!$J$2009/Sens!$J$1989</f>
        <v>0.155477668598367</v>
      </c>
      <c r="K2015" s="12" t="n">
        <f aca="false">Sens!$K$2009/Sens!$K$1989</f>
        <v>0.158578848401206</v>
      </c>
      <c r="L2015" s="12" t="n">
        <f aca="false">Sens!$L$2009/Sens!$L$1989</f>
        <v>0.160014440752537</v>
      </c>
      <c r="M2015" s="12" t="n">
        <f aca="false">Sens!$M$2009/Sens!$M$1989</f>
        <v>0.16260026548845</v>
      </c>
      <c r="N2015" s="12" t="n">
        <f aca="false">Sens!$N$2009/Sens!$N$1989</f>
        <v>0.116201614873411</v>
      </c>
      <c r="O2015" s="12" t="n">
        <f aca="false">Sens!$O$2009/Sens!$O$1989</f>
        <v>0.107733353660861</v>
      </c>
    </row>
    <row r="2016" customFormat="false" ht="17.15" hidden="false" customHeight="false" outlineLevel="0" collapsed="false">
      <c r="A2016" s="1" t="s">
        <v>692</v>
      </c>
    </row>
    <row r="2017" customFormat="false" ht="17.15" hidden="false" customHeight="false" outlineLevel="0" collapsed="false">
      <c r="A2017" s="5" t="s">
        <v>693</v>
      </c>
      <c r="B2017" s="0" t="s">
        <v>52</v>
      </c>
      <c r="D2017" s="28" t="n">
        <f aca="false">(Q!$E$29+Q!$E$30-(1-ext_sh)*Sens!$D$1941)/Sens!$D$1899</f>
        <v>0.033625876283631</v>
      </c>
    </row>
    <row r="2018" customFormat="false" ht="17.15" hidden="false" customHeight="false" outlineLevel="0" collapsed="false">
      <c r="A2018" s="0" t="s">
        <v>498</v>
      </c>
      <c r="B2018" s="0" t="s">
        <v>73</v>
      </c>
      <c r="C2018" s="38" t="n">
        <f aca="false">Q!$D$29</f>
        <v>14.285</v>
      </c>
      <c r="D2018" s="38" t="n">
        <f aca="false">Q!$E$29</f>
        <v>15.503</v>
      </c>
      <c r="E2018" s="38" t="n">
        <f aca="false">Q!$P$29</f>
        <v>8.78</v>
      </c>
      <c r="F2018" s="38" t="n">
        <f aca="false">(Sens!$D$2017*Sens!$F$1899+(1-ext_sh)*Sens!$F$1941)*Sens!$F$1900</f>
        <v>9.43385039974463</v>
      </c>
      <c r="G2018" s="38" t="n">
        <f aca="false">Sens!$E$2018+Sens!$F$2018</f>
        <v>18.2138503997446</v>
      </c>
      <c r="H2018" s="38" t="n">
        <f aca="false">(Sens!$D$2017*Sens!$H$1899+(1-ext_sh)*Sens!$H$1941)*Sens!$H$1900</f>
        <v>22.1863506686436</v>
      </c>
      <c r="I2018" s="38" t="n">
        <f aca="false">(Sens!$D$2017*Sens!$I$1899+(1-ext_sh)*Sens!$I$1941)*Sens!$I$1900</f>
        <v>27.3318351561082</v>
      </c>
      <c r="J2018" s="38" t="n">
        <f aca="false">(Sens!$D$2017*Sens!$J$1899+(1-ext_sh)*Sens!$J$1941)*Sens!$J$1900</f>
        <v>32.4832357658532</v>
      </c>
      <c r="K2018" s="38" t="n">
        <f aca="false">(Sens!$D$2017*Sens!$K$1899+(1-ext_sh)*Sens!$K$1941)*Sens!$K$1900</f>
        <v>37.4493717216062</v>
      </c>
      <c r="L2018" s="38" t="n">
        <f aca="false">(Sens!$D$2017*Sens!$L$1899+(1-ext_sh)*Sens!$L$1941)*Sens!$L$1900</f>
        <v>42.5959566109729</v>
      </c>
      <c r="M2018" s="38" t="n">
        <f aca="false">(Sens!$D$2017*Sens!$M$1899+(1-ext_sh)*Sens!$M$1941)*Sens!$M$1900</f>
        <v>47.5939877521401</v>
      </c>
      <c r="N2018" s="38" t="n">
        <f aca="false">Q!$N$29</f>
        <v>7.272</v>
      </c>
      <c r="O2018" s="38" t="n">
        <f aca="false">Q!$O$29</f>
        <v>8.231</v>
      </c>
    </row>
    <row r="2019" customFormat="false" ht="17.15" hidden="false" customHeight="false" outlineLevel="0" collapsed="false">
      <c r="A2019" s="0" t="s">
        <v>500</v>
      </c>
      <c r="B2019" s="0" t="s">
        <v>73</v>
      </c>
      <c r="C2019" s="38" t="n">
        <f aca="false">Q!$D$30</f>
        <v>4.462</v>
      </c>
      <c r="D2019" s="38" t="n">
        <f aca="false">Q!$E$30</f>
        <v>4.907</v>
      </c>
      <c r="E2019" s="38" t="n">
        <f aca="false">Q!$P$30</f>
        <v>2.57</v>
      </c>
      <c r="F2019" s="38" t="n">
        <f aca="false">(Sens!$D$2017*Sens!$F$1899+(1-ext_sh)*Sens!$F$1941)*(1-Sens!$F$1900)</f>
        <v>3.70400417237884</v>
      </c>
      <c r="G2019" s="38" t="n">
        <f aca="false">Sens!$E$2019+Sens!$F$2019</f>
        <v>6.27400417237884</v>
      </c>
      <c r="H2019" s="38" t="n">
        <f aca="false">(Sens!$D$2017*Sens!$H$1899+(1-ext_sh)*Sens!$H$1941)*(1-Sens!$H$1900)</f>
        <v>8.5006966677141</v>
      </c>
      <c r="I2019" s="38" t="n">
        <f aca="false">(Sens!$D$2017*Sens!$I$1899+(1-ext_sh)*Sens!$I$1941)*(1-Sens!$I$1900)</f>
        <v>10.4721882162626</v>
      </c>
      <c r="J2019" s="38" t="n">
        <f aca="false">(Sens!$D$2017*Sens!$J$1899+(1-ext_sh)*Sens!$J$1941)*(1-Sens!$J$1900)</f>
        <v>12.4459465261053</v>
      </c>
      <c r="K2019" s="38" t="n">
        <f aca="false">(Sens!$D$2017*Sens!$K$1899+(1-ext_sh)*Sens!$K$1941)*(1-Sens!$K$1900)</f>
        <v>14.3487207137571</v>
      </c>
      <c r="L2019" s="38" t="n">
        <f aca="false">(Sens!$D$2017*Sens!$L$1899+(1-ext_sh)*Sens!$L$1941)*(1-Sens!$L$1900)</f>
        <v>16.3206338811163</v>
      </c>
      <c r="M2019" s="38" t="n">
        <f aca="false">(Sens!$D$2017*Sens!$M$1899+(1-ext_sh)*Sens!$M$1941)*(1-Sens!$M$1900)</f>
        <v>18.235628703897</v>
      </c>
      <c r="N2019" s="38" t="n">
        <f aca="false">Q!$N$30</f>
        <v>2.316</v>
      </c>
      <c r="O2019" s="38" t="n">
        <f aca="false">Q!$O$30</f>
        <v>2.591</v>
      </c>
    </row>
    <row r="2020" customFormat="false" ht="17.15" hidden="false" customHeight="false" outlineLevel="0" collapsed="false">
      <c r="A2020" s="0" t="s">
        <v>501</v>
      </c>
      <c r="B2020" s="0" t="s">
        <v>73</v>
      </c>
      <c r="C2020" s="38" t="n">
        <f aca="false">Sens!$C$1953</f>
        <v>13.32</v>
      </c>
      <c r="D2020" s="38" t="n">
        <f aca="false">Sens!$D$1953</f>
        <v>21.45</v>
      </c>
      <c r="E2020" s="38" t="n">
        <f aca="false">Sens!$E$1953</f>
        <v>15.353</v>
      </c>
      <c r="F2020" s="38" t="n">
        <f aca="false">Sens!$F$1953</f>
        <v>16.9349999046671</v>
      </c>
      <c r="G2020" s="38" t="n">
        <f aca="false">Sens!$G$1953</f>
        <v>32.2879999046671</v>
      </c>
      <c r="H2020" s="38" t="n">
        <f aca="false">Sens!$H$1953</f>
        <v>53.0923894367483</v>
      </c>
      <c r="I2020" s="38" t="n">
        <f aca="false">Sens!$I$1953</f>
        <v>77.0573693392263</v>
      </c>
      <c r="J2020" s="38" t="n">
        <f aca="false">Sens!$J$1953</f>
        <v>101.085249123946</v>
      </c>
      <c r="K2020" s="38" t="n">
        <f aca="false">Sens!$K$1953</f>
        <v>124.034825398711</v>
      </c>
      <c r="L2020" s="38" t="n">
        <f aca="false">Sens!$L$1953</f>
        <v>147.695818750196</v>
      </c>
      <c r="M2020" s="38" t="n">
        <f aca="false">Sens!$M$1953</f>
        <v>170.227475752288</v>
      </c>
      <c r="N2020" s="38" t="n">
        <f aca="false">Sens!$N$1953</f>
        <v>9.234</v>
      </c>
      <c r="O2020" s="38" t="n">
        <f aca="false">Sens!$O$1953</f>
        <v>12.216</v>
      </c>
    </row>
    <row r="2021" customFormat="false" ht="17.15" hidden="false" customHeight="false" outlineLevel="0" collapsed="false">
      <c r="A2021" s="5" t="s">
        <v>694</v>
      </c>
      <c r="B2021" s="0" t="s">
        <v>73</v>
      </c>
      <c r="C2021" s="38" t="n">
        <f aca="false">Sens!$C$2018+Sens!$C$2019+Sens!$C$2020</f>
        <v>32.067</v>
      </c>
      <c r="D2021" s="38" t="n">
        <f aca="false">Sens!$D$2018+Sens!$D$2019+Sens!$D$2020</f>
        <v>41.86</v>
      </c>
      <c r="E2021" s="38" t="n">
        <f aca="false">Sens!$E$2018+Sens!$E$2019+Sens!$E$2020</f>
        <v>26.703</v>
      </c>
      <c r="F2021" s="38" t="n">
        <f aca="false">Sens!$F$2018+Sens!$F$2019+Sens!$F$2020</f>
        <v>30.0728544767906</v>
      </c>
      <c r="G2021" s="38" t="n">
        <f aca="false">Sens!$G$2018+Sens!$G$2019+Sens!$G$2020</f>
        <v>56.7758544767906</v>
      </c>
      <c r="H2021" s="38" t="n">
        <f aca="false">Sens!$H$2018+Sens!$H$2019+Sens!$H$2020</f>
        <v>83.779436773106</v>
      </c>
      <c r="I2021" s="38" t="n">
        <f aca="false">Sens!$I$2018+Sens!$I$2019+Sens!$I$2020</f>
        <v>114.861392711597</v>
      </c>
      <c r="J2021" s="38" t="n">
        <f aca="false">Sens!$J$2018+Sens!$J$2019+Sens!$J$2020</f>
        <v>146.014431415905</v>
      </c>
      <c r="K2021" s="38" t="n">
        <f aca="false">Sens!$K$2018+Sens!$K$2019+Sens!$K$2020</f>
        <v>175.832917834074</v>
      </c>
      <c r="L2021" s="38" t="n">
        <f aca="false">Sens!$L$2018+Sens!$L$2019+Sens!$L$2020</f>
        <v>206.612409242285</v>
      </c>
      <c r="M2021" s="38" t="n">
        <f aca="false">Sens!$M$2018+Sens!$M$2019+Sens!$M$2020</f>
        <v>236.057092208325</v>
      </c>
      <c r="N2021" s="38" t="n">
        <f aca="false">Sens!$N$2018+Sens!$N$2019+Sens!$N$2020</f>
        <v>18.822</v>
      </c>
      <c r="O2021" s="38" t="n">
        <f aca="false">Sens!$O$2018+Sens!$O$2019+Sens!$O$2020</f>
        <v>23.038</v>
      </c>
    </row>
    <row r="2022" customFormat="false" ht="17.15" hidden="false" customHeight="false" outlineLevel="0" collapsed="false">
      <c r="A2022" s="0" t="s">
        <v>695</v>
      </c>
      <c r="B2022" s="0" t="s">
        <v>73</v>
      </c>
      <c r="C2022" s="38" t="n">
        <f aca="false">Sens!$C$1995+Sens!$C$2000</f>
        <v>28.107</v>
      </c>
      <c r="D2022" s="38" t="n">
        <f aca="false">Sens!$D$1995+Sens!$D$2000</f>
        <v>34.3175</v>
      </c>
      <c r="E2022" s="38" t="n">
        <f aca="false">Sens!$E$1995+Sens!$E$2000</f>
        <v>18.526</v>
      </c>
      <c r="F2022" s="38" t="n">
        <f aca="false">Sens!$F$1995+Sens!$F$2000</f>
        <v>24.0766690913691</v>
      </c>
      <c r="G2022" s="38" t="n">
        <f aca="false">Sens!$G$1995+Sens!$G$2000</f>
        <v>42.6026690913691</v>
      </c>
      <c r="H2022" s="38" t="n">
        <f aca="false">Sens!$H$1995+Sens!$H$2000</f>
        <v>51.1466809294702</v>
      </c>
      <c r="I2022" s="38" t="n">
        <f aca="false">Sens!$I$1995+Sens!$I$2000</f>
        <v>59.6899187926205</v>
      </c>
      <c r="J2022" s="38" t="n">
        <f aca="false">Sens!$J$1995+Sens!$J$2000</f>
        <v>67.6595395244221</v>
      </c>
      <c r="K2022" s="38" t="n">
        <f aca="false">Sens!$K$1995+Sens!$K$2000</f>
        <v>74.4254934768643</v>
      </c>
      <c r="L2022" s="38" t="n">
        <f aca="false">Sens!$L$1995+Sens!$L$2000</f>
        <v>81.8680428245508</v>
      </c>
      <c r="M2022" s="38" t="n">
        <f aca="false">Sens!$M$1995+Sens!$M$2000</f>
        <v>90.0548471070059</v>
      </c>
      <c r="N2022" s="38" t="n">
        <f aca="false">Sens!$N$1995+Sens!$N$2000</f>
        <v>14.8075</v>
      </c>
      <c r="O2022" s="38" t="n">
        <f aca="false">Sens!$O$1995+Sens!$O$2000</f>
        <v>19.51</v>
      </c>
    </row>
    <row r="2023" customFormat="false" ht="17.15" hidden="false" customHeight="false" outlineLevel="0" collapsed="false">
      <c r="A2023" s="0" t="s">
        <v>696</v>
      </c>
      <c r="B2023" s="0" t="s">
        <v>73</v>
      </c>
      <c r="C2023" s="38" t="n">
        <f aca="false">Sens!$C$1999+Sens!$C$2004+Sens!$C$2018+Sens!$C$2019-Sens!$C$2022</f>
        <v>19.399</v>
      </c>
      <c r="D2023" s="38" t="n">
        <f aca="false">Sens!$D$1999+Sens!$D$2004+Sens!$D$2018+Sens!$D$2019-Sens!$D$2022</f>
        <v>20.4615</v>
      </c>
      <c r="E2023" s="38" t="n">
        <f aca="false">Sens!$E$1999+Sens!$E$2004+Sens!$E$2018+Sens!$E$2019-Sens!$E$2022</f>
        <v>13.355</v>
      </c>
      <c r="F2023" s="38" t="n">
        <f aca="false">Sens!$F$1999+Sens!$F$2004+Sens!$F$2018+Sens!$F$2019-Sens!$F$2022</f>
        <v>12.9621877195614</v>
      </c>
      <c r="G2023" s="38" t="n">
        <f aca="false">Sens!$G$1999+Sens!$G$2004+Sens!$G$2018+Sens!$G$2019-Sens!$G$2022</f>
        <v>26.3171877195614</v>
      </c>
      <c r="H2023" s="38" t="n">
        <f aca="false">Sens!$H$1999+Sens!$H$2004+Sens!$H$2018+Sens!$H$2019-Sens!$H$2022</f>
        <v>28.6290193972089</v>
      </c>
      <c r="I2023" s="38" t="n">
        <f aca="false">Sens!$I$1999+Sens!$I$2004+Sens!$I$2018+Sens!$I$2019-Sens!$I$2022</f>
        <v>30.9169469778522</v>
      </c>
      <c r="J2023" s="38" t="n">
        <f aca="false">Sens!$J$1999+Sens!$J$2004+Sens!$J$2018+Sens!$J$2019-Sens!$J$2022</f>
        <v>33.1981637969112</v>
      </c>
      <c r="K2023" s="38" t="n">
        <f aca="false">Sens!$K$1999+Sens!$K$2004+Sens!$K$2018+Sens!$K$2019-Sens!$K$2022</f>
        <v>35.3338011382844</v>
      </c>
      <c r="L2023" s="38" t="n">
        <f aca="false">Sens!$L$1999+Sens!$L$2004+Sens!$L$2018+Sens!$L$2019-Sens!$L$2022</f>
        <v>36.0707593423751</v>
      </c>
      <c r="M2023" s="38" t="n">
        <f aca="false">Sens!$M$1999+Sens!$M$2004+Sens!$M$2018+Sens!$M$2019-Sens!$M$2022</f>
        <v>36.9976509423681</v>
      </c>
      <c r="N2023" s="38" t="n">
        <f aca="false">Sens!$N$1999+Sens!$N$2004+Sens!$N$2018+Sens!$N$2019-Sens!$N$2022</f>
        <v>10.6495</v>
      </c>
      <c r="O2023" s="38" t="n">
        <f aca="false">Sens!$O$1999+Sens!$O$2004+Sens!$O$2018+Sens!$O$2019-Sens!$O$2022</f>
        <v>9.81200000000001</v>
      </c>
    </row>
    <row r="2024" customFormat="false" ht="17.15" hidden="false" customHeight="false" outlineLevel="0" collapsed="false">
      <c r="A2024" s="0" t="s">
        <v>697</v>
      </c>
      <c r="B2024" s="0" t="s">
        <v>73</v>
      </c>
      <c r="C2024" s="38" t="n">
        <f aca="false">Sens!$C$2006+Sens!$C$2020-ext_sh*Sens!$C$1941</f>
        <v>51.3470500115664</v>
      </c>
      <c r="D2024" s="38" t="n">
        <f aca="false">Sens!$D$2006+Sens!$D$2020-ext_sh*Sens!$D$1941</f>
        <v>60.2799375433739</v>
      </c>
      <c r="E2024" s="38" t="n">
        <f aca="false">Sens!$E$2006+Sens!$E$2020-ext_sh*Sens!$E$1941</f>
        <v>39.5095167090767</v>
      </c>
      <c r="F2024" s="38" t="n">
        <f aca="false">Sens!$F$2006+Sens!$F$2020-ext_sh*Sens!$F$1941</f>
        <v>41.3490960464353</v>
      </c>
      <c r="G2024" s="38" t="n">
        <f aca="false">Sens!$G$2006+Sens!$G$2020-ext_sh*Sens!$G$1941</f>
        <v>80.858612755512</v>
      </c>
      <c r="H2024" s="38" t="n">
        <f aca="false">Sens!$H$2006+Sens!$H$2020-ext_sh*Sens!$H$1941</f>
        <v>95.1687031853515</v>
      </c>
      <c r="I2024" s="38" t="n">
        <f aca="false">Sens!$I$2006+Sens!$I$2020-ext_sh*Sens!$I$1941</f>
        <v>110.822821475224</v>
      </c>
      <c r="J2024" s="38" t="n">
        <f aca="false">Sens!$J$2006+Sens!$J$2020-ext_sh*Sens!$J$1941</f>
        <v>124.370251494416</v>
      </c>
      <c r="K2024" s="38" t="n">
        <f aca="false">Sens!$K$2006+Sens!$K$2020-ext_sh*Sens!$K$1941</f>
        <v>134.31987161397</v>
      </c>
      <c r="L2024" s="38" t="n">
        <f aca="false">Sens!$L$2006+Sens!$L$2020-ext_sh*Sens!$L$1941</f>
        <v>145.065461343087</v>
      </c>
      <c r="M2024" s="38" t="n">
        <f aca="false">Sens!$M$2006+Sens!$M$2020-ext_sh*Sens!$M$1941</f>
        <v>156.670698250534</v>
      </c>
      <c r="N2024" s="38" t="n">
        <f aca="false">Sens!$N$2006+Sens!$N$2020-ext_sh*Sens!$N$1941</f>
        <v>28.5693781401809</v>
      </c>
      <c r="O2024" s="38" t="n">
        <f aca="false">Sens!$O$2006+Sens!$O$2020-ext_sh*Sens!$O$1941</f>
        <v>31.7105594031931</v>
      </c>
    </row>
    <row r="2025" customFormat="false" ht="17.15" hidden="false" customHeight="false" outlineLevel="0" collapsed="false">
      <c r="A2025" s="0" t="s">
        <v>698</v>
      </c>
      <c r="B2025" s="0" t="s">
        <v>73</v>
      </c>
      <c r="C2025" s="38" t="n">
        <f aca="false">Sens!$C$1944</f>
        <v>1.80694998843362</v>
      </c>
      <c r="D2025" s="38" t="n">
        <f aca="false">Sens!$D$1944</f>
        <v>6.77606245662607</v>
      </c>
      <c r="E2025" s="38" t="n">
        <f aca="false">Sens!$E$1944</f>
        <v>6.62548329092326</v>
      </c>
      <c r="F2025" s="38" t="n">
        <f aca="false">Sens!$F$1944</f>
        <v>11.7200577158706</v>
      </c>
      <c r="G2025" s="38" t="n">
        <f aca="false">Sens!$G$1944</f>
        <v>18.3455410067939</v>
      </c>
      <c r="H2025" s="38" t="n">
        <f aca="false">Sens!$H$1944</f>
        <v>47.5171727060453</v>
      </c>
      <c r="I2025" s="38" t="n">
        <f aca="false">Sens!$I$1944</f>
        <v>80.5539692643667</v>
      </c>
      <c r="J2025" s="38" t="n">
        <f aca="false">Sens!$J$1944</f>
        <v>113.759316834883</v>
      </c>
      <c r="K2025" s="38" t="n">
        <f aca="false">Sens!$K$1944</f>
        <v>147.020848076132</v>
      </c>
      <c r="L2025" s="38" t="n">
        <f aca="false">Sens!$L$1944</f>
        <v>180.307917349531</v>
      </c>
      <c r="M2025" s="38" t="n">
        <f aca="false">Sens!$M$1944</f>
        <v>213.608737871012</v>
      </c>
      <c r="N2025" s="38" t="n">
        <f aca="false">Sens!$N$1944</f>
        <v>2.37162185981912</v>
      </c>
      <c r="O2025" s="38" t="n">
        <f aca="false">Sens!$O$1944</f>
        <v>4.40444059680694</v>
      </c>
    </row>
    <row r="2026" customFormat="false" ht="17.15" hidden="false" customHeight="false" outlineLevel="0" collapsed="false">
      <c r="A2026" s="0" t="s">
        <v>699</v>
      </c>
      <c r="B2026" s="0" t="s">
        <v>73</v>
      </c>
      <c r="C2026" s="38" t="n">
        <f aca="false">Sens!$C$2009+Sens!$C$2021</f>
        <v>100.66</v>
      </c>
      <c r="D2026" s="38" t="n">
        <f aca="false">Sens!$D$2009+Sens!$D$2021</f>
        <v>121.835</v>
      </c>
      <c r="E2026" s="38" t="n">
        <f aca="false">Sens!$E$2009+Sens!$E$2021</f>
        <v>78.016</v>
      </c>
      <c r="F2026" s="38" t="n">
        <f aca="false">Sens!$F$2009+Sens!$F$2021</f>
        <v>90.1080105732363</v>
      </c>
      <c r="G2026" s="38" t="n">
        <f aca="false">Sens!$G$2009+Sens!$G$2021</f>
        <v>168.124010573236</v>
      </c>
      <c r="H2026" s="38" t="n">
        <f aca="false">Sens!$H$2009+Sens!$H$2021</f>
        <v>222.461576218076</v>
      </c>
      <c r="I2026" s="38" t="n">
        <f aca="false">Sens!$I$2009+Sens!$I$2021</f>
        <v>281.983656510063</v>
      </c>
      <c r="J2026" s="38" t="n">
        <f aca="false">Sens!$J$2009+Sens!$J$2021</f>
        <v>338.987271650633</v>
      </c>
      <c r="K2026" s="38" t="n">
        <f aca="false">Sens!$K$2009+Sens!$K$2021</f>
        <v>391.10001430525</v>
      </c>
      <c r="L2026" s="38" t="n">
        <f aca="false">Sens!$L$2009+Sens!$L$2021</f>
        <v>443.312180859544</v>
      </c>
      <c r="M2026" s="38" t="n">
        <f aca="false">Sens!$M$2009+Sens!$M$2021</f>
        <v>497.33193417092</v>
      </c>
      <c r="N2026" s="38" t="n">
        <f aca="false">Sens!$N$2009+Sens!$N$2021</f>
        <v>56.398</v>
      </c>
      <c r="O2026" s="38" t="n">
        <f aca="false">Sens!$O$2009+Sens!$O$2021</f>
        <v>65.437</v>
      </c>
    </row>
    <row r="2027" customFormat="false" ht="17.15" hidden="false" customHeight="false" outlineLevel="0" collapsed="false">
      <c r="A2027" s="1" t="s">
        <v>700</v>
      </c>
    </row>
    <row r="2028" customFormat="false" ht="15" hidden="false" customHeight="false" outlineLevel="0" collapsed="false">
      <c r="A2028" s="5" t="s">
        <v>504</v>
      </c>
      <c r="B2028" s="0" t="s">
        <v>73</v>
      </c>
      <c r="C2028" s="38" t="n">
        <f aca="false">Q!$D$34</f>
        <v>2.406</v>
      </c>
      <c r="D2028" s="38" t="n">
        <f aca="false">Q!$E$34</f>
        <v>2.274</v>
      </c>
      <c r="E2028" s="38" t="n">
        <f aca="false">Q!$P$34</f>
        <v>2.114</v>
      </c>
      <c r="F2028" s="38" t="n">
        <f aca="false">Sens!$F$2064</f>
        <v>3.24888964316061</v>
      </c>
      <c r="G2028" s="38" t="n">
        <f aca="false">Sens!$E$2028+Sens!$F$2028</f>
        <v>5.36288964316061</v>
      </c>
      <c r="H2028" s="38" t="n">
        <f aca="false">Sens!$H$2064</f>
        <v>7.42354178632123</v>
      </c>
      <c r="I2028" s="38" t="n">
        <f aca="false">Sens!$I$2064</f>
        <v>7.63320972609351</v>
      </c>
      <c r="J2028" s="38" t="n">
        <f aca="false">Sens!$J$2064</f>
        <v>8.02381665366443</v>
      </c>
      <c r="K2028" s="38" t="n">
        <f aca="false">Sens!$K$2064</f>
        <v>8.02381665366443</v>
      </c>
      <c r="L2028" s="38" t="n">
        <f aca="false">Sens!$L$2064</f>
        <v>8.02381665366443</v>
      </c>
      <c r="M2028" s="38" t="n">
        <f aca="false">Sens!$M$2064</f>
        <v>8.02381665366443</v>
      </c>
      <c r="N2028" s="38" t="n">
        <f aca="false">Q!$N$34</f>
        <v>1.057</v>
      </c>
      <c r="O2028" s="38" t="n">
        <f aca="false">Q!$O$34</f>
        <v>1.217</v>
      </c>
    </row>
    <row r="2029" customFormat="false" ht="15" hidden="false" customHeight="false" outlineLevel="0" collapsed="false">
      <c r="A2029" s="5" t="s">
        <v>701</v>
      </c>
      <c r="B2029" s="0" t="s">
        <v>73</v>
      </c>
      <c r="F2029" s="38" t="n">
        <f aca="false">Sens!$F$2065</f>
        <v>2.59</v>
      </c>
      <c r="H2029" s="38" t="n">
        <f aca="false">Sens!$H$2065</f>
        <v>3.99238712627317</v>
      </c>
      <c r="I2029" s="38" t="n">
        <f aca="false">Sens!$I$2065</f>
        <v>2.10589651022864</v>
      </c>
      <c r="J2029" s="38" t="n">
        <f aca="false">Sens!$J$2065</f>
        <v>2.10589651022864</v>
      </c>
      <c r="K2029" s="38" t="n">
        <f aca="false">Sens!$K$2065</f>
        <v>3.87258571860566</v>
      </c>
      <c r="L2029" s="38" t="n">
        <f aca="false">Sens!$L$2065</f>
        <v>7.3945954282301</v>
      </c>
      <c r="M2029" s="38" t="n">
        <f aca="false">Sens!$M$2065</f>
        <v>12.729507264774</v>
      </c>
    </row>
    <row r="2030" customFormat="false" ht="17.15" hidden="false" customHeight="false" outlineLevel="0" collapsed="false">
      <c r="A2030" s="5" t="s">
        <v>702</v>
      </c>
      <c r="B2030" s="0" t="s">
        <v>73</v>
      </c>
      <c r="C2030" s="38" t="n">
        <f aca="false">Q!$D$39</f>
        <v>2.427</v>
      </c>
      <c r="D2030" s="38" t="n">
        <f aca="false">Q!$E$39</f>
        <v>19.61</v>
      </c>
      <c r="E2030" s="38" t="n">
        <f aca="false">Q!$P$39</f>
        <v>71.492</v>
      </c>
      <c r="F2030" s="41" t="n">
        <v>0</v>
      </c>
      <c r="G2030" s="38" t="n">
        <f aca="false">Sens!$E$2030+Sens!$F$2030</f>
        <v>71.492</v>
      </c>
      <c r="H2030" s="41" t="n">
        <v>0</v>
      </c>
      <c r="I2030" s="41" t="n">
        <v>0</v>
      </c>
      <c r="J2030" s="41" t="n">
        <v>0</v>
      </c>
      <c r="K2030" s="41" t="n">
        <v>0</v>
      </c>
      <c r="L2030" s="41" t="n">
        <v>0</v>
      </c>
      <c r="M2030" s="41" t="n">
        <v>0</v>
      </c>
      <c r="N2030" s="38" t="n">
        <f aca="false">Q!$N$39</f>
        <v>6.017</v>
      </c>
      <c r="O2030" s="38" t="n">
        <f aca="false">Q!$O$39</f>
        <v>13.593</v>
      </c>
      <c r="P2030" s="5" t="s">
        <v>703</v>
      </c>
    </row>
    <row r="2031" customFormat="false" ht="15" hidden="false" customHeight="false" outlineLevel="0" collapsed="false">
      <c r="A2031" s="5" t="s">
        <v>507</v>
      </c>
      <c r="B2031" s="0" t="s">
        <v>73</v>
      </c>
      <c r="C2031" s="38" t="n">
        <f aca="false">Q!$D$36</f>
        <v>68.614</v>
      </c>
      <c r="D2031" s="38" t="n">
        <f aca="false">Q!$E$36</f>
        <v>97.311</v>
      </c>
      <c r="E2031" s="38" t="n">
        <f aca="false">Q!$P$36</f>
        <v>120.691</v>
      </c>
      <c r="F2031" s="38" t="n">
        <f aca="false">Sens!$F$2009-Sens!$F$2028+Sens!$F$2029+Sens!$F$2030</f>
        <v>59.3762664532851</v>
      </c>
      <c r="G2031" s="38" t="n">
        <f aca="false">Sens!$E$2031+Sens!$F$2031</f>
        <v>180.067266453285</v>
      </c>
      <c r="H2031" s="38" t="n">
        <f aca="false">Sens!$H$2009-Sens!$H$2028+Sens!$H$2029+Sens!$H$2030</f>
        <v>135.250984784922</v>
      </c>
      <c r="I2031" s="38" t="n">
        <f aca="false">Sens!$I$2009-Sens!$I$2028+Sens!$I$2029+Sens!$I$2030</f>
        <v>161.594950582601</v>
      </c>
      <c r="J2031" s="38" t="n">
        <f aca="false">Sens!$J$2009-Sens!$J$2028+Sens!$J$2029+Sens!$J$2030</f>
        <v>187.054920091293</v>
      </c>
      <c r="K2031" s="38" t="n">
        <f aca="false">Sens!$K$2009-Sens!$K$2028+Sens!$K$2029+Sens!$K$2030</f>
        <v>211.115865536117</v>
      </c>
      <c r="L2031" s="38" t="n">
        <f aca="false">Sens!$L$2009-Sens!$L$2028+Sens!$L$2029+Sens!$L$2030</f>
        <v>236.070550391825</v>
      </c>
      <c r="M2031" s="38" t="n">
        <f aca="false">Sens!$M$2009-Sens!$M$2028+Sens!$M$2029+Sens!$M$2030</f>
        <v>265.980532573705</v>
      </c>
      <c r="N2031" s="38" t="n">
        <f aca="false">Q!$N$36</f>
        <v>42.536</v>
      </c>
      <c r="O2031" s="38" t="n">
        <f aca="false">Q!$O$36</f>
        <v>54.775</v>
      </c>
    </row>
    <row r="2032" customFormat="false" ht="15" hidden="false" customHeight="false" outlineLevel="0" collapsed="false">
      <c r="A2032" s="5" t="s">
        <v>508</v>
      </c>
      <c r="B2032" s="0" t="s">
        <v>73</v>
      </c>
      <c r="C2032" s="38" t="n">
        <f aca="false">Q!$D$37</f>
        <v>9.265</v>
      </c>
      <c r="D2032" s="38" t="n">
        <f aca="false">Q!$E$37</f>
        <v>19.087</v>
      </c>
      <c r="E2032" s="38" t="n">
        <f aca="false">Q!$P$37</f>
        <v>27.759</v>
      </c>
      <c r="F2032" s="38" t="n">
        <f aca="false">Sens!$F$2031*tax</f>
        <v>10.3068011048174</v>
      </c>
      <c r="G2032" s="38" t="n">
        <f aca="false">Sens!$E$2032+Sens!$F$2032</f>
        <v>38.0658011048174</v>
      </c>
      <c r="H2032" s="38" t="n">
        <f aca="false">Sens!$H$2031*tax</f>
        <v>23.4774781689182</v>
      </c>
      <c r="I2032" s="38" t="n">
        <f aca="false">Sens!$I$2031*tax</f>
        <v>28.0503830012289</v>
      </c>
      <c r="J2032" s="38" t="n">
        <f aca="false">Sens!$J$2031*tax</f>
        <v>32.4698397561808</v>
      </c>
      <c r="K2032" s="38" t="n">
        <f aca="false">Sens!$K$2031*tax</f>
        <v>36.6464475812751</v>
      </c>
      <c r="L2032" s="38" t="n">
        <f aca="false">Sens!$L$2031*tax</f>
        <v>40.9781947389299</v>
      </c>
      <c r="M2032" s="38" t="n">
        <f aca="false">Sens!$M$2031*tax</f>
        <v>46.1701048372149</v>
      </c>
      <c r="N2032" s="38" t="n">
        <f aca="false">Q!$N$37</f>
        <v>7.231</v>
      </c>
      <c r="O2032" s="38" t="n">
        <f aca="false">Q!$O$37</f>
        <v>11.856</v>
      </c>
    </row>
    <row r="2033" customFormat="false" ht="15" hidden="false" customHeight="false" outlineLevel="0" collapsed="false">
      <c r="A2033" s="3" t="s">
        <v>509</v>
      </c>
      <c r="B2033" s="8" t="s">
        <v>73</v>
      </c>
      <c r="C2033" s="38" t="n">
        <f aca="false">Q!$D$38</f>
        <v>59.248</v>
      </c>
      <c r="D2033" s="38" t="n">
        <f aca="false">Q!$E$38</f>
        <v>77.67</v>
      </c>
      <c r="E2033" s="38" t="n">
        <f aca="false">Q!$P$38</f>
        <v>92.902</v>
      </c>
      <c r="F2033" s="38" t="n">
        <f aca="false">Sens!$F$2031-Sens!$F$2032</f>
        <v>49.0694653484677</v>
      </c>
      <c r="G2033" s="38" t="n">
        <f aca="false">Sens!$E$2033+Sens!$F$2033</f>
        <v>141.971465348468</v>
      </c>
      <c r="H2033" s="38" t="n">
        <f aca="false">Sens!$H$2031-Sens!$H$2032</f>
        <v>111.773506616004</v>
      </c>
      <c r="I2033" s="38" t="n">
        <f aca="false">Sens!$I$2031-Sens!$I$2032</f>
        <v>133.544567581372</v>
      </c>
      <c r="J2033" s="38" t="n">
        <f aca="false">Sens!$J$2031-Sens!$J$2032</f>
        <v>154.585080335112</v>
      </c>
      <c r="K2033" s="38" t="n">
        <f aca="false">Sens!$K$2031-Sens!$K$2032</f>
        <v>174.469417954842</v>
      </c>
      <c r="L2033" s="38" t="n">
        <f aca="false">Sens!$L$2031-Sens!$L$2032</f>
        <v>195.092355652895</v>
      </c>
      <c r="M2033" s="38" t="n">
        <f aca="false">Sens!$M$2031-Sens!$M$2032</f>
        <v>219.81042773649</v>
      </c>
      <c r="N2033" s="38" t="n">
        <f aca="false">Q!$N$38</f>
        <v>35.291</v>
      </c>
      <c r="O2033" s="38" t="n">
        <f aca="false">Q!$O$38</f>
        <v>42.379</v>
      </c>
    </row>
    <row r="2034" customFormat="false" ht="17.15" hidden="false" customHeight="false" outlineLevel="0" collapsed="false">
      <c r="A2034" s="5" t="s">
        <v>512</v>
      </c>
      <c r="B2034" s="5" t="s">
        <v>33</v>
      </c>
      <c r="C2034" s="22" t="n">
        <f aca="false">Q!$D$41</f>
        <v>10.721</v>
      </c>
      <c r="D2034" s="22" t="n">
        <f aca="false">Q!$E$41</f>
        <v>10.827</v>
      </c>
      <c r="E2034" s="22" t="n">
        <f aca="false">(Q!$L$41+Q!$M$41)/2</f>
        <v>10.8885</v>
      </c>
      <c r="F2034" s="22" t="n">
        <f aca="false">Sens!$G$2034</f>
        <v>10.924806</v>
      </c>
      <c r="G2034" s="22" t="n">
        <f aca="false">Q!$M$41*(1+sh_g*0.25)</f>
        <v>10.924806</v>
      </c>
      <c r="H2034" s="22" t="n">
        <f aca="false">Sens!$G$2034*(1+sh_g)</f>
        <v>11.012204448</v>
      </c>
      <c r="I2034" s="22" t="n">
        <f aca="false">Sens!$H$2034*(1+sh_g)</f>
        <v>11.100302083584</v>
      </c>
      <c r="J2034" s="22" t="n">
        <f aca="false">Sens!$I$2034*(1+sh_g)</f>
        <v>11.1891045002527</v>
      </c>
      <c r="K2034" s="22" t="n">
        <f aca="false">Sens!$J$2034*(1+sh_g)</f>
        <v>11.2786173362547</v>
      </c>
      <c r="L2034" s="22" t="n">
        <f aca="false">Sens!$K$2034*(1+sh_g)</f>
        <v>11.3688462749447</v>
      </c>
      <c r="M2034" s="22" t="n">
        <f aca="false">Sens!$L$2034*(1+sh_g)</f>
        <v>11.4597970451443</v>
      </c>
      <c r="P2034" s="5" t="s">
        <v>704</v>
      </c>
    </row>
    <row r="2035" customFormat="false" ht="17.15" hidden="false" customHeight="false" outlineLevel="0" collapsed="false">
      <c r="A2035" s="42" t="s">
        <v>705</v>
      </c>
      <c r="B2035" s="13" t="s">
        <v>27</v>
      </c>
      <c r="C2035" s="43" t="n">
        <f aca="false">Sens!$C$2033/Sens!$C$2034</f>
        <v>5.52635015390355</v>
      </c>
      <c r="D2035" s="43" t="n">
        <f aca="false">Sens!$D$2033/Sens!$D$2034</f>
        <v>7.1737323358271</v>
      </c>
      <c r="E2035" s="43" t="n">
        <f aca="false">Sens!$E$2033/Sens!$E$2034</f>
        <v>8.53212104513937</v>
      </c>
      <c r="F2035" s="13"/>
      <c r="G2035" s="43" t="n">
        <f aca="false">Sens!$G$2033/Sens!$G$2034</f>
        <v>12.9953305668282</v>
      </c>
      <c r="H2035" s="43" t="n">
        <f aca="false">Sens!$H$2033/Sens!$H$2034</f>
        <v>10.149966534294</v>
      </c>
      <c r="I2035" s="43" t="n">
        <f aca="false">Sens!$I$2033/Sens!$I$2034</f>
        <v>12.0307147117076</v>
      </c>
      <c r="J2035" s="43" t="n">
        <f aca="false">Sens!$J$2033/Sens!$J$2034</f>
        <v>13.815679380921</v>
      </c>
      <c r="K2035" s="43" t="n">
        <f aca="false">Sens!$K$2033/Sens!$K$2034</f>
        <v>15.4690431241086</v>
      </c>
      <c r="L2035" s="43" t="n">
        <f aca="false">Sens!$L$2033/Sens!$L$2034</f>
        <v>17.1602597954772</v>
      </c>
      <c r="M2035" s="43" t="n">
        <f aca="false">Sens!$M$2033/Sens!$M$2034</f>
        <v>19.1810052892365</v>
      </c>
      <c r="N2035" s="13"/>
      <c r="O2035" s="13"/>
    </row>
    <row r="2036" customFormat="false" ht="17.15" hidden="false" customHeight="false" outlineLevel="0" collapsed="false">
      <c r="A2036" s="0" t="s">
        <v>706</v>
      </c>
      <c r="B2036" s="0" t="s">
        <v>27</v>
      </c>
      <c r="C2036" s="30" t="n">
        <f aca="false">(Sens!$C$2033-Sens!$C$2030*(1-tax))/Sens!$C$2034</f>
        <v>5.33926775917445</v>
      </c>
      <c r="D2036" s="30" t="n">
        <f aca="false">(Sens!$D$2033-Sens!$D$2030*(1-tax))/Sens!$D$2034</f>
        <v>5.67691812755503</v>
      </c>
      <c r="E2036" s="30" t="n">
        <f aca="false">(Sens!$E$2033-Sens!$E$2030*(1-tax))/Sens!$E$2034</f>
        <v>3.10602057006846</v>
      </c>
      <c r="G2036" s="30" t="n">
        <f aca="false">(Sens!$G$2033-Sens!$G$2030*(1-tax))/Sens!$G$2034</f>
        <v>7.58726244893119</v>
      </c>
      <c r="H2036" s="30" t="n">
        <f aca="false">(Sens!$H$2033-Sens!$H$2030*(1-tax))/Sens!$H$2034</f>
        <v>10.149966534294</v>
      </c>
      <c r="I2036" s="30" t="n">
        <f aca="false">(Sens!$I$2033-Sens!$I$2030*(1-tax))/Sens!$I$2034</f>
        <v>12.0307147117076</v>
      </c>
      <c r="J2036" s="30" t="n">
        <f aca="false">(Sens!$J$2033-Sens!$J$2030*(1-tax))/Sens!$J$2034</f>
        <v>13.815679380921</v>
      </c>
      <c r="K2036" s="30" t="n">
        <f aca="false">(Sens!$K$2033-Sens!$K$2030*(1-tax))/Sens!$K$2034</f>
        <v>15.4690431241086</v>
      </c>
      <c r="L2036" s="30" t="n">
        <f aca="false">(Sens!$L$2033-Sens!$L$2030*(1-tax))/Sens!$L$2034</f>
        <v>17.1602597954772</v>
      </c>
      <c r="M2036" s="30" t="n">
        <f aca="false">(Sens!$M$2033-Sens!$M$2030*(1-tax))/Sens!$M$2034</f>
        <v>19.1810052892365</v>
      </c>
      <c r="P2036" s="5" t="s">
        <v>707</v>
      </c>
    </row>
    <row r="2037" customFormat="false" ht="17.15" hidden="false" customHeight="false" outlineLevel="0" collapsed="false">
      <c r="A2037" s="0" t="s">
        <v>708</v>
      </c>
      <c r="B2037" s="0" t="s">
        <v>52</v>
      </c>
      <c r="H2037" s="12" t="n">
        <f aca="false">Sens!$H$2035/Sens!$G$2035-1</f>
        <v>-0.218952801385231</v>
      </c>
      <c r="I2037" s="12" t="n">
        <f aca="false">Sens!$I$2035/Sens!$H$2035-1</f>
        <v>0.185295997879306</v>
      </c>
      <c r="J2037" s="12" t="n">
        <f aca="false">Sens!$J$2035/Sens!$I$2035-1</f>
        <v>0.148367300861722</v>
      </c>
      <c r="K2037" s="12" t="n">
        <f aca="false">Sens!$K$2035/Sens!$J$2035-1</f>
        <v>0.119672995992563</v>
      </c>
      <c r="L2037" s="12" t="n">
        <f aca="false">Sens!$L$2035/Sens!$K$2035-1</f>
        <v>0.109329107030084</v>
      </c>
      <c r="M2037" s="12" t="n">
        <f aca="false">Sens!$M$2035/Sens!$L$2035-1</f>
        <v>0.117757278610195</v>
      </c>
    </row>
    <row r="2040" customFormat="false" ht="19.4" hidden="false" customHeight="false" outlineLevel="0" collapsed="false">
      <c r="A2040" s="31" t="s">
        <v>1086</v>
      </c>
    </row>
    <row r="2041" customFormat="false" ht="17.15" hidden="false" customHeight="false" outlineLevel="0" collapsed="false">
      <c r="A2041" s="6" t="s">
        <v>16</v>
      </c>
      <c r="B2041" s="6" t="s">
        <v>17</v>
      </c>
      <c r="C2041" s="20" t="s">
        <v>457</v>
      </c>
      <c r="D2041" s="20" t="s">
        <v>458</v>
      </c>
      <c r="E2041" s="20" t="s">
        <v>540</v>
      </c>
      <c r="F2041" s="20" t="s">
        <v>541</v>
      </c>
      <c r="G2041" s="20" t="s">
        <v>542</v>
      </c>
      <c r="H2041" s="20" t="s">
        <v>543</v>
      </c>
      <c r="I2041" s="20" t="s">
        <v>544</v>
      </c>
      <c r="J2041" s="20" t="s">
        <v>545</v>
      </c>
      <c r="K2041" s="20" t="s">
        <v>546</v>
      </c>
      <c r="L2041" s="20" t="s">
        <v>547</v>
      </c>
      <c r="M2041" s="20" t="s">
        <v>548</v>
      </c>
      <c r="N2041" s="20" t="s">
        <v>549</v>
      </c>
      <c r="O2041" s="20" t="s">
        <v>550</v>
      </c>
      <c r="P2041" s="6" t="s">
        <v>23</v>
      </c>
      <c r="R2041" s="20" t="n">
        <v>2023</v>
      </c>
      <c r="S2041" s="20" t="n">
        <v>2024</v>
      </c>
      <c r="T2041" s="20" t="n">
        <v>2025</v>
      </c>
      <c r="U2041" s="20" t="n">
        <v>2026</v>
      </c>
      <c r="V2041" s="20" t="n">
        <v>2027</v>
      </c>
      <c r="W2041" s="20" t="n">
        <v>2028</v>
      </c>
      <c r="X2041" s="20" t="n">
        <v>2029</v>
      </c>
      <c r="Y2041" s="20" t="n">
        <v>2030</v>
      </c>
      <c r="Z2041" s="20" t="n">
        <v>2031</v>
      </c>
      <c r="AA2041" s="20" t="n">
        <v>2032</v>
      </c>
    </row>
    <row r="2042" customFormat="false" ht="15" hidden="false" customHeight="false" outlineLevel="0" collapsed="false">
      <c r="A2042" s="5" t="s">
        <v>509</v>
      </c>
      <c r="B2042" s="0" t="s">
        <v>73</v>
      </c>
      <c r="C2042" s="38" t="n">
        <f aca="false">Sens!$C$2033</f>
        <v>59.248</v>
      </c>
      <c r="D2042" s="38" t="n">
        <f aca="false">Sens!$D$2033</f>
        <v>77.67</v>
      </c>
      <c r="E2042" s="38" t="n">
        <f aca="false">Sens!$E$2033</f>
        <v>92.902</v>
      </c>
      <c r="F2042" s="38" t="n">
        <f aca="false">Sens!$F$2033</f>
        <v>49.0694653484677</v>
      </c>
      <c r="G2042" s="38" t="n">
        <f aca="false">Sens!$G$2033</f>
        <v>141.971465348468</v>
      </c>
      <c r="H2042" s="38" t="n">
        <f aca="false">Sens!$H$2033</f>
        <v>111.773506616004</v>
      </c>
      <c r="I2042" s="38" t="n">
        <f aca="false">Sens!$I$2033</f>
        <v>133.544567581372</v>
      </c>
      <c r="J2042" s="38" t="n">
        <f aca="false">Sens!$J$2033</f>
        <v>154.585080335112</v>
      </c>
      <c r="K2042" s="38" t="n">
        <f aca="false">Sens!$K$2033</f>
        <v>174.469417954842</v>
      </c>
      <c r="L2042" s="38" t="n">
        <f aca="false">Sens!$L$2033</f>
        <v>195.092355652895</v>
      </c>
      <c r="M2042" s="38" t="n">
        <f aca="false">Sens!$M$2033</f>
        <v>219.81042773649</v>
      </c>
    </row>
    <row r="2043" customFormat="false" ht="17.15" hidden="false" customHeight="false" outlineLevel="0" collapsed="false">
      <c r="A2043" s="5" t="s">
        <v>730</v>
      </c>
      <c r="B2043" s="0" t="s">
        <v>73</v>
      </c>
      <c r="C2043" s="38" t="n">
        <f aca="false">Sens!$C$2021</f>
        <v>32.067</v>
      </c>
      <c r="D2043" s="38" t="n">
        <f aca="false">Sens!$D$2021</f>
        <v>41.86</v>
      </c>
      <c r="E2043" s="38" t="n">
        <f aca="false">Sens!$E$2021</f>
        <v>26.703</v>
      </c>
      <c r="F2043" s="38" t="n">
        <f aca="false">Sens!$F$2021</f>
        <v>30.0728544767906</v>
      </c>
      <c r="G2043" s="38" t="n">
        <f aca="false">Sens!$G$2021</f>
        <v>56.7758544767906</v>
      </c>
      <c r="H2043" s="38" t="n">
        <f aca="false">Sens!$H$2021</f>
        <v>83.779436773106</v>
      </c>
      <c r="I2043" s="38" t="n">
        <f aca="false">Sens!$I$2021</f>
        <v>114.861392711597</v>
      </c>
      <c r="J2043" s="38" t="n">
        <f aca="false">Sens!$J$2021</f>
        <v>146.014431415905</v>
      </c>
      <c r="K2043" s="38" t="n">
        <f aca="false">Sens!$K$2021</f>
        <v>175.832917834074</v>
      </c>
      <c r="L2043" s="38" t="n">
        <f aca="false">Sens!$L$2021</f>
        <v>206.612409242285</v>
      </c>
      <c r="M2043" s="38" t="n">
        <f aca="false">Sens!$M$2021</f>
        <v>236.057092208325</v>
      </c>
    </row>
    <row r="2044" customFormat="false" ht="15" hidden="false" customHeight="false" outlineLevel="0" collapsed="false">
      <c r="A2044" s="5" t="s">
        <v>731</v>
      </c>
      <c r="B2044" s="0" t="s">
        <v>73</v>
      </c>
      <c r="C2044" s="38" t="n">
        <f aca="false">Q!$D$48</f>
        <v>22.011</v>
      </c>
      <c r="D2044" s="38" t="n">
        <f aca="false">Q!$E$48</f>
        <v>19.467</v>
      </c>
      <c r="E2044" s="38" t="n">
        <f aca="false">Q!$P$48</f>
        <v>10.07</v>
      </c>
      <c r="F2044" s="38" t="n">
        <f aca="false">sbc_r*Sens!$F$1965</f>
        <v>11.2170714500462</v>
      </c>
      <c r="G2044" s="38" t="n">
        <f aca="false">Sens!$E$2044+Sens!$F$2044</f>
        <v>21.2870714500462</v>
      </c>
      <c r="H2044" s="38" t="n">
        <f aca="false">sbc_r*Sens!$H$1965</f>
        <v>24.1772394325528</v>
      </c>
      <c r="I2044" s="38" t="n">
        <f aca="false">sbc_r*Sens!$I$1965</f>
        <v>27.6495284422397</v>
      </c>
      <c r="J2044" s="38" t="n">
        <f aca="false">sbc_r*Sens!$J$1965</f>
        <v>30.9042211184633</v>
      </c>
      <c r="K2044" s="38" t="n">
        <f aca="false">sbc_r*Sens!$K$1965</f>
        <v>33.8004145402678</v>
      </c>
      <c r="L2044" s="38" t="n">
        <f aca="false">sbc_r*Sens!$L$1965</f>
        <v>36.8322537652494</v>
      </c>
      <c r="M2044" s="38" t="n">
        <f aca="false">sbc_r*Sens!$M$1965</f>
        <v>40.0097627968013</v>
      </c>
    </row>
    <row r="2045" customFormat="false" ht="17.15" hidden="false" customHeight="false" outlineLevel="0" collapsed="false">
      <c r="A2045" s="5" t="s">
        <v>732</v>
      </c>
      <c r="B2045" s="0" t="s">
        <v>73</v>
      </c>
      <c r="C2045" s="38" t="n">
        <f aca="false">Q!$D$44-Sens!$C$2042-Sens!$C$2043-Sens!$C$2044</f>
        <v>2.551</v>
      </c>
      <c r="D2045" s="38" t="n">
        <f aca="false">Q!$E$44-Sens!$D$2042-Sens!$D$2043-Sens!$D$2044</f>
        <v>0.51700000000001</v>
      </c>
      <c r="E2045" s="38" t="n">
        <f aca="false">Q!$P$44-Sens!$E$2042-Sens!$E$2043-Sens!$E$2044</f>
        <v>-58.256</v>
      </c>
      <c r="F2045" s="38" t="n">
        <f aca="false">wc_2h26+oth_r*Sens!$F$1965</f>
        <v>7.34599241893378</v>
      </c>
      <c r="G2045" s="38" t="n">
        <f aca="false">Sens!$E$2045+Sens!$F$2045</f>
        <v>-50.9100075810662</v>
      </c>
      <c r="H2045" s="38" t="n">
        <f aca="false">oth_r*Sens!$H$1965</f>
        <v>11.6369707537667</v>
      </c>
      <c r="I2045" s="38" t="n">
        <f aca="false">oth_r*Sens!$I$1965</f>
        <v>13.3082502961262</v>
      </c>
      <c r="J2045" s="38" t="n">
        <f aca="false">oth_r*Sens!$J$1965</f>
        <v>14.8747965344332</v>
      </c>
      <c r="K2045" s="38" t="n">
        <f aca="false">oth_r*Sens!$K$1965</f>
        <v>16.2687901804328</v>
      </c>
      <c r="L2045" s="38" t="n">
        <f aca="false">oth_r*Sens!$L$1965</f>
        <v>17.7280727627002</v>
      </c>
      <c r="M2045" s="38" t="n">
        <f aca="false">oth_r*Sens!$M$1965</f>
        <v>19.2574690270319</v>
      </c>
      <c r="P2045" s="8" t="s">
        <v>733</v>
      </c>
    </row>
    <row r="2046" customFormat="false" ht="15" hidden="false" customHeight="false" outlineLevel="0" collapsed="false">
      <c r="A2046" s="3" t="s">
        <v>515</v>
      </c>
      <c r="B2046" s="8" t="s">
        <v>73</v>
      </c>
      <c r="C2046" s="38" t="n">
        <f aca="false">Q!$D$44</f>
        <v>115.877</v>
      </c>
      <c r="D2046" s="38" t="n">
        <f aca="false">Q!$E$44</f>
        <v>139.514</v>
      </c>
      <c r="E2046" s="38" t="n">
        <f aca="false">Q!$P$44</f>
        <v>71.419</v>
      </c>
      <c r="F2046" s="38" t="n">
        <f aca="false">Sens!$F$2042+Sens!$F$2043+Sens!$F$2044+Sens!$F$2045</f>
        <v>97.7053836942384</v>
      </c>
      <c r="G2046" s="38" t="n">
        <f aca="false">Sens!$E$2046+Sens!$F$2046</f>
        <v>169.124383694238</v>
      </c>
      <c r="H2046" s="38" t="n">
        <f aca="false">Sens!$H$2042+Sens!$H$2043+Sens!$H$2044+Sens!$H$2045</f>
        <v>231.367153575429</v>
      </c>
      <c r="I2046" s="38" t="n">
        <f aca="false">Sens!$I$2042+Sens!$I$2043+Sens!$I$2044+Sens!$I$2045</f>
        <v>289.363739031335</v>
      </c>
      <c r="J2046" s="38" t="n">
        <f aca="false">Sens!$J$2042+Sens!$J$2043+Sens!$J$2044+Sens!$J$2045</f>
        <v>346.378529403913</v>
      </c>
      <c r="K2046" s="38" t="n">
        <f aca="false">Sens!$K$2042+Sens!$K$2043+Sens!$K$2044+Sens!$K$2045</f>
        <v>400.371540509617</v>
      </c>
      <c r="L2046" s="38" t="n">
        <f aca="false">Sens!$L$2042+Sens!$L$2043+Sens!$L$2044+Sens!$L$2045</f>
        <v>456.26509142313</v>
      </c>
      <c r="M2046" s="38" t="n">
        <f aca="false">Sens!$M$2042+Sens!$M$2043+Sens!$M$2044+Sens!$M$2045</f>
        <v>515.134751768648</v>
      </c>
    </row>
    <row r="2047" customFormat="false" ht="17.15" hidden="false" customHeight="false" outlineLevel="0" collapsed="false">
      <c r="A2047" s="5" t="s">
        <v>734</v>
      </c>
      <c r="B2047" s="0" t="s">
        <v>73</v>
      </c>
      <c r="C2047" s="38" t="n">
        <f aca="false">Sens!$C$1935</f>
        <v>25.2781053077374</v>
      </c>
      <c r="D2047" s="38" t="n">
        <f aca="false">Sens!$D$1935</f>
        <v>69.5686316310026</v>
      </c>
      <c r="E2047" s="38" t="n">
        <f aca="false">Sens!$E$1935</f>
        <v>64.1899206485108</v>
      </c>
      <c r="F2047" s="38" t="n">
        <f aca="false">Sens!$F$1935</f>
        <v>96.2481299895</v>
      </c>
      <c r="G2047" s="38" t="n">
        <f aca="false">Sens!$G$1935</f>
        <v>160.438050638011</v>
      </c>
      <c r="H2047" s="38" t="n">
        <f aca="false">Sens!$H$1935</f>
        <v>198.57136494475</v>
      </c>
      <c r="I2047" s="38" t="n">
        <f aca="false">Sens!$I$1935</f>
        <v>204.6464699105</v>
      </c>
      <c r="J2047" s="38" t="n">
        <f aca="false">Sens!$J$1935</f>
        <v>204.6464699105</v>
      </c>
      <c r="K2047" s="38" t="n">
        <f aca="false">Sens!$K$1935</f>
        <v>209.8832381105</v>
      </c>
      <c r="L2047" s="38" t="n">
        <f aca="false">Sens!$L$1935</f>
        <v>215.1200063105</v>
      </c>
      <c r="M2047" s="38" t="n">
        <f aca="false">Sens!$M$1935</f>
        <v>251.7773837105</v>
      </c>
    </row>
    <row r="2048" customFormat="false" ht="17.15" hidden="false" customHeight="false" outlineLevel="0" collapsed="false">
      <c r="A2048" s="5" t="s">
        <v>735</v>
      </c>
      <c r="B2048" s="0" t="s">
        <v>73</v>
      </c>
      <c r="C2048" s="38" t="n">
        <f aca="false">cx_awso*Sens!$C$1963</f>
        <v>21.0469989286053</v>
      </c>
      <c r="D2048" s="38" t="n">
        <f aca="false">cx_awso*Sens!$D$1963</f>
        <v>24.0042459822698</v>
      </c>
      <c r="E2048" s="38" t="n">
        <f aca="false">cx_awso*Sens!$E$1963</f>
        <v>14.261729404886</v>
      </c>
      <c r="F2048" s="38" t="n">
        <f aca="false">cx_awso*Sens!$F$1963</f>
        <v>15.7190020837331</v>
      </c>
      <c r="G2048" s="38" t="n">
        <f aca="false">Sens!$E$2048+Sens!$F$2048</f>
        <v>29.9807314886191</v>
      </c>
      <c r="H2048" s="38" t="n">
        <f aca="false">cx_awso*Sens!$H$1963</f>
        <v>36.1787121536283</v>
      </c>
      <c r="I2048" s="38" t="n">
        <f aca="false">cx_awso*Sens!$I$1963</f>
        <v>42.1296794430021</v>
      </c>
      <c r="J2048" s="38" t="n">
        <f aca="false">cx_awso*Sens!$J$1963</f>
        <v>47.279781889299</v>
      </c>
      <c r="K2048" s="38" t="n">
        <f aca="false">cx_awso*Sens!$K$1963</f>
        <v>51.0621644404429</v>
      </c>
      <c r="L2048" s="38" t="n">
        <f aca="false">cx_awso*Sens!$L$1963</f>
        <v>55.1471375956783</v>
      </c>
      <c r="M2048" s="38" t="n">
        <f aca="false">cx_awso*Sens!$M$1963</f>
        <v>59.5589086033326</v>
      </c>
    </row>
    <row r="2049" customFormat="false" ht="17.15" hidden="false" customHeight="false" outlineLevel="0" collapsed="false">
      <c r="A2049" s="5" t="s">
        <v>736</v>
      </c>
      <c r="B2049" s="0" t="s">
        <v>73</v>
      </c>
      <c r="C2049" s="38" t="n">
        <f aca="false">Q!$D$46-Sens!$C$2047-Sens!$C$2048</f>
        <v>31.3328957636573</v>
      </c>
      <c r="D2049" s="38" t="n">
        <f aca="false">Q!$E$46-Sens!$D$2047-Sens!$D$2048</f>
        <v>34.7471223867276</v>
      </c>
      <c r="E2049" s="38" t="n">
        <f aca="false">Q!$P$46-Sens!$E$2047-Sens!$E$2048</f>
        <v>17.8583499466032</v>
      </c>
      <c r="F2049" s="38" t="n">
        <f aca="false">cx_rt*Sens!$F$1899</f>
        <v>21.0855744229195</v>
      </c>
      <c r="G2049" s="38" t="n">
        <f aca="false">Sens!$E$2049+Sens!$F$2049</f>
        <v>38.9439243695228</v>
      </c>
      <c r="H2049" s="38" t="n">
        <f aca="false">cx_rt*Sens!$H$1899</f>
        <v>43.1200434029767</v>
      </c>
      <c r="I2049" s="38" t="n">
        <f aca="false">cx_rt*Sens!$I$1899</f>
        <v>47.1583152318763</v>
      </c>
      <c r="J2049" s="38" t="n">
        <f aca="false">cx_rt*Sens!$J$1899</f>
        <v>50.9060281137911</v>
      </c>
      <c r="K2049" s="38" t="n">
        <f aca="false">cx_rt*Sens!$K$1899</f>
        <v>54.2035645673053</v>
      </c>
      <c r="L2049" s="38" t="n">
        <f aca="false">cx_rt*Sens!$L$1899</f>
        <v>57.7318979121519</v>
      </c>
      <c r="M2049" s="38" t="n">
        <f aca="false">cx_rt*Sens!$M$1899</f>
        <v>61.5084196557756</v>
      </c>
    </row>
    <row r="2050" customFormat="false" ht="15" hidden="false" customHeight="false" outlineLevel="0" collapsed="false">
      <c r="A2050" s="3" t="s">
        <v>737</v>
      </c>
      <c r="B2050" s="8" t="s">
        <v>73</v>
      </c>
      <c r="C2050" s="38" t="n">
        <f aca="false">Q!$D$46</f>
        <v>77.658</v>
      </c>
      <c r="D2050" s="38" t="n">
        <f aca="false">Q!$E$46</f>
        <v>128.32</v>
      </c>
      <c r="E2050" s="38" t="n">
        <f aca="false">Q!$P$46</f>
        <v>96.31</v>
      </c>
      <c r="F2050" s="38" t="n">
        <f aca="false">Sens!$F$2047+Sens!$F$2048+Sens!$F$2049</f>
        <v>133.052706496153</v>
      </c>
      <c r="G2050" s="38" t="n">
        <f aca="false">Sens!$E$2050+Sens!$F$2050</f>
        <v>229.362706496153</v>
      </c>
      <c r="H2050" s="38" t="n">
        <f aca="false">Sens!$H$2047+Sens!$H$2048+Sens!$H$2049</f>
        <v>277.870120501355</v>
      </c>
      <c r="I2050" s="38" t="n">
        <f aca="false">Sens!$I$2047+Sens!$I$2048+Sens!$I$2049</f>
        <v>293.934464585378</v>
      </c>
      <c r="J2050" s="38" t="n">
        <f aca="false">Sens!$J$2047+Sens!$J$2048+Sens!$J$2049</f>
        <v>302.83227991359</v>
      </c>
      <c r="K2050" s="38" t="n">
        <f aca="false">Sens!$K$2047+Sens!$K$2048+Sens!$K$2049</f>
        <v>315.148967118248</v>
      </c>
      <c r="L2050" s="38" t="n">
        <f aca="false">Sens!$L$2047+Sens!$L$2048+Sens!$L$2049</f>
        <v>327.99904181833</v>
      </c>
      <c r="M2050" s="38" t="n">
        <f aca="false">Sens!$M$2047+Sens!$M$2048+Sens!$M$2049</f>
        <v>372.844711969608</v>
      </c>
    </row>
    <row r="2051" customFormat="false" ht="17.15" hidden="false" customHeight="false" outlineLevel="0" collapsed="false">
      <c r="A2051" s="5" t="s">
        <v>523</v>
      </c>
      <c r="B2051" s="0" t="s">
        <v>73</v>
      </c>
      <c r="C2051" s="38" t="n">
        <f aca="false">Q!$D$50</f>
        <v>2.043</v>
      </c>
      <c r="D2051" s="38" t="n">
        <f aca="false">Q!$E$50</f>
        <v>1.557</v>
      </c>
      <c r="E2051" s="38" t="n">
        <f aca="false">lease_pr/2</f>
        <v>0.8</v>
      </c>
      <c r="F2051" s="38" t="n">
        <f aca="false">lease_pr/2</f>
        <v>0.8</v>
      </c>
      <c r="G2051" s="38" t="n">
        <f aca="false">Sens!$E$2051+Sens!$F$2051</f>
        <v>1.6</v>
      </c>
      <c r="H2051" s="38" t="n">
        <f aca="false">lease_pr</f>
        <v>1.6</v>
      </c>
      <c r="I2051" s="38" t="n">
        <f aca="false">lease_pr</f>
        <v>1.6</v>
      </c>
      <c r="J2051" s="38" t="n">
        <f aca="false">lease_pr</f>
        <v>1.6</v>
      </c>
      <c r="K2051" s="38" t="n">
        <f aca="false">lease_pr</f>
        <v>1.6</v>
      </c>
      <c r="L2051" s="38" t="n">
        <f aca="false">lease_pr</f>
        <v>1.6</v>
      </c>
      <c r="M2051" s="38" t="n">
        <f aca="false">lease_pr</f>
        <v>1.6</v>
      </c>
      <c r="P2051" s="8" t="s">
        <v>738</v>
      </c>
    </row>
    <row r="2052" customFormat="false" ht="15" hidden="false" customHeight="false" outlineLevel="0" collapsed="false">
      <c r="A2052" s="46" t="s">
        <v>739</v>
      </c>
      <c r="B2052" s="13" t="s">
        <v>73</v>
      </c>
      <c r="C2052" s="47" t="n">
        <f aca="false">Sens!$C$2046-Sens!$C$2050-Sens!$C$2051</f>
        <v>36.176</v>
      </c>
      <c r="D2052" s="47" t="n">
        <f aca="false">Sens!$D$2046-Sens!$D$2050-Sens!$D$2051</f>
        <v>9.63700000000002</v>
      </c>
      <c r="E2052" s="47" t="n">
        <f aca="false">Sens!$E$2046-Sens!$E$2050-Sens!$E$2051</f>
        <v>-25.691</v>
      </c>
      <c r="F2052" s="47" t="n">
        <f aca="false">Sens!$F$2046-Sens!$F$2050-Sens!$F$2051</f>
        <v>-36.1473228019142</v>
      </c>
      <c r="G2052" s="47" t="n">
        <f aca="false">Sens!$G$2046-Sens!$G$2050-Sens!$G$2051</f>
        <v>-61.8383228019142</v>
      </c>
      <c r="H2052" s="47" t="n">
        <f aca="false">Sens!$H$2046-Sens!$H$2050-Sens!$H$2051</f>
        <v>-48.102966925926</v>
      </c>
      <c r="I2052" s="47" t="n">
        <f aca="false">Sens!$I$2046-Sens!$I$2050-Sens!$I$2051</f>
        <v>-6.17072555404289</v>
      </c>
      <c r="J2052" s="47" t="n">
        <f aca="false">Sens!$J$2046-Sens!$J$2050-Sens!$J$2051</f>
        <v>41.9462494903229</v>
      </c>
      <c r="K2052" s="47" t="n">
        <f aca="false">Sens!$K$2046-Sens!$K$2050-Sens!$K$2051</f>
        <v>83.6225733913689</v>
      </c>
      <c r="L2052" s="47" t="n">
        <f aca="false">Sens!$L$2046-Sens!$L$2050-Sens!$L$2051</f>
        <v>126.666049604799</v>
      </c>
      <c r="M2052" s="47" t="n">
        <f aca="false">Sens!$M$2046-Sens!$M$2050-Sens!$M$2051</f>
        <v>140.69003979904</v>
      </c>
      <c r="N2052" s="13"/>
      <c r="O2052" s="13"/>
    </row>
    <row r="2053" customFormat="false" ht="17.15" hidden="false" customHeight="false" outlineLevel="0" collapsed="false">
      <c r="A2053" s="5" t="s">
        <v>740</v>
      </c>
      <c r="B2053" s="0" t="s">
        <v>73</v>
      </c>
      <c r="C2053" s="38" t="n">
        <f aca="false">dps*Sens!$C$2034</f>
        <v>0</v>
      </c>
      <c r="D2053" s="38" t="n">
        <f aca="false">dps*Sens!$D$2034</f>
        <v>0</v>
      </c>
      <c r="E2053" s="38" t="n">
        <f aca="false">dps*Sens!$E$2034</f>
        <v>0</v>
      </c>
      <c r="F2053" s="38" t="n">
        <f aca="false">0</f>
        <v>0</v>
      </c>
      <c r="G2053" s="38" t="n">
        <f aca="false">dps*Sens!$G$2034</f>
        <v>0</v>
      </c>
      <c r="H2053" s="38" t="n">
        <f aca="false">dps*Sens!$H$2034</f>
        <v>0</v>
      </c>
      <c r="I2053" s="38" t="n">
        <f aca="false">dps*Sens!$I$2034</f>
        <v>0</v>
      </c>
      <c r="J2053" s="38" t="n">
        <f aca="false">dps*Sens!$J$2034</f>
        <v>0</v>
      </c>
      <c r="K2053" s="38" t="n">
        <f aca="false">dps*Sens!$K$2034</f>
        <v>0</v>
      </c>
      <c r="L2053" s="38" t="n">
        <f aca="false">dps*Sens!$L$2034</f>
        <v>0</v>
      </c>
      <c r="M2053" s="38" t="n">
        <f aca="false">dps*Sens!$M$2034</f>
        <v>0</v>
      </c>
      <c r="P2053" s="8" t="s">
        <v>741</v>
      </c>
    </row>
    <row r="2054" customFormat="false" ht="17.15" hidden="false" customHeight="false" outlineLevel="0" collapsed="false">
      <c r="A2054" s="5" t="s">
        <v>742</v>
      </c>
      <c r="B2054" s="0" t="s">
        <v>73</v>
      </c>
      <c r="C2054" s="38" t="n">
        <f aca="false">0</f>
        <v>0</v>
      </c>
      <c r="D2054" s="38" t="n">
        <f aca="false">0</f>
        <v>0</v>
      </c>
      <c r="E2054" s="38" t="n">
        <f aca="false">0</f>
        <v>0</v>
      </c>
      <c r="F2054" s="38" t="n">
        <f aca="false">0</f>
        <v>0</v>
      </c>
      <c r="G2054" s="38" t="n">
        <f aca="false">0</f>
        <v>0</v>
      </c>
      <c r="H2054" s="38" t="n">
        <f aca="false">0</f>
        <v>0</v>
      </c>
      <c r="I2054" s="38" t="n">
        <f aca="false">0</f>
        <v>0</v>
      </c>
      <c r="J2054" s="38" t="n">
        <f aca="false">0</f>
        <v>0</v>
      </c>
      <c r="K2054" s="38" t="n">
        <f aca="false">0</f>
        <v>0</v>
      </c>
      <c r="L2054" s="38" t="n">
        <f aca="false">0</f>
        <v>0</v>
      </c>
      <c r="M2054" s="38" t="n">
        <f aca="false">0</f>
        <v>0</v>
      </c>
      <c r="P2054" s="8" t="s">
        <v>743</v>
      </c>
    </row>
    <row r="2055" customFormat="false" ht="15" hidden="false" customHeight="false" outlineLevel="0" collapsed="false">
      <c r="A2055" s="3" t="s">
        <v>744</v>
      </c>
      <c r="B2055" s="8" t="s">
        <v>73</v>
      </c>
      <c r="C2055" s="38" t="n">
        <f aca="false">Sens!$C$2052-Sens!$C$2053</f>
        <v>36.176</v>
      </c>
      <c r="D2055" s="38" t="n">
        <f aca="false">Sens!$D$2052-Sens!$D$2053</f>
        <v>9.63700000000002</v>
      </c>
      <c r="E2055" s="38" t="n">
        <f aca="false">Sens!$E$2052-Sens!$E$2053</f>
        <v>-25.691</v>
      </c>
      <c r="F2055" s="38" t="n">
        <f aca="false">Sens!$F$2052-Sens!$F$2053</f>
        <v>-36.1473228019142</v>
      </c>
      <c r="G2055" s="38" t="n">
        <f aca="false">Sens!$G$2052-Sens!$G$2053</f>
        <v>-61.8383228019142</v>
      </c>
      <c r="H2055" s="38" t="n">
        <f aca="false">Sens!$H$2052-Sens!$H$2053</f>
        <v>-48.102966925926</v>
      </c>
      <c r="I2055" s="38" t="n">
        <f aca="false">Sens!$I$2052-Sens!$I$2053</f>
        <v>-6.17072555404289</v>
      </c>
      <c r="J2055" s="38" t="n">
        <f aca="false">Sens!$J$2052-Sens!$J$2053</f>
        <v>41.9462494903229</v>
      </c>
      <c r="K2055" s="38" t="n">
        <f aca="false">Sens!$K$2052-Sens!$K$2053</f>
        <v>83.6225733913689</v>
      </c>
      <c r="L2055" s="38" t="n">
        <f aca="false">Sens!$L$2052-Sens!$L$2053</f>
        <v>126.666049604799</v>
      </c>
      <c r="M2055" s="38" t="n">
        <f aca="false">Sens!$M$2052-Sens!$M$2053</f>
        <v>140.69003979904</v>
      </c>
    </row>
    <row r="2056" customFormat="false" ht="17.15" hidden="false" customHeight="false" outlineLevel="0" collapsed="false">
      <c r="A2056" s="5" t="s">
        <v>745</v>
      </c>
      <c r="B2056" s="0" t="s">
        <v>73</v>
      </c>
      <c r="E2056" s="38" t="n">
        <f aca="false">Q!$P$53</f>
        <v>39.767</v>
      </c>
      <c r="F2056" s="38" t="n">
        <f aca="false">inv_2h26</f>
        <v>21.3</v>
      </c>
      <c r="G2056" s="38" t="n">
        <f aca="false">Sens!$E$2056+Sens!$F$2056</f>
        <v>61.067</v>
      </c>
      <c r="H2056" s="41" t="n">
        <v>0</v>
      </c>
      <c r="I2056" s="41" t="n">
        <v>0</v>
      </c>
      <c r="J2056" s="41" t="n">
        <v>0</v>
      </c>
      <c r="K2056" s="41" t="n">
        <v>0</v>
      </c>
      <c r="L2056" s="41" t="n">
        <v>0</v>
      </c>
      <c r="M2056" s="41" t="n">
        <v>0</v>
      </c>
    </row>
    <row r="2057" customFormat="false" ht="17.15" hidden="false" customHeight="false" outlineLevel="0" collapsed="false">
      <c r="A2057" s="5" t="s">
        <v>746</v>
      </c>
      <c r="B2057" s="0" t="s">
        <v>73</v>
      </c>
      <c r="F2057" s="38" t="n">
        <f aca="false">iss_2h26</f>
        <v>29.25</v>
      </c>
      <c r="G2057" s="38" t="n">
        <f aca="false">Sens!$F$2057</f>
        <v>29.25</v>
      </c>
      <c r="H2057" s="41" t="n">
        <v>0</v>
      </c>
      <c r="I2057" s="41" t="n">
        <v>0</v>
      </c>
      <c r="J2057" s="41" t="n">
        <v>0</v>
      </c>
      <c r="K2057" s="41" t="n">
        <v>0</v>
      </c>
      <c r="L2057" s="41" t="n">
        <v>0</v>
      </c>
      <c r="M2057" s="41" t="n">
        <v>0</v>
      </c>
    </row>
    <row r="2058" customFormat="false" ht="17.15" hidden="false" customHeight="false" outlineLevel="0" collapsed="false">
      <c r="A2058" s="5" t="s">
        <v>747</v>
      </c>
      <c r="B2058" s="0" t="s">
        <v>73</v>
      </c>
      <c r="F2058" s="38" t="n">
        <f aca="false">cash_q2</f>
        <v>122.988</v>
      </c>
      <c r="G2058" s="38" t="n">
        <f aca="false">cash_q2</f>
        <v>122.988</v>
      </c>
      <c r="H2058" s="38" t="n">
        <f aca="false">Sens!$G$2061</f>
        <v>94.7906771980858</v>
      </c>
      <c r="I2058" s="38" t="n">
        <f aca="false">Sens!$H$2061</f>
        <v>50</v>
      </c>
      <c r="J2058" s="38" t="n">
        <f aca="false">Sens!$I$2061</f>
        <v>50</v>
      </c>
      <c r="K2058" s="38" t="n">
        <f aca="false">Sens!$J$2061</f>
        <v>91.9462494903229</v>
      </c>
      <c r="L2058" s="38" t="n">
        <f aca="false">Sens!$K$2061</f>
        <v>175.568822881692</v>
      </c>
      <c r="M2058" s="38" t="n">
        <f aca="false">Sens!$L$2061</f>
        <v>302.234872486491</v>
      </c>
    </row>
    <row r="2059" customFormat="false" ht="15" hidden="false" customHeight="false" outlineLevel="0" collapsed="false">
      <c r="A2059" s="5" t="s">
        <v>748</v>
      </c>
      <c r="B2059" s="0" t="s">
        <v>73</v>
      </c>
      <c r="F2059" s="38" t="n">
        <f aca="false">Sens!$F$2058+Sens!$F$2055-Sens!$F$2054-Sens!$F$2056+Sens!$F$2057</f>
        <v>94.7906771980858</v>
      </c>
      <c r="H2059" s="38" t="n">
        <f aca="false">Sens!$H$2058+Sens!$H$2055-Sens!$H$2054-Sens!$H$2056+Sens!$H$2057</f>
        <v>46.6877102721598</v>
      </c>
      <c r="I2059" s="38" t="n">
        <f aca="false">Sens!$I$2058+Sens!$I$2055-Sens!$I$2054-Sens!$I$2056+Sens!$I$2057</f>
        <v>43.8292744459571</v>
      </c>
      <c r="J2059" s="38" t="n">
        <f aca="false">Sens!$J$2058+Sens!$J$2055-Sens!$J$2054-Sens!$J$2056+Sens!$J$2057</f>
        <v>91.9462494903229</v>
      </c>
      <c r="K2059" s="38" t="n">
        <f aca="false">Sens!$K$2058+Sens!$K$2055-Sens!$K$2054-Sens!$K$2056+Sens!$K$2057</f>
        <v>175.568822881692</v>
      </c>
      <c r="L2059" s="38" t="n">
        <f aca="false">Sens!$L$2058+Sens!$L$2055-Sens!$L$2054-Sens!$L$2056+Sens!$L$2057</f>
        <v>302.234872486491</v>
      </c>
      <c r="M2059" s="38" t="n">
        <f aca="false">Sens!$M$2058+Sens!$M$2055-Sens!$M$2054-Sens!$M$2056+Sens!$M$2057</f>
        <v>442.924912285531</v>
      </c>
    </row>
    <row r="2060" customFormat="false" ht="17.15" hidden="false" customHeight="false" outlineLevel="0" collapsed="false">
      <c r="A2060" s="5" t="s">
        <v>749</v>
      </c>
      <c r="B2060" s="0" t="s">
        <v>73</v>
      </c>
      <c r="F2060" s="38" t="n">
        <f aca="false">MAX(0,min_cash-Sens!$F$2059)</f>
        <v>0</v>
      </c>
      <c r="G2060" s="38" t="n">
        <f aca="false">Sens!$F$2060</f>
        <v>0</v>
      </c>
      <c r="H2060" s="38" t="n">
        <f aca="false">MAX(0,min_cash-Sens!$H$2059)</f>
        <v>3.31228972784019</v>
      </c>
      <c r="I2060" s="38" t="n">
        <f aca="false">MAX(0,min_cash-Sens!$I$2059)</f>
        <v>6.1707255540429</v>
      </c>
      <c r="J2060" s="38" t="n">
        <f aca="false">MAX(0,min_cash-Sens!$J$2059)</f>
        <v>0</v>
      </c>
      <c r="K2060" s="38" t="n">
        <f aca="false">MAX(0,min_cash-Sens!$K$2059)</f>
        <v>0</v>
      </c>
      <c r="L2060" s="38" t="n">
        <f aca="false">MAX(0,min_cash-Sens!$L$2059)</f>
        <v>0</v>
      </c>
      <c r="M2060" s="38" t="n">
        <f aca="false">MAX(0,min_cash-Sens!$M$2059)</f>
        <v>0</v>
      </c>
      <c r="P2060" s="5" t="s">
        <v>750</v>
      </c>
    </row>
    <row r="2061" customFormat="false" ht="15" hidden="false" customHeight="false" outlineLevel="0" collapsed="false">
      <c r="A2061" s="5" t="s">
        <v>751</v>
      </c>
      <c r="B2061" s="0" t="s">
        <v>73</v>
      </c>
      <c r="D2061" s="38" t="n">
        <f aca="false">Q!$E$61</f>
        <v>123.029</v>
      </c>
      <c r="E2061" s="38" t="n">
        <f aca="false">Q!$M$61</f>
        <v>122.988</v>
      </c>
      <c r="F2061" s="38" t="n">
        <f aca="false">Sens!$F$2059+Sens!$F$2060</f>
        <v>94.7906771980858</v>
      </c>
      <c r="G2061" s="38" t="n">
        <f aca="false">Sens!$F$2061</f>
        <v>94.7906771980858</v>
      </c>
      <c r="H2061" s="38" t="n">
        <f aca="false">Sens!$H$2059+Sens!$H$2060</f>
        <v>50</v>
      </c>
      <c r="I2061" s="38" t="n">
        <f aca="false">Sens!$I$2059+Sens!$I$2060</f>
        <v>50</v>
      </c>
      <c r="J2061" s="38" t="n">
        <f aca="false">Sens!$J$2059+Sens!$J$2060</f>
        <v>91.9462494903229</v>
      </c>
      <c r="K2061" s="38" t="n">
        <f aca="false">Sens!$K$2059+Sens!$K$2060</f>
        <v>175.568822881692</v>
      </c>
      <c r="L2061" s="38" t="n">
        <f aca="false">Sens!$L$2059+Sens!$L$2060</f>
        <v>302.234872486491</v>
      </c>
      <c r="M2061" s="38" t="n">
        <f aca="false">Sens!$M$2059+Sens!$M$2060</f>
        <v>442.924912285531</v>
      </c>
    </row>
    <row r="2062" customFormat="false" ht="15" hidden="false" customHeight="false" outlineLevel="0" collapsed="false">
      <c r="A2062" s="5" t="s">
        <v>752</v>
      </c>
      <c r="B2062" s="0" t="s">
        <v>73</v>
      </c>
      <c r="D2062" s="38" t="n">
        <f aca="false">Q!$E$62</f>
        <v>68.836</v>
      </c>
      <c r="E2062" s="38" t="n">
        <f aca="false">Q!$M$62</f>
        <v>132.995</v>
      </c>
      <c r="F2062" s="38" t="n">
        <f aca="false">debt_q2+Sens!$F$2057+Sens!$F$2060</f>
        <v>162.245</v>
      </c>
      <c r="G2062" s="38" t="n">
        <f aca="false">Sens!$F$2062</f>
        <v>162.245</v>
      </c>
      <c r="H2062" s="38" t="n">
        <f aca="false">Sens!$G$2062+Sens!$H$2060</f>
        <v>165.55728972784</v>
      </c>
      <c r="I2062" s="38" t="n">
        <f aca="false">Sens!$H$2062+Sens!$I$2060</f>
        <v>171.728015281883</v>
      </c>
      <c r="J2062" s="38" t="n">
        <f aca="false">Sens!$I$2062+Sens!$J$2060</f>
        <v>171.728015281883</v>
      </c>
      <c r="K2062" s="38" t="n">
        <f aca="false">Sens!$J$2062+Sens!$K$2060</f>
        <v>171.728015281883</v>
      </c>
      <c r="L2062" s="38" t="n">
        <f aca="false">Sens!$K$2062+Sens!$L$2060</f>
        <v>171.728015281883</v>
      </c>
      <c r="M2062" s="38" t="n">
        <f aca="false">Sens!$L$2062+Sens!$M$2060</f>
        <v>171.728015281883</v>
      </c>
    </row>
    <row r="2063" customFormat="false" ht="15" hidden="false" customHeight="false" outlineLevel="0" collapsed="false">
      <c r="A2063" s="5" t="s">
        <v>753</v>
      </c>
      <c r="B2063" s="0" t="s">
        <v>73</v>
      </c>
      <c r="D2063" s="38" t="n">
        <f aca="false">Sens!$D$2062-Sens!$D$2061</f>
        <v>-54.193</v>
      </c>
      <c r="E2063" s="38" t="n">
        <f aca="false">Sens!$E$2062-Sens!$E$2061</f>
        <v>10.007</v>
      </c>
      <c r="F2063" s="38" t="n">
        <f aca="false">Sens!$F$2062-Sens!$F$2061</f>
        <v>67.4543228019142</v>
      </c>
      <c r="G2063" s="38" t="n">
        <f aca="false">Sens!$G$2062-Sens!$G$2061</f>
        <v>67.4543228019142</v>
      </c>
      <c r="H2063" s="38" t="n">
        <f aca="false">Sens!$H$2062-Sens!$H$2061</f>
        <v>115.55728972784</v>
      </c>
      <c r="I2063" s="38" t="n">
        <f aca="false">Sens!$I$2062-Sens!$I$2061</f>
        <v>121.728015281883</v>
      </c>
      <c r="J2063" s="38" t="n">
        <f aca="false">Sens!$J$2062-Sens!$J$2061</f>
        <v>79.7817657915602</v>
      </c>
      <c r="K2063" s="38" t="n">
        <f aca="false">Sens!$K$2062-Sens!$K$2061</f>
        <v>-3.84080759980867</v>
      </c>
      <c r="L2063" s="38" t="n">
        <f aca="false">Sens!$L$2062-Sens!$L$2061</f>
        <v>-130.506857204608</v>
      </c>
      <c r="M2063" s="38" t="n">
        <f aca="false">Sens!$M$2062-Sens!$M$2061</f>
        <v>-271.196897003648</v>
      </c>
    </row>
    <row r="2064" customFormat="false" ht="17.15" hidden="false" customHeight="false" outlineLevel="0" collapsed="false">
      <c r="A2064" s="5" t="s">
        <v>754</v>
      </c>
      <c r="B2064" s="0" t="s">
        <v>73</v>
      </c>
      <c r="F2064" s="38" t="n">
        <f aca="false">debt_q2*kd_book*0.5+iss_2h26*kd_new*0.25</f>
        <v>3.24888964316061</v>
      </c>
      <c r="H2064" s="38" t="n">
        <f aca="false">debt_q2*kd_book+(Sens!$G$2062-debt_q2)*kd_new</f>
        <v>7.42354178632123</v>
      </c>
      <c r="I2064" s="38" t="n">
        <f aca="false">debt_q2*kd_book+(Sens!$H$2062-debt_q2)*kd_new</f>
        <v>7.63320972609351</v>
      </c>
      <c r="J2064" s="38" t="n">
        <f aca="false">debt_q2*kd_book+(Sens!$I$2062-debt_q2)*kd_new</f>
        <v>8.02381665366443</v>
      </c>
      <c r="K2064" s="38" t="n">
        <f aca="false">debt_q2*kd_book+(Sens!$J$2062-debt_q2)*kd_new</f>
        <v>8.02381665366443</v>
      </c>
      <c r="L2064" s="38" t="n">
        <f aca="false">debt_q2*kd_book+(Sens!$K$2062-debt_q2)*kd_new</f>
        <v>8.02381665366443</v>
      </c>
      <c r="M2064" s="38" t="n">
        <f aca="false">debt_q2*kd_book+(Sens!$L$2062-debt_q2)*kd_new</f>
        <v>8.02381665366443</v>
      </c>
    </row>
    <row r="2065" customFormat="false" ht="17.15" hidden="false" customHeight="false" outlineLevel="0" collapsed="false">
      <c r="A2065" s="5" t="s">
        <v>755</v>
      </c>
      <c r="B2065" s="0" t="s">
        <v>73</v>
      </c>
      <c r="F2065" s="38" t="n">
        <f aca="false">cash_q2*y_cash*0.5</f>
        <v>2.59</v>
      </c>
      <c r="H2065" s="38" t="n">
        <f aca="false">Sens!$G$2061*y_cash</f>
        <v>3.99238712627317</v>
      </c>
      <c r="I2065" s="38" t="n">
        <f aca="false">Sens!$H$2061*y_cash</f>
        <v>2.10589651022864</v>
      </c>
      <c r="J2065" s="38" t="n">
        <f aca="false">Sens!$I$2061*y_cash</f>
        <v>2.10589651022864</v>
      </c>
      <c r="K2065" s="38" t="n">
        <f aca="false">Sens!$J$2061*y_cash</f>
        <v>3.87258571860566</v>
      </c>
      <c r="L2065" s="38" t="n">
        <f aca="false">Sens!$K$2061*y_cash</f>
        <v>7.3945954282301</v>
      </c>
      <c r="M2065" s="38" t="n">
        <f aca="false">Sens!$L$2061*y_cash</f>
        <v>12.729507264774</v>
      </c>
    </row>
    <row r="2066" customFormat="false" ht="17.15" hidden="false" customHeight="false" outlineLevel="0" collapsed="false">
      <c r="A2066" s="46" t="s">
        <v>756</v>
      </c>
      <c r="B2066" s="13" t="s">
        <v>73</v>
      </c>
      <c r="C2066" s="13"/>
      <c r="D2066" s="13"/>
      <c r="E2066" s="13"/>
      <c r="F2066" s="13"/>
      <c r="G2066" s="47" t="n">
        <f aca="false">SUM(Sens!$G$2055:$K$2055)</f>
        <v>9.45680759980866</v>
      </c>
      <c r="H2066" s="13"/>
      <c r="I2066" s="13"/>
      <c r="J2066" s="13"/>
      <c r="K2066" s="13"/>
      <c r="L2066" s="13"/>
      <c r="M2066" s="13"/>
      <c r="N2066" s="13"/>
      <c r="O2066" s="13"/>
    </row>
    <row r="2067" customFormat="false" ht="17.15" hidden="false" customHeight="false" outlineLevel="0" collapsed="false">
      <c r="A2067" s="0" t="s">
        <v>723</v>
      </c>
      <c r="B2067" s="0" t="s">
        <v>73</v>
      </c>
      <c r="G2067" s="38" t="n">
        <f aca="false">SUM(Sens!$G$2060:$K$2060)</f>
        <v>9.48301528188308</v>
      </c>
    </row>
    <row r="2070" customFormat="false" ht="19.4" hidden="false" customHeight="false" outlineLevel="0" collapsed="false">
      <c r="A2070" s="31" t="s">
        <v>1087</v>
      </c>
    </row>
    <row r="2071" customFormat="false" ht="17.15" hidden="false" customHeight="false" outlineLevel="0" collapsed="false">
      <c r="A2071" s="6" t="s">
        <v>16</v>
      </c>
      <c r="B2071" s="6" t="s">
        <v>17</v>
      </c>
      <c r="C2071" s="20" t="s">
        <v>457</v>
      </c>
      <c r="D2071" s="20" t="s">
        <v>458</v>
      </c>
      <c r="E2071" s="20" t="s">
        <v>540</v>
      </c>
      <c r="F2071" s="20" t="s">
        <v>541</v>
      </c>
      <c r="G2071" s="20" t="s">
        <v>542</v>
      </c>
      <c r="H2071" s="20" t="s">
        <v>543</v>
      </c>
      <c r="I2071" s="20" t="s">
        <v>544</v>
      </c>
      <c r="J2071" s="20" t="s">
        <v>545</v>
      </c>
      <c r="K2071" s="20" t="s">
        <v>546</v>
      </c>
      <c r="L2071" s="20" t="s">
        <v>547</v>
      </c>
      <c r="M2071" s="20" t="s">
        <v>548</v>
      </c>
      <c r="N2071" s="20" t="s">
        <v>549</v>
      </c>
      <c r="O2071" s="20" t="s">
        <v>550</v>
      </c>
      <c r="P2071" s="6" t="s">
        <v>23</v>
      </c>
      <c r="R2071" s="20" t="n">
        <v>2023</v>
      </c>
      <c r="S2071" s="20" t="n">
        <v>2024</v>
      </c>
      <c r="T2071" s="20" t="n">
        <v>2025</v>
      </c>
      <c r="U2071" s="20" t="n">
        <v>2026</v>
      </c>
      <c r="V2071" s="20" t="n">
        <v>2027</v>
      </c>
      <c r="W2071" s="20" t="n">
        <v>2028</v>
      </c>
      <c r="X2071" s="20" t="n">
        <v>2029</v>
      </c>
      <c r="Y2071" s="20" t="n">
        <v>2030</v>
      </c>
      <c r="Z2071" s="20" t="n">
        <v>2031</v>
      </c>
      <c r="AA2071" s="20" t="n">
        <v>2032</v>
      </c>
    </row>
    <row r="2072" customFormat="false" ht="17.15" hidden="false" customHeight="false" outlineLevel="0" collapsed="false">
      <c r="A2072" s="1" t="s">
        <v>851</v>
      </c>
    </row>
    <row r="2073" customFormat="false" ht="17.15" hidden="false" customHeight="false" outlineLevel="0" collapsed="false">
      <c r="A2073" s="0" t="s">
        <v>852</v>
      </c>
      <c r="B2073" s="0" t="s">
        <v>73</v>
      </c>
      <c r="H2073" s="38" t="n">
        <f aca="false">Sens!$H$2009*(1-tax)</f>
        <v>114.609065918624</v>
      </c>
      <c r="I2073" s="38" t="n">
        <f aca="false">Sens!$I$2009*(1-tax)</f>
        <v>138.112424749175</v>
      </c>
      <c r="J2073" s="38" t="n">
        <f aca="false">Sens!$J$2009*(1-tax)</f>
        <v>159.475741111868</v>
      </c>
      <c r="K2073" s="38" t="n">
        <f aca="false">Sens!$K$2009*(1-tax)</f>
        <v>177.900059433144</v>
      </c>
      <c r="L2073" s="38" t="n">
        <f aca="false">Sens!$L$2009*(1-tax)</f>
        <v>195.612353809772</v>
      </c>
      <c r="M2073" s="38" t="n">
        <f aca="false">Sens!$M$2009*(1-tax)</f>
        <v>215.921572202535</v>
      </c>
    </row>
    <row r="2074" customFormat="false" ht="15" hidden="false" customHeight="false" outlineLevel="0" collapsed="false">
      <c r="A2074" s="5" t="s">
        <v>853</v>
      </c>
      <c r="B2074" s="0" t="s">
        <v>73</v>
      </c>
      <c r="H2074" s="38" t="n">
        <f aca="false">Sens!$H$2021</f>
        <v>83.779436773106</v>
      </c>
      <c r="I2074" s="38" t="n">
        <f aca="false">Sens!$I$2021</f>
        <v>114.861392711597</v>
      </c>
      <c r="J2074" s="38" t="n">
        <f aca="false">Sens!$J$2021</f>
        <v>146.014431415905</v>
      </c>
      <c r="K2074" s="38" t="n">
        <f aca="false">Sens!$K$2021</f>
        <v>175.832917834074</v>
      </c>
      <c r="L2074" s="38" t="n">
        <f aca="false">Sens!$L$2021</f>
        <v>206.612409242285</v>
      </c>
      <c r="M2074" s="38" t="n">
        <f aca="false">Sens!$M$2021</f>
        <v>236.057092208325</v>
      </c>
    </row>
    <row r="2075" customFormat="false" ht="15" hidden="false" customHeight="false" outlineLevel="0" collapsed="false">
      <c r="A2075" s="5" t="s">
        <v>854</v>
      </c>
      <c r="B2075" s="0" t="s">
        <v>73</v>
      </c>
      <c r="H2075" s="38" t="n">
        <f aca="false">Sens!$H$2050</f>
        <v>277.870120501355</v>
      </c>
      <c r="I2075" s="38" t="n">
        <f aca="false">Sens!$I$2050</f>
        <v>293.934464585378</v>
      </c>
      <c r="J2075" s="38" t="n">
        <f aca="false">Sens!$J$2050</f>
        <v>302.83227991359</v>
      </c>
      <c r="K2075" s="38" t="n">
        <f aca="false">Sens!$K$2050</f>
        <v>315.148967118248</v>
      </c>
      <c r="L2075" s="38" t="n">
        <f aca="false">Sens!$L$2050</f>
        <v>327.99904181833</v>
      </c>
      <c r="M2075" s="38" t="n">
        <f aca="false">Sens!$M$2050</f>
        <v>372.844711969608</v>
      </c>
    </row>
    <row r="2076" customFormat="false" ht="15" hidden="false" customHeight="false" outlineLevel="0" collapsed="false">
      <c r="A2076" s="5" t="s">
        <v>855</v>
      </c>
      <c r="B2076" s="0" t="s">
        <v>73</v>
      </c>
      <c r="H2076" s="38" t="n">
        <f aca="false">Sens!$H$2051</f>
        <v>1.6</v>
      </c>
      <c r="I2076" s="38" t="n">
        <f aca="false">Sens!$I$2051</f>
        <v>1.6</v>
      </c>
      <c r="J2076" s="38" t="n">
        <f aca="false">Sens!$J$2051</f>
        <v>1.6</v>
      </c>
      <c r="K2076" s="38" t="n">
        <f aca="false">Sens!$K$2051</f>
        <v>1.6</v>
      </c>
      <c r="L2076" s="38" t="n">
        <f aca="false">Sens!$L$2051</f>
        <v>1.6</v>
      </c>
      <c r="M2076" s="38" t="n">
        <f aca="false">Sens!$M$2051</f>
        <v>1.6</v>
      </c>
    </row>
    <row r="2077" customFormat="false" ht="15" hidden="false" customHeight="false" outlineLevel="0" collapsed="false">
      <c r="A2077" s="5" t="s">
        <v>856</v>
      </c>
      <c r="B2077" s="0" t="s">
        <v>73</v>
      </c>
      <c r="H2077" s="38" t="n">
        <f aca="false">Sens!$H$2045</f>
        <v>11.6369707537667</v>
      </c>
      <c r="I2077" s="38" t="n">
        <f aca="false">Sens!$I$2045</f>
        <v>13.3082502961262</v>
      </c>
      <c r="J2077" s="38" t="n">
        <f aca="false">Sens!$J$2045</f>
        <v>14.8747965344332</v>
      </c>
      <c r="K2077" s="38" t="n">
        <f aca="false">Sens!$K$2045</f>
        <v>16.2687901804328</v>
      </c>
      <c r="L2077" s="38" t="n">
        <f aca="false">Sens!$L$2045</f>
        <v>17.7280727627002</v>
      </c>
      <c r="M2077" s="38" t="n">
        <f aca="false">Sens!$M$2045</f>
        <v>19.2574690270319</v>
      </c>
    </row>
    <row r="2078" customFormat="false" ht="17.15" hidden="false" customHeight="false" outlineLevel="0" collapsed="false">
      <c r="A2078" s="1" t="s">
        <v>857</v>
      </c>
      <c r="B2078" s="8" t="s">
        <v>73</v>
      </c>
      <c r="H2078" s="38" t="n">
        <f aca="false">Sens!$H$2073+Sens!$H$2074-Sens!$H$2075-Sens!$H$2076+Sens!$H$2077</f>
        <v>-69.4446470558587</v>
      </c>
      <c r="I2078" s="38" t="n">
        <f aca="false">Sens!$I$2073+Sens!$I$2074-Sens!$I$2075-Sens!$I$2076+Sens!$I$2077</f>
        <v>-29.2523968284798</v>
      </c>
      <c r="J2078" s="38" t="n">
        <f aca="false">Sens!$J$2073+Sens!$J$2074-Sens!$J$2075-Sens!$J$2076+Sens!$J$2077</f>
        <v>15.932689148616</v>
      </c>
      <c r="K2078" s="38" t="n">
        <f aca="false">Sens!$K$2073+Sens!$K$2074-Sens!$K$2075-Sens!$K$2076+Sens!$K$2077</f>
        <v>53.252800329403</v>
      </c>
      <c r="L2078" s="38" t="n">
        <f aca="false">Sens!$L$2073+Sens!$L$2074-Sens!$L$2075-Sens!$L$2076+Sens!$L$2077</f>
        <v>90.3537939964274</v>
      </c>
      <c r="M2078" s="38" t="n">
        <f aca="false">Sens!$M$2073+Sens!$M$2074-Sens!$M$2075-Sens!$M$2076+Sens!$M$2077</f>
        <v>96.7914214682832</v>
      </c>
    </row>
    <row r="2079" customFormat="false" ht="15" hidden="false" customHeight="false" outlineLevel="0" collapsed="false">
      <c r="A2079" s="5" t="s">
        <v>858</v>
      </c>
      <c r="B2079" s="0" t="s">
        <v>57</v>
      </c>
      <c r="H2079" s="51" t="n">
        <f aca="false">1/(1+wacc)^(2027-2026-0.5)</f>
        <v>0.942858177653364</v>
      </c>
      <c r="I2079" s="51" t="n">
        <f aca="false">1/(1+wacc)^(2028-2026-0.5)</f>
        <v>0.838183517758688</v>
      </c>
      <c r="J2079" s="51" t="n">
        <f aca="false">1/(1+wacc)^(2029-2026-0.5)</f>
        <v>0.745129677074952</v>
      </c>
      <c r="K2079" s="51" t="n">
        <f aca="false">1/(1+wacc)^(2030-2026-0.5)</f>
        <v>0.662406530186232</v>
      </c>
      <c r="L2079" s="51" t="n">
        <f aca="false">1/(1+wacc)^(2031-2026-0.5)</f>
        <v>0.588867179409399</v>
      </c>
      <c r="M2079" s="51" t="n">
        <f aca="false">1/(1+wacc)^(2032-2026-0.5)</f>
        <v>0.52349205387225</v>
      </c>
    </row>
    <row r="2080" customFormat="false" ht="15" hidden="false" customHeight="false" outlineLevel="0" collapsed="false">
      <c r="A2080" s="5" t="s">
        <v>859</v>
      </c>
      <c r="B2080" s="0" t="s">
        <v>73</v>
      </c>
      <c r="H2080" s="38" t="n">
        <f aca="false">Sens!$H$2078*Sens!$H$2079</f>
        <v>-65.4764533708679</v>
      </c>
      <c r="I2080" s="38" t="n">
        <f aca="false">Sens!$I$2078*Sens!$I$2079</f>
        <v>-24.5188768765683</v>
      </c>
      <c r="J2080" s="38" t="n">
        <f aca="false">Sens!$J$2078*Sens!$J$2079</f>
        <v>11.8719195202438</v>
      </c>
      <c r="K2080" s="38" t="n">
        <f aca="false">Sens!$K$2078*Sens!$K$2079</f>
        <v>35.2750026889001</v>
      </c>
      <c r="L2080" s="38" t="n">
        <f aca="false">Sens!$L$2078*Sens!$L$2079</f>
        <v>53.2063838196141</v>
      </c>
      <c r="M2080" s="38" t="n">
        <f aca="false">Sens!$M$2078*Sens!$M$2079</f>
        <v>50.6695400216462</v>
      </c>
    </row>
    <row r="2081" customFormat="false" ht="15" hidden="false" customHeight="false" outlineLevel="0" collapsed="false">
      <c r="A2081" s="5" t="s">
        <v>860</v>
      </c>
      <c r="B2081" s="0" t="s">
        <v>73</v>
      </c>
      <c r="C2081" s="38" t="n">
        <f aca="false">SUM(Sens!$H$2080:$M$2080)</f>
        <v>61.027515802968</v>
      </c>
    </row>
    <row r="2082" customFormat="false" ht="17.15" hidden="false" customHeight="false" outlineLevel="0" collapsed="false">
      <c r="A2082" s="5" t="s">
        <v>861</v>
      </c>
      <c r="B2082" s="0" t="s">
        <v>73</v>
      </c>
      <c r="C2082" s="38" t="n">
        <f aca="false">Sens!$M$2073*(1+tg)*(1-tg/ronic)/(wacc-tg)</f>
        <v>1780.86425334208</v>
      </c>
    </row>
    <row r="2083" customFormat="false" ht="15" hidden="false" customHeight="false" outlineLevel="0" collapsed="false">
      <c r="A2083" s="5" t="s">
        <v>862</v>
      </c>
      <c r="B2083" s="0" t="s">
        <v>73</v>
      </c>
      <c r="C2083" s="38" t="n">
        <f aca="false">Sens!$C$2082/(1+wacc)^6</f>
        <v>878.99677689172</v>
      </c>
    </row>
    <row r="2084" customFormat="false" ht="17.15" hidden="false" customHeight="false" outlineLevel="0" collapsed="false">
      <c r="A2084" s="5" t="s">
        <v>863</v>
      </c>
      <c r="B2084" s="0" t="s">
        <v>73</v>
      </c>
      <c r="C2084" s="38" t="n">
        <f aca="false">Sens!$C$2081+Sens!$C$2083</f>
        <v>940.024292694688</v>
      </c>
    </row>
    <row r="2085" customFormat="false" ht="17.15" hidden="false" customHeight="false" outlineLevel="0" collapsed="false">
      <c r="A2085" s="5" t="s">
        <v>864</v>
      </c>
      <c r="B2085" s="0" t="s">
        <v>52</v>
      </c>
      <c r="C2085" s="12" t="n">
        <f aca="false">Sens!$C$2083/Sens!$C$2084</f>
        <v>0.935078788625743</v>
      </c>
    </row>
    <row r="2086" customFormat="false" ht="17.15" hidden="false" customHeight="false" outlineLevel="0" collapsed="false">
      <c r="A2086" s="5" t="s">
        <v>865</v>
      </c>
      <c r="B2086" s="0" t="s">
        <v>73</v>
      </c>
      <c r="C2086" s="38" t="n">
        <f aca="false">Sens!$G$2063</f>
        <v>67.4543228019142</v>
      </c>
    </row>
    <row r="2087" customFormat="false" ht="17.15" hidden="false" customHeight="false" outlineLevel="0" collapsed="false">
      <c r="A2087" s="5" t="s">
        <v>866</v>
      </c>
      <c r="B2087" s="0" t="s">
        <v>73</v>
      </c>
      <c r="C2087" s="38" t="n">
        <f aca="false">(ant_val*ant_sh+oai_val*oai_sh)*(1-liq_disc)</f>
        <v>178.944</v>
      </c>
    </row>
    <row r="2088" customFormat="false" ht="15" hidden="false" customHeight="false" outlineLevel="0" collapsed="false">
      <c r="A2088" s="5" t="s">
        <v>867</v>
      </c>
      <c r="B2088" s="0" t="s">
        <v>73</v>
      </c>
      <c r="C2088" s="38" t="n">
        <f aca="false">Sens!$C$2084-Sens!$C$2086+Sens!$C$2087</f>
        <v>1051.51396989277</v>
      </c>
    </row>
    <row r="2089" customFormat="false" ht="17.15" hidden="false" customHeight="false" outlineLevel="0" collapsed="false">
      <c r="A2089" s="5" t="s">
        <v>868</v>
      </c>
      <c r="B2089" s="0" t="s">
        <v>27</v>
      </c>
      <c r="C2089" s="30" t="n">
        <f aca="false">Sens!$C$2088/sh_val</f>
        <v>95.3294683988845</v>
      </c>
    </row>
    <row r="2090" customFormat="false" ht="17.15" hidden="false" customHeight="false" outlineLevel="0" collapsed="false">
      <c r="A2090" s="1" t="s">
        <v>869</v>
      </c>
      <c r="B2090" s="8" t="s">
        <v>27</v>
      </c>
      <c r="C2090" s="30" t="n">
        <f aca="false">Sens!$C$2089*(1+ke)^tp_yf</f>
        <v>105.286147139702</v>
      </c>
    </row>
    <row r="2091" customFormat="false" ht="17.15" hidden="false" customHeight="false" outlineLevel="0" collapsed="false">
      <c r="A2091" s="3" t="s">
        <v>870</v>
      </c>
    </row>
    <row r="2092" customFormat="false" ht="17.15" hidden="false" customHeight="false" outlineLevel="0" collapsed="false">
      <c r="A2092" s="5" t="s">
        <v>871</v>
      </c>
      <c r="B2092" s="0" t="s">
        <v>73</v>
      </c>
      <c r="C2092" s="38" t="n">
        <f aca="false">0.25*Sens!$H$2022+0.75*Sens!$I$2022</f>
        <v>57.5541093268329</v>
      </c>
    </row>
    <row r="2093" customFormat="false" ht="15" hidden="false" customHeight="false" outlineLevel="0" collapsed="false">
      <c r="A2093" s="5" t="s">
        <v>872</v>
      </c>
      <c r="B2093" s="0" t="s">
        <v>57</v>
      </c>
      <c r="C2093" s="30" t="n">
        <f aca="false">m_ads*m_x</f>
        <v>9.11</v>
      </c>
    </row>
    <row r="2094" customFormat="false" ht="17.15" hidden="false" customHeight="false" outlineLevel="0" collapsed="false">
      <c r="A2094" s="5" t="s">
        <v>873</v>
      </c>
      <c r="B2094" s="0" t="s">
        <v>73</v>
      </c>
      <c r="C2094" s="38" t="n">
        <f aca="false">Sens!$C$2092*Sens!$C$2093</f>
        <v>524.317935967448</v>
      </c>
    </row>
    <row r="2095" customFormat="false" ht="17.15" hidden="false" customHeight="false" outlineLevel="0" collapsed="false">
      <c r="A2095" s="5" t="s">
        <v>874</v>
      </c>
      <c r="B2095" s="0" t="s">
        <v>73</v>
      </c>
      <c r="C2095" s="38" t="n">
        <f aca="false">0.25*Sens!$H$2023+0.75*Sens!$I$2023</f>
        <v>30.3449650826914</v>
      </c>
    </row>
    <row r="2096" customFormat="false" ht="15" hidden="false" customHeight="false" outlineLevel="0" collapsed="false">
      <c r="A2096" s="5" t="s">
        <v>875</v>
      </c>
      <c r="B2096" s="0" t="s">
        <v>57</v>
      </c>
      <c r="C2096" s="30" t="n">
        <f aca="false">m_retail*m_x</f>
        <v>17.72</v>
      </c>
    </row>
    <row r="2097" customFormat="false" ht="17.15" hidden="false" customHeight="false" outlineLevel="0" collapsed="false">
      <c r="A2097" s="5" t="s">
        <v>876</v>
      </c>
      <c r="B2097" s="0" t="s">
        <v>73</v>
      </c>
      <c r="C2097" s="38" t="n">
        <f aca="false">Sens!$C$2095*Sens!$C$2096</f>
        <v>537.712781265292</v>
      </c>
    </row>
    <row r="2098" customFormat="false" ht="17.15" hidden="false" customHeight="false" outlineLevel="0" collapsed="false">
      <c r="A2098" s="0" t="s">
        <v>877</v>
      </c>
      <c r="B2098" s="0" t="s">
        <v>73</v>
      </c>
      <c r="C2098" s="38" t="n">
        <f aca="false">0.25*Sens!$H$2024+0.75*Sens!$I$2024</f>
        <v>106.909291902756</v>
      </c>
    </row>
    <row r="2099" customFormat="false" ht="17.15" hidden="false" customHeight="false" outlineLevel="0" collapsed="false">
      <c r="A2099" s="0" t="s">
        <v>878</v>
      </c>
      <c r="B2099" s="0" t="s">
        <v>57</v>
      </c>
      <c r="C2099" s="30" t="n">
        <f aca="false">m_cloud*m_x</f>
        <v>13.82</v>
      </c>
    </row>
    <row r="2100" customFormat="false" ht="17.15" hidden="false" customHeight="false" outlineLevel="0" collapsed="false">
      <c r="A2100" s="0" t="s">
        <v>879</v>
      </c>
      <c r="B2100" s="0" t="s">
        <v>73</v>
      </c>
      <c r="C2100" s="38" t="n">
        <f aca="false">Sens!$C$2098*Sens!$C$2099</f>
        <v>1477.48641409609</v>
      </c>
    </row>
    <row r="2101" customFormat="false" ht="17.15" hidden="false" customHeight="false" outlineLevel="0" collapsed="false">
      <c r="A2101" s="0" t="s">
        <v>880</v>
      </c>
      <c r="B2101" s="0" t="s">
        <v>73</v>
      </c>
      <c r="C2101" s="38" t="n">
        <f aca="false">0.25*Sens!$H$2025+0.75*Sens!$I$2025</f>
        <v>72.2947701247864</v>
      </c>
    </row>
    <row r="2102" customFormat="false" ht="17.15" hidden="false" customHeight="false" outlineLevel="0" collapsed="false">
      <c r="A2102" s="0" t="s">
        <v>881</v>
      </c>
      <c r="B2102" s="0" t="s">
        <v>57</v>
      </c>
      <c r="C2102" s="30" t="n">
        <f aca="false">m_ai</f>
        <v>6</v>
      </c>
    </row>
    <row r="2103" customFormat="false" ht="17.15" hidden="false" customHeight="false" outlineLevel="0" collapsed="false">
      <c r="A2103" s="0" t="s">
        <v>882</v>
      </c>
      <c r="B2103" s="0" t="s">
        <v>73</v>
      </c>
      <c r="C2103" s="38" t="n">
        <f aca="false">Sens!$C$2101*Sens!$C$2102</f>
        <v>433.768620748718</v>
      </c>
    </row>
    <row r="2104" customFormat="false" ht="17.15" hidden="false" customHeight="false" outlineLevel="0" collapsed="false">
      <c r="A2104" s="5" t="s">
        <v>883</v>
      </c>
      <c r="B2104" s="0" t="s">
        <v>73</v>
      </c>
      <c r="C2104" s="38" t="n">
        <f aca="false">Sens!$C$2094+Sens!$C$2097+Sens!$C$2100+Sens!$C$2103</f>
        <v>2973.28575207754</v>
      </c>
    </row>
    <row r="2105" customFormat="false" ht="17.15" hidden="false" customHeight="false" outlineLevel="0" collapsed="false">
      <c r="A2105" s="5" t="s">
        <v>884</v>
      </c>
      <c r="B2105" s="0" t="s">
        <v>73</v>
      </c>
      <c r="C2105" s="38" t="n">
        <f aca="false">Sens!$H$2063</f>
        <v>115.55728972784</v>
      </c>
    </row>
    <row r="2106" customFormat="false" ht="15" hidden="false" customHeight="false" outlineLevel="0" collapsed="false">
      <c r="A2106" s="5" t="s">
        <v>885</v>
      </c>
      <c r="B2106" s="0" t="s">
        <v>73</v>
      </c>
      <c r="C2106" s="38" t="n">
        <f aca="false">Sens!$C$2104-Sens!$C$2105+Sens!$C$2087</f>
        <v>3036.6724623497</v>
      </c>
    </row>
    <row r="2107" customFormat="false" ht="15" hidden="false" customHeight="false" outlineLevel="0" collapsed="false">
      <c r="A2107" s="3" t="s">
        <v>886</v>
      </c>
      <c r="B2107" s="8" t="s">
        <v>27</v>
      </c>
      <c r="C2107" s="30" t="n">
        <f aca="false">Sens!$C$2106/sh_val</f>
        <v>275.302449445202</v>
      </c>
    </row>
    <row r="2108" customFormat="false" ht="17.15" hidden="false" customHeight="false" outlineLevel="0" collapsed="false">
      <c r="A2108" s="46" t="s">
        <v>887</v>
      </c>
      <c r="B2108" s="13" t="s">
        <v>27</v>
      </c>
      <c r="C2108" s="43" t="n">
        <f aca="false">w_dcf*Sens!$C$2090+(1-w_dcf)*Sens!$C$2107</f>
        <v>190.294298292452</v>
      </c>
      <c r="D2108" s="13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</row>
    <row r="2109" customFormat="false" ht="17.15" hidden="false" customHeight="false" outlineLevel="0" collapsed="false">
      <c r="A2109" s="5" t="s">
        <v>888</v>
      </c>
      <c r="B2109" s="0" t="s">
        <v>27</v>
      </c>
      <c r="C2109" s="30" t="n">
        <f aca="false">0.45*Sens!$C$2090+0.55*Sens!$C$2107</f>
        <v>198.795113407727</v>
      </c>
    </row>
    <row r="2112" customFormat="false" ht="19.4" hidden="false" customHeight="false" outlineLevel="0" collapsed="false">
      <c r="A2112" s="31" t="s">
        <v>1088</v>
      </c>
    </row>
    <row r="2113" customFormat="false" ht="17.15" hidden="false" customHeight="false" outlineLevel="0" collapsed="false">
      <c r="A2113" s="6" t="s">
        <v>16</v>
      </c>
      <c r="B2113" s="6" t="s">
        <v>17</v>
      </c>
      <c r="C2113" s="20" t="s">
        <v>457</v>
      </c>
      <c r="D2113" s="20" t="s">
        <v>458</v>
      </c>
      <c r="E2113" s="20" t="s">
        <v>540</v>
      </c>
      <c r="F2113" s="20" t="s">
        <v>541</v>
      </c>
      <c r="G2113" s="20" t="s">
        <v>542</v>
      </c>
      <c r="H2113" s="20" t="s">
        <v>543</v>
      </c>
      <c r="I2113" s="20" t="s">
        <v>544</v>
      </c>
      <c r="J2113" s="20" t="s">
        <v>545</v>
      </c>
      <c r="K2113" s="20" t="s">
        <v>546</v>
      </c>
      <c r="L2113" s="20" t="s">
        <v>547</v>
      </c>
      <c r="M2113" s="20" t="s">
        <v>548</v>
      </c>
      <c r="N2113" s="20" t="s">
        <v>549</v>
      </c>
      <c r="O2113" s="20" t="s">
        <v>550</v>
      </c>
      <c r="P2113" s="6" t="s">
        <v>23</v>
      </c>
      <c r="R2113" s="20" t="n">
        <v>2023</v>
      </c>
      <c r="S2113" s="20" t="n">
        <v>2024</v>
      </c>
      <c r="T2113" s="20" t="n">
        <v>2025</v>
      </c>
      <c r="U2113" s="20" t="n">
        <v>2026</v>
      </c>
      <c r="V2113" s="20" t="n">
        <v>2027</v>
      </c>
      <c r="W2113" s="20" t="n">
        <v>2028</v>
      </c>
      <c r="X2113" s="20" t="n">
        <v>2029</v>
      </c>
      <c r="Y2113" s="20" t="n">
        <v>2030</v>
      </c>
      <c r="Z2113" s="20" t="n">
        <v>2031</v>
      </c>
      <c r="AA2113" s="20" t="n">
        <v>2032</v>
      </c>
    </row>
    <row r="2114" customFormat="false" ht="17.15" hidden="false" customHeight="false" outlineLevel="0" collapsed="false">
      <c r="A2114" s="1" t="s">
        <v>620</v>
      </c>
    </row>
    <row r="2115" customFormat="false" ht="17.15" hidden="false" customHeight="false" outlineLevel="0" collapsed="false">
      <c r="A2115" s="0" t="s">
        <v>479</v>
      </c>
      <c r="B2115" s="0" t="s">
        <v>73</v>
      </c>
      <c r="C2115" s="38" t="n">
        <f aca="false">Q!$D$10</f>
        <v>247.029</v>
      </c>
      <c r="D2115" s="38" t="n">
        <f aca="false">Q!$E$10</f>
        <v>269.287</v>
      </c>
      <c r="E2115" s="38" t="n">
        <f aca="false">Q!$P$10</f>
        <v>134.686</v>
      </c>
      <c r="F2115" s="38" t="n">
        <f aca="false">Sens!$O$2115*(1+Sens!$F$2116)-pd_amt*Q!$O$10/(Q!$O$10+Q!$O$12)</f>
        <v>160.728085930082</v>
      </c>
      <c r="G2115" s="38" t="n">
        <f aca="false">Sens!$E$2115+Sens!$F$2115</f>
        <v>295.414085930082</v>
      </c>
      <c r="H2115" s="38" t="n">
        <f aca="false">Sens!$G$2115*(1+Sens!$H$2116)</f>
        <v>320.828163943375</v>
      </c>
      <c r="I2115" s="38" t="n">
        <f aca="false">Sens!$H$2115*(1+Sens!$I$2116)</f>
        <v>344.575578072228</v>
      </c>
      <c r="J2115" s="38" t="n">
        <f aca="false">Sens!$I$2115*(1+Sens!$J$2116)</f>
        <v>365.942555779681</v>
      </c>
      <c r="K2115" s="38" t="n">
        <f aca="false">Sens!$J$2115*(1+Sens!$K$2116)</f>
        <v>384.239683568665</v>
      </c>
      <c r="L2115" s="38" t="n">
        <f aca="false">Sens!$K$2115*(1+Sens!$L$2116)</f>
        <v>403.451667747098</v>
      </c>
      <c r="M2115" s="38" t="n">
        <f aca="false">Sens!$L$2115*(1+Sens!$M$2116)</f>
        <v>423.624251134453</v>
      </c>
      <c r="N2115" s="38" t="n">
        <f aca="false">Q!$N$10</f>
        <v>118.892</v>
      </c>
      <c r="O2115" s="38" t="n">
        <f aca="false">Q!$O$10</f>
        <v>150.395</v>
      </c>
      <c r="P2115" s="8" t="s">
        <v>621</v>
      </c>
    </row>
    <row r="2116" customFormat="false" ht="17.15" hidden="false" customHeight="false" outlineLevel="0" collapsed="false">
      <c r="A2116" s="0" t="s">
        <v>622</v>
      </c>
      <c r="B2116" s="0" t="s">
        <v>52</v>
      </c>
      <c r="E2116" s="12" t="n">
        <f aca="false">Sens!$E$2115/Sens!$N$2115-1</f>
        <v>0.132843252699929</v>
      </c>
      <c r="F2116" s="12" t="n">
        <f aca="false">Sens!$O$2115/(Q!$F$10+Q!$G$10)-1</f>
        <v>0.0980382135842941</v>
      </c>
      <c r="G2116" s="12" t="n">
        <f aca="false">Sens!$G$2115/Sens!$D$2115-1</f>
        <v>0.0970231980380869</v>
      </c>
      <c r="H2116" s="12" t="n">
        <f aca="false">Sens!$F$2116+(g_os-Sens!$F$2116)*1/4</f>
        <v>0.0860286601882206</v>
      </c>
      <c r="I2116" s="12" t="n">
        <f aca="false">Sens!$F$2116+(g_os-Sens!$F$2116)*2/4</f>
        <v>0.074019106792147</v>
      </c>
      <c r="J2116" s="12" t="n">
        <f aca="false">Sens!$F$2116+(g_os-Sens!$F$2116)*3/4</f>
        <v>0.0620095533960735</v>
      </c>
      <c r="K2116" s="12" t="n">
        <f aca="false">Sens!$F$2116+(g_os-Sens!$F$2116)*4/4</f>
        <v>0.05</v>
      </c>
      <c r="L2116" s="12" t="n">
        <f aca="false">g_os</f>
        <v>0.05</v>
      </c>
      <c r="M2116" s="12" t="n">
        <f aca="false">g_os</f>
        <v>0.05</v>
      </c>
      <c r="P2116" s="8" t="s">
        <v>623</v>
      </c>
    </row>
    <row r="2117" customFormat="false" ht="17.15" hidden="false" customHeight="false" outlineLevel="0" collapsed="false">
      <c r="A2117" s="0" t="s">
        <v>480</v>
      </c>
      <c r="B2117" s="0" t="s">
        <v>73</v>
      </c>
      <c r="C2117" s="38" t="n">
        <f aca="false">Q!$D$11</f>
        <v>21.215</v>
      </c>
      <c r="D2117" s="38" t="n">
        <f aca="false">Q!$E$11</f>
        <v>22.561</v>
      </c>
      <c r="E2117" s="38" t="n">
        <f aca="false">Q!$P$11</f>
        <v>11.579</v>
      </c>
      <c r="F2117" s="38" t="n">
        <f aca="false">Sens!$O$2117*(1+Sens!$F$2118)</f>
        <v>12.0952613121125</v>
      </c>
      <c r="G2117" s="38" t="n">
        <f aca="false">Sens!$E$2117+Sens!$F$2117</f>
        <v>23.6742613121125</v>
      </c>
      <c r="H2117" s="38" t="n">
        <f aca="false">Sens!$G$2117*(1+Sens!$H$2118)</f>
        <v>24.8803243963206</v>
      </c>
      <c r="I2117" s="38" t="n">
        <f aca="false">Sens!$H$2117*(1+Sens!$I$2118)</f>
        <v>25.9741308664154</v>
      </c>
      <c r="J2117" s="38" t="n">
        <f aca="false">Sens!$I$2117*(1+Sens!$J$2118)</f>
        <v>26.9346894124267</v>
      </c>
      <c r="K2117" s="38" t="n">
        <f aca="false">Sens!$J$2117*(1+Sens!$K$2118)</f>
        <v>27.7427300947995</v>
      </c>
      <c r="L2117" s="38" t="n">
        <f aca="false">Sens!$K$2117*(1+Sens!$L$2118)</f>
        <v>28.5750119976435</v>
      </c>
      <c r="M2117" s="38" t="n">
        <f aca="false">Sens!$L$2117*(1+Sens!$M$2118)</f>
        <v>29.4322623575728</v>
      </c>
      <c r="N2117" s="38" t="n">
        <f aca="false">Q!$N$11</f>
        <v>11.128</v>
      </c>
      <c r="O2117" s="38" t="n">
        <f aca="false">Q!$O$11</f>
        <v>11.433</v>
      </c>
      <c r="P2117" s="8" t="s">
        <v>621</v>
      </c>
    </row>
    <row r="2118" customFormat="false" ht="17.15" hidden="false" customHeight="false" outlineLevel="0" collapsed="false">
      <c r="A2118" s="0" t="s">
        <v>624</v>
      </c>
      <c r="B2118" s="0" t="s">
        <v>52</v>
      </c>
      <c r="E2118" s="12" t="n">
        <f aca="false">Sens!$E$2117/Sens!$N$2117-1</f>
        <v>0.0405283968368082</v>
      </c>
      <c r="F2118" s="12" t="n">
        <f aca="false">Sens!$O$2117/(Q!$F$11+Q!$G$11)-1</f>
        <v>0.0579254187100955</v>
      </c>
      <c r="G2118" s="12" t="n">
        <f aca="false">Sens!$G$2117/Sens!$D$2117-1</f>
        <v>0.0493445021103904</v>
      </c>
      <c r="H2118" s="12" t="n">
        <f aca="false">Sens!$F$2118+(g_ps-Sens!$F$2118)*1/4</f>
        <v>0.0509440640325716</v>
      </c>
      <c r="I2118" s="12" t="n">
        <f aca="false">Sens!$F$2118+(g_ps-Sens!$F$2118)*2/4</f>
        <v>0.0439627093550477</v>
      </c>
      <c r="J2118" s="12" t="n">
        <f aca="false">Sens!$F$2118+(g_ps-Sens!$F$2118)*3/4</f>
        <v>0.0369813546775239</v>
      </c>
      <c r="K2118" s="12" t="n">
        <f aca="false">Sens!$F$2118+(g_ps-Sens!$F$2118)*4/4</f>
        <v>0.03</v>
      </c>
      <c r="L2118" s="12" t="n">
        <f aca="false">g_ps</f>
        <v>0.03</v>
      </c>
      <c r="M2118" s="12" t="n">
        <f aca="false">g_ps</f>
        <v>0.03</v>
      </c>
      <c r="P2118" s="8" t="s">
        <v>625</v>
      </c>
    </row>
    <row r="2119" customFormat="false" ht="17.15" hidden="false" customHeight="false" outlineLevel="0" collapsed="false">
      <c r="A2119" s="0" t="s">
        <v>481</v>
      </c>
      <c r="B2119" s="0" t="s">
        <v>73</v>
      </c>
      <c r="C2119" s="38" t="n">
        <f aca="false">Q!$D$12</f>
        <v>156.146</v>
      </c>
      <c r="D2119" s="38" t="n">
        <f aca="false">Q!$E$12</f>
        <v>172.162</v>
      </c>
      <c r="E2119" s="38" t="n">
        <f aca="false">Q!$P$12</f>
        <v>88.358</v>
      </c>
      <c r="F2119" s="38" t="n">
        <f aca="false">Sens!$O$2119*(1+Sens!$F$2120)-pd_amt*Q!$O$12/(Q!$O$10+Q!$O$12)</f>
        <v>103.62028337149</v>
      </c>
      <c r="G2119" s="38" t="n">
        <f aca="false">Sens!$E$2119+Sens!$F$2119</f>
        <v>191.97828337149</v>
      </c>
      <c r="H2119" s="38" t="n">
        <f aca="false">Sens!$G$2119*(1+Sens!$H$2120)</f>
        <v>212.128608444755</v>
      </c>
      <c r="I2119" s="38" t="n">
        <f aca="false">Sens!$H$2119*(1+Sens!$I$2120)</f>
        <v>231.92183134134</v>
      </c>
      <c r="J2119" s="38" t="n">
        <f aca="false">Sens!$I$2119*(1+Sens!$J$2120)</f>
        <v>250.859136487863</v>
      </c>
      <c r="K2119" s="38" t="n">
        <f aca="false">Sens!$J$2119*(1+Sens!$K$2120)</f>
        <v>268.419276042014</v>
      </c>
      <c r="L2119" s="38" t="n">
        <f aca="false">Sens!$K$2119*(1+Sens!$L$2120)</f>
        <v>287.208625364954</v>
      </c>
      <c r="M2119" s="38" t="n">
        <f aca="false">Sens!$L$2119*(1+Sens!$M$2120)</f>
        <v>307.313229140501</v>
      </c>
      <c r="N2119" s="38" t="n">
        <f aca="false">Q!$N$12</f>
        <v>76.86</v>
      </c>
      <c r="O2119" s="38" t="n">
        <f aca="false">Q!$O$12</f>
        <v>95.302</v>
      </c>
      <c r="P2119" s="8" t="s">
        <v>621</v>
      </c>
    </row>
    <row r="2120" customFormat="false" ht="17.15" hidden="false" customHeight="false" outlineLevel="0" collapsed="false">
      <c r="A2120" s="0" t="s">
        <v>626</v>
      </c>
      <c r="B2120" s="0" t="s">
        <v>52</v>
      </c>
      <c r="E2120" s="12" t="n">
        <f aca="false">Sens!$E$2119/Sens!$N$2119-1</f>
        <v>0.1495966692688</v>
      </c>
      <c r="F2120" s="12" t="n">
        <f aca="false">Sens!$O$2119/(Q!$F$12+Q!$G$12)-1</f>
        <v>0.11661530890813</v>
      </c>
      <c r="G2120" s="12" t="n">
        <f aca="false">Sens!$G$2119/Sens!$D$2119-1</f>
        <v>0.115102539303041</v>
      </c>
      <c r="H2120" s="12" t="n">
        <f aca="false">Sens!$F$2120+(g_sp-Sens!$F$2120)*1/4</f>
        <v>0.104961481681098</v>
      </c>
      <c r="I2120" s="12" t="n">
        <f aca="false">Sens!$F$2120+(g_sp-Sens!$F$2120)*2/4</f>
        <v>0.0933076544540651</v>
      </c>
      <c r="J2120" s="12" t="n">
        <f aca="false">Sens!$F$2120+(g_sp-Sens!$F$2120)*3/4</f>
        <v>0.0816538272270325</v>
      </c>
      <c r="K2120" s="12" t="n">
        <f aca="false">Sens!$F$2120+(g_sp-Sens!$F$2120)*4/4</f>
        <v>0.07</v>
      </c>
      <c r="L2120" s="12" t="n">
        <f aca="false">g_sp</f>
        <v>0.07</v>
      </c>
      <c r="M2120" s="12" t="n">
        <f aca="false">g_sp</f>
        <v>0.07</v>
      </c>
      <c r="P2120" s="8" t="s">
        <v>627</v>
      </c>
    </row>
    <row r="2121" customFormat="false" ht="17.15" hidden="false" customHeight="false" outlineLevel="0" collapsed="false">
      <c r="A2121" s="0" t="s">
        <v>482</v>
      </c>
      <c r="B2121" s="0" t="s">
        <v>73</v>
      </c>
      <c r="C2121" s="38" t="n">
        <f aca="false">Q!$D$13</f>
        <v>56.214</v>
      </c>
      <c r="D2121" s="38" t="n">
        <f aca="false">Q!$E$13</f>
        <v>68.635</v>
      </c>
      <c r="E2121" s="38" t="n">
        <f aca="false">Q!$P$13</f>
        <v>37.052</v>
      </c>
      <c r="F2121" s="38" t="n">
        <f aca="false">Sens!$O$2121*(1+Sens!$F$2122)</f>
        <v>48.1533381827382</v>
      </c>
      <c r="G2121" s="38" t="n">
        <f aca="false">Sens!$E$2121+Sens!$F$2121</f>
        <v>85.2053381827382</v>
      </c>
      <c r="H2121" s="38" t="n">
        <f aca="false">Sens!$G$2121*(1+Sens!$H$2122)</f>
        <v>102.29336185894</v>
      </c>
      <c r="I2121" s="38" t="n">
        <f aca="false">Sens!$H$2121*(1+Sens!$I$2122)</f>
        <v>119.379837585241</v>
      </c>
      <c r="J2121" s="38" t="n">
        <f aca="false">Sens!$I$2121*(1+Sens!$J$2122)</f>
        <v>135.319079048844</v>
      </c>
      <c r="K2121" s="38" t="n">
        <f aca="false">Sens!$J$2121*(1+Sens!$K$2122)</f>
        <v>148.850986953729</v>
      </c>
      <c r="L2121" s="38" t="n">
        <f aca="false">Sens!$K$2121*(1+Sens!$L$2122)</f>
        <v>163.736085649102</v>
      </c>
      <c r="M2121" s="38" t="n">
        <f aca="false">Sens!$L$2121*(1+Sens!$M$2122)</f>
        <v>180.109694214012</v>
      </c>
      <c r="N2121" s="38" t="n">
        <f aca="false">Q!$N$13</f>
        <v>29.615</v>
      </c>
      <c r="O2121" s="38" t="n">
        <f aca="false">Q!$O$13</f>
        <v>39.02</v>
      </c>
      <c r="P2121" s="8" t="s">
        <v>621</v>
      </c>
    </row>
    <row r="2122" customFormat="false" ht="17.15" hidden="false" customHeight="false" outlineLevel="0" collapsed="false">
      <c r="A2122" s="0" t="s">
        <v>628</v>
      </c>
      <c r="B2122" s="0" t="s">
        <v>52</v>
      </c>
      <c r="E2122" s="12" t="n">
        <f aca="false">Sens!$E$2121/Sens!$N$2121-1</f>
        <v>0.25112274185379</v>
      </c>
      <c r="F2122" s="12" t="n">
        <f aca="false">Sens!$O$2121/(Q!$F$13+Q!$G$13)-1</f>
        <v>0.234068123596572</v>
      </c>
      <c r="G2122" s="12" t="n">
        <f aca="false">Sens!$G$2121/Sens!$D$2121-1</f>
        <v>0.241426942270536</v>
      </c>
      <c r="H2122" s="12" t="n">
        <f aca="false">Sens!$F$2122+(g_ad-Sens!$F$2122)*1/4</f>
        <v>0.200551092697429</v>
      </c>
      <c r="I2122" s="12" t="n">
        <f aca="false">Sens!$F$2122+(g_ad-Sens!$F$2122)*2/4</f>
        <v>0.167034061798286</v>
      </c>
      <c r="J2122" s="12" t="n">
        <f aca="false">Sens!$F$2122+(g_ad-Sens!$F$2122)*3/4</f>
        <v>0.133517030899143</v>
      </c>
      <c r="K2122" s="12" t="n">
        <f aca="false">Sens!$F$2122+(g_ad-Sens!$F$2122)*4/4</f>
        <v>0.1</v>
      </c>
      <c r="L2122" s="12" t="n">
        <f aca="false">g_ad</f>
        <v>0.1</v>
      </c>
      <c r="M2122" s="12" t="n">
        <f aca="false">g_ad</f>
        <v>0.1</v>
      </c>
      <c r="P2122" s="8" t="s">
        <v>629</v>
      </c>
    </row>
    <row r="2123" customFormat="false" ht="17.15" hidden="false" customHeight="false" outlineLevel="0" collapsed="false">
      <c r="A2123" s="0" t="s">
        <v>483</v>
      </c>
      <c r="B2123" s="0" t="s">
        <v>73</v>
      </c>
      <c r="C2123" s="38" t="n">
        <f aca="false">Q!$D$14</f>
        <v>44.374</v>
      </c>
      <c r="D2123" s="38" t="n">
        <f aca="false">Q!$E$14</f>
        <v>49.619</v>
      </c>
      <c r="E2123" s="38" t="n">
        <f aca="false">Q!$P$14</f>
        <v>27.157</v>
      </c>
      <c r="F2123" s="38" t="n">
        <f aca="false">Sens!$O$2123*(1+Sens!$F$2124)</f>
        <v>28.9776360923374</v>
      </c>
      <c r="G2123" s="38" t="n">
        <f aca="false">Sens!$E$2123+Sens!$F$2123</f>
        <v>56.1346360923374</v>
      </c>
      <c r="H2123" s="38" t="n">
        <f aca="false">Sens!$G$2123*(1+Sens!$H$2124)</f>
        <v>62.4937078946075</v>
      </c>
      <c r="I2123" s="38" t="n">
        <f aca="false">Sens!$H$2123*(1+Sens!$I$2124)</f>
        <v>68.6715233062498</v>
      </c>
      <c r="J2123" s="38" t="n">
        <f aca="false">Sens!$I$2123*(1+Sens!$J$2124)</f>
        <v>74.4692882949818</v>
      </c>
      <c r="K2123" s="38" t="n">
        <f aca="false">Sens!$J$2123*(1+Sens!$K$2124)</f>
        <v>79.6821384756306</v>
      </c>
      <c r="L2123" s="38" t="n">
        <f aca="false">Sens!$K$2123*(1+Sens!$L$2124)</f>
        <v>85.2598881689247</v>
      </c>
      <c r="M2123" s="38" t="n">
        <f aca="false">Sens!$L$2123*(1+Sens!$M$2124)</f>
        <v>91.2280803407494</v>
      </c>
      <c r="N2123" s="38" t="n">
        <f aca="false">Q!$N$14</f>
        <v>23.923</v>
      </c>
      <c r="O2123" s="38" t="n">
        <f aca="false">Q!$O$14</f>
        <v>25.696</v>
      </c>
      <c r="P2123" s="8" t="s">
        <v>621</v>
      </c>
    </row>
    <row r="2124" customFormat="false" ht="17.15" hidden="false" customHeight="false" outlineLevel="0" collapsed="false">
      <c r="A2124" s="0" t="s">
        <v>630</v>
      </c>
      <c r="B2124" s="0" t="s">
        <v>52</v>
      </c>
      <c r="E2124" s="12" t="n">
        <f aca="false">Sens!$E$2123/Sens!$N$2123-1</f>
        <v>0.135183714417088</v>
      </c>
      <c r="F2124" s="12" t="n">
        <f aca="false">Sens!$O$2123/(Q!$F$14+Q!$G$14)-1</f>
        <v>0.127709997366804</v>
      </c>
      <c r="G2124" s="12" t="n">
        <f aca="false">Sens!$G$2123/Sens!$D$2123-1</f>
        <v>0.131313329416905</v>
      </c>
      <c r="H2124" s="12" t="n">
        <f aca="false">Sens!$F$2124+(g_sub-Sens!$F$2124)*1/4</f>
        <v>0.113282498025103</v>
      </c>
      <c r="I2124" s="12" t="n">
        <f aca="false">Sens!$F$2124+(g_sub-Sens!$F$2124)*2/4</f>
        <v>0.0988549986834021</v>
      </c>
      <c r="J2124" s="12" t="n">
        <f aca="false">Sens!$F$2124+(g_sub-Sens!$F$2124)*3/4</f>
        <v>0.084427499341701</v>
      </c>
      <c r="K2124" s="12" t="n">
        <f aca="false">Sens!$F$2124+(g_sub-Sens!$F$2124)*4/4</f>
        <v>0.07</v>
      </c>
      <c r="L2124" s="12" t="n">
        <f aca="false">g_sub</f>
        <v>0.07</v>
      </c>
      <c r="M2124" s="12" t="n">
        <f aca="false">g_sub</f>
        <v>0.07</v>
      </c>
      <c r="P2124" s="8" t="s">
        <v>631</v>
      </c>
    </row>
    <row r="2125" customFormat="false" ht="17.15" hidden="false" customHeight="false" outlineLevel="0" collapsed="false">
      <c r="A2125" s="0" t="s">
        <v>484</v>
      </c>
      <c r="B2125" s="0" t="s">
        <v>73</v>
      </c>
      <c r="C2125" s="38" t="n">
        <f aca="false">Q!$D$15</f>
        <v>5.425</v>
      </c>
      <c r="D2125" s="38" t="n">
        <f aca="false">Q!$E$15</f>
        <v>5.935</v>
      </c>
      <c r="E2125" s="38" t="n">
        <f aca="false">Q!$P$15</f>
        <v>3.474</v>
      </c>
      <c r="F2125" s="38" t="n">
        <f aca="false">Sens!$O$2125*(1+Sens!$F$2126)</f>
        <v>3.36182431966931</v>
      </c>
      <c r="G2125" s="38" t="n">
        <f aca="false">Sens!$E$2125+Sens!$F$2125</f>
        <v>6.83582431966931</v>
      </c>
      <c r="H2125" s="38" t="n">
        <f aca="false">Sens!$G$2125*(1+Sens!$H$2126)</f>
        <v>7.31157108370141</v>
      </c>
      <c r="I2125" s="38" t="n">
        <f aca="false">Sens!$H$2125*(1+Sens!$I$2126)</f>
        <v>7.77266852639815</v>
      </c>
      <c r="J2125" s="38" t="n">
        <f aca="false">Sens!$I$2125*(1+Sens!$J$2126)</f>
        <v>8.2120733019884</v>
      </c>
      <c r="K2125" s="38" t="n">
        <f aca="false">Sens!$J$2125*(1+Sens!$K$2126)</f>
        <v>8.62267696708783</v>
      </c>
      <c r="L2125" s="38" t="n">
        <f aca="false">Sens!$K$2125*(1+Sens!$L$2126)</f>
        <v>9.05381081544222</v>
      </c>
      <c r="M2125" s="38" t="n">
        <f aca="false">Sens!$L$2125*(1+Sens!$M$2126)</f>
        <v>9.50650135621433</v>
      </c>
      <c r="N2125" s="38" t="n">
        <f aca="false">Q!$N$15</f>
        <v>2.811</v>
      </c>
      <c r="O2125" s="38" t="n">
        <f aca="false">Q!$O$15</f>
        <v>3.124</v>
      </c>
      <c r="P2125" s="8" t="s">
        <v>621</v>
      </c>
    </row>
    <row r="2126" customFormat="false" ht="17.15" hidden="false" customHeight="false" outlineLevel="0" collapsed="false">
      <c r="A2126" s="0" t="s">
        <v>632</v>
      </c>
      <c r="B2126" s="0" t="s">
        <v>52</v>
      </c>
      <c r="E2126" s="12" t="n">
        <f aca="false">Sens!$E$2125/Sens!$N$2125-1</f>
        <v>0.235859124866596</v>
      </c>
      <c r="F2126" s="12" t="n">
        <f aca="false">Sens!$O$2125/(Q!$F$15+Q!$G$15)-1</f>
        <v>0.0761281433000345</v>
      </c>
      <c r="G2126" s="12" t="n">
        <f aca="false">Sens!$G$2125/Sens!$D$2125-1</f>
        <v>0.151781688234087</v>
      </c>
      <c r="H2126" s="12" t="n">
        <f aca="false">Sens!$F$2126+(g_ot-Sens!$F$2126)*1/4</f>
        <v>0.0695961074750259</v>
      </c>
      <c r="I2126" s="12" t="n">
        <f aca="false">Sens!$F$2126+(g_ot-Sens!$F$2126)*2/4</f>
        <v>0.0630640716500172</v>
      </c>
      <c r="J2126" s="12" t="n">
        <f aca="false">Sens!$F$2126+(g_ot-Sens!$F$2126)*3/4</f>
        <v>0.0565320358250086</v>
      </c>
      <c r="K2126" s="12" t="n">
        <f aca="false">Sens!$F$2126+(g_ot-Sens!$F$2126)*4/4</f>
        <v>0.05</v>
      </c>
      <c r="L2126" s="12" t="n">
        <f aca="false">g_ot</f>
        <v>0.05</v>
      </c>
      <c r="M2126" s="12" t="n">
        <f aca="false">g_ot</f>
        <v>0.05</v>
      </c>
      <c r="P2126" s="8" t="s">
        <v>633</v>
      </c>
    </row>
    <row r="2127" customFormat="false" ht="17.15" hidden="false" customHeight="false" outlineLevel="0" collapsed="false">
      <c r="A2127" s="3" t="s">
        <v>634</v>
      </c>
      <c r="B2127" s="8" t="s">
        <v>73</v>
      </c>
      <c r="C2127" s="38" t="n">
        <f aca="false">Sens!$C$2115+Sens!$C$2117+Sens!$C$2119+Sens!$C$2121+Sens!$C$2123+Sens!$C$2125</f>
        <v>530.403</v>
      </c>
      <c r="D2127" s="38" t="n">
        <f aca="false">Sens!$D$2115+Sens!$D$2117+Sens!$D$2119+Sens!$D$2121+Sens!$D$2123+Sens!$D$2125</f>
        <v>588.199</v>
      </c>
      <c r="E2127" s="38" t="n">
        <f aca="false">Sens!$E$2115+Sens!$E$2117+Sens!$E$2119+Sens!$E$2121+Sens!$E$2123+Sens!$E$2125</f>
        <v>302.306</v>
      </c>
      <c r="F2127" s="38" t="n">
        <f aca="false">Sens!$F$2115+Sens!$F$2117+Sens!$F$2119+Sens!$F$2121+Sens!$F$2123+Sens!$F$2125</f>
        <v>356.93642920843</v>
      </c>
      <c r="G2127" s="38" t="n">
        <f aca="false">Sens!$G$2115+Sens!$G$2117+Sens!$G$2119+Sens!$G$2121+Sens!$G$2123+Sens!$G$2125</f>
        <v>659.24242920843</v>
      </c>
      <c r="H2127" s="38" t="n">
        <f aca="false">Sens!$H$2115+Sens!$H$2117+Sens!$H$2119+Sens!$H$2121+Sens!$H$2123+Sens!$H$2125</f>
        <v>729.935737621701</v>
      </c>
      <c r="I2127" s="38" t="n">
        <f aca="false">Sens!$I$2115+Sens!$I$2117+Sens!$I$2119+Sens!$I$2121+Sens!$I$2123+Sens!$I$2125</f>
        <v>798.295569697873</v>
      </c>
      <c r="J2127" s="38" t="n">
        <f aca="false">Sens!$J$2115+Sens!$J$2117+Sens!$J$2119+Sens!$J$2121+Sens!$J$2123+Sens!$J$2125</f>
        <v>861.736822325785</v>
      </c>
      <c r="K2127" s="38" t="n">
        <f aca="false">Sens!$K$2115+Sens!$K$2117+Sens!$K$2119+Sens!$K$2121+Sens!$K$2123+Sens!$K$2125</f>
        <v>917.557492101925</v>
      </c>
      <c r="L2127" s="38" t="n">
        <f aca="false">Sens!$L$2115+Sens!$L$2117+Sens!$L$2119+Sens!$L$2121+Sens!$L$2123+Sens!$L$2125</f>
        <v>977.285089743165</v>
      </c>
      <c r="M2127" s="38" t="n">
        <f aca="false">Sens!$M$2115+Sens!$M$2117+Sens!$M$2119+Sens!$M$2121+Sens!$M$2123+Sens!$M$2125</f>
        <v>1041.2140185435</v>
      </c>
      <c r="N2127" s="38" t="n">
        <f aca="false">Sens!$N$2115+Sens!$N$2117+Sens!$N$2119+Sens!$N$2121+Sens!$N$2123+Sens!$N$2125</f>
        <v>263.229</v>
      </c>
      <c r="O2127" s="38" t="n">
        <f aca="false">Sens!$O$2115+Sens!$O$2117+Sens!$O$2119+Sens!$O$2121+Sens!$O$2123+Sens!$O$2125</f>
        <v>324.97</v>
      </c>
    </row>
    <row r="2128" customFormat="false" ht="17.15" hidden="false" customHeight="false" outlineLevel="0" collapsed="false">
      <c r="A2128" s="5" t="s">
        <v>635</v>
      </c>
      <c r="B2128" s="0" t="s">
        <v>52</v>
      </c>
      <c r="C2128" s="12" t="n">
        <f aca="false">Q!$D$5/(Q!$D$5+Q!$D$6)</f>
        <v>0.730570905519011</v>
      </c>
      <c r="D2128" s="12" t="n">
        <f aca="false">Q!$E$5/(Q!$E$5+Q!$E$6)</f>
        <v>0.724763217890544</v>
      </c>
      <c r="E2128" s="12" t="n">
        <f aca="false">Q!$P$5/(Q!$P$5+Q!$P$6)</f>
        <v>0.728797972914861</v>
      </c>
      <c r="F2128" s="12" t="n">
        <f aca="false">Sens!$O$2128</f>
        <v>0.718066283041511</v>
      </c>
      <c r="G2128" s="12" t="n">
        <f aca="false">Sens!$G$2129/Sens!$G$2127</f>
        <v>0.722987468473627</v>
      </c>
      <c r="H2128" s="12" t="n">
        <f aca="false">Sens!$G$2128</f>
        <v>0.722987468473627</v>
      </c>
      <c r="I2128" s="12" t="n">
        <f aca="false">Sens!$G$2128</f>
        <v>0.722987468473627</v>
      </c>
      <c r="J2128" s="12" t="n">
        <f aca="false">Sens!$G$2128</f>
        <v>0.722987468473627</v>
      </c>
      <c r="K2128" s="12" t="n">
        <f aca="false">Sens!$G$2128</f>
        <v>0.722987468473627</v>
      </c>
      <c r="L2128" s="12" t="n">
        <f aca="false">Sens!$G$2128</f>
        <v>0.722987468473627</v>
      </c>
      <c r="M2128" s="12" t="n">
        <f aca="false">Sens!$G$2128</f>
        <v>0.722987468473627</v>
      </c>
      <c r="N2128" s="12" t="n">
        <f aca="false">Q!$N$5/(Q!$N$5+Q!$N$6)</f>
        <v>0.733030935041352</v>
      </c>
      <c r="O2128" s="12" t="n">
        <f aca="false">Q!$O$5/(Q!$O$5+Q!$O$6)</f>
        <v>0.718066283041511</v>
      </c>
      <c r="P2128" s="8" t="s">
        <v>636</v>
      </c>
    </row>
    <row r="2129" customFormat="false" ht="17.15" hidden="false" customHeight="false" outlineLevel="0" collapsed="false">
      <c r="A2129" s="1" t="s">
        <v>472</v>
      </c>
      <c r="B2129" s="8" t="s">
        <v>73</v>
      </c>
      <c r="C2129" s="38" t="n">
        <f aca="false">Q!$D$5</f>
        <v>387.497</v>
      </c>
      <c r="D2129" s="38" t="n">
        <f aca="false">Q!$E$5</f>
        <v>426.305</v>
      </c>
      <c r="E2129" s="38" t="n">
        <f aca="false">Q!$P$5</f>
        <v>220.32</v>
      </c>
      <c r="F2129" s="38" t="n">
        <f aca="false">Sens!$F$2127*Sens!$F$2128</f>
        <v>256.304015003807</v>
      </c>
      <c r="G2129" s="38" t="n">
        <f aca="false">Sens!$E$2129+Sens!$F$2129</f>
        <v>476.624015003807</v>
      </c>
      <c r="H2129" s="38" t="n">
        <f aca="false">Sens!$H$2127*Sens!$H$2128</f>
        <v>527.734391091543</v>
      </c>
      <c r="I2129" s="38" t="n">
        <f aca="false">Sens!$I$2127*Sens!$I$2128</f>
        <v>577.157693029577</v>
      </c>
      <c r="J2129" s="38" t="n">
        <f aca="false">Sens!$J$2127*Sens!$J$2128</f>
        <v>623.024923663827</v>
      </c>
      <c r="K2129" s="38" t="n">
        <f aca="false">Sens!$K$2127*Sens!$K$2128</f>
        <v>663.382568393781</v>
      </c>
      <c r="L2129" s="38" t="n">
        <f aca="false">Sens!$L$2127*Sens!$L$2128</f>
        <v>706.564873010432</v>
      </c>
      <c r="M2129" s="38" t="n">
        <f aca="false">Sens!$M$2127*Sens!$M$2128</f>
        <v>752.784687406019</v>
      </c>
      <c r="N2129" s="38" t="n">
        <f aca="false">Q!$N$5</f>
        <v>192.955</v>
      </c>
      <c r="O2129" s="38" t="n">
        <f aca="false">Q!$O$5</f>
        <v>233.35</v>
      </c>
      <c r="P2129" s="5" t="s">
        <v>637</v>
      </c>
    </row>
    <row r="2130" customFormat="false" ht="17.15" hidden="false" customHeight="false" outlineLevel="0" collapsed="false">
      <c r="A2130" s="1" t="s">
        <v>475</v>
      </c>
      <c r="B2130" s="8" t="s">
        <v>73</v>
      </c>
      <c r="C2130" s="38" t="n">
        <f aca="false">Q!$D$6</f>
        <v>142.906</v>
      </c>
      <c r="D2130" s="38" t="n">
        <f aca="false">Q!$E$6</f>
        <v>161.894</v>
      </c>
      <c r="E2130" s="38" t="n">
        <f aca="false">Q!$P$6</f>
        <v>81.986</v>
      </c>
      <c r="F2130" s="38" t="n">
        <f aca="false">Sens!$F$2127*(1-Sens!$F$2128)</f>
        <v>100.632414204623</v>
      </c>
      <c r="G2130" s="38" t="n">
        <f aca="false">Sens!$E$2130+Sens!$F$2130</f>
        <v>182.618414204623</v>
      </c>
      <c r="H2130" s="38" t="n">
        <f aca="false">Sens!$H$2127*(1-Sens!$H$2128)</f>
        <v>202.201346530158</v>
      </c>
      <c r="I2130" s="38" t="n">
        <f aca="false">Sens!$I$2127*(1-Sens!$I$2128)</f>
        <v>221.137876668296</v>
      </c>
      <c r="J2130" s="38" t="n">
        <f aca="false">Sens!$J$2127*(1-Sens!$J$2128)</f>
        <v>238.711898661958</v>
      </c>
      <c r="K2130" s="38" t="n">
        <f aca="false">Sens!$K$2127*(1-Sens!$K$2128)</f>
        <v>254.174923708144</v>
      </c>
      <c r="L2130" s="38" t="n">
        <f aca="false">Sens!$L$2127*(1-Sens!$L$2128)</f>
        <v>270.720216732733</v>
      </c>
      <c r="M2130" s="38" t="n">
        <f aca="false">Sens!$M$2127*(1-Sens!$M$2128)</f>
        <v>288.429331137484</v>
      </c>
      <c r="N2130" s="38" t="n">
        <f aca="false">Q!$N$6</f>
        <v>70.274</v>
      </c>
      <c r="O2130" s="38" t="n">
        <f aca="false">Q!$O$6</f>
        <v>91.62</v>
      </c>
      <c r="P2130" s="5" t="s">
        <v>638</v>
      </c>
    </row>
    <row r="2131" customFormat="false" ht="17.15" hidden="false" customHeight="false" outlineLevel="0" collapsed="false">
      <c r="A2131" s="5" t="s">
        <v>639</v>
      </c>
      <c r="B2131" s="0" t="s">
        <v>73</v>
      </c>
      <c r="C2131" s="38" t="n">
        <f aca="false">Sens!$C$2121*Sens!$C$2128</f>
        <v>41.0683128828457</v>
      </c>
      <c r="D2131" s="38" t="n">
        <f aca="false">Sens!$D$2121*Sens!$D$2128</f>
        <v>49.7441234599175</v>
      </c>
      <c r="E2131" s="38" t="n">
        <f aca="false">Sens!$E$2121*Sens!$E$2128</f>
        <v>27.0034224924414</v>
      </c>
      <c r="F2131" s="38" t="n">
        <f aca="false">Sens!$F$2121*Sens!$F$2128</f>
        <v>34.5772885649197</v>
      </c>
      <c r="G2131" s="38" t="n">
        <f aca="false">Sens!$G$2121*Sens!$G$2128</f>
        <v>61.6023917531772</v>
      </c>
      <c r="H2131" s="38" t="n">
        <f aca="false">Sens!$H$2121*Sens!$H$2128</f>
        <v>73.9568187320519</v>
      </c>
      <c r="I2131" s="38" t="n">
        <f aca="false">Sens!$I$2121*Sens!$I$2128</f>
        <v>86.3101265625461</v>
      </c>
      <c r="J2131" s="38" t="n">
        <f aca="false">Sens!$J$2121*Sens!$J$2128</f>
        <v>97.8339983977065</v>
      </c>
      <c r="K2131" s="38" t="n">
        <f aca="false">Sens!$K$2121*Sens!$K$2128</f>
        <v>107.617398237477</v>
      </c>
      <c r="L2131" s="38" t="n">
        <f aca="false">Sens!$L$2121*Sens!$L$2128</f>
        <v>118.379138061225</v>
      </c>
      <c r="M2131" s="38" t="n">
        <f aca="false">Sens!$M$2121*Sens!$M$2128</f>
        <v>130.217051867347</v>
      </c>
      <c r="N2131" s="38" t="n">
        <f aca="false">Sens!$N$2121*Sens!$N$2128</f>
        <v>21.7087111412496</v>
      </c>
      <c r="O2131" s="38" t="n">
        <f aca="false">Sens!$O$2121*Sens!$O$2128</f>
        <v>28.0189463642798</v>
      </c>
      <c r="P2131" s="5" t="s">
        <v>640</v>
      </c>
    </row>
    <row r="2132" customFormat="false" ht="15" hidden="false" customHeight="false" outlineLevel="0" collapsed="false">
      <c r="A2132" s="5" t="s">
        <v>641</v>
      </c>
      <c r="B2132" s="0" t="s">
        <v>73</v>
      </c>
      <c r="C2132" s="38" t="n">
        <f aca="false">Sens!$C$2121-Sens!$C$2131</f>
        <v>15.1456871171543</v>
      </c>
      <c r="D2132" s="38" t="n">
        <f aca="false">Sens!$D$2121-Sens!$D$2131</f>
        <v>18.8908765400825</v>
      </c>
      <c r="E2132" s="38" t="n">
        <f aca="false">Sens!$E$2121-Sens!$E$2131</f>
        <v>10.0485775075586</v>
      </c>
      <c r="F2132" s="38" t="n">
        <f aca="false">Sens!$F$2121-Sens!$F$2131</f>
        <v>13.5760496178185</v>
      </c>
      <c r="G2132" s="38" t="n">
        <f aca="false">Sens!$G$2121-Sens!$G$2131</f>
        <v>23.6029464295611</v>
      </c>
      <c r="H2132" s="38" t="n">
        <f aca="false">Sens!$H$2121-Sens!$H$2131</f>
        <v>28.3365431268884</v>
      </c>
      <c r="I2132" s="38" t="n">
        <f aca="false">Sens!$I$2121-Sens!$I$2131</f>
        <v>33.0697110226949</v>
      </c>
      <c r="J2132" s="38" t="n">
        <f aca="false">Sens!$J$2121-Sens!$J$2131</f>
        <v>37.4850806511378</v>
      </c>
      <c r="K2132" s="38" t="n">
        <f aca="false">Sens!$K$2121-Sens!$K$2131</f>
        <v>41.2335887162515</v>
      </c>
      <c r="L2132" s="38" t="n">
        <f aca="false">Sens!$L$2121-Sens!$L$2131</f>
        <v>45.3569475878767</v>
      </c>
      <c r="M2132" s="38" t="n">
        <f aca="false">Sens!$M$2121-Sens!$M$2131</f>
        <v>49.8926423466644</v>
      </c>
      <c r="N2132" s="38" t="n">
        <f aca="false">Sens!$N$2121-Sens!$N$2131</f>
        <v>7.90628885875037</v>
      </c>
      <c r="O2132" s="38" t="n">
        <f aca="false">Sens!$O$2121-Sens!$O$2131</f>
        <v>11.0010536357202</v>
      </c>
    </row>
    <row r="2133" customFormat="false" ht="19.4" hidden="false" customHeight="false" outlineLevel="0" collapsed="false">
      <c r="A2133" s="31" t="s">
        <v>1089</v>
      </c>
    </row>
    <row r="2134" customFormat="false" ht="17.15" hidden="false" customHeight="false" outlineLevel="0" collapsed="false">
      <c r="A2134" s="6" t="s">
        <v>16</v>
      </c>
      <c r="B2134" s="6" t="s">
        <v>17</v>
      </c>
      <c r="C2134" s="20" t="s">
        <v>457</v>
      </c>
      <c r="D2134" s="20" t="s">
        <v>458</v>
      </c>
      <c r="E2134" s="20" t="s">
        <v>540</v>
      </c>
      <c r="F2134" s="20" t="s">
        <v>541</v>
      </c>
      <c r="G2134" s="20" t="s">
        <v>542</v>
      </c>
      <c r="H2134" s="20" t="s">
        <v>543</v>
      </c>
      <c r="I2134" s="20" t="s">
        <v>544</v>
      </c>
      <c r="J2134" s="20" t="s">
        <v>545</v>
      </c>
      <c r="K2134" s="20" t="s">
        <v>546</v>
      </c>
      <c r="L2134" s="20" t="s">
        <v>547</v>
      </c>
      <c r="M2134" s="20" t="s">
        <v>548</v>
      </c>
      <c r="N2134" s="20" t="s">
        <v>549</v>
      </c>
      <c r="O2134" s="20" t="s">
        <v>550</v>
      </c>
      <c r="P2134" s="6" t="s">
        <v>23</v>
      </c>
      <c r="R2134" s="20" t="n">
        <v>2023</v>
      </c>
      <c r="S2134" s="20" t="n">
        <v>2024</v>
      </c>
      <c r="T2134" s="20" t="n">
        <v>2025</v>
      </c>
      <c r="U2134" s="20" t="n">
        <v>2026</v>
      </c>
      <c r="V2134" s="20" t="n">
        <v>2027</v>
      </c>
      <c r="W2134" s="20" t="n">
        <v>2028</v>
      </c>
      <c r="X2134" s="20" t="n">
        <v>2029</v>
      </c>
      <c r="Y2134" s="20" t="n">
        <v>2030</v>
      </c>
      <c r="Z2134" s="20" t="n">
        <v>2031</v>
      </c>
      <c r="AA2134" s="20" t="n">
        <v>2032</v>
      </c>
    </row>
    <row r="2135" customFormat="false" ht="17.15" hidden="false" customHeight="false" outlineLevel="0" collapsed="false">
      <c r="A2135" s="1" t="s">
        <v>551</v>
      </c>
    </row>
    <row r="2136" customFormat="false" ht="17.15" hidden="false" customHeight="false" outlineLevel="0" collapsed="false">
      <c r="A2136" s="14" t="s">
        <v>552</v>
      </c>
      <c r="B2136" s="13" t="s">
        <v>108</v>
      </c>
      <c r="C2136" s="32" t="n">
        <f aca="false">mw_ye24</f>
        <v>360</v>
      </c>
      <c r="D2136" s="32" t="n">
        <f aca="false">mw_ye25</f>
        <v>1440</v>
      </c>
      <c r="E2136" s="32" t="n">
        <f aca="false">mw_open</f>
        <v>2080</v>
      </c>
      <c r="F2136" s="32" t="n">
        <f aca="false">Sens!$E$2136+pace_B*0.5</f>
        <v>3897.15</v>
      </c>
      <c r="G2136" s="32" t="n">
        <f aca="false">Sens!$F$2136</f>
        <v>3897.15</v>
      </c>
      <c r="H2136" s="32" t="n">
        <f aca="false">Sens!$G$2136+pace_B</f>
        <v>7531.45</v>
      </c>
      <c r="I2136" s="32" t="n">
        <f aca="false">Sens!$H$2136+pace_B</f>
        <v>11165.75</v>
      </c>
      <c r="J2136" s="32" t="n">
        <f aca="false">Sens!$I$2136+pace_B</f>
        <v>14800.05</v>
      </c>
      <c r="K2136" s="32" t="n">
        <f aca="false">Sens!$J$2136+pace_B</f>
        <v>18434.35</v>
      </c>
      <c r="L2136" s="32" t="n">
        <f aca="false">Sens!$K$2136+pace_B</f>
        <v>22068.65</v>
      </c>
      <c r="M2136" s="32" t="n">
        <f aca="false">Sens!$L$2136+pace_B</f>
        <v>25702.95</v>
      </c>
      <c r="N2136" s="32" t="n">
        <f aca="false">(mw_ye24+mw_ye25)/2</f>
        <v>900</v>
      </c>
      <c r="O2136" s="32" t="n">
        <f aca="false">mw_ye25</f>
        <v>1440</v>
      </c>
      <c r="P2136" s="5" t="s">
        <v>553</v>
      </c>
    </row>
    <row r="2137" customFormat="false" ht="17.15" hidden="false" customHeight="false" outlineLevel="0" collapsed="false">
      <c r="A2137" s="5" t="s">
        <v>554</v>
      </c>
      <c r="B2137" s="0" t="s">
        <v>108</v>
      </c>
      <c r="C2137" s="33" t="n">
        <f aca="false">(mw_ye23+mw_ye24)/2</f>
        <v>240</v>
      </c>
      <c r="D2137" s="33" t="n">
        <f aca="false">(Sens!$C$2136+Sens!$D$2136)/2</f>
        <v>900</v>
      </c>
      <c r="E2137" s="33" t="n">
        <f aca="false">(Sens!$D$2136+Sens!$E$2136)/2</f>
        <v>1760</v>
      </c>
      <c r="F2137" s="33" t="n">
        <f aca="false">(Sens!$E$2136+Sens!$F$2136)/2</f>
        <v>2988.575</v>
      </c>
      <c r="G2137" s="33" t="n">
        <f aca="false">(Sens!$E$2137+Sens!$F$2137)/2</f>
        <v>2374.2875</v>
      </c>
      <c r="H2137" s="33" t="n">
        <f aca="false">(Sens!$G$2136+Sens!$H$2136)/2</f>
        <v>5714.3</v>
      </c>
      <c r="I2137" s="33" t="n">
        <f aca="false">(Sens!$H$2136+Sens!$I$2136)/2</f>
        <v>9348.6</v>
      </c>
      <c r="J2137" s="33" t="n">
        <f aca="false">(Sens!$I$2136+Sens!$J$2136)/2</f>
        <v>12982.9</v>
      </c>
      <c r="K2137" s="33" t="n">
        <f aca="false">(Sens!$J$2136+Sens!$K$2136)/2</f>
        <v>16617.2</v>
      </c>
      <c r="L2137" s="33" t="n">
        <f aca="false">(Sens!$K$2136+Sens!$L$2136)/2</f>
        <v>20251.5</v>
      </c>
      <c r="M2137" s="33" t="n">
        <f aca="false">(Sens!$L$2136+Sens!$M$2136)/2</f>
        <v>23885.8</v>
      </c>
      <c r="N2137" s="33" t="n">
        <f aca="false">(Sens!$C$2136+Sens!$N$2136)/2</f>
        <v>630</v>
      </c>
      <c r="O2137" s="33" t="n">
        <f aca="false">(Sens!$N$2136+Sens!$O$2136)/2</f>
        <v>1170</v>
      </c>
    </row>
    <row r="2138" customFormat="false" ht="15" hidden="false" customHeight="false" outlineLevel="0" collapsed="false">
      <c r="A2138" s="5" t="s">
        <v>555</v>
      </c>
      <c r="B2138" s="5" t="s">
        <v>102</v>
      </c>
      <c r="C2138" s="34" t="n">
        <v>1</v>
      </c>
      <c r="D2138" s="34" t="n">
        <v>1</v>
      </c>
      <c r="E2138" s="34" t="n">
        <v>0.5</v>
      </c>
      <c r="F2138" s="34" t="n">
        <v>0.5</v>
      </c>
      <c r="G2138" s="34" t="n">
        <v>1</v>
      </c>
      <c r="H2138" s="34" t="n">
        <v>1</v>
      </c>
      <c r="I2138" s="34" t="n">
        <v>1</v>
      </c>
      <c r="J2138" s="34" t="n">
        <v>1</v>
      </c>
      <c r="K2138" s="34" t="n">
        <v>1</v>
      </c>
      <c r="L2138" s="34" t="n">
        <v>1</v>
      </c>
      <c r="M2138" s="34" t="n">
        <v>1</v>
      </c>
      <c r="N2138" s="34" t="n">
        <v>0.5</v>
      </c>
      <c r="O2138" s="34" t="n">
        <v>0.5</v>
      </c>
    </row>
    <row r="2139" customFormat="false" ht="17.15" hidden="false" customHeight="false" outlineLevel="0" collapsed="false">
      <c r="A2139" s="5" t="s">
        <v>556</v>
      </c>
      <c r="B2139" s="0" t="s">
        <v>108</v>
      </c>
      <c r="C2139" s="33" t="n">
        <f aca="false">Sens!$C$2136-mw_ye23</f>
        <v>240</v>
      </c>
      <c r="D2139" s="33" t="n">
        <f aca="false">Sens!$D$2136-Sens!$C$2136</f>
        <v>1080</v>
      </c>
      <c r="E2139" s="33" t="n">
        <f aca="false">Sens!$E$2136-Sens!$D$2136</f>
        <v>640</v>
      </c>
      <c r="F2139" s="33" t="n">
        <f aca="false">Sens!$F$2136-Sens!$E$2136</f>
        <v>1817.15</v>
      </c>
      <c r="G2139" s="33" t="n">
        <f aca="false">Sens!$E$2139+Sens!$F$2139</f>
        <v>2457.15</v>
      </c>
      <c r="H2139" s="33" t="n">
        <f aca="false">Sens!$H$2136-Sens!$G$2136</f>
        <v>3634.3</v>
      </c>
      <c r="I2139" s="33" t="n">
        <f aca="false">Sens!$I$2136-Sens!$H$2136</f>
        <v>3634.3</v>
      </c>
      <c r="J2139" s="33" t="n">
        <f aca="false">Sens!$J$2136-Sens!$I$2136</f>
        <v>3634.3</v>
      </c>
      <c r="K2139" s="33" t="n">
        <f aca="false">Sens!$K$2136-Sens!$J$2136</f>
        <v>3634.3</v>
      </c>
      <c r="L2139" s="33" t="n">
        <f aca="false">Sens!$L$2136-Sens!$K$2136</f>
        <v>3634.3</v>
      </c>
      <c r="M2139" s="33" t="n">
        <f aca="false">Sens!$M$2136-Sens!$L$2136</f>
        <v>3634.3</v>
      </c>
      <c r="N2139" s="33" t="n">
        <f aca="false">Sens!$N$2136-Sens!$C$2136</f>
        <v>540</v>
      </c>
      <c r="O2139" s="33" t="n">
        <f aca="false">Sens!$O$2136-Sens!$N$2136</f>
        <v>540</v>
      </c>
    </row>
    <row r="2140" customFormat="false" ht="17.15" hidden="false" customHeight="false" outlineLevel="0" collapsed="false">
      <c r="A2140" s="5" t="s">
        <v>557</v>
      </c>
      <c r="B2140" s="0" t="s">
        <v>108</v>
      </c>
      <c r="C2140" s="33" t="n">
        <f aca="false">Sens!$C$2139/ext_sh</f>
        <v>300</v>
      </c>
      <c r="D2140" s="33" t="n">
        <f aca="false">Sens!$D$2139/ext_sh</f>
        <v>1350</v>
      </c>
      <c r="E2140" s="33" t="n">
        <f aca="false">Sens!$E$2139/ext_sh</f>
        <v>800</v>
      </c>
      <c r="F2140" s="33" t="n">
        <f aca="false">Sens!$F$2139/ext_sh</f>
        <v>2271.4375</v>
      </c>
      <c r="G2140" s="33" t="n">
        <f aca="false">Sens!$G$2139/ext_sh</f>
        <v>3071.4375</v>
      </c>
      <c r="H2140" s="33" t="n">
        <f aca="false">Sens!$H$2139/ext_sh</f>
        <v>4542.875</v>
      </c>
      <c r="I2140" s="33" t="n">
        <f aca="false">Sens!$I$2139/ext_sh</f>
        <v>4542.875</v>
      </c>
      <c r="J2140" s="33" t="n">
        <f aca="false">Sens!$J$2139/ext_sh</f>
        <v>4542.875</v>
      </c>
      <c r="K2140" s="33" t="n">
        <f aca="false">Sens!$K$2139/ext_sh</f>
        <v>4542.875</v>
      </c>
      <c r="L2140" s="33" t="n">
        <f aca="false">Sens!$L$2139/ext_sh</f>
        <v>4542.875</v>
      </c>
      <c r="M2140" s="33" t="n">
        <f aca="false">Sens!$M$2139/ext_sh</f>
        <v>4542.875</v>
      </c>
      <c r="N2140" s="33" t="n">
        <f aca="false">Sens!$N$2139/ext_sh</f>
        <v>675</v>
      </c>
      <c r="O2140" s="33" t="n">
        <f aca="false">Sens!$O$2139/ext_sh</f>
        <v>675</v>
      </c>
      <c r="P2140" s="8" t="s">
        <v>558</v>
      </c>
      <c r="R2140" s="33" t="n">
        <f aca="false">mw_ye23/ext_sh</f>
        <v>150</v>
      </c>
      <c r="S2140" s="33" t="n">
        <f aca="false">Sens!$C$2140</f>
        <v>300</v>
      </c>
      <c r="T2140" s="33" t="n">
        <f aca="false">Sens!$D$2140</f>
        <v>1350</v>
      </c>
      <c r="U2140" s="33" t="n">
        <f aca="false">Sens!$G$2140</f>
        <v>3071.4375</v>
      </c>
      <c r="V2140" s="33" t="n">
        <f aca="false">Sens!$H$2140</f>
        <v>4542.875</v>
      </c>
      <c r="W2140" s="33" t="n">
        <f aca="false">Sens!$I$2140</f>
        <v>4542.875</v>
      </c>
      <c r="X2140" s="33" t="n">
        <f aca="false">Sens!$J$2140</f>
        <v>4542.875</v>
      </c>
      <c r="Y2140" s="33" t="n">
        <f aca="false">Sens!$K$2140</f>
        <v>4542.875</v>
      </c>
      <c r="Z2140" s="33" t="n">
        <f aca="false">Sens!$L$2140</f>
        <v>4542.875</v>
      </c>
      <c r="AA2140" s="33" t="n">
        <f aca="false">Sens!$M$2140</f>
        <v>4542.875</v>
      </c>
    </row>
    <row r="2141" customFormat="false" ht="17.15" hidden="false" customHeight="false" outlineLevel="0" collapsed="false">
      <c r="A2141" s="1" t="s">
        <v>559</v>
      </c>
    </row>
    <row r="2142" customFormat="false" ht="17.15" hidden="false" customHeight="false" outlineLevel="0" collapsed="false">
      <c r="A2142" s="0" t="s">
        <v>560</v>
      </c>
      <c r="B2142" s="0" t="s">
        <v>52</v>
      </c>
      <c r="F2142" s="35" t="n">
        <f aca="false">na_vr26</f>
        <v>0</v>
      </c>
      <c r="G2142" s="35" t="n">
        <f aca="false">na_vr26</f>
        <v>0</v>
      </c>
      <c r="H2142" s="35" t="n">
        <f aca="false">na_vr27</f>
        <v>0.5</v>
      </c>
      <c r="I2142" s="35" t="n">
        <f aca="false">na_vr28</f>
        <v>1</v>
      </c>
      <c r="J2142" s="35" t="n">
        <f aca="false">na_vr28</f>
        <v>1</v>
      </c>
      <c r="K2142" s="35" t="n">
        <f aca="false">na_vr28</f>
        <v>1</v>
      </c>
      <c r="L2142" s="35" t="n">
        <f aca="false">na_vr28</f>
        <v>1</v>
      </c>
      <c r="M2142" s="35" t="n">
        <f aca="false">na_vr28</f>
        <v>1</v>
      </c>
    </row>
    <row r="2143" customFormat="false" ht="17.15" hidden="false" customHeight="false" outlineLevel="0" collapsed="false">
      <c r="A2143" s="5" t="s">
        <v>561</v>
      </c>
      <c r="B2143" s="0" t="s">
        <v>151</v>
      </c>
      <c r="F2143" s="36" t="n">
        <f aca="false">cust_sh*tk_he_gb300*cf_chip_lo+(1-cust_sh)*((1-Sens!$F$2142)*tk_he_gb300+Sens!$F$2142*tk_he_vr200)</f>
        <v>9.25344935179358</v>
      </c>
      <c r="G2143" s="36" t="n">
        <f aca="false">cust_sh*tk_he_gb300*cf_chip_lo+(1-cust_sh)*((1-Sens!$G$2142)*tk_he_gb300+Sens!$G$2142*tk_he_vr200)</f>
        <v>9.25344935179358</v>
      </c>
      <c r="H2143" s="36" t="n">
        <f aca="false">cust_sh*tk_he_gb300*cf_chip_lo+(1-cust_sh)*((1-Sens!$H$2142)*tk_he_gb300+Sens!$H$2142*tk_he_vr200)</f>
        <v>9.58821435241208</v>
      </c>
      <c r="I2143" s="36" t="n">
        <f aca="false">cust_sh*tk_he_gb300*cf_chip_lo+(1-cust_sh)*((1-Sens!$I$2142)*tk_he_gb300+Sens!$I$2142*tk_he_vr200)</f>
        <v>9.92297935303058</v>
      </c>
      <c r="J2143" s="36" t="n">
        <f aca="false">cust_sh*tk_he_gb300*cf_chip_lo+(1-cust_sh)*((1-Sens!$J$2142)*tk_he_gb300+Sens!$J$2142*tk_he_vr200)</f>
        <v>9.92297935303058</v>
      </c>
      <c r="K2143" s="36" t="n">
        <f aca="false">cust_sh*tk_he_gb300*cf_chip_lo+(1-cust_sh)*((1-Sens!$K$2142)*tk_he_gb300+Sens!$K$2142*tk_he_vr200)</f>
        <v>9.92297935303058</v>
      </c>
      <c r="L2143" s="36" t="n">
        <f aca="false">cust_sh*tk_he_gb300*cf_chip_lo+(1-cust_sh)*((1-Sens!$L$2142)*tk_he_gb300+Sens!$L$2142*tk_he_vr200)</f>
        <v>9.92297935303058</v>
      </c>
      <c r="M2143" s="36" t="n">
        <f aca="false">cust_sh*tk_he_gb300*cf_chip_lo+(1-cust_sh)*((1-Sens!$M$2142)*tk_he_gb300+Sens!$M$2142*tk_he_vr200)</f>
        <v>9.92297935303058</v>
      </c>
    </row>
    <row r="2144" customFormat="false" ht="17.15" hidden="false" customHeight="false" outlineLevel="0" collapsed="false">
      <c r="A2144" s="5" t="s">
        <v>562</v>
      </c>
      <c r="B2144" s="0" t="s">
        <v>151</v>
      </c>
      <c r="F2144" s="36" t="n">
        <f aca="false">cust_sh*tk_ox_gb300+(1-cust_sh)*((1-Sens!$F$2142)*tk_ox_gb300+Sens!$F$2142*tk_ox_vr200)</f>
        <v>1.98263481314457</v>
      </c>
      <c r="G2144" s="36" t="n">
        <f aca="false">cust_sh*tk_ox_gb300+(1-cust_sh)*((1-Sens!$G$2142)*tk_ox_gb300+Sens!$G$2142*tk_ox_vr200)</f>
        <v>1.98263481314457</v>
      </c>
      <c r="H2144" s="36" t="n">
        <f aca="false">cust_sh*tk_ox_gb300+(1-cust_sh)*((1-Sens!$H$2142)*tk_ox_gb300+Sens!$H$2142*tk_ox_vr200)</f>
        <v>2.01034999693694</v>
      </c>
      <c r="I2144" s="36" t="n">
        <f aca="false">cust_sh*tk_ox_gb300+(1-cust_sh)*((1-Sens!$I$2142)*tk_ox_gb300+Sens!$I$2142*tk_ox_vr200)</f>
        <v>2.0380651807293</v>
      </c>
      <c r="J2144" s="36" t="n">
        <f aca="false">cust_sh*tk_ox_gb300+(1-cust_sh)*((1-Sens!$J$2142)*tk_ox_gb300+Sens!$J$2142*tk_ox_vr200)</f>
        <v>2.0380651807293</v>
      </c>
      <c r="K2144" s="36" t="n">
        <f aca="false">cust_sh*tk_ox_gb300+(1-cust_sh)*((1-Sens!$K$2142)*tk_ox_gb300+Sens!$K$2142*tk_ox_vr200)</f>
        <v>2.0380651807293</v>
      </c>
      <c r="L2144" s="36" t="n">
        <f aca="false">cust_sh*tk_ox_gb300+(1-cust_sh)*((1-Sens!$L$2142)*tk_ox_gb300+Sens!$L$2142*tk_ox_vr200)</f>
        <v>2.0380651807293</v>
      </c>
      <c r="M2144" s="36" t="n">
        <f aca="false">cust_sh*tk_ox_gb300+(1-cust_sh)*((1-Sens!$M$2142)*tk_ox_gb300+Sens!$M$2142*tk_ox_vr200)</f>
        <v>2.0380651807293</v>
      </c>
    </row>
    <row r="2145" customFormat="false" ht="17.15" hidden="false" customHeight="false" outlineLevel="0" collapsed="false">
      <c r="A2145" s="5" t="s">
        <v>563</v>
      </c>
      <c r="B2145" s="0" t="s">
        <v>170</v>
      </c>
      <c r="F2145" s="36" t="n">
        <f aca="false">cust_sh*tk_cx_gb300*cf_cx_lo+(1-cust_sh)*((1-Sens!$F$2142)*tk_cx_gb300+Sens!$F$2142*tk_cx_vr200)</f>
        <v>27.4016404</v>
      </c>
      <c r="G2145" s="36" t="n">
        <f aca="false">cust_sh*tk_cx_gb300*cf_cx_lo+(1-cust_sh)*((1-Sens!$G$2142)*tk_cx_gb300+Sens!$G$2142*tk_cx_vr200)</f>
        <v>27.4016404</v>
      </c>
      <c r="H2145" s="36" t="n">
        <f aca="false">cust_sh*tk_cx_gb300*cf_cx_lo+(1-cust_sh)*((1-Sens!$H$2142)*tk_cx_gb300+Sens!$H$2142*tk_cx_vr200)</f>
        <v>28.7389224</v>
      </c>
      <c r="I2145" s="36" t="n">
        <f aca="false">cust_sh*tk_cx_gb300*cf_cx_lo+(1-cust_sh)*((1-Sens!$I$2142)*tk_cx_gb300+Sens!$I$2142*tk_cx_vr200)</f>
        <v>30.0762044</v>
      </c>
      <c r="J2145" s="36" t="n">
        <f aca="false">cust_sh*tk_cx_gb300*cf_cx_lo+(1-cust_sh)*((1-Sens!$J$2142)*tk_cx_gb300+Sens!$J$2142*tk_cx_vr200)</f>
        <v>30.0762044</v>
      </c>
      <c r="K2145" s="36" t="n">
        <f aca="false">cust_sh*tk_cx_gb300*cf_cx_lo+(1-cust_sh)*((1-Sens!$K$2142)*tk_cx_gb300+Sens!$K$2142*tk_cx_vr200)</f>
        <v>30.0762044</v>
      </c>
      <c r="L2145" s="36" t="n">
        <f aca="false">cust_sh*tk_cx_gb300*cf_cx_lo+(1-cust_sh)*((1-Sens!$L$2142)*tk_cx_gb300+Sens!$L$2142*tk_cx_vr200)</f>
        <v>30.0762044</v>
      </c>
      <c r="M2145" s="36" t="n">
        <f aca="false">cust_sh*tk_cx_gb300*cf_cx_lo+(1-cust_sh)*((1-Sens!$M$2142)*tk_cx_gb300+Sens!$M$2142*tk_cx_vr200)</f>
        <v>30.0762044</v>
      </c>
    </row>
    <row r="2146" customFormat="false" ht="17.15" hidden="false" customHeight="false" outlineLevel="0" collapsed="false">
      <c r="A2146" s="5" t="s">
        <v>564</v>
      </c>
      <c r="B2146" s="0" t="s">
        <v>108</v>
      </c>
      <c r="F2146" s="33" t="n">
        <f aca="false">Sens!$F$2136-mw_open</f>
        <v>1817.15</v>
      </c>
      <c r="G2146" s="33" t="n">
        <f aca="false">Sens!$F$2146</f>
        <v>1817.15</v>
      </c>
      <c r="H2146" s="33" t="n">
        <f aca="false">Sens!$H$2136-mw_open</f>
        <v>5451.45</v>
      </c>
      <c r="I2146" s="33" t="n">
        <f aca="false">Sens!$I$2136-mw_open</f>
        <v>9085.75</v>
      </c>
      <c r="J2146" s="33" t="n">
        <f aca="false">Sens!$J$2136-mw_open</f>
        <v>12720.05</v>
      </c>
      <c r="K2146" s="33" t="n">
        <f aca="false">Sens!$K$2136-mw_open</f>
        <v>16354.35</v>
      </c>
      <c r="L2146" s="33" t="n">
        <f aca="false">Sens!$L$2136-mw_open</f>
        <v>19988.65</v>
      </c>
      <c r="M2146" s="33" t="n">
        <f aca="false">Sens!$M$2136-mw_open</f>
        <v>23622.95</v>
      </c>
    </row>
    <row r="2147" customFormat="false" ht="17.15" hidden="false" customHeight="false" outlineLevel="0" collapsed="false">
      <c r="A2147" s="0" t="s">
        <v>565</v>
      </c>
      <c r="B2147" s="0" t="s">
        <v>566</v>
      </c>
      <c r="F2147" s="33" t="n">
        <f aca="false">Sens!$F$2139*Sens!$F$2143</f>
        <v>16814.9054896117</v>
      </c>
      <c r="G2147" s="33" t="n">
        <f aca="false">Sens!$F$2147</f>
        <v>16814.9054896117</v>
      </c>
      <c r="H2147" s="33" t="n">
        <f aca="false">Sens!$G$2147+Sens!$H$2139*Sens!$H$2143</f>
        <v>51661.352910583</v>
      </c>
      <c r="I2147" s="33" t="n">
        <f aca="false">Sens!$H$2147+Sens!$I$2139*Sens!$I$2143</f>
        <v>87724.436773302</v>
      </c>
      <c r="J2147" s="33" t="n">
        <f aca="false">Sens!$I$2147+Sens!$J$2139*Sens!$J$2143</f>
        <v>123787.520636021</v>
      </c>
      <c r="K2147" s="33" t="n">
        <f aca="false">Sens!$J$2147+Sens!$K$2139*Sens!$K$2143</f>
        <v>159850.60449874</v>
      </c>
      <c r="L2147" s="33" t="n">
        <f aca="false">Sens!$K$2147+Sens!$L$2139*Sens!$L$2143</f>
        <v>195913.688361459</v>
      </c>
      <c r="M2147" s="33" t="n">
        <f aca="false">Sens!$L$2147+Sens!$M$2139*Sens!$M$2143</f>
        <v>231976.772224178</v>
      </c>
    </row>
    <row r="2148" customFormat="false" ht="17.15" hidden="false" customHeight="false" outlineLevel="0" collapsed="false">
      <c r="A2148" s="0" t="s">
        <v>567</v>
      </c>
      <c r="B2148" s="0" t="s">
        <v>566</v>
      </c>
      <c r="F2148" s="33" t="n">
        <f aca="false">Sens!$F$2139*Sens!$F$2144</f>
        <v>3602.74485070566</v>
      </c>
      <c r="G2148" s="33" t="n">
        <f aca="false">Sens!$F$2148</f>
        <v>3602.74485070566</v>
      </c>
      <c r="H2148" s="33" t="n">
        <f aca="false">Sens!$G$2148+Sens!$H$2139*Sens!$H$2144</f>
        <v>10908.9598445736</v>
      </c>
      <c r="I2148" s="33" t="n">
        <f aca="false">Sens!$H$2148+Sens!$I$2139*Sens!$I$2144</f>
        <v>18315.9001308981</v>
      </c>
      <c r="J2148" s="33" t="n">
        <f aca="false">Sens!$I$2148+Sens!$J$2139*Sens!$J$2144</f>
        <v>25722.8404172225</v>
      </c>
      <c r="K2148" s="33" t="n">
        <f aca="false">Sens!$J$2148+Sens!$K$2139*Sens!$K$2144</f>
        <v>33129.780703547</v>
      </c>
      <c r="L2148" s="33" t="n">
        <f aca="false">Sens!$K$2148+Sens!$L$2139*Sens!$L$2144</f>
        <v>40536.7209898715</v>
      </c>
      <c r="M2148" s="33" t="n">
        <f aca="false">Sens!$L$2148+Sens!$M$2139*Sens!$M$2144</f>
        <v>47943.661276196</v>
      </c>
    </row>
    <row r="2149" customFormat="false" ht="17.15" hidden="false" customHeight="false" outlineLevel="0" collapsed="false">
      <c r="A2149" s="5" t="s">
        <v>568</v>
      </c>
      <c r="B2149" s="0" t="s">
        <v>151</v>
      </c>
      <c r="F2149" s="36" t="n">
        <f aca="false">IF(Sens!$F$2146&gt;0,Sens!$F$2147/Sens!$F$2146,Sens!$F$2143)</f>
        <v>9.25344935179358</v>
      </c>
      <c r="G2149" s="36" t="n">
        <f aca="false">IF(Sens!$G$2146&gt;0,Sens!$G$2147/Sens!$G$2146,Sens!$G$2143)</f>
        <v>9.25344935179358</v>
      </c>
      <c r="H2149" s="36" t="n">
        <f aca="false">IF(Sens!$H$2146&gt;0,Sens!$H$2147/Sens!$H$2146,Sens!$H$2143)</f>
        <v>9.47662601887258</v>
      </c>
      <c r="I2149" s="36" t="n">
        <f aca="false">IF(Sens!$I$2146&gt;0,Sens!$I$2147/Sens!$I$2146,Sens!$I$2143)</f>
        <v>9.65516735253578</v>
      </c>
      <c r="J2149" s="36" t="n">
        <f aca="false">IF(Sens!$J$2146&gt;0,Sens!$J$2147/Sens!$J$2146,Sens!$J$2143)</f>
        <v>9.73168506696287</v>
      </c>
      <c r="K2149" s="36" t="n">
        <f aca="false">IF(Sens!$K$2146&gt;0,Sens!$K$2147/Sens!$K$2146,Sens!$K$2143)</f>
        <v>9.77419490831125</v>
      </c>
      <c r="L2149" s="36" t="n">
        <f aca="false">IF(Sens!$L$2146&gt;0,Sens!$L$2147/Sens!$L$2146,Sens!$L$2143)</f>
        <v>9.80124662553295</v>
      </c>
      <c r="M2149" s="36" t="n">
        <f aca="false">IF(Sens!$M$2146&gt;0,Sens!$M$2147/Sens!$M$2146,Sens!$M$2143)</f>
        <v>9.81997473745566</v>
      </c>
    </row>
    <row r="2150" customFormat="false" ht="17.15" hidden="false" customHeight="false" outlineLevel="0" collapsed="false">
      <c r="A2150" s="5" t="s">
        <v>569</v>
      </c>
      <c r="B2150" s="0" t="s">
        <v>151</v>
      </c>
      <c r="F2150" s="36" t="n">
        <f aca="false">IF(Sens!$F$2146&gt;0,Sens!$F$2148/Sens!$F$2146,Sens!$F$2144)</f>
        <v>1.98263481314457</v>
      </c>
      <c r="G2150" s="36" t="n">
        <f aca="false">IF(Sens!$G$2146&gt;0,Sens!$G$2148/Sens!$G$2146,Sens!$G$2144)</f>
        <v>1.98263481314457</v>
      </c>
      <c r="H2150" s="36" t="n">
        <f aca="false">IF(Sens!$H$2146&gt;0,Sens!$H$2148/Sens!$H$2146,Sens!$H$2144)</f>
        <v>2.00111160233948</v>
      </c>
      <c r="I2150" s="36" t="n">
        <f aca="false">IF(Sens!$I$2146&gt;0,Sens!$I$2148/Sens!$I$2146,Sens!$I$2144)</f>
        <v>2.01589303369541</v>
      </c>
      <c r="J2150" s="36" t="n">
        <f aca="false">IF(Sens!$J$2146&gt;0,Sens!$J$2148/Sens!$J$2146,Sens!$J$2144)</f>
        <v>2.02222793284795</v>
      </c>
      <c r="K2150" s="36" t="n">
        <f aca="false">IF(Sens!$K$2146&gt;0,Sens!$K$2148/Sens!$K$2146,Sens!$K$2144)</f>
        <v>2.02574732126603</v>
      </c>
      <c r="L2150" s="36" t="n">
        <f aca="false">IF(Sens!$L$2146&gt;0,Sens!$L$2148/Sens!$L$2146,Sens!$L$2144)</f>
        <v>2.02798693207753</v>
      </c>
      <c r="M2150" s="36" t="n">
        <f aca="false">IF(Sens!$M$2146&gt;0,Sens!$M$2148/Sens!$M$2146,Sens!$M$2144)</f>
        <v>2.02953743187011</v>
      </c>
    </row>
    <row r="2151" customFormat="false" ht="17.15" hidden="false" customHeight="false" outlineLevel="0" collapsed="false">
      <c r="A2151" s="14" t="s">
        <v>570</v>
      </c>
      <c r="B2151" s="13" t="s">
        <v>151</v>
      </c>
      <c r="C2151" s="13"/>
      <c r="D2151" s="13"/>
      <c r="E2151" s="13"/>
      <c r="F2151" s="37" t="n">
        <f aca="false">Sens!$F$2149*k_B</f>
        <v>9.17894989368216</v>
      </c>
      <c r="G2151" s="37" t="n">
        <f aca="false">Sens!$G$2149*k_B</f>
        <v>9.17894989368216</v>
      </c>
      <c r="H2151" s="37" t="n">
        <f aca="false">Sens!$H$2149*k_B</f>
        <v>9.40032976692478</v>
      </c>
      <c r="I2151" s="37" t="n">
        <f aca="false">Sens!$I$2149*k_B</f>
        <v>9.57743366551888</v>
      </c>
      <c r="J2151" s="37" t="n">
        <f aca="false">Sens!$J$2149*k_B</f>
        <v>9.65333533634493</v>
      </c>
      <c r="K2151" s="37" t="n">
        <f aca="false">Sens!$K$2149*k_B</f>
        <v>9.69550293124828</v>
      </c>
      <c r="L2151" s="37" t="n">
        <f aca="false">Sens!$L$2149*k_B</f>
        <v>9.72233685527769</v>
      </c>
      <c r="M2151" s="37" t="n">
        <f aca="false">Sens!$M$2149*k_B</f>
        <v>9.74091418729805</v>
      </c>
      <c r="N2151" s="13"/>
      <c r="O2151" s="13"/>
      <c r="P2151" s="5" t="s">
        <v>571</v>
      </c>
    </row>
    <row r="2152" customFormat="false" ht="17.15" hidden="false" customHeight="false" outlineLevel="0" collapsed="false">
      <c r="A2152" s="5" t="s">
        <v>572</v>
      </c>
      <c r="B2152" s="0" t="s">
        <v>108</v>
      </c>
      <c r="F2152" s="33" t="n">
        <f aca="false">Sens!$F$2146/2</f>
        <v>908.575</v>
      </c>
      <c r="H2152" s="33" t="n">
        <f aca="false">(Sens!$G$2146+Sens!$H$2146)/2</f>
        <v>3634.3</v>
      </c>
      <c r="I2152" s="33" t="n">
        <f aca="false">(Sens!$H$2146+Sens!$I$2146)/2</f>
        <v>7268.6</v>
      </c>
      <c r="J2152" s="33" t="n">
        <f aca="false">(Sens!$I$2146+Sens!$J$2146)/2</f>
        <v>10902.9</v>
      </c>
      <c r="K2152" s="33" t="n">
        <f aca="false">(Sens!$J$2146+Sens!$K$2146)/2</f>
        <v>14537.2</v>
      </c>
      <c r="L2152" s="33" t="n">
        <f aca="false">(Sens!$K$2146+Sens!$L$2146)/2</f>
        <v>18171.5</v>
      </c>
      <c r="M2152" s="33" t="n">
        <f aca="false">(Sens!$L$2146+Sens!$M$2146)/2</f>
        <v>21805.8</v>
      </c>
    </row>
    <row r="2153" customFormat="false" ht="17.15" hidden="false" customHeight="false" outlineLevel="0" collapsed="false">
      <c r="A2153" s="1" t="s">
        <v>573</v>
      </c>
    </row>
    <row r="2154" customFormat="false" ht="17.15" hidden="false" customHeight="false" outlineLevel="0" collapsed="false">
      <c r="A2154" s="1" t="s">
        <v>574</v>
      </c>
      <c r="B2154" s="8" t="s">
        <v>73</v>
      </c>
      <c r="C2154" s="38" t="n">
        <f aca="false">Sens!$C$2137*rpm_open*Sens!$C$2138/1000</f>
        <v>2.32100535697364</v>
      </c>
      <c r="D2154" s="38" t="n">
        <f aca="false">Sens!$D$2137*rpm_open*Sens!$D$2138/1000</f>
        <v>8.70377008865116</v>
      </c>
      <c r="E2154" s="38" t="n">
        <f aca="false">Sens!$E$2137*rpm_open*Sens!$E$2138/1000</f>
        <v>8.51035297557002</v>
      </c>
      <c r="F2154" s="38" t="n">
        <f aca="false">(mw_open*rpm_open+Sens!$F$2152*Sens!$F$2151)*Sens!$F$2138/1000</f>
        <v>14.2275720800453</v>
      </c>
      <c r="G2154" s="38" t="n">
        <f aca="false">Sens!$E$2154+Sens!$F$2154</f>
        <v>22.7379250556153</v>
      </c>
      <c r="H2154" s="38" t="n">
        <f aca="false">(mw_open*rpm_open+Sens!$H$2152*Sens!$H$2151)/1000</f>
        <v>54.278998232373</v>
      </c>
      <c r="I2154" s="38" t="n">
        <f aca="false">(mw_open*rpm_open+Sens!$I$2152*Sens!$I$2151)/1000</f>
        <v>89.7299141016288</v>
      </c>
      <c r="J2154" s="38" t="n">
        <f aca="false">(mw_open*rpm_open+Sens!$J$2152*Sens!$J$2151)/1000</f>
        <v>125.364729599073</v>
      </c>
      <c r="K2154" s="38" t="n">
        <f aca="false">(mw_open*rpm_open+Sens!$K$2152*Sens!$K$2151)/1000</f>
        <v>161.060844972581</v>
      </c>
      <c r="L2154" s="38" t="n">
        <f aca="false">(mw_open*rpm_open+Sens!$L$2152*Sens!$L$2151)/1000</f>
        <v>196.784823926117</v>
      </c>
      <c r="M2154" s="38" t="n">
        <f aca="false">(mw_open*rpm_open+Sens!$M$2152*Sens!$M$2151)/1000</f>
        <v>232.523806345822</v>
      </c>
      <c r="N2154" s="38" t="n">
        <f aca="false">Sens!$N$2137*rpm_open*Sens!$N$2138/1000</f>
        <v>3.04631953102791</v>
      </c>
      <c r="O2154" s="38" t="n">
        <f aca="false">Sens!$O$2137*rpm_open*Sens!$O$2138/1000</f>
        <v>5.65745055762326</v>
      </c>
      <c r="P2154" s="5" t="s">
        <v>575</v>
      </c>
    </row>
    <row r="2155" customFormat="false" ht="17.15" hidden="false" customHeight="false" outlineLevel="0" collapsed="false">
      <c r="A2155" s="5" t="s">
        <v>576</v>
      </c>
      <c r="B2155" s="0" t="s">
        <v>151</v>
      </c>
      <c r="C2155" s="36" t="n">
        <f aca="false">Sens!$C$2154*1000/(Sens!$C$2137*Sens!$C$2138)</f>
        <v>9.67085565405685</v>
      </c>
      <c r="D2155" s="36" t="n">
        <f aca="false">Sens!$D$2154*1000/(Sens!$D$2137*Sens!$D$2138)</f>
        <v>9.67085565405685</v>
      </c>
      <c r="E2155" s="36" t="n">
        <f aca="false">Sens!$E$2154*1000/(Sens!$E$2137*Sens!$E$2138)</f>
        <v>9.67085565405685</v>
      </c>
      <c r="F2155" s="36" t="n">
        <f aca="false">Sens!$F$2154*1000/(Sens!$F$2137*Sens!$F$2138)</f>
        <v>9.52130836940365</v>
      </c>
      <c r="G2155" s="36" t="n">
        <f aca="false">Sens!$G$2154*1000/(Sens!$G$2137*Sens!$G$2138)</f>
        <v>9.57673620217235</v>
      </c>
      <c r="H2155" s="36" t="n">
        <f aca="false">Sens!$H$2154*1000/(Sens!$H$2137*Sens!$H$2138)</f>
        <v>9.49880094366291</v>
      </c>
      <c r="I2155" s="36" t="n">
        <f aca="false">Sens!$I$2154*1000/(Sens!$I$2137*Sens!$I$2138)</f>
        <v>9.59821942340338</v>
      </c>
      <c r="J2155" s="36" t="n">
        <f aca="false">Sens!$J$2154*1000/(Sens!$J$2137*Sens!$J$2138)</f>
        <v>9.65614227938853</v>
      </c>
      <c r="K2155" s="36" t="n">
        <f aca="false">Sens!$K$2154*1000/(Sens!$K$2137*Sens!$K$2138)</f>
        <v>9.69241779436853</v>
      </c>
      <c r="L2155" s="36" t="n">
        <f aca="false">Sens!$L$2154*1000/(Sens!$L$2137*Sens!$L$2138)</f>
        <v>9.71704930134147</v>
      </c>
      <c r="M2155" s="36" t="n">
        <f aca="false">Sens!$M$2154*1000/(Sens!$M$2137*Sens!$M$2138)</f>
        <v>9.7348134182578</v>
      </c>
      <c r="N2155" s="36" t="n">
        <f aca="false">Sens!$N$2154*1000/(Sens!$N$2137*Sens!$N$2138)</f>
        <v>9.67085565405685</v>
      </c>
      <c r="O2155" s="36" t="n">
        <f aca="false">Sens!$O$2154*1000/(Sens!$O$2137*Sens!$O$2138)</f>
        <v>9.67085565405685</v>
      </c>
    </row>
    <row r="2156" customFormat="false" ht="17.15" hidden="false" customHeight="false" outlineLevel="0" collapsed="false">
      <c r="A2156" s="0" t="s">
        <v>577</v>
      </c>
      <c r="B2156" s="0" t="s">
        <v>73</v>
      </c>
      <c r="C2156" s="38" t="n">
        <f aca="false">Sens!$C$2137/ext_sh*(ox_open+rent_mw)*Sens!$C$2138/1000</f>
        <v>0.642569210675032</v>
      </c>
      <c r="D2156" s="38" t="n">
        <f aca="false">Sens!$D$2137/ext_sh*(ox_open+rent_mw)*Sens!$D$2138/1000</f>
        <v>2.40963454003137</v>
      </c>
      <c r="E2156" s="38" t="n">
        <f aca="false">Sens!$E$2137/ext_sh*(ox_open+rent_mw)*Sens!$E$2138/1000</f>
        <v>2.35608710580845</v>
      </c>
      <c r="F2156" s="38" t="n">
        <f aca="false">((mw_open*ox_open+Sens!$F$2152*Sens!$F$2150)/ext_sh+Sens!$F$2137/ext_sh*rent_mw)*Sens!$F$2138/1000</f>
        <v>4.05421991106232</v>
      </c>
      <c r="G2156" s="38" t="n">
        <f aca="false">Sens!$E$2156+Sens!$F$2156</f>
        <v>6.41030701687077</v>
      </c>
      <c r="H2156" s="38" t="n">
        <f aca="false">((mw_open*ox_open+Sens!$H$2152*Sens!$H$2150)/ext_sh+Sens!$H$2137/ext_sh*rent_mw)*Sens!$H$2138/1000</f>
        <v>15.8108975546616</v>
      </c>
      <c r="I2156" s="38" t="n">
        <f aca="false">((mw_open*ox_open+Sens!$I$2152*Sens!$I$2150)/ext_sh+Sens!$I$2137/ext_sh*rent_mw)*Sens!$I$2138/1000</f>
        <v>26.1871623400817</v>
      </c>
      <c r="J2156" s="38" t="n">
        <f aca="false">((mw_open*ox_open+Sens!$J$2152*Sens!$J$2150)/ext_sh+Sens!$J$2137/ext_sh*rent_mw)*Sens!$J$2138/1000</f>
        <v>36.5826128954935</v>
      </c>
      <c r="K2156" s="38" t="n">
        <f aca="false">((mw_open*ox_open+Sens!$K$2152*Sens!$K$2150)/ext_sh+Sens!$K$2137/ext_sh*rent_mw)*Sens!$K$2138/1000</f>
        <v>46.9844587075692</v>
      </c>
      <c r="L2156" s="38" t="n">
        <f aca="false">((mw_open*ox_open+Sens!$L$2152*Sens!$L$2150)/ext_sh+Sens!$L$2137/ext_sh*rent_mw)*Sens!$L$2138/1000</f>
        <v>57.3892114544922</v>
      </c>
      <c r="M2156" s="38" t="n">
        <f aca="false">((mw_open*ox_open+Sens!$M$2152*Sens!$M$2150)/ext_sh+Sens!$M$2137/ext_sh*rent_mw)*Sens!$M$2138/1000</f>
        <v>67.7955294740252</v>
      </c>
      <c r="N2156" s="38" t="n">
        <f aca="false">Sens!$N$2137/ext_sh*(ox_open+rent_mw)*Sens!$N$2138/1000</f>
        <v>0.84337208901098</v>
      </c>
      <c r="O2156" s="38" t="n">
        <f aca="false">Sens!$O$2137/ext_sh*(ox_open+rent_mw)*Sens!$O$2138/1000</f>
        <v>1.56626245102039</v>
      </c>
    </row>
    <row r="2157" customFormat="false" ht="17.15" hidden="false" customHeight="false" outlineLevel="0" collapsed="false">
      <c r="A2157" s="0" t="s">
        <v>578</v>
      </c>
      <c r="B2157" s="0" t="s">
        <v>73</v>
      </c>
      <c r="C2157" s="38" t="n">
        <f aca="false">Q!$D$7</f>
        <v>107.556</v>
      </c>
      <c r="D2157" s="38" t="n">
        <f aca="false">Q!$E$7</f>
        <v>128.725</v>
      </c>
      <c r="E2157" s="38" t="n">
        <f aca="false">Q!$P$7</f>
        <v>79.819</v>
      </c>
      <c r="N2157" s="38" t="n">
        <f aca="false">Q!$N$7</f>
        <v>60.14</v>
      </c>
      <c r="O2157" s="38" t="n">
        <f aca="false">Q!$O$7</f>
        <v>68.585</v>
      </c>
    </row>
    <row r="2158" customFormat="false" ht="17.15" hidden="false" customHeight="false" outlineLevel="0" collapsed="false">
      <c r="A2158" s="1" t="s">
        <v>579</v>
      </c>
      <c r="B2158" s="8" t="s">
        <v>73</v>
      </c>
      <c r="C2158" s="38" t="n">
        <f aca="false">Sens!$C$2157-Sens!$C$2154</f>
        <v>105.234994643026</v>
      </c>
      <c r="D2158" s="38" t="n">
        <f aca="false">Sens!$D$2157-Sens!$D$2154</f>
        <v>120.021229911349</v>
      </c>
      <c r="E2158" s="38" t="n">
        <f aca="false">Sens!$E$2157-Sens!$E$2154</f>
        <v>71.30864702443</v>
      </c>
      <c r="F2158" s="38" t="n">
        <f aca="false">Sens!$O$2158*(1+Sens!$F$2159)</f>
        <v>78.5950104186653</v>
      </c>
      <c r="G2158" s="38" t="n">
        <f aca="false">Sens!$E$2158+Sens!$F$2158</f>
        <v>149.903657443095</v>
      </c>
      <c r="H2158" s="38" t="n">
        <f aca="false">Sens!$G$2158*(1+Sens!$H$2159)</f>
        <v>180.893560768142</v>
      </c>
      <c r="I2158" s="38" t="n">
        <f aca="false">Sens!$H$2158*(1+Sens!$I$2159)</f>
        <v>210.64839721501</v>
      </c>
      <c r="J2158" s="38" t="n">
        <f aca="false">Sens!$I$2158*(1+Sens!$J$2159)</f>
        <v>236.398909446495</v>
      </c>
      <c r="K2158" s="38" t="n">
        <f aca="false">Sens!$J$2158*(1+Sens!$K$2159)</f>
        <v>255.310822202215</v>
      </c>
      <c r="L2158" s="38" t="n">
        <f aca="false">Sens!$K$2158*(1+Sens!$L$2159)</f>
        <v>275.735687978392</v>
      </c>
      <c r="M2158" s="38" t="n">
        <f aca="false">Sens!$L$2158*(1+Sens!$M$2159)</f>
        <v>297.794543016663</v>
      </c>
      <c r="N2158" s="38" t="n">
        <f aca="false">Sens!$N$2157-Sens!$N$2154</f>
        <v>57.0936804689721</v>
      </c>
      <c r="O2158" s="38" t="n">
        <f aca="false">Sens!$O$2157-Sens!$O$2154</f>
        <v>62.9275494423768</v>
      </c>
      <c r="P2158" s="5" t="s">
        <v>580</v>
      </c>
    </row>
    <row r="2159" customFormat="false" ht="17.15" hidden="false" customHeight="false" outlineLevel="0" collapsed="false">
      <c r="A2159" s="0" t="s">
        <v>581</v>
      </c>
      <c r="B2159" s="0" t="s">
        <v>52</v>
      </c>
      <c r="E2159" s="12" t="n">
        <f aca="false">Sens!$E$2158/Sens!$N$2158-1</f>
        <v>0.248976181579029</v>
      </c>
      <c r="F2159" s="12" t="n">
        <f aca="false">Sens!$E$2159</f>
        <v>0.248976181579029</v>
      </c>
      <c r="G2159" s="12" t="n">
        <f aca="false">Sens!$G$2158/Sens!$D$2158-1</f>
        <v>0.248976181579029</v>
      </c>
      <c r="H2159" s="12" t="n">
        <f aca="false">Sens!$E$2159+(g_awso_lt-Sens!$E$2159)*1/4</f>
        <v>0.206732136184272</v>
      </c>
      <c r="I2159" s="12" t="n">
        <f aca="false">Sens!$E$2159+(g_awso_lt-Sens!$E$2159)*2/4</f>
        <v>0.164488090789515</v>
      </c>
      <c r="J2159" s="12" t="n">
        <f aca="false">Sens!$E$2159+(g_awso_lt-Sens!$E$2159)*3/4</f>
        <v>0.122244045394757</v>
      </c>
      <c r="K2159" s="12" t="n">
        <f aca="false">Sens!$E$2159+(g_awso_lt-Sens!$E$2159)*4/4</f>
        <v>0.08</v>
      </c>
      <c r="L2159" s="12" t="n">
        <f aca="false">g_awso_lt</f>
        <v>0.08</v>
      </c>
      <c r="M2159" s="12" t="n">
        <f aca="false">g_awso_lt</f>
        <v>0.08</v>
      </c>
      <c r="P2159" s="8" t="s">
        <v>582</v>
      </c>
    </row>
    <row r="2160" customFormat="false" ht="17.15" hidden="false" customHeight="false" outlineLevel="0" collapsed="false">
      <c r="A2160" s="1" t="s">
        <v>583</v>
      </c>
    </row>
    <row r="2161" customFormat="false" ht="17.15" hidden="false" customHeight="false" outlineLevel="0" collapsed="false">
      <c r="A2161" s="0" t="s">
        <v>584</v>
      </c>
      <c r="B2161" s="0" t="s">
        <v>73</v>
      </c>
      <c r="F2161" s="38" t="n">
        <f aca="false">cx_rt*Sens!$F$2127+cx_awso*Sens!$F$2158</f>
        <v>36.8045765066526</v>
      </c>
    </row>
    <row r="2162" customFormat="false" ht="17.15" hidden="false" customHeight="false" outlineLevel="0" collapsed="false">
      <c r="A2162" s="0" t="s">
        <v>585</v>
      </c>
      <c r="B2162" s="0" t="s">
        <v>52</v>
      </c>
      <c r="C2162" s="12" t="n">
        <f aca="false">tk_cx_h100/(tk_cx_h100+tk_fac*(1-colo_sh))</f>
        <v>0.730756458006641</v>
      </c>
      <c r="D2162" s="12" t="n">
        <f aca="false">tk_cx_h100/(tk_cx_h100+tk_fac*(1-colo_sh))</f>
        <v>0.730756458006641</v>
      </c>
      <c r="E2162" s="12" t="n">
        <f aca="false">Sens!$F$2162</f>
        <v>0.729977699930228</v>
      </c>
      <c r="F2162" s="12" t="n">
        <f aca="false">Sens!$F$2145/(Sens!$F$2145+tk_fac*(1-colo_sh))</f>
        <v>0.729977699930228</v>
      </c>
      <c r="G2162" s="12" t="n">
        <f aca="false">Sens!$G$2145/(Sens!$G$2145+tk_fac*(1-colo_sh))</f>
        <v>0.729977699930228</v>
      </c>
      <c r="H2162" s="12" t="n">
        <f aca="false">Sens!$H$2145/(Sens!$H$2145+tk_fac*(1-colo_sh))</f>
        <v>0.739266360567706</v>
      </c>
      <c r="I2162" s="12" t="n">
        <f aca="false">Sens!$I$2145/(Sens!$I$2145+tk_fac*(1-colo_sh))</f>
        <v>0.747937220770717</v>
      </c>
      <c r="J2162" s="12" t="n">
        <f aca="false">Sens!$J$2145/(Sens!$J$2145+tk_fac*(1-colo_sh))</f>
        <v>0.747937220770717</v>
      </c>
      <c r="K2162" s="12" t="n">
        <f aca="false">Sens!$K$2145/(Sens!$K$2145+tk_fac*(1-colo_sh))</f>
        <v>0.747937220770717</v>
      </c>
      <c r="L2162" s="12" t="n">
        <f aca="false">Sens!$L$2145/(Sens!$L$2145+tk_fac*(1-colo_sh))</f>
        <v>0.747937220770717</v>
      </c>
      <c r="M2162" s="12" t="n">
        <f aca="false">Sens!$M$2145/(Sens!$M$2145+tk_fac*(1-colo_sh))</f>
        <v>0.747937220770717</v>
      </c>
    </row>
    <row r="2163" customFormat="false" ht="17.15" hidden="false" customHeight="false" outlineLevel="0" collapsed="false">
      <c r="A2163" s="1" t="s">
        <v>586</v>
      </c>
      <c r="B2163" s="8" t="s">
        <v>73</v>
      </c>
      <c r="C2163" s="38" t="n">
        <f aca="false">Q!$D$46-cx_rt*Q!$D$16-cx_awso*Sens!$C$2158</f>
        <v>25.2781053077374</v>
      </c>
      <c r="D2163" s="38" t="n">
        <f aca="false">Q!$E$46-cx_rt*Q!$E$16-cx_awso*Sens!$D$2158</f>
        <v>69.5686316310026</v>
      </c>
      <c r="E2163" s="38" t="n">
        <f aca="false">Q!$P$46-cx_rt*Q!$P$16-cx_awso*Sens!$E$2158</f>
        <v>64.1899206485108</v>
      </c>
      <c r="F2163" s="38" t="n">
        <f aca="false">MAX(Sens!$F$2140*(Sens!$F$2145+tk_fac*(1-colo_sh))/1000,capex_g26-Q!$P$46-Sens!$F$2161)</f>
        <v>86.8854234933474</v>
      </c>
      <c r="G2163" s="38" t="n">
        <f aca="false">Sens!$E$2163+Sens!$F$2163</f>
        <v>151.075344141858</v>
      </c>
      <c r="H2163" s="38" t="n">
        <f aca="false">Sens!$H$2140*(Sens!$H$2145+tk_fac*(1-colo_sh))/1000+Sens!$H$2164</f>
        <v>176.6039130979</v>
      </c>
      <c r="I2163" s="38" t="n">
        <f aca="false">Sens!$I$2140*(Sens!$I$2145+tk_fac*(1-colo_sh))/1000+Sens!$I$2164</f>
        <v>182.67901806365</v>
      </c>
      <c r="J2163" s="38" t="n">
        <f aca="false">Sens!$J$2140*(Sens!$J$2145+tk_fac*(1-colo_sh))/1000+Sens!$J$2164</f>
        <v>187.19044872365</v>
      </c>
      <c r="K2163" s="38" t="n">
        <f aca="false">Sens!$K$2140*(Sens!$K$2145+tk_fac*(1-colo_sh))/1000+Sens!$K$2164</f>
        <v>191.70187938365</v>
      </c>
      <c r="L2163" s="38" t="n">
        <f aca="false">Sens!$L$2140*(Sens!$L$2145+tk_fac*(1-colo_sh))/1000+Sens!$L$2164</f>
        <v>223.28189400365</v>
      </c>
      <c r="M2163" s="38" t="n">
        <f aca="false">Sens!$M$2140*(Sens!$M$2145+tk_fac*(1-colo_sh))/1000+Sens!$M$2164</f>
        <v>275.056200115475</v>
      </c>
      <c r="P2163" s="5" t="s">
        <v>587</v>
      </c>
      <c r="R2163" s="38" t="n">
        <f aca="false">Q!$C$46-cx_rt*Q!$C$16-cx_awso*(Q!$C$7-mw_ye23/2*rpm_open/1000)</f>
        <v>1.50429979529945</v>
      </c>
      <c r="S2163" s="38" t="n">
        <f aca="false">Sens!$C$2163</f>
        <v>25.2781053077374</v>
      </c>
      <c r="T2163" s="38" t="n">
        <f aca="false">Sens!$D$2163</f>
        <v>69.5686316310026</v>
      </c>
      <c r="U2163" s="38" t="n">
        <f aca="false">Sens!$G$2163</f>
        <v>151.075344141858</v>
      </c>
      <c r="V2163" s="38" t="n">
        <f aca="false">Sens!$H$2163</f>
        <v>176.6039130979</v>
      </c>
      <c r="W2163" s="38" t="n">
        <f aca="false">Sens!$I$2163</f>
        <v>182.67901806365</v>
      </c>
      <c r="X2163" s="38" t="n">
        <f aca="false">Sens!$J$2163</f>
        <v>187.19044872365</v>
      </c>
      <c r="Y2163" s="38" t="n">
        <f aca="false">Sens!$K$2163</f>
        <v>191.70187938365</v>
      </c>
      <c r="Z2163" s="38" t="n">
        <f aca="false">Sens!$L$2163</f>
        <v>223.28189400365</v>
      </c>
      <c r="AA2163" s="38" t="n">
        <f aca="false">Sens!$M$2163</f>
        <v>275.056200115475</v>
      </c>
    </row>
    <row r="2164" customFormat="false" ht="17.15" hidden="false" customHeight="false" outlineLevel="0" collapsed="false">
      <c r="A2164" s="0" t="s">
        <v>588</v>
      </c>
      <c r="B2164" s="0" t="s">
        <v>73</v>
      </c>
      <c r="H2164" s="38" t="n">
        <f aca="false">SUMPRODUCT(--(Sens!$R$2134:$AA$2134=2027-tk_life),Sens!$R$2140:$AA$2140)*Sens!$H$2145/1000</f>
        <v>0</v>
      </c>
      <c r="I2164" s="38" t="n">
        <f aca="false">SUMPRODUCT(--(Sens!$R$2134:$AA$2134=2028-tk_life),Sens!$R$2140:$AA$2140)*Sens!$I$2145/1000</f>
        <v>0</v>
      </c>
      <c r="J2164" s="38" t="n">
        <f aca="false">SUMPRODUCT(--(Sens!$R$2134:$AA$2134=2029-tk_life),Sens!$R$2140:$AA$2140)*Sens!$J$2145/1000</f>
        <v>4.51143066</v>
      </c>
      <c r="K2164" s="38" t="n">
        <f aca="false">SUMPRODUCT(--(Sens!$R$2134:$AA$2134=2030-tk_life),Sens!$R$2140:$AA$2140)*Sens!$K$2145/1000</f>
        <v>9.02286132</v>
      </c>
      <c r="L2164" s="38" t="n">
        <f aca="false">SUMPRODUCT(--(Sens!$R$2134:$AA$2134=2031-tk_life),Sens!$R$2140:$AA$2140)*Sens!$L$2145/1000</f>
        <v>40.60287594</v>
      </c>
      <c r="M2164" s="38" t="n">
        <f aca="false">SUMPRODUCT(--(Sens!$R$2134:$AA$2134=2032-tk_life),Sens!$R$2140:$AA$2140)*Sens!$M$2145/1000</f>
        <v>92.377182051825</v>
      </c>
    </row>
    <row r="2165" customFormat="false" ht="17.15" hidden="false" customHeight="false" outlineLevel="0" collapsed="false">
      <c r="A2165" s="5" t="s">
        <v>589</v>
      </c>
      <c r="B2165" s="0" t="s">
        <v>73</v>
      </c>
      <c r="C2165" s="38" t="n">
        <f aca="false">Sens!$C$2163*Sens!$C$2162</f>
        <v>18.472138699801</v>
      </c>
      <c r="D2165" s="38" t="n">
        <f aca="false">Sens!$D$2163*Sens!$D$2162</f>
        <v>50.8377268390402</v>
      </c>
      <c r="E2165" s="38" t="n">
        <f aca="false">Sens!$E$2163*Sens!$E$2162</f>
        <v>46.8572106337037</v>
      </c>
      <c r="F2165" s="38" t="n">
        <f aca="false">Sens!$F$2163*Sens!$F$2162</f>
        <v>63.4244215991375</v>
      </c>
      <c r="G2165" s="38" t="n">
        <f aca="false">Sens!$E$2165+Sens!$F$2165</f>
        <v>110.281632232841</v>
      </c>
      <c r="H2165" s="38" t="n">
        <f aca="false">(Sens!$H$2163-Sens!$H$2164)*Sens!$H$2162+Sens!$H$2164</f>
        <v>130.5573320979</v>
      </c>
      <c r="I2165" s="38" t="n">
        <f aca="false">(Sens!$I$2163-Sens!$I$2164)*Sens!$I$2162+Sens!$I$2164</f>
        <v>136.63243706365</v>
      </c>
      <c r="J2165" s="38" t="n">
        <f aca="false">(Sens!$J$2163-Sens!$J$2164)*Sens!$J$2162+Sens!$J$2164</f>
        <v>141.14386772365</v>
      </c>
      <c r="K2165" s="38" t="n">
        <f aca="false">(Sens!$K$2163-Sens!$K$2164)*Sens!$K$2162+Sens!$K$2164</f>
        <v>145.65529838365</v>
      </c>
      <c r="L2165" s="38" t="n">
        <f aca="false">(Sens!$L$2163-Sens!$L$2164)*Sens!$L$2162+Sens!$L$2164</f>
        <v>177.23531300365</v>
      </c>
      <c r="M2165" s="38" t="n">
        <f aca="false">(Sens!$M$2163-Sens!$M$2164)*Sens!$M$2162+Sens!$M$2164</f>
        <v>229.009619115475</v>
      </c>
      <c r="R2165" s="38" t="n">
        <f aca="false">Sens!$R$2163*Sens!$C$2162</f>
        <v>1.09927679019314</v>
      </c>
      <c r="S2165" s="38" t="n">
        <f aca="false">Sens!$C$2165</f>
        <v>18.472138699801</v>
      </c>
      <c r="T2165" s="38" t="n">
        <f aca="false">Sens!$D$2165</f>
        <v>50.8377268390402</v>
      </c>
      <c r="U2165" s="38" t="n">
        <f aca="false">Sens!$G$2165</f>
        <v>110.281632232841</v>
      </c>
      <c r="V2165" s="38" t="n">
        <f aca="false">Sens!$H$2165</f>
        <v>130.5573320979</v>
      </c>
      <c r="W2165" s="38" t="n">
        <f aca="false">Sens!$I$2165</f>
        <v>136.63243706365</v>
      </c>
      <c r="X2165" s="38" t="n">
        <f aca="false">Sens!$J$2165</f>
        <v>141.14386772365</v>
      </c>
      <c r="Y2165" s="38" t="n">
        <f aca="false">Sens!$K$2165</f>
        <v>145.65529838365</v>
      </c>
      <c r="Z2165" s="38" t="n">
        <f aca="false">Sens!$L$2165</f>
        <v>177.23531300365</v>
      </c>
      <c r="AA2165" s="38" t="n">
        <f aca="false">Sens!$M$2165</f>
        <v>229.009619115475</v>
      </c>
    </row>
    <row r="2166" customFormat="false" ht="15" hidden="false" customHeight="false" outlineLevel="0" collapsed="false">
      <c r="A2166" s="5" t="s">
        <v>590</v>
      </c>
      <c r="B2166" s="0" t="s">
        <v>73</v>
      </c>
      <c r="R2166" s="38" t="n">
        <f aca="false">Sens!$R$2163-Sens!$R$2165</f>
        <v>0.405023005106309</v>
      </c>
      <c r="S2166" s="38" t="n">
        <f aca="false">Sens!$S$2163-Sens!$S$2165</f>
        <v>6.80596660793636</v>
      </c>
      <c r="T2166" s="38" t="n">
        <f aca="false">Sens!$T$2163-Sens!$T$2165</f>
        <v>18.7309047919624</v>
      </c>
      <c r="U2166" s="38" t="n">
        <f aca="false">Sens!$U$2163-Sens!$U$2165</f>
        <v>40.7937119090169</v>
      </c>
      <c r="V2166" s="38" t="n">
        <f aca="false">Sens!$V$2163-Sens!$V$2165</f>
        <v>46.046581</v>
      </c>
      <c r="W2166" s="38" t="n">
        <f aca="false">Sens!$W$2163-Sens!$W$2165</f>
        <v>46.046581</v>
      </c>
      <c r="X2166" s="38" t="n">
        <f aca="false">Sens!$X$2163-Sens!$X$2165</f>
        <v>46.046581</v>
      </c>
      <c r="Y2166" s="38" t="n">
        <f aca="false">Sens!$Y$2163-Sens!$Y$2165</f>
        <v>46.046581</v>
      </c>
      <c r="Z2166" s="38" t="n">
        <f aca="false">Sens!$Z$2163-Sens!$Z$2165</f>
        <v>46.046581</v>
      </c>
      <c r="AA2166" s="38" t="n">
        <f aca="false">Sens!$AA$2163-Sens!$AA$2165</f>
        <v>46.046581</v>
      </c>
    </row>
    <row r="2167" customFormat="false" ht="17.15" hidden="false" customHeight="false" outlineLevel="0" collapsed="false">
      <c r="A2167" s="0" t="s">
        <v>591</v>
      </c>
      <c r="B2167" s="0" t="s">
        <v>73</v>
      </c>
      <c r="C2167" s="38" t="n">
        <f aca="false">Sens!$S$2167</f>
        <v>0.183212798365523</v>
      </c>
      <c r="D2167" s="38" t="n">
        <f aca="false">Sens!$T$2167</f>
        <v>3.2619025816657</v>
      </c>
      <c r="E2167" s="38" t="n">
        <f aca="false">Sens!$G$2167/2</f>
        <v>5.86742852741953</v>
      </c>
      <c r="F2167" s="38" t="n">
        <f aca="false">Sens!$G$2167/2</f>
        <v>5.86742852741953</v>
      </c>
      <c r="G2167" s="38" t="n">
        <f aca="false">Sens!$U$2167</f>
        <v>11.7348570548391</v>
      </c>
      <c r="H2167" s="38" t="n">
        <f aca="false">Sens!$V$2167</f>
        <v>30.1151290936459</v>
      </c>
      <c r="I2167" s="38" t="n">
        <f aca="false">Sens!$W$2167</f>
        <v>51.874684443296</v>
      </c>
      <c r="J2167" s="38" t="n">
        <f aca="false">Sens!$X$2167</f>
        <v>74.6467572872376</v>
      </c>
      <c r="K2167" s="38" t="n">
        <f aca="false">Sens!$Y$2167</f>
        <v>97.9875224428138</v>
      </c>
      <c r="L2167" s="38" t="n">
        <f aca="false">Sens!$Z$2167</f>
        <v>119.184715723455</v>
      </c>
      <c r="M2167" s="38" t="n">
        <f aca="false">Sens!$AA$2167</f>
        <v>140.250980084224</v>
      </c>
      <c r="N2167" s="38" t="n">
        <f aca="false">Sens!$D$2167/2</f>
        <v>1.63095129083285</v>
      </c>
      <c r="O2167" s="38" t="n">
        <f aca="false">Sens!$D$2167/2</f>
        <v>1.63095129083285</v>
      </c>
      <c r="R2167" s="38" t="n">
        <f aca="false">SUMPRODUCT(--(Sens!$R$2134:$AA$2134&lt;Sens!R$2134),--(Sens!$R$2134:$AA$2134&gt;=Sens!R$2134-tk_life),Sens!$R$2165:$AA$2165)/tk_life</f>
        <v>0</v>
      </c>
      <c r="S2167" s="38" t="n">
        <f aca="false">SUMPRODUCT(--(Sens!$R$2134:$AA$2134&lt;Sens!S$2134),--(Sens!$R$2134:$AA$2134&gt;=Sens!S$2134-tk_life),Sens!$R$2165:$AA$2165)/tk_life</f>
        <v>0.183212798365523</v>
      </c>
      <c r="T2167" s="38" t="n">
        <f aca="false">SUMPRODUCT(--(Sens!$R$2134:$AA$2134&lt;Sens!T$2134),--(Sens!$R$2134:$AA$2134&gt;=Sens!T$2134-tk_life),Sens!$R$2165:$AA$2165)/tk_life</f>
        <v>3.2619025816657</v>
      </c>
      <c r="U2167" s="38" t="n">
        <f aca="false">SUMPRODUCT(--(Sens!$R$2134:$AA$2134&lt;Sens!U$2134),--(Sens!$R$2134:$AA$2134&gt;=Sens!U$2134-tk_life),Sens!$R$2165:$AA$2165)/tk_life</f>
        <v>11.7348570548391</v>
      </c>
      <c r="V2167" s="38" t="n">
        <f aca="false">SUMPRODUCT(--(Sens!$R$2134:$AA$2134&lt;Sens!V$2134),--(Sens!$R$2134:$AA$2134&gt;=Sens!V$2134-tk_life),Sens!$R$2165:$AA$2165)/tk_life</f>
        <v>30.1151290936459</v>
      </c>
      <c r="W2167" s="38" t="n">
        <f aca="false">SUMPRODUCT(--(Sens!$R$2134:$AA$2134&lt;Sens!W$2134),--(Sens!$R$2134:$AA$2134&gt;=Sens!W$2134-tk_life),Sens!$R$2165:$AA$2165)/tk_life</f>
        <v>51.874684443296</v>
      </c>
      <c r="X2167" s="38" t="n">
        <f aca="false">SUMPRODUCT(--(Sens!$R$2134:$AA$2134&lt;Sens!X$2134),--(Sens!$R$2134:$AA$2134&gt;=Sens!X$2134-tk_life),Sens!$R$2165:$AA$2165)/tk_life</f>
        <v>74.6467572872376</v>
      </c>
      <c r="Y2167" s="38" t="n">
        <f aca="false">SUMPRODUCT(--(Sens!$R$2134:$AA$2134&lt;Sens!Y$2134),--(Sens!$R$2134:$AA$2134&gt;=Sens!Y$2134-tk_life),Sens!$R$2165:$AA$2165)/tk_life</f>
        <v>97.9875224428138</v>
      </c>
      <c r="Z2167" s="38" t="n">
        <f aca="false">SUMPRODUCT(--(Sens!$R$2134:$AA$2134&lt;Sens!Z$2134),--(Sens!$R$2134:$AA$2134&gt;=Sens!Z$2134-tk_life),Sens!$R$2165:$AA$2165)/tk_life</f>
        <v>119.184715723455</v>
      </c>
      <c r="AA2167" s="38" t="n">
        <f aca="false">SUMPRODUCT(--(Sens!$R$2134:$AA$2134&lt;Sens!AA$2134),--(Sens!$R$2134:$AA$2134&gt;=Sens!AA$2134-tk_life),Sens!$R$2165:$AA$2165)/tk_life</f>
        <v>140.250980084224</v>
      </c>
    </row>
    <row r="2168" customFormat="false" ht="17.15" hidden="false" customHeight="false" outlineLevel="0" collapsed="false">
      <c r="A2168" s="0" t="s">
        <v>592</v>
      </c>
      <c r="B2168" s="0" t="s">
        <v>73</v>
      </c>
      <c r="C2168" s="38" t="n">
        <f aca="false">Sens!$S$2168</f>
        <v>0.0202511502553155</v>
      </c>
      <c r="D2168" s="38" t="n">
        <f aca="false">Sens!$T$2168</f>
        <v>0.360549480652134</v>
      </c>
      <c r="E2168" s="38" t="n">
        <f aca="false">Sens!$G$2168/2</f>
        <v>0.648547360125127</v>
      </c>
      <c r="F2168" s="38" t="n">
        <f aca="false">Sens!$G$2168/2</f>
        <v>0.648547360125127</v>
      </c>
      <c r="G2168" s="38" t="n">
        <f aca="false">Sens!$U$2168</f>
        <v>1.29709472025025</v>
      </c>
      <c r="H2168" s="38" t="n">
        <f aca="false">Sens!$V$2168</f>
        <v>3.3367803157011</v>
      </c>
      <c r="I2168" s="38" t="n">
        <f aca="false">Sens!$W$2168</f>
        <v>5.6391093657011</v>
      </c>
      <c r="J2168" s="38" t="n">
        <f aca="false">Sens!$X$2168</f>
        <v>7.9414384157011</v>
      </c>
      <c r="K2168" s="38" t="n">
        <f aca="false">Sens!$Y$2168</f>
        <v>10.2437674657011</v>
      </c>
      <c r="L2168" s="38" t="n">
        <f aca="false">Sens!$Z$2168</f>
        <v>12.5460965157011</v>
      </c>
      <c r="M2168" s="38" t="n">
        <f aca="false">Sens!$AA$2168</f>
        <v>14.8484255657011</v>
      </c>
      <c r="N2168" s="38" t="n">
        <f aca="false">Sens!$D$2168/2</f>
        <v>0.180274740326067</v>
      </c>
      <c r="O2168" s="38" t="n">
        <f aca="false">Sens!$D$2168/2</f>
        <v>0.180274740326067</v>
      </c>
      <c r="R2168" s="38" t="n">
        <f aca="false">SUMPRODUCT(--(Sens!$R$2134:$AA$2134&lt;Sens!R$2134),Sens!$R$2166:$AA$2166)/fac_life</f>
        <v>0</v>
      </c>
      <c r="S2168" s="38" t="n">
        <f aca="false">SUMPRODUCT(--(Sens!$R$2134:$AA$2134&lt;Sens!S$2134),Sens!$R$2166:$AA$2166)/fac_life</f>
        <v>0.0202511502553155</v>
      </c>
      <c r="T2168" s="38" t="n">
        <f aca="false">SUMPRODUCT(--(Sens!$R$2134:$AA$2134&lt;Sens!T$2134),Sens!$R$2166:$AA$2166)/fac_life</f>
        <v>0.360549480652134</v>
      </c>
      <c r="U2168" s="38" t="n">
        <f aca="false">SUMPRODUCT(--(Sens!$R$2134:$AA$2134&lt;Sens!U$2134),Sens!$R$2166:$AA$2166)/fac_life</f>
        <v>1.29709472025025</v>
      </c>
      <c r="V2168" s="38" t="n">
        <f aca="false">SUMPRODUCT(--(Sens!$R$2134:$AA$2134&lt;Sens!V$2134),Sens!$R$2166:$AA$2166)/fac_life</f>
        <v>3.3367803157011</v>
      </c>
      <c r="W2168" s="38" t="n">
        <f aca="false">SUMPRODUCT(--(Sens!$R$2134:$AA$2134&lt;Sens!W$2134),Sens!$R$2166:$AA$2166)/fac_life</f>
        <v>5.6391093657011</v>
      </c>
      <c r="X2168" s="38" t="n">
        <f aca="false">SUMPRODUCT(--(Sens!$R$2134:$AA$2134&lt;Sens!X$2134),Sens!$R$2166:$AA$2166)/fac_life</f>
        <v>7.9414384157011</v>
      </c>
      <c r="Y2168" s="38" t="n">
        <f aca="false">SUMPRODUCT(--(Sens!$R$2134:$AA$2134&lt;Sens!Y$2134),Sens!$R$2166:$AA$2166)/fac_life</f>
        <v>10.2437674657011</v>
      </c>
      <c r="Z2168" s="38" t="n">
        <f aca="false">SUMPRODUCT(--(Sens!$R$2134:$AA$2134&lt;Sens!Z$2134),Sens!$R$2166:$AA$2166)/fac_life</f>
        <v>12.5460965157011</v>
      </c>
      <c r="AA2168" s="38" t="n">
        <f aca="false">SUMPRODUCT(--(Sens!$R$2134:$AA$2134&lt;Sens!AA$2134),Sens!$R$2166:$AA$2166)/fac_life</f>
        <v>14.8484255657011</v>
      </c>
    </row>
    <row r="2169" customFormat="false" ht="17.15" hidden="false" customHeight="false" outlineLevel="0" collapsed="false">
      <c r="A2169" s="1" t="s">
        <v>593</v>
      </c>
      <c r="B2169" s="8" t="s">
        <v>73</v>
      </c>
      <c r="C2169" s="38" t="n">
        <f aca="false">Sens!$C$2167+Sens!$C$2168</f>
        <v>0.203463948620839</v>
      </c>
      <c r="D2169" s="38" t="n">
        <f aca="false">Sens!$D$2167+Sens!$D$2168</f>
        <v>3.62245206231783</v>
      </c>
      <c r="E2169" s="38" t="n">
        <f aca="false">Sens!$E$2167+Sens!$E$2168</f>
        <v>6.51597588754466</v>
      </c>
      <c r="F2169" s="38" t="n">
        <f aca="false">Sens!$F$2167+Sens!$F$2168</f>
        <v>6.51597588754466</v>
      </c>
      <c r="G2169" s="38" t="n">
        <f aca="false">Sens!$G$2167+Sens!$G$2168</f>
        <v>13.0319517750893</v>
      </c>
      <c r="H2169" s="38" t="n">
        <f aca="false">Sens!$H$2167+Sens!$H$2168</f>
        <v>33.451909409347</v>
      </c>
      <c r="I2169" s="38" t="n">
        <f aca="false">Sens!$I$2167+Sens!$I$2168</f>
        <v>57.5137938089971</v>
      </c>
      <c r="J2169" s="38" t="n">
        <f aca="false">Sens!$J$2167+Sens!$J$2168</f>
        <v>82.5881957029387</v>
      </c>
      <c r="K2169" s="38" t="n">
        <f aca="false">Sens!$K$2167+Sens!$K$2168</f>
        <v>108.231289908515</v>
      </c>
      <c r="L2169" s="38" t="n">
        <f aca="false">Sens!$L$2167+Sens!$L$2168</f>
        <v>131.730812239156</v>
      </c>
      <c r="M2169" s="38" t="n">
        <f aca="false">Sens!$M$2167+Sens!$M$2168</f>
        <v>155.099405649925</v>
      </c>
      <c r="N2169" s="38" t="n">
        <f aca="false">Sens!$N$2167+Sens!$N$2168</f>
        <v>1.81122603115892</v>
      </c>
      <c r="O2169" s="38" t="n">
        <f aca="false">Sens!$O$2167+Sens!$O$2168</f>
        <v>1.81122603115892</v>
      </c>
      <c r="R2169" s="38" t="n">
        <f aca="false">Sens!$R$2167+Sens!$R$2168</f>
        <v>0</v>
      </c>
      <c r="S2169" s="38" t="n">
        <f aca="false">Sens!$S$2167+Sens!$S$2168</f>
        <v>0.203463948620839</v>
      </c>
      <c r="T2169" s="38" t="n">
        <f aca="false">Sens!$T$2167+Sens!$T$2168</f>
        <v>3.62245206231783</v>
      </c>
      <c r="U2169" s="38" t="n">
        <f aca="false">Sens!$U$2167+Sens!$U$2168</f>
        <v>13.0319517750893</v>
      </c>
      <c r="V2169" s="38" t="n">
        <f aca="false">Sens!$V$2167+Sens!$V$2168</f>
        <v>33.451909409347</v>
      </c>
      <c r="W2169" s="38" t="n">
        <f aca="false">Sens!$W$2167+Sens!$W$2168</f>
        <v>57.5137938089971</v>
      </c>
      <c r="X2169" s="38" t="n">
        <f aca="false">Sens!$X$2167+Sens!$X$2168</f>
        <v>82.5881957029387</v>
      </c>
      <c r="Y2169" s="38" t="n">
        <f aca="false">Sens!$Y$2167+Sens!$Y$2168</f>
        <v>108.231289908515</v>
      </c>
      <c r="Z2169" s="38" t="n">
        <f aca="false">Sens!$Z$2167+Sens!$Z$2168</f>
        <v>131.730812239156</v>
      </c>
      <c r="AA2169" s="38" t="n">
        <f aca="false">Sens!$AA$2167+Sens!$AA$2168</f>
        <v>155.099405649925</v>
      </c>
    </row>
    <row r="2170" customFormat="false" ht="17.15" hidden="false" customHeight="false" outlineLevel="0" collapsed="false">
      <c r="A2170" s="0" t="s">
        <v>594</v>
      </c>
      <c r="B2170" s="0" t="s">
        <v>73</v>
      </c>
      <c r="C2170" s="38" t="n">
        <f aca="false">Sens!$S$2170</f>
        <v>26.578941154416</v>
      </c>
      <c r="D2170" s="38" t="n">
        <f aca="false">Sens!$T$2170</f>
        <v>92.5251207231008</v>
      </c>
      <c r="G2170" s="38" t="n">
        <f aca="false">Sens!$U$2170</f>
        <v>230.56851308987</v>
      </c>
      <c r="H2170" s="38" t="n">
        <f aca="false">Sens!$V$2170</f>
        <v>373.720516778423</v>
      </c>
      <c r="I2170" s="38" t="n">
        <f aca="false">Sens!$W$2170</f>
        <v>498.885741033076</v>
      </c>
      <c r="J2170" s="38" t="n">
        <f aca="false">Sens!$X$2170</f>
        <v>603.487994053787</v>
      </c>
      <c r="K2170" s="38" t="n">
        <f aca="false">Sens!$Y$2170</f>
        <v>686.958583528922</v>
      </c>
      <c r="L2170" s="38" t="n">
        <f aca="false">Sens!$Z$2170</f>
        <v>778.509665293416</v>
      </c>
      <c r="M2170" s="38" t="n">
        <f aca="false">Sens!$AA$2170</f>
        <v>898.466459758966</v>
      </c>
      <c r="R2170" s="38" t="n">
        <f aca="false">SUM(Sens!$R$2163:$R$2163)-SUM(Sens!$R$2169:$R$2169)</f>
        <v>1.50429979529945</v>
      </c>
      <c r="S2170" s="38" t="n">
        <f aca="false">SUM(Sens!$R$2163:$S$2163)-SUM(Sens!$R$2169:$S$2169)</f>
        <v>26.578941154416</v>
      </c>
      <c r="T2170" s="38" t="n">
        <f aca="false">SUM(Sens!$R$2163:$T$2163)-SUM(Sens!$R$2169:$T$2169)</f>
        <v>92.5251207231008</v>
      </c>
      <c r="U2170" s="38" t="n">
        <f aca="false">SUM(Sens!$R$2163:$U$2163)-SUM(Sens!$R$2169:$U$2169)</f>
        <v>230.56851308987</v>
      </c>
      <c r="V2170" s="38" t="n">
        <f aca="false">SUM(Sens!$R$2163:$V$2163)-SUM(Sens!$R$2169:$V$2169)</f>
        <v>373.720516778423</v>
      </c>
      <c r="W2170" s="38" t="n">
        <f aca="false">SUM(Sens!$R$2163:$W$2163)-SUM(Sens!$R$2169:$W$2169)</f>
        <v>498.885741033076</v>
      </c>
      <c r="X2170" s="38" t="n">
        <f aca="false">SUM(Sens!$R$2163:$X$2163)-SUM(Sens!$R$2169:$X$2169)</f>
        <v>603.487994053787</v>
      </c>
      <c r="Y2170" s="38" t="n">
        <f aca="false">SUM(Sens!$R$2163:$Y$2163)-SUM(Sens!$R$2169:$Y$2169)</f>
        <v>686.958583528922</v>
      </c>
      <c r="Z2170" s="38" t="n">
        <f aca="false">SUM(Sens!$R$2163:$Z$2163)-SUM(Sens!$R$2169:$Z$2169)</f>
        <v>778.509665293416</v>
      </c>
      <c r="AA2170" s="38" t="n">
        <f aca="false">SUM(Sens!$R$2163:$AA$2163)-SUM(Sens!$R$2169:$AA$2169)</f>
        <v>898.466459758966</v>
      </c>
    </row>
    <row r="2171" customFormat="false" ht="17.15" hidden="false" customHeight="false" outlineLevel="0" collapsed="false">
      <c r="A2171" s="1" t="s">
        <v>595</v>
      </c>
    </row>
    <row r="2172" customFormat="false" ht="17.15" hidden="false" customHeight="false" outlineLevel="0" collapsed="false">
      <c r="A2172" s="0" t="s">
        <v>596</v>
      </c>
      <c r="B2172" s="0" t="s">
        <v>73</v>
      </c>
      <c r="C2172" s="38" t="n">
        <f aca="false">Sens!$C$2154-ext_sh*Sens!$C$2156</f>
        <v>1.80694998843362</v>
      </c>
      <c r="D2172" s="38" t="n">
        <f aca="false">Sens!$D$2154-ext_sh*Sens!$D$2156</f>
        <v>6.77606245662607</v>
      </c>
      <c r="E2172" s="38" t="n">
        <f aca="false">Sens!$E$2154-ext_sh*Sens!$E$2156</f>
        <v>6.62548329092326</v>
      </c>
      <c r="F2172" s="38" t="n">
        <f aca="false">Sens!$F$2154-ext_sh*Sens!$F$2156</f>
        <v>10.9841961511954</v>
      </c>
      <c r="G2172" s="38" t="n">
        <f aca="false">Sens!$G$2154-ext_sh*Sens!$G$2156</f>
        <v>17.6096794421187</v>
      </c>
      <c r="H2172" s="38" t="n">
        <f aca="false">Sens!$H$2154-ext_sh*Sens!$H$2156</f>
        <v>41.6302801886437</v>
      </c>
      <c r="I2172" s="38" t="n">
        <f aca="false">Sens!$I$2154-ext_sh*Sens!$I$2156</f>
        <v>68.7801842295635</v>
      </c>
      <c r="J2172" s="38" t="n">
        <f aca="false">Sens!$J$2154-ext_sh*Sens!$J$2156</f>
        <v>96.0986392826786</v>
      </c>
      <c r="K2172" s="38" t="n">
        <f aca="false">Sens!$K$2154-ext_sh*Sens!$K$2156</f>
        <v>123.473278006525</v>
      </c>
      <c r="L2172" s="38" t="n">
        <f aca="false">Sens!$L$2154-ext_sh*Sens!$L$2156</f>
        <v>150.873454762523</v>
      </c>
      <c r="M2172" s="38" t="n">
        <f aca="false">Sens!$M$2154-ext_sh*Sens!$M$2156</f>
        <v>178.287382766602</v>
      </c>
      <c r="N2172" s="38" t="n">
        <f aca="false">Sens!$N$2154-ext_sh*Sens!$N$2156</f>
        <v>2.37162185981912</v>
      </c>
      <c r="O2172" s="38" t="n">
        <f aca="false">Sens!$O$2154-ext_sh*Sens!$O$2156</f>
        <v>4.40444059680694</v>
      </c>
    </row>
    <row r="2173" customFormat="false" ht="17.15" hidden="false" customHeight="false" outlineLevel="0" collapsed="false">
      <c r="A2173" s="1" t="s">
        <v>597</v>
      </c>
      <c r="B2173" s="8" t="s">
        <v>73</v>
      </c>
      <c r="C2173" s="38" t="n">
        <f aca="false">Sens!$C$2172-ext_sh*Sens!$C$2169</f>
        <v>1.64417882953695</v>
      </c>
      <c r="D2173" s="38" t="n">
        <f aca="false">Sens!$D$2172-ext_sh*Sens!$D$2169</f>
        <v>3.8781008067718</v>
      </c>
      <c r="E2173" s="38" t="n">
        <f aca="false">Sens!$E$2172-ext_sh*Sens!$E$2169</f>
        <v>1.41270258088753</v>
      </c>
      <c r="F2173" s="38" t="n">
        <f aca="false">Sens!$F$2172-ext_sh*Sens!$F$2169</f>
        <v>5.77141544115966</v>
      </c>
      <c r="G2173" s="38" t="n">
        <f aca="false">Sens!$G$2172-ext_sh*Sens!$G$2169</f>
        <v>7.1841180220472</v>
      </c>
      <c r="H2173" s="38" t="n">
        <f aca="false">Sens!$H$2172-ext_sh*Sens!$H$2169</f>
        <v>14.8687526611661</v>
      </c>
      <c r="I2173" s="38" t="n">
        <f aca="false">Sens!$I$2172-ext_sh*Sens!$I$2169</f>
        <v>22.7691491823658</v>
      </c>
      <c r="J2173" s="38" t="n">
        <f aca="false">Sens!$J$2172-ext_sh*Sens!$J$2169</f>
        <v>30.0280827203276</v>
      </c>
      <c r="K2173" s="38" t="n">
        <f aca="false">Sens!$K$2172-ext_sh*Sens!$K$2169</f>
        <v>36.8882460797135</v>
      </c>
      <c r="L2173" s="38" t="n">
        <f aca="false">Sens!$L$2172-ext_sh*Sens!$L$2169</f>
        <v>45.4888049711981</v>
      </c>
      <c r="M2173" s="38" t="n">
        <f aca="false">Sens!$M$2172-ext_sh*Sens!$M$2169</f>
        <v>54.2078582466622</v>
      </c>
      <c r="N2173" s="38" t="n">
        <f aca="false">Sens!$N$2172-ext_sh*Sens!$N$2169</f>
        <v>0.92264103489199</v>
      </c>
      <c r="O2173" s="38" t="n">
        <f aca="false">Sens!$O$2172-ext_sh*Sens!$O$2169</f>
        <v>2.95545977187981</v>
      </c>
    </row>
    <row r="2174" customFormat="false" ht="17.15" hidden="false" customHeight="false" outlineLevel="0" collapsed="false">
      <c r="A2174" s="0" t="s">
        <v>598</v>
      </c>
      <c r="B2174" s="0" t="s">
        <v>52</v>
      </c>
      <c r="C2174" s="12" t="n">
        <f aca="false">Sens!$C$2173/Sens!$C$2154</f>
        <v>0.708390794789371</v>
      </c>
      <c r="D2174" s="12" t="n">
        <f aca="false">Sens!$D$2173/Sens!$D$2154</f>
        <v>0.445565630441968</v>
      </c>
      <c r="E2174" s="12" t="n">
        <f aca="false">Sens!$E$2173/Sens!$E$2154</f>
        <v>0.165998118402711</v>
      </c>
      <c r="F2174" s="12" t="n">
        <f aca="false">Sens!$F$2173/Sens!$F$2154</f>
        <v>0.405650058118792</v>
      </c>
      <c r="G2174" s="12" t="n">
        <f aca="false">Sens!$G$2173/Sens!$G$2154</f>
        <v>0.315953104976614</v>
      </c>
      <c r="H2174" s="12" t="n">
        <f aca="false">Sens!$H$2173/Sens!$H$2154</f>
        <v>0.273931965315787</v>
      </c>
      <c r="I2174" s="12" t="n">
        <f aca="false">Sens!$I$2173/Sens!$I$2154</f>
        <v>0.253752044792747</v>
      </c>
      <c r="J2174" s="12" t="n">
        <f aca="false">Sens!$J$2173/Sens!$J$2154</f>
        <v>0.239525764673683</v>
      </c>
      <c r="K2174" s="12" t="n">
        <f aca="false">Sens!$K$2173/Sens!$K$2154</f>
        <v>0.229032984931834</v>
      </c>
      <c r="L2174" s="12" t="n">
        <f aca="false">Sens!$L$2173/Sens!$L$2154</f>
        <v>0.231160127410419</v>
      </c>
      <c r="M2174" s="12" t="n">
        <f aca="false">Sens!$M$2173/Sens!$M$2154</f>
        <v>0.233128207810435</v>
      </c>
      <c r="N2174" s="12" t="n">
        <f aca="false">Sens!$N$2173/Sens!$N$2154</f>
        <v>0.302870734830849</v>
      </c>
      <c r="O2174" s="12" t="n">
        <f aca="false">Sens!$O$2173/Sens!$O$2154</f>
        <v>0.52240134346334</v>
      </c>
    </row>
    <row r="2175" customFormat="false" ht="17.15" hidden="false" customHeight="false" outlineLevel="0" collapsed="false">
      <c r="A2175" s="5" t="s">
        <v>599</v>
      </c>
      <c r="B2175" s="0" t="s">
        <v>73</v>
      </c>
      <c r="C2175" s="38" t="n">
        <f aca="false">rd2*(1-ext_sh)/ext_sh*Sens!$C$2137*he_open*Sens!$C$2138/1000</f>
        <v>0</v>
      </c>
      <c r="D2175" s="38" t="n">
        <f aca="false">rd2*(1-ext_sh)/ext_sh*Sens!$D$2137*he_open*Sens!$D$2138/1000</f>
        <v>0</v>
      </c>
      <c r="E2175" s="38" t="n">
        <f aca="false">rd2*(1-ext_sh)/ext_sh*Sens!$E$2137*he_open*Sens!$E$2138/1000</f>
        <v>0</v>
      </c>
      <c r="F2175" s="38" t="n">
        <f aca="false">rd2*(1-ext_sh)/ext_sh*(mw_open*he_open+Sens!$F$2152*Sens!$F$2149)*Sens!$F$2138/1000</f>
        <v>0</v>
      </c>
      <c r="G2175" s="38" t="n">
        <f aca="false">Sens!$E$2175+Sens!$F$2175</f>
        <v>0</v>
      </c>
      <c r="H2175" s="38" t="n">
        <f aca="false">rd2*(1-ext_sh)/ext_sh*(mw_open*he_open+Sens!$H$2152*Sens!$H$2149)*Sens!$H$2138/1000</f>
        <v>0</v>
      </c>
      <c r="I2175" s="38" t="n">
        <f aca="false">rd2*(1-ext_sh)/ext_sh*(mw_open*he_open+Sens!$I$2152*Sens!$I$2149)*Sens!$I$2138/1000</f>
        <v>0</v>
      </c>
      <c r="J2175" s="38" t="n">
        <f aca="false">rd2*(1-ext_sh)/ext_sh*(mw_open*he_open+Sens!$J$2152*Sens!$J$2149)*Sens!$J$2138/1000</f>
        <v>0</v>
      </c>
      <c r="K2175" s="38" t="n">
        <f aca="false">rd2*(1-ext_sh)/ext_sh*(mw_open*he_open+Sens!$K$2152*Sens!$K$2149)*Sens!$K$2138/1000</f>
        <v>0</v>
      </c>
      <c r="L2175" s="38" t="n">
        <f aca="false">rd2*(1-ext_sh)/ext_sh*(mw_open*he_open+Sens!$L$2152*Sens!$L$2149)*Sens!$L$2138/1000</f>
        <v>0</v>
      </c>
      <c r="M2175" s="38" t="n">
        <f aca="false">rd2*(1-ext_sh)/ext_sh*(mw_open*he_open+Sens!$M$2152*Sens!$M$2149)*Sens!$M$2138/1000</f>
        <v>0</v>
      </c>
      <c r="N2175" s="38" t="n">
        <f aca="false">rd2*(1-ext_sh)/ext_sh*Sens!$N$2137*he_open*Sens!$N$2138/1000</f>
        <v>0</v>
      </c>
      <c r="O2175" s="38" t="n">
        <f aca="false">rd2*(1-ext_sh)/ext_sh*Sens!$O$2137*he_open*Sens!$O$2138/1000</f>
        <v>0</v>
      </c>
      <c r="P2175" s="8" t="s">
        <v>600</v>
      </c>
    </row>
    <row r="2176" customFormat="false" ht="17.15" hidden="false" customHeight="false" outlineLevel="0" collapsed="false">
      <c r="A2176" s="5" t="s">
        <v>601</v>
      </c>
      <c r="B2176" s="0" t="s">
        <v>73</v>
      </c>
      <c r="C2176" s="38" t="n">
        <f aca="false">(1-ext_sh)*(Sens!$C$2156+Sens!$C$2169)-Sens!$C$2175</f>
        <v>0.169206631859174</v>
      </c>
      <c r="D2176" s="38" t="n">
        <f aca="false">(1-ext_sh)*(Sens!$D$2156+Sens!$D$2169)-Sens!$D$2175</f>
        <v>1.20641732046984</v>
      </c>
      <c r="E2176" s="38" t="n">
        <f aca="false">(1-ext_sh)*(Sens!$E$2156+Sens!$E$2169)-Sens!$E$2175</f>
        <v>1.77441259867062</v>
      </c>
      <c r="F2176" s="38" t="n">
        <f aca="false">(1-ext_sh)*(Sens!$F$2156+Sens!$F$2169)-Sens!$F$2175</f>
        <v>2.1140391597214</v>
      </c>
      <c r="G2176" s="38" t="n">
        <f aca="false">(1-ext_sh)*(Sens!$G$2156+Sens!$G$2169)-Sens!$G$2175</f>
        <v>3.88845175839202</v>
      </c>
      <c r="H2176" s="38" t="n">
        <f aca="false">(1-ext_sh)*(Sens!$H$2156+Sens!$H$2169)-Sens!$H$2175</f>
        <v>9.85256139280172</v>
      </c>
      <c r="I2176" s="38" t="n">
        <f aca="false">(1-ext_sh)*(Sens!$I$2156+Sens!$I$2169)-Sens!$I$2175</f>
        <v>16.7401912298157</v>
      </c>
      <c r="J2176" s="38" t="n">
        <f aca="false">(1-ext_sh)*(Sens!$J$2156+Sens!$J$2169)-Sens!$J$2175</f>
        <v>23.8341617196864</v>
      </c>
      <c r="K2176" s="38" t="n">
        <f aca="false">(1-ext_sh)*(Sens!$K$2156+Sens!$K$2169)-Sens!$K$2175</f>
        <v>31.0431497232168</v>
      </c>
      <c r="L2176" s="38" t="n">
        <f aca="false">(1-ext_sh)*(Sens!$L$2156+Sens!$L$2169)-Sens!$L$2175</f>
        <v>37.8240047387297</v>
      </c>
      <c r="M2176" s="38" t="n">
        <f aca="false">(1-ext_sh)*(Sens!$M$2156+Sens!$M$2169)-Sens!$M$2175</f>
        <v>44.5789870247899</v>
      </c>
      <c r="N2176" s="38" t="n">
        <f aca="false">(1-ext_sh)*(Sens!$N$2156+Sens!$N$2169)-Sens!$N$2175</f>
        <v>0.530919624033979</v>
      </c>
      <c r="O2176" s="38" t="n">
        <f aca="false">(1-ext_sh)*(Sens!$O$2156+Sens!$O$2169)-Sens!$O$2175</f>
        <v>0.675497696435861</v>
      </c>
    </row>
    <row r="2177" customFormat="false" ht="17.15" hidden="false" customHeight="false" outlineLevel="0" collapsed="false">
      <c r="A2177" s="0" t="s">
        <v>602</v>
      </c>
      <c r="B2177" s="0" t="s">
        <v>73</v>
      </c>
      <c r="C2177" s="38" t="n">
        <f aca="false">Q!$D$24</f>
        <v>39.834</v>
      </c>
      <c r="D2177" s="38" t="n">
        <f aca="false">Q!$E$24</f>
        <v>45.606</v>
      </c>
      <c r="E2177" s="38" t="n">
        <f aca="false">Q!$P$24</f>
        <v>30.782</v>
      </c>
      <c r="N2177" s="38" t="n">
        <f aca="false">Q!$N$24</f>
        <v>21.707</v>
      </c>
      <c r="O2177" s="38" t="n">
        <f aca="false">Q!$O$24</f>
        <v>23.899</v>
      </c>
    </row>
    <row r="2178" customFormat="false" ht="17.15" hidden="false" customHeight="false" outlineLevel="0" collapsed="false">
      <c r="A2178" s="0" t="s">
        <v>603</v>
      </c>
      <c r="B2178" s="0" t="s">
        <v>73</v>
      </c>
      <c r="C2178" s="38" t="n">
        <f aca="false">Sens!$C$2177-Sens!$C$2173</f>
        <v>38.1898211704631</v>
      </c>
      <c r="D2178" s="38" t="n">
        <f aca="false">Sens!$D$2177-Sens!$D$2173</f>
        <v>41.7278991932282</v>
      </c>
      <c r="E2178" s="38" t="n">
        <f aca="false">Sens!$E$2177-Sens!$E$2173</f>
        <v>29.3692974191125</v>
      </c>
      <c r="F2178" s="38" t="n">
        <f aca="false">Sens!$F$2158*Sens!$F$2179</f>
        <v>29.458060516894</v>
      </c>
      <c r="G2178" s="38" t="n">
        <f aca="false">Sens!$E$2178+Sens!$F$2178</f>
        <v>58.8273579360065</v>
      </c>
      <c r="H2178" s="38" t="n">
        <f aca="false">Sens!$H$2158*Sens!$H$2179</f>
        <v>67.8004040185081</v>
      </c>
      <c r="I2178" s="38" t="n">
        <f aca="false">Sens!$I$2158*Sens!$I$2179</f>
        <v>78.9527630302702</v>
      </c>
      <c r="J2178" s="38" t="n">
        <f aca="false">Sens!$J$2158*Sens!$J$2179</f>
        <v>88.6042681781841</v>
      </c>
      <c r="K2178" s="38" t="n">
        <f aca="false">Sens!$K$2158*Sens!$K$2179</f>
        <v>95.6926096324389</v>
      </c>
      <c r="L2178" s="38" t="n">
        <f aca="false">Sens!$L$2158*Sens!$L$2179</f>
        <v>103.348018403034</v>
      </c>
      <c r="M2178" s="38" t="n">
        <f aca="false">Sens!$M$2158*Sens!$M$2179</f>
        <v>111.615859875277</v>
      </c>
      <c r="N2178" s="38" t="n">
        <f aca="false">Sens!$N$2177-Sens!$N$2173</f>
        <v>20.784358965108</v>
      </c>
      <c r="O2178" s="38" t="n">
        <f aca="false">Sens!$O$2177-Sens!$O$2173</f>
        <v>20.9435402281202</v>
      </c>
      <c r="P2178" s="5" t="s">
        <v>604</v>
      </c>
    </row>
    <row r="2179" customFormat="false" ht="17.15" hidden="false" customHeight="false" outlineLevel="0" collapsed="false">
      <c r="A2179" s="0" t="s">
        <v>605</v>
      </c>
      <c r="B2179" s="0" t="s">
        <v>52</v>
      </c>
      <c r="C2179" s="12" t="n">
        <f aca="false">Sens!$C$2178/Sens!$C$2158</f>
        <v>0.362900395443635</v>
      </c>
      <c r="D2179" s="12" t="n">
        <f aca="false">Sens!$D$2178/Sens!$D$2158</f>
        <v>0.34767098474203</v>
      </c>
      <c r="E2179" s="12" t="n">
        <f aca="false">Sens!$E$2178/Sens!$E$2158</f>
        <v>0.411861655558416</v>
      </c>
      <c r="F2179" s="12" t="n">
        <f aca="false">(Sens!$O$2178+Sens!$E$2178)/(Sens!$O$2158+Sens!$E$2158)</f>
        <v>0.37480827803158</v>
      </c>
      <c r="G2179" s="12" t="n">
        <f aca="false">Sens!$G$2178/Sens!$G$2158</f>
        <v>0.392434440489471</v>
      </c>
      <c r="H2179" s="12" t="n">
        <f aca="false">Sens!$F$2179</f>
        <v>0.37480827803158</v>
      </c>
      <c r="I2179" s="12" t="n">
        <f aca="false">Sens!$F$2179</f>
        <v>0.37480827803158</v>
      </c>
      <c r="J2179" s="12" t="n">
        <f aca="false">Sens!$F$2179</f>
        <v>0.37480827803158</v>
      </c>
      <c r="K2179" s="12" t="n">
        <f aca="false">Sens!$F$2179</f>
        <v>0.37480827803158</v>
      </c>
      <c r="L2179" s="12" t="n">
        <f aca="false">Sens!$F$2179</f>
        <v>0.37480827803158</v>
      </c>
      <c r="M2179" s="12" t="n">
        <f aca="false">Sens!$F$2179</f>
        <v>0.37480827803158</v>
      </c>
      <c r="N2179" s="12" t="n">
        <f aca="false">Sens!$N$2178/Sens!$N$2158</f>
        <v>0.364039571356823</v>
      </c>
      <c r="O2179" s="12" t="n">
        <f aca="false">Sens!$O$2178/Sens!$O$2158</f>
        <v>0.332819892300086</v>
      </c>
      <c r="P2179" s="8" t="s">
        <v>606</v>
      </c>
    </row>
    <row r="2180" customFormat="false" ht="17.15" hidden="false" customHeight="false" outlineLevel="0" collapsed="false">
      <c r="A2180" s="0" t="s">
        <v>607</v>
      </c>
      <c r="B2180" s="0" t="s">
        <v>52</v>
      </c>
      <c r="D2180" s="12" t="n">
        <f aca="false">(Q!$E$31-ext_sh*Sens!$D$2169)/Sens!$D$2158</f>
        <v>0.154572973163571</v>
      </c>
    </row>
    <row r="2181" customFormat="false" ht="17.15" hidden="false" customHeight="false" outlineLevel="0" collapsed="false">
      <c r="A2181" s="0" t="s">
        <v>608</v>
      </c>
      <c r="B2181" s="0" t="s">
        <v>73</v>
      </c>
      <c r="C2181" s="38" t="n">
        <f aca="false">Q!$D$31</f>
        <v>13.32</v>
      </c>
      <c r="D2181" s="38" t="n">
        <f aca="false">Q!$E$31</f>
        <v>21.45</v>
      </c>
      <c r="E2181" s="38" t="n">
        <f aca="false">Q!$P$31</f>
        <v>15.353</v>
      </c>
      <c r="F2181" s="38" t="n">
        <f aca="false">ext_sh*Sens!$F$2169+Sens!$D$2180*Sens!$F$2158</f>
        <v>17.3614451462707</v>
      </c>
      <c r="G2181" s="38" t="n">
        <f aca="false">Sens!$E$2181+Sens!$F$2181</f>
        <v>32.7144451462707</v>
      </c>
      <c r="H2181" s="38" t="n">
        <f aca="false">ext_sh*Sens!$H$2169+Sens!$D$2180*Sens!$H$2158</f>
        <v>54.7227830415545</v>
      </c>
      <c r="I2181" s="38" t="n">
        <f aca="false">ext_sh*Sens!$I$2169+Sens!$D$2180*Sens!$I$2158</f>
        <v>78.5715840968627</v>
      </c>
      <c r="J2181" s="38" t="n">
        <f aca="false">ext_sh*Sens!$J$2169+Sens!$D$2180*Sens!$J$2158</f>
        <v>102.611438848122</v>
      </c>
      <c r="K2181" s="38" t="n">
        <f aca="false">ext_sh*Sens!$K$2169+Sens!$D$2180*Sens!$K$2158</f>
        <v>126.049184795444</v>
      </c>
      <c r="L2181" s="38" t="n">
        <f aca="false">ext_sh*Sens!$L$2169+Sens!$D$2180*Sens!$L$2158</f>
        <v>148.005934889448</v>
      </c>
      <c r="M2181" s="38" t="n">
        <f aca="false">ext_sh*Sens!$M$2169+Sens!$D$2180*Sens!$M$2158</f>
        <v>170.110512425912</v>
      </c>
      <c r="N2181" s="38" t="n">
        <f aca="false">Q!$N$31</f>
        <v>9.234</v>
      </c>
      <c r="O2181" s="38" t="n">
        <f aca="false">Q!$O$31</f>
        <v>12.216</v>
      </c>
    </row>
    <row r="2182" customFormat="false" ht="17.15" hidden="false" customHeight="false" outlineLevel="0" collapsed="false">
      <c r="A2182" s="1" t="s">
        <v>609</v>
      </c>
    </row>
    <row r="2183" customFormat="false" ht="17.15" hidden="false" customHeight="false" outlineLevel="0" collapsed="false">
      <c r="A2183" s="14" t="s">
        <v>610</v>
      </c>
      <c r="B2183" s="13" t="s">
        <v>52</v>
      </c>
      <c r="C2183" s="13"/>
      <c r="D2183" s="13"/>
      <c r="E2183" s="13"/>
      <c r="F2183" s="13"/>
      <c r="G2183" s="16" t="n">
        <f aca="false">Sens!$G$2173*(1-tax)/(ext_sh*(Sens!$D$2170+Sens!$G$2170)/2)</f>
        <v>0.0459392082871969</v>
      </c>
      <c r="H2183" s="16" t="n">
        <f aca="false">Sens!$H$2173*(1-tax)/(ext_sh*(Sens!$G$2170+Sens!$H$2170)/2)</f>
        <v>0.0508356376737082</v>
      </c>
      <c r="I2183" s="16" t="n">
        <f aca="false">Sens!$I$2173*(1-tax)/(ext_sh*(Sens!$H$2170+Sens!$I$2170)/2)</f>
        <v>0.0539097016309908</v>
      </c>
      <c r="J2183" s="16" t="n">
        <f aca="false">Sens!$J$2173*(1-tax)/(ext_sh*(Sens!$I$2170+Sens!$J$2170)/2)</f>
        <v>0.0562778107962341</v>
      </c>
      <c r="K2183" s="16" t="n">
        <f aca="false">Sens!$K$2173*(1-tax)/(ext_sh*(Sens!$J$2170+Sens!$K$2170)/2)</f>
        <v>0.0590590456739241</v>
      </c>
      <c r="L2183" s="16" t="n">
        <f aca="false">Sens!$L$2173*(1-tax)/(ext_sh*(Sens!$K$2170+Sens!$L$2170)/2)</f>
        <v>0.0641307860540927</v>
      </c>
      <c r="M2183" s="16" t="n">
        <f aca="false">Sens!$M$2173*(1-tax)/(ext_sh*(Sens!$L$2170+Sens!$M$2170)/2)</f>
        <v>0.0667842138068251</v>
      </c>
      <c r="N2183" s="13"/>
      <c r="O2183" s="13"/>
      <c r="P2183" s="8" t="s">
        <v>611</v>
      </c>
    </row>
    <row r="2184" customFormat="false" ht="17.15" hidden="false" customHeight="false" outlineLevel="0" collapsed="false">
      <c r="A2184" s="5" t="s">
        <v>612</v>
      </c>
      <c r="B2184" s="0" t="s">
        <v>57</v>
      </c>
      <c r="H2184" s="36" t="n">
        <f aca="false">Sens!$H$2154*1000/(mw_open*he_open+Sens!$H$2152*Sens!$H$2149)</f>
        <v>0.991949006767192</v>
      </c>
      <c r="I2184" s="36" t="n">
        <f aca="false">Sens!$I$2154*1000/(mw_open*he_open+Sens!$I$2152*Sens!$I$2149)</f>
        <v>0.991949006767191</v>
      </c>
      <c r="J2184" s="36" t="n">
        <f aca="false">Sens!$J$2154*1000/(mw_open*he_open+Sens!$J$2152*Sens!$J$2149)</f>
        <v>0.991949006767191</v>
      </c>
      <c r="K2184" s="36" t="n">
        <f aca="false">Sens!$K$2154*1000/(mw_open*he_open+Sens!$K$2152*Sens!$K$2149)</f>
        <v>0.991949006767191</v>
      </c>
      <c r="L2184" s="36" t="n">
        <f aca="false">Sens!$L$2154*1000/(mw_open*he_open+Sens!$L$2152*Sens!$L$2149)</f>
        <v>0.991949006767192</v>
      </c>
      <c r="M2184" s="36" t="n">
        <f aca="false">Sens!$M$2154*1000/(mw_open*he_open+Sens!$M$2152*Sens!$M$2149)</f>
        <v>0.991949006767191</v>
      </c>
    </row>
    <row r="2185" customFormat="false" ht="17.15" hidden="false" customHeight="false" outlineLevel="0" collapsed="false">
      <c r="A2185" s="5" t="s">
        <v>613</v>
      </c>
      <c r="B2185" s="0" t="s">
        <v>57</v>
      </c>
      <c r="H2185" s="36" t="n">
        <f aca="false">Sens!$H$2184*(Sens!$H$2154+wacc*ext_sh*(Sens!$G$2170+Sens!$H$2170)/2/(1-tax)-Sens!$H$2173)/Sens!$H$2154</f>
        <v>1.38774545405933</v>
      </c>
      <c r="I2185" s="36" t="n">
        <f aca="false">Sens!$I$2184*(Sens!$I$2154+wacc*ext_sh*(Sens!$H$2170+Sens!$I$2170)/2/(1-tax)-Sens!$I$2173)/Sens!$I$2154</f>
        <v>1.32332833090537</v>
      </c>
      <c r="J2185" s="36" t="n">
        <f aca="false">Sens!$J$2184*(Sens!$J$2154+wacc*ext_sh*(Sens!$I$2170+Sens!$J$2170)/2/(1-tax)-Sens!$J$2173)/Sens!$J$2154</f>
        <v>1.28158981436972</v>
      </c>
      <c r="K2185" s="36" t="n">
        <f aca="false">Sens!$K$2184*(Sens!$K$2154+wacc*ext_sh*(Sens!$J$2170+Sens!$K$2170)/2/(1-tax)-Sens!$K$2173)/Sens!$K$2154</f>
        <v>1.2451604054581</v>
      </c>
      <c r="L2185" s="36" t="n">
        <f aca="false">Sens!$L$2184*(Sens!$L$2154+wacc*ext_sh*(Sens!$K$2170+Sens!$L$2170)/2/(1-tax)-Sens!$L$2173)/Sens!$L$2154</f>
        <v>1.20916710499123</v>
      </c>
      <c r="M2185" s="36" t="n">
        <f aca="false">Sens!$M$2184*(Sens!$M$2154+wacc*ext_sh*(Sens!$L$2170+Sens!$M$2170)/2/(1-tax)-Sens!$M$2173)/Sens!$M$2154</f>
        <v>1.19312470600158</v>
      </c>
    </row>
    <row r="2186" customFormat="false" ht="17.15" hidden="false" customHeight="false" outlineLevel="0" collapsed="false">
      <c r="A2186" s="5" t="s">
        <v>614</v>
      </c>
      <c r="B2186" s="0" t="s">
        <v>52</v>
      </c>
      <c r="C2186" s="12" t="n">
        <f aca="false">Sens!$C$2155/tk_pq</f>
        <v>0.195316432429398</v>
      </c>
      <c r="D2186" s="12" t="n">
        <f aca="false">Sens!$D$2155/tk_pq</f>
        <v>0.195316432429398</v>
      </c>
      <c r="E2186" s="12" t="n">
        <f aca="false">Sens!$E$2155/tk_pq</f>
        <v>0.195316432429398</v>
      </c>
      <c r="F2186" s="12" t="n">
        <f aca="false">Sens!$F$2155/tk_pq</f>
        <v>0.19229611621718</v>
      </c>
      <c r="G2186" s="12" t="n">
        <f aca="false">Sens!$G$2155/tk_pq</f>
        <v>0.193415558688553</v>
      </c>
      <c r="H2186" s="12" t="n">
        <f aca="false">Sens!$H$2155/tk_pq</f>
        <v>0.191841547329368</v>
      </c>
      <c r="I2186" s="12" t="n">
        <f aca="false">Sens!$I$2155/tk_pq</f>
        <v>0.193849442336292</v>
      </c>
      <c r="J2186" s="12" t="n">
        <f aca="false">Sens!$J$2155/tk_pq</f>
        <v>0.195019275285086</v>
      </c>
      <c r="K2186" s="12" t="n">
        <f aca="false">Sens!$K$2155/tk_pq</f>
        <v>0.195751909958157</v>
      </c>
      <c r="L2186" s="12" t="n">
        <f aca="false">Sens!$L$2155/tk_pq</f>
        <v>0.196249377632106</v>
      </c>
      <c r="M2186" s="12" t="n">
        <f aca="false">Sens!$M$2155/tk_pq</f>
        <v>0.196608148775577</v>
      </c>
      <c r="N2186" s="12" t="n">
        <f aca="false">Sens!$N$2155/tk_pq</f>
        <v>0.195316432429398</v>
      </c>
      <c r="O2186" s="12" t="n">
        <f aca="false">Sens!$O$2155/tk_pq</f>
        <v>0.195316432429398</v>
      </c>
      <c r="P2186" s="5" t="s">
        <v>615</v>
      </c>
    </row>
    <row r="2189" customFormat="false" ht="17.15" hidden="false" customHeight="false" outlineLevel="0" collapsed="false">
      <c r="A2189" s="1" t="s">
        <v>642</v>
      </c>
    </row>
    <row r="2190" customFormat="false" ht="17.15" hidden="false" customHeight="false" outlineLevel="0" collapsed="false">
      <c r="A2190" s="0" t="s">
        <v>643</v>
      </c>
      <c r="B2190" s="0" t="s">
        <v>73</v>
      </c>
      <c r="C2190" s="38" t="n">
        <f aca="false">Sens!$C$2154</f>
        <v>2.32100535697364</v>
      </c>
      <c r="D2190" s="38" t="n">
        <f aca="false">Sens!$D$2154</f>
        <v>8.70377008865116</v>
      </c>
      <c r="E2190" s="38" t="n">
        <f aca="false">Sens!$E$2154</f>
        <v>8.51035297557002</v>
      </c>
      <c r="F2190" s="38" t="n">
        <f aca="false">Sens!$F$2154</f>
        <v>14.2275720800453</v>
      </c>
      <c r="G2190" s="38" t="n">
        <f aca="false">Sens!$G$2154</f>
        <v>22.7379250556153</v>
      </c>
      <c r="H2190" s="38" t="n">
        <f aca="false">Sens!$H$2154</f>
        <v>54.278998232373</v>
      </c>
      <c r="I2190" s="38" t="n">
        <f aca="false">Sens!$I$2154</f>
        <v>89.7299141016288</v>
      </c>
      <c r="J2190" s="38" t="n">
        <f aca="false">Sens!$J$2154</f>
        <v>125.364729599073</v>
      </c>
      <c r="K2190" s="38" t="n">
        <f aca="false">Sens!$K$2154</f>
        <v>161.060844972581</v>
      </c>
      <c r="L2190" s="38" t="n">
        <f aca="false">Sens!$L$2154</f>
        <v>196.784823926117</v>
      </c>
      <c r="M2190" s="38" t="n">
        <f aca="false">Sens!$M$2154</f>
        <v>232.523806345822</v>
      </c>
      <c r="N2190" s="38" t="n">
        <f aca="false">Sens!$N$2154</f>
        <v>3.04631953102791</v>
      </c>
      <c r="O2190" s="38" t="n">
        <f aca="false">Sens!$O$2154</f>
        <v>5.65745055762326</v>
      </c>
      <c r="P2190" s="8" t="s">
        <v>644</v>
      </c>
    </row>
    <row r="2191" customFormat="false" ht="17.15" hidden="false" customHeight="false" outlineLevel="0" collapsed="false">
      <c r="A2191" s="0" t="s">
        <v>645</v>
      </c>
      <c r="B2191" s="0" t="s">
        <v>73</v>
      </c>
      <c r="C2191" s="38" t="n">
        <f aca="false">Sens!$C$2158</f>
        <v>105.234994643026</v>
      </c>
      <c r="D2191" s="38" t="n">
        <f aca="false">Sens!$D$2158</f>
        <v>120.021229911349</v>
      </c>
      <c r="E2191" s="38" t="n">
        <f aca="false">Sens!$E$2158</f>
        <v>71.30864702443</v>
      </c>
      <c r="F2191" s="38" t="n">
        <f aca="false">Sens!$F$2158</f>
        <v>78.5950104186653</v>
      </c>
      <c r="G2191" s="38" t="n">
        <f aca="false">Sens!$G$2158</f>
        <v>149.903657443095</v>
      </c>
      <c r="H2191" s="38" t="n">
        <f aca="false">Sens!$H$2158</f>
        <v>180.893560768142</v>
      </c>
      <c r="I2191" s="38" t="n">
        <f aca="false">Sens!$I$2158</f>
        <v>210.64839721501</v>
      </c>
      <c r="J2191" s="38" t="n">
        <f aca="false">Sens!$J$2158</f>
        <v>236.398909446495</v>
      </c>
      <c r="K2191" s="38" t="n">
        <f aca="false">Sens!$K$2158</f>
        <v>255.310822202215</v>
      </c>
      <c r="L2191" s="38" t="n">
        <f aca="false">Sens!$L$2158</f>
        <v>275.735687978392</v>
      </c>
      <c r="M2191" s="38" t="n">
        <f aca="false">Sens!$M$2158</f>
        <v>297.794543016663</v>
      </c>
      <c r="N2191" s="38" t="n">
        <f aca="false">Sens!$N$2158</f>
        <v>57.0936804689721</v>
      </c>
      <c r="O2191" s="38" t="n">
        <f aca="false">Sens!$O$2158</f>
        <v>62.9275494423768</v>
      </c>
      <c r="P2191" s="8" t="s">
        <v>644</v>
      </c>
    </row>
    <row r="2192" customFormat="false" ht="17.15" hidden="false" customHeight="false" outlineLevel="0" collapsed="false">
      <c r="A2192" s="1" t="s">
        <v>476</v>
      </c>
      <c r="B2192" s="8" t="s">
        <v>73</v>
      </c>
      <c r="C2192" s="38" t="n">
        <f aca="false">Q!$D$7</f>
        <v>107.556</v>
      </c>
      <c r="D2192" s="38" t="n">
        <f aca="false">Q!$E$7</f>
        <v>128.725</v>
      </c>
      <c r="E2192" s="38" t="n">
        <f aca="false">Q!$P$7</f>
        <v>79.819</v>
      </c>
      <c r="F2192" s="38" t="n">
        <f aca="false">Sens!$F$2190+Sens!$F$2191</f>
        <v>92.8225824987105</v>
      </c>
      <c r="G2192" s="38" t="n">
        <f aca="false">Sens!$G$2190+Sens!$G$2191</f>
        <v>172.641582498711</v>
      </c>
      <c r="H2192" s="38" t="n">
        <f aca="false">Sens!$H$2190+Sens!$H$2191</f>
        <v>235.172559000515</v>
      </c>
      <c r="I2192" s="38" t="n">
        <f aca="false">Sens!$I$2190+Sens!$I$2191</f>
        <v>300.378311316639</v>
      </c>
      <c r="J2192" s="38" t="n">
        <f aca="false">Sens!$J$2190+Sens!$J$2191</f>
        <v>361.763639045568</v>
      </c>
      <c r="K2192" s="38" t="n">
        <f aca="false">Sens!$K$2190+Sens!$K$2191</f>
        <v>416.371667174795</v>
      </c>
      <c r="L2192" s="38" t="n">
        <f aca="false">Sens!$L$2190+Sens!$L$2191</f>
        <v>472.520511904509</v>
      </c>
      <c r="M2192" s="38" t="n">
        <f aca="false">Sens!$M$2190+Sens!$M$2191</f>
        <v>530.318349362485</v>
      </c>
      <c r="N2192" s="38" t="n">
        <f aca="false">Q!$N$7</f>
        <v>60.14</v>
      </c>
      <c r="O2192" s="38" t="n">
        <f aca="false">Q!$O$7</f>
        <v>68.585</v>
      </c>
      <c r="P2192" s="5" t="s">
        <v>646</v>
      </c>
    </row>
    <row r="2193" customFormat="false" ht="15" hidden="false" customHeight="false" outlineLevel="0" collapsed="false">
      <c r="A2193" s="3" t="s">
        <v>647</v>
      </c>
      <c r="B2193" s="8" t="s">
        <v>73</v>
      </c>
      <c r="C2193" s="38" t="n">
        <f aca="false">Q!$D$8</f>
        <v>637.959</v>
      </c>
      <c r="D2193" s="38" t="n">
        <f aca="false">Q!$E$8</f>
        <v>716.924</v>
      </c>
      <c r="E2193" s="38" t="n">
        <f aca="false">Q!$P$8</f>
        <v>382.125</v>
      </c>
      <c r="F2193" s="38" t="n">
        <f aca="false">Sens!$F$2127+Sens!$F$2192</f>
        <v>449.75901170714</v>
      </c>
      <c r="G2193" s="38" t="n">
        <f aca="false">Sens!$G$2127+Sens!$G$2192</f>
        <v>831.88401170714</v>
      </c>
      <c r="H2193" s="38" t="n">
        <f aca="false">Sens!$H$2127+Sens!$H$2192</f>
        <v>965.108296622215</v>
      </c>
      <c r="I2193" s="38" t="n">
        <f aca="false">Sens!$I$2127+Sens!$I$2192</f>
        <v>1098.67388101451</v>
      </c>
      <c r="J2193" s="38" t="n">
        <f aca="false">Sens!$J$2127+Sens!$J$2192</f>
        <v>1223.50046137135</v>
      </c>
      <c r="K2193" s="38" t="n">
        <f aca="false">Sens!$K$2127+Sens!$K$2192</f>
        <v>1333.92915927672</v>
      </c>
      <c r="L2193" s="38" t="n">
        <f aca="false">Sens!$L$2127+Sens!$L$2192</f>
        <v>1449.80560164767</v>
      </c>
      <c r="M2193" s="38" t="n">
        <f aca="false">Sens!$M$2127+Sens!$M$2192</f>
        <v>1571.53236790599</v>
      </c>
      <c r="N2193" s="38" t="n">
        <f aca="false">Q!$N$8</f>
        <v>323.369</v>
      </c>
      <c r="O2193" s="38" t="n">
        <f aca="false">Q!$O$8</f>
        <v>393.555</v>
      </c>
    </row>
    <row r="2194" customFormat="false" ht="17.15" hidden="false" customHeight="false" outlineLevel="0" collapsed="false">
      <c r="A2194" s="24" t="s">
        <v>655</v>
      </c>
      <c r="B2194" s="25" t="s">
        <v>73</v>
      </c>
      <c r="C2194" s="39" t="n">
        <f aca="false">Sens!$C$2127-(Sens!$C$2129+Sens!$C$2130)</f>
        <v>0</v>
      </c>
      <c r="D2194" s="39" t="n">
        <f aca="false">Sens!$D$2127-(Sens!$D$2129+Sens!$D$2130)</f>
        <v>0</v>
      </c>
      <c r="E2194" s="39" t="n">
        <f aca="false">Sens!$E$2127-(Sens!$E$2129+Sens!$E$2130)</f>
        <v>0</v>
      </c>
      <c r="F2194" s="39" t="n">
        <f aca="false">Sens!$F$2127-(Sens!$F$2129+Sens!$F$2130)</f>
        <v>0</v>
      </c>
      <c r="G2194" s="39" t="n">
        <f aca="false">Sens!$G$2127-(Sens!$G$2129+Sens!$G$2130)</f>
        <v>0</v>
      </c>
      <c r="H2194" s="39" t="n">
        <f aca="false">Sens!$H$2127-(Sens!$H$2129+Sens!$H$2130)</f>
        <v>0</v>
      </c>
      <c r="I2194" s="39" t="n">
        <f aca="false">Sens!$I$2127-(Sens!$I$2129+Sens!$I$2130)</f>
        <v>0</v>
      </c>
      <c r="J2194" s="39" t="n">
        <f aca="false">Sens!$J$2127-(Sens!$J$2129+Sens!$J$2130)</f>
        <v>0</v>
      </c>
      <c r="K2194" s="39" t="n">
        <f aca="false">Sens!$K$2127-(Sens!$K$2129+Sens!$K$2130)</f>
        <v>0</v>
      </c>
      <c r="L2194" s="39" t="n">
        <f aca="false">Sens!$L$2127-(Sens!$L$2129+Sens!$L$2130)</f>
        <v>0</v>
      </c>
      <c r="M2194" s="39" t="n">
        <f aca="false">Sens!$M$2127-(Sens!$M$2129+Sens!$M$2130)</f>
        <v>0</v>
      </c>
      <c r="N2194" s="39" t="n">
        <f aca="false">Sens!$N$2127-(Sens!$N$2129+Sens!$N$2130)</f>
        <v>0</v>
      </c>
      <c r="O2194" s="39" t="n">
        <f aca="false">Sens!$O$2127-(Sens!$O$2129+Sens!$O$2130)</f>
        <v>0</v>
      </c>
    </row>
    <row r="2195" customFormat="false" ht="17.15" hidden="false" customHeight="false" outlineLevel="0" collapsed="false">
      <c r="A2195" s="24" t="s">
        <v>656</v>
      </c>
      <c r="B2195" s="25" t="s">
        <v>73</v>
      </c>
      <c r="C2195" s="39" t="n">
        <f aca="false">Sens!$C$2190+Sens!$C$2191-Sens!$C$2192</f>
        <v>0</v>
      </c>
      <c r="D2195" s="39" t="n">
        <f aca="false">Sens!$D$2190+Sens!$D$2191-Sens!$D$2192</f>
        <v>0</v>
      </c>
      <c r="E2195" s="39" t="n">
        <f aca="false">Sens!$E$2190+Sens!$E$2191-Sens!$E$2192</f>
        <v>0</v>
      </c>
      <c r="F2195" s="39" t="n">
        <f aca="false">Sens!$F$2190+Sens!$F$2191-Sens!$F$2192</f>
        <v>0</v>
      </c>
      <c r="G2195" s="39" t="n">
        <f aca="false">Sens!$G$2190+Sens!$G$2191-Sens!$G$2192</f>
        <v>0</v>
      </c>
      <c r="H2195" s="39" t="n">
        <f aca="false">Sens!$H$2190+Sens!$H$2191-Sens!$H$2192</f>
        <v>0</v>
      </c>
      <c r="I2195" s="39" t="n">
        <f aca="false">Sens!$I$2190+Sens!$I$2191-Sens!$I$2192</f>
        <v>0</v>
      </c>
      <c r="J2195" s="39" t="n">
        <f aca="false">Sens!$J$2190+Sens!$J$2191-Sens!$J$2192</f>
        <v>0</v>
      </c>
      <c r="K2195" s="39" t="n">
        <f aca="false">Sens!$K$2190+Sens!$K$2191-Sens!$K$2192</f>
        <v>0</v>
      </c>
      <c r="L2195" s="39" t="n">
        <f aca="false">Sens!$L$2190+Sens!$L$2191-Sens!$L$2192</f>
        <v>0</v>
      </c>
      <c r="M2195" s="39" t="n">
        <f aca="false">Sens!$M$2190+Sens!$M$2191-Sens!$M$2192</f>
        <v>0</v>
      </c>
      <c r="N2195" s="39" t="n">
        <f aca="false">Sens!$N$2190+Sens!$N$2191-Sens!$N$2192</f>
        <v>0</v>
      </c>
      <c r="O2195" s="39" t="n">
        <f aca="false">Sens!$O$2190+Sens!$O$2191-Sens!$O$2192</f>
        <v>0</v>
      </c>
    </row>
    <row r="2196" customFormat="false" ht="17.15" hidden="false" customHeight="false" outlineLevel="0" collapsed="false">
      <c r="A2196" s="24" t="s">
        <v>657</v>
      </c>
      <c r="B2196" s="25" t="s">
        <v>73</v>
      </c>
      <c r="C2196" s="39" t="n">
        <f aca="false">Sens!$C$2129+Sens!$C$2130+Sens!$C$2192-Sens!$C$2193</f>
        <v>0</v>
      </c>
      <c r="D2196" s="39" t="n">
        <f aca="false">Sens!$D$2129+Sens!$D$2130+Sens!$D$2192-Sens!$D$2193</f>
        <v>0</v>
      </c>
      <c r="E2196" s="39" t="n">
        <f aca="false">Sens!$E$2129+Sens!$E$2130+Sens!$E$2192-Sens!$E$2193</f>
        <v>0</v>
      </c>
      <c r="F2196" s="39" t="n">
        <f aca="false">Sens!$F$2129+Sens!$F$2130+Sens!$F$2192-Sens!$F$2193</f>
        <v>0</v>
      </c>
      <c r="G2196" s="39" t="n">
        <f aca="false">Sens!$G$2129+Sens!$G$2130+Sens!$G$2192-Sens!$G$2193</f>
        <v>0</v>
      </c>
      <c r="H2196" s="39" t="n">
        <f aca="false">Sens!$H$2129+Sens!$H$2130+Sens!$H$2192-Sens!$H$2193</f>
        <v>0</v>
      </c>
      <c r="I2196" s="39" t="n">
        <f aca="false">Sens!$I$2129+Sens!$I$2130+Sens!$I$2192-Sens!$I$2193</f>
        <v>0</v>
      </c>
      <c r="J2196" s="39" t="n">
        <f aca="false">Sens!$J$2129+Sens!$J$2130+Sens!$J$2192-Sens!$J$2193</f>
        <v>0</v>
      </c>
      <c r="K2196" s="39" t="n">
        <f aca="false">Sens!$K$2129+Sens!$K$2130+Sens!$K$2192-Sens!$K$2193</f>
        <v>0</v>
      </c>
      <c r="L2196" s="39" t="n">
        <f aca="false">Sens!$L$2129+Sens!$L$2130+Sens!$L$2192-Sens!$L$2193</f>
        <v>0</v>
      </c>
      <c r="M2196" s="39" t="n">
        <f aca="false">Sens!$M$2129+Sens!$M$2130+Sens!$M$2192-Sens!$M$2193</f>
        <v>0</v>
      </c>
      <c r="N2196" s="39" t="n">
        <f aca="false">Sens!$N$2129+Sens!$N$2130+Sens!$N$2192-Sens!$N$2193</f>
        <v>0</v>
      </c>
      <c r="O2196" s="39" t="n">
        <f aca="false">Sens!$O$2129+Sens!$O$2130+Sens!$O$2192-Sens!$O$2193</f>
        <v>0</v>
      </c>
    </row>
    <row r="2197" customFormat="false" ht="15" hidden="false" customHeight="false" outlineLevel="0" collapsed="false">
      <c r="A2197" s="5" t="s">
        <v>651</v>
      </c>
      <c r="B2197" s="0" t="s">
        <v>52</v>
      </c>
      <c r="G2197" s="12" t="n">
        <f aca="false">Sens!$G$2193/Sens!$D$2193-1</f>
        <v>0.160351741198705</v>
      </c>
      <c r="H2197" s="12" t="n">
        <f aca="false">Sens!$H$2193/Sens!$G$2193-1</f>
        <v>0.160147668473253</v>
      </c>
      <c r="I2197" s="12" t="n">
        <f aca="false">Sens!$I$2193/Sens!$H$2193-1</f>
        <v>0.138394400773222</v>
      </c>
      <c r="J2197" s="12" t="n">
        <f aca="false">Sens!$J$2193/Sens!$I$2193-1</f>
        <v>0.113615680243147</v>
      </c>
      <c r="K2197" s="12" t="n">
        <f aca="false">Sens!$K$2193/Sens!$J$2193-1</f>
        <v>0.0902563598395323</v>
      </c>
      <c r="L2197" s="12" t="n">
        <f aca="false">Sens!$L$2193/Sens!$K$2193-1</f>
        <v>0.0868685128929809</v>
      </c>
      <c r="M2197" s="12" t="n">
        <f aca="false">Sens!$M$2193/Sens!$L$2193-1</f>
        <v>0.0839607504067956</v>
      </c>
    </row>
    <row r="2198" customFormat="false" ht="17.15" hidden="false" customHeight="false" outlineLevel="0" collapsed="false">
      <c r="A2198" s="0" t="s">
        <v>652</v>
      </c>
      <c r="B2198" s="0" t="s">
        <v>52</v>
      </c>
      <c r="C2198" s="12" t="n">
        <f aca="false">Sens!$C$2192/Sens!$C$2193</f>
        <v>0.168593906504964</v>
      </c>
      <c r="D2198" s="12" t="n">
        <f aca="false">Sens!$D$2192/Sens!$D$2193</f>
        <v>0.179551807444025</v>
      </c>
      <c r="E2198" s="12" t="n">
        <f aca="false">Sens!$E$2192/Sens!$E$2193</f>
        <v>0.208881910369643</v>
      </c>
      <c r="F2198" s="12" t="n">
        <f aca="false">Sens!$F$2192/Sens!$F$2193</f>
        <v>0.206382929708036</v>
      </c>
      <c r="G2198" s="12" t="n">
        <f aca="false">Sens!$G$2192/Sens!$G$2193</f>
        <v>0.207530833708928</v>
      </c>
      <c r="H2198" s="12" t="n">
        <f aca="false">Sens!$H$2192/Sens!$H$2193</f>
        <v>0.243674787403233</v>
      </c>
      <c r="I2198" s="12" t="n">
        <f aca="false">Sens!$I$2192/Sens!$I$2193</f>
        <v>0.273400793909172</v>
      </c>
      <c r="J2198" s="12" t="n">
        <f aca="false">Sens!$J$2192/Sens!$J$2193</f>
        <v>0.295679201166861</v>
      </c>
      <c r="K2198" s="12" t="n">
        <f aca="false">Sens!$K$2192/Sens!$K$2193</f>
        <v>0.312139264877124</v>
      </c>
      <c r="L2198" s="12" t="n">
        <f aca="false">Sens!$L$2192/Sens!$L$2193</f>
        <v>0.325919910481446</v>
      </c>
      <c r="M2198" s="12" t="n">
        <f aca="false">Sens!$M$2192/Sens!$M$2193</f>
        <v>0.33745302368103</v>
      </c>
      <c r="N2198" s="12" t="n">
        <f aca="false">Sens!$N$2192/Sens!$N$2193</f>
        <v>0.185979484737251</v>
      </c>
      <c r="O2198" s="12" t="n">
        <f aca="false">Sens!$O$2192/Sens!$O$2193</f>
        <v>0.174270432341096</v>
      </c>
    </row>
    <row r="2199" customFormat="false" ht="17.15" hidden="false" customHeight="false" outlineLevel="0" collapsed="false">
      <c r="A2199" s="0" t="s">
        <v>653</v>
      </c>
      <c r="B2199" s="0" t="s">
        <v>52</v>
      </c>
      <c r="C2199" s="12" t="n">
        <f aca="false">Sens!$C$2190/Sens!$C$2192</f>
        <v>0.0215795060896058</v>
      </c>
      <c r="D2199" s="12" t="n">
        <f aca="false">Sens!$D$2190/Sens!$D$2192</f>
        <v>0.0676152269462122</v>
      </c>
      <c r="E2199" s="12" t="n">
        <f aca="false">Sens!$E$2190/Sens!$E$2192</f>
        <v>0.106620641395783</v>
      </c>
      <c r="F2199" s="12" t="n">
        <f aca="false">Sens!$F$2190/Sens!$F$2192</f>
        <v>0.153277054969279</v>
      </c>
      <c r="G2199" s="12" t="n">
        <f aca="false">Sens!$G$2190/Sens!$G$2192</f>
        <v>0.131705958243201</v>
      </c>
      <c r="H2199" s="12" t="n">
        <f aca="false">Sens!$H$2190/Sens!$H$2192</f>
        <v>0.23080498193777</v>
      </c>
      <c r="I2199" s="12" t="n">
        <f aca="false">Sens!$I$2190/Sens!$I$2192</f>
        <v>0.298723012684632</v>
      </c>
      <c r="J2199" s="12" t="n">
        <f aca="false">Sens!$J$2190/Sens!$J$2192</f>
        <v>0.346537672856841</v>
      </c>
      <c r="K2199" s="12" t="n">
        <f aca="false">Sens!$K$2190/Sens!$K$2192</f>
        <v>0.386819895948795</v>
      </c>
      <c r="L2199" s="12" t="n">
        <f aca="false">Sens!$L$2190/Sens!$L$2192</f>
        <v>0.416457738803697</v>
      </c>
      <c r="M2199" s="12" t="n">
        <f aca="false">Sens!$M$2190/Sens!$M$2192</f>
        <v>0.438460797416019</v>
      </c>
      <c r="N2199" s="12" t="n">
        <f aca="false">Sens!$N$2190/Sens!$N$2192</f>
        <v>0.0506537999838362</v>
      </c>
      <c r="O2199" s="12" t="n">
        <f aca="false">Sens!$O$2190/Sens!$O$2192</f>
        <v>0.0824881615167056</v>
      </c>
    </row>
    <row r="2202" customFormat="false" ht="19.4" hidden="false" customHeight="false" outlineLevel="0" collapsed="false">
      <c r="A2202" s="31" t="s">
        <v>1090</v>
      </c>
    </row>
    <row r="2203" customFormat="false" ht="17.15" hidden="false" customHeight="false" outlineLevel="0" collapsed="false">
      <c r="A2203" s="6" t="s">
        <v>16</v>
      </c>
      <c r="B2203" s="6" t="s">
        <v>17</v>
      </c>
      <c r="C2203" s="20" t="s">
        <v>457</v>
      </c>
      <c r="D2203" s="20" t="s">
        <v>458</v>
      </c>
      <c r="E2203" s="20" t="s">
        <v>540</v>
      </c>
      <c r="F2203" s="20" t="s">
        <v>541</v>
      </c>
      <c r="G2203" s="20" t="s">
        <v>542</v>
      </c>
      <c r="H2203" s="20" t="s">
        <v>543</v>
      </c>
      <c r="I2203" s="20" t="s">
        <v>544</v>
      </c>
      <c r="J2203" s="20" t="s">
        <v>545</v>
      </c>
      <c r="K2203" s="20" t="s">
        <v>546</v>
      </c>
      <c r="L2203" s="20" t="s">
        <v>547</v>
      </c>
      <c r="M2203" s="20" t="s">
        <v>548</v>
      </c>
      <c r="N2203" s="20" t="s">
        <v>549</v>
      </c>
      <c r="O2203" s="20" t="s">
        <v>550</v>
      </c>
      <c r="P2203" s="6" t="s">
        <v>23</v>
      </c>
      <c r="R2203" s="20" t="n">
        <v>2023</v>
      </c>
      <c r="S2203" s="20" t="n">
        <v>2024</v>
      </c>
      <c r="T2203" s="20" t="n">
        <v>2025</v>
      </c>
      <c r="U2203" s="20" t="n">
        <v>2026</v>
      </c>
      <c r="V2203" s="20" t="n">
        <v>2027</v>
      </c>
      <c r="W2203" s="20" t="n">
        <v>2028</v>
      </c>
      <c r="X2203" s="20" t="n">
        <v>2029</v>
      </c>
      <c r="Y2203" s="20" t="n">
        <v>2030</v>
      </c>
      <c r="Z2203" s="20" t="n">
        <v>2031</v>
      </c>
      <c r="AA2203" s="20" t="n">
        <v>2032</v>
      </c>
    </row>
    <row r="2204" customFormat="false" ht="17.15" hidden="false" customHeight="false" outlineLevel="0" collapsed="false">
      <c r="A2204" s="1" t="s">
        <v>668</v>
      </c>
    </row>
    <row r="2205" customFormat="false" ht="15" hidden="false" customHeight="false" outlineLevel="0" collapsed="false">
      <c r="A2205" s="0" t="s">
        <v>479</v>
      </c>
      <c r="B2205" s="0" t="s">
        <v>73</v>
      </c>
      <c r="C2205" s="38" t="n">
        <f aca="false">Sens!$C$2115</f>
        <v>247.029</v>
      </c>
      <c r="D2205" s="38" t="n">
        <f aca="false">Sens!$D$2115</f>
        <v>269.287</v>
      </c>
      <c r="E2205" s="38" t="n">
        <f aca="false">Sens!$E$2115</f>
        <v>134.686</v>
      </c>
      <c r="F2205" s="38" t="n">
        <f aca="false">Sens!$F$2115</f>
        <v>160.728085930082</v>
      </c>
      <c r="G2205" s="38" t="n">
        <f aca="false">Sens!$G$2115</f>
        <v>295.414085930082</v>
      </c>
      <c r="H2205" s="38" t="n">
        <f aca="false">Sens!$H$2115</f>
        <v>320.828163943375</v>
      </c>
      <c r="I2205" s="38" t="n">
        <f aca="false">Sens!$I$2115</f>
        <v>344.575578072228</v>
      </c>
      <c r="J2205" s="38" t="n">
        <f aca="false">Sens!$J$2115</f>
        <v>365.942555779681</v>
      </c>
      <c r="K2205" s="38" t="n">
        <f aca="false">Sens!$K$2115</f>
        <v>384.239683568665</v>
      </c>
      <c r="L2205" s="38" t="n">
        <f aca="false">Sens!$L$2115</f>
        <v>403.451667747098</v>
      </c>
      <c r="M2205" s="38" t="n">
        <f aca="false">Sens!$M$2115</f>
        <v>423.624251134453</v>
      </c>
      <c r="N2205" s="38" t="n">
        <f aca="false">Sens!$N$2115</f>
        <v>118.892</v>
      </c>
      <c r="O2205" s="38" t="n">
        <f aca="false">Sens!$O$2115</f>
        <v>150.395</v>
      </c>
    </row>
    <row r="2206" customFormat="false" ht="15" hidden="false" customHeight="false" outlineLevel="0" collapsed="false">
      <c r="A2206" s="0" t="s">
        <v>480</v>
      </c>
      <c r="B2206" s="0" t="s">
        <v>73</v>
      </c>
      <c r="C2206" s="38" t="n">
        <f aca="false">Sens!$C$2117</f>
        <v>21.215</v>
      </c>
      <c r="D2206" s="38" t="n">
        <f aca="false">Sens!$D$2117</f>
        <v>22.561</v>
      </c>
      <c r="E2206" s="38" t="n">
        <f aca="false">Sens!$E$2117</f>
        <v>11.579</v>
      </c>
      <c r="F2206" s="38" t="n">
        <f aca="false">Sens!$F$2117</f>
        <v>12.0952613121125</v>
      </c>
      <c r="G2206" s="38" t="n">
        <f aca="false">Sens!$G$2117</f>
        <v>23.6742613121125</v>
      </c>
      <c r="H2206" s="38" t="n">
        <f aca="false">Sens!$H$2117</f>
        <v>24.8803243963206</v>
      </c>
      <c r="I2206" s="38" t="n">
        <f aca="false">Sens!$I$2117</f>
        <v>25.9741308664154</v>
      </c>
      <c r="J2206" s="38" t="n">
        <f aca="false">Sens!$J$2117</f>
        <v>26.9346894124267</v>
      </c>
      <c r="K2206" s="38" t="n">
        <f aca="false">Sens!$K$2117</f>
        <v>27.7427300947995</v>
      </c>
      <c r="L2206" s="38" t="n">
        <f aca="false">Sens!$L$2117</f>
        <v>28.5750119976435</v>
      </c>
      <c r="M2206" s="38" t="n">
        <f aca="false">Sens!$M$2117</f>
        <v>29.4322623575728</v>
      </c>
      <c r="N2206" s="38" t="n">
        <f aca="false">Sens!$N$2117</f>
        <v>11.128</v>
      </c>
      <c r="O2206" s="38" t="n">
        <f aca="false">Sens!$O$2117</f>
        <v>11.433</v>
      </c>
    </row>
    <row r="2207" customFormat="false" ht="15" hidden="false" customHeight="false" outlineLevel="0" collapsed="false">
      <c r="A2207" s="0" t="s">
        <v>481</v>
      </c>
      <c r="B2207" s="0" t="s">
        <v>73</v>
      </c>
      <c r="C2207" s="38" t="n">
        <f aca="false">Sens!$C$2119</f>
        <v>156.146</v>
      </c>
      <c r="D2207" s="38" t="n">
        <f aca="false">Sens!$D$2119</f>
        <v>172.162</v>
      </c>
      <c r="E2207" s="38" t="n">
        <f aca="false">Sens!$E$2119</f>
        <v>88.358</v>
      </c>
      <c r="F2207" s="38" t="n">
        <f aca="false">Sens!$F$2119</f>
        <v>103.62028337149</v>
      </c>
      <c r="G2207" s="38" t="n">
        <f aca="false">Sens!$G$2119</f>
        <v>191.97828337149</v>
      </c>
      <c r="H2207" s="38" t="n">
        <f aca="false">Sens!$H$2119</f>
        <v>212.128608444755</v>
      </c>
      <c r="I2207" s="38" t="n">
        <f aca="false">Sens!$I$2119</f>
        <v>231.92183134134</v>
      </c>
      <c r="J2207" s="38" t="n">
        <f aca="false">Sens!$J$2119</f>
        <v>250.859136487863</v>
      </c>
      <c r="K2207" s="38" t="n">
        <f aca="false">Sens!$K$2119</f>
        <v>268.419276042014</v>
      </c>
      <c r="L2207" s="38" t="n">
        <f aca="false">Sens!$L$2119</f>
        <v>287.208625364954</v>
      </c>
      <c r="M2207" s="38" t="n">
        <f aca="false">Sens!$M$2119</f>
        <v>307.313229140501</v>
      </c>
      <c r="N2207" s="38" t="n">
        <f aca="false">Sens!$N$2119</f>
        <v>76.86</v>
      </c>
      <c r="O2207" s="38" t="n">
        <f aca="false">Sens!$O$2119</f>
        <v>95.302</v>
      </c>
    </row>
    <row r="2208" customFormat="false" ht="15" hidden="false" customHeight="false" outlineLevel="0" collapsed="false">
      <c r="A2208" s="0" t="s">
        <v>482</v>
      </c>
      <c r="B2208" s="0" t="s">
        <v>73</v>
      </c>
      <c r="C2208" s="38" t="n">
        <f aca="false">Sens!$C$2121</f>
        <v>56.214</v>
      </c>
      <c r="D2208" s="38" t="n">
        <f aca="false">Sens!$D$2121</f>
        <v>68.635</v>
      </c>
      <c r="E2208" s="38" t="n">
        <f aca="false">Sens!$E$2121</f>
        <v>37.052</v>
      </c>
      <c r="F2208" s="38" t="n">
        <f aca="false">Sens!$F$2121</f>
        <v>48.1533381827382</v>
      </c>
      <c r="G2208" s="38" t="n">
        <f aca="false">Sens!$G$2121</f>
        <v>85.2053381827382</v>
      </c>
      <c r="H2208" s="38" t="n">
        <f aca="false">Sens!$H$2121</f>
        <v>102.29336185894</v>
      </c>
      <c r="I2208" s="38" t="n">
        <f aca="false">Sens!$I$2121</f>
        <v>119.379837585241</v>
      </c>
      <c r="J2208" s="38" t="n">
        <f aca="false">Sens!$J$2121</f>
        <v>135.319079048844</v>
      </c>
      <c r="K2208" s="38" t="n">
        <f aca="false">Sens!$K$2121</f>
        <v>148.850986953729</v>
      </c>
      <c r="L2208" s="38" t="n">
        <f aca="false">Sens!$L$2121</f>
        <v>163.736085649102</v>
      </c>
      <c r="M2208" s="38" t="n">
        <f aca="false">Sens!$M$2121</f>
        <v>180.109694214012</v>
      </c>
      <c r="N2208" s="38" t="n">
        <f aca="false">Sens!$N$2121</f>
        <v>29.615</v>
      </c>
      <c r="O2208" s="38" t="n">
        <f aca="false">Sens!$O$2121</f>
        <v>39.02</v>
      </c>
    </row>
    <row r="2209" customFormat="false" ht="15" hidden="false" customHeight="false" outlineLevel="0" collapsed="false">
      <c r="A2209" s="0" t="s">
        <v>483</v>
      </c>
      <c r="B2209" s="0" t="s">
        <v>73</v>
      </c>
      <c r="C2209" s="38" t="n">
        <f aca="false">Sens!$C$2123</f>
        <v>44.374</v>
      </c>
      <c r="D2209" s="38" t="n">
        <f aca="false">Sens!$D$2123</f>
        <v>49.619</v>
      </c>
      <c r="E2209" s="38" t="n">
        <f aca="false">Sens!$E$2123</f>
        <v>27.157</v>
      </c>
      <c r="F2209" s="38" t="n">
        <f aca="false">Sens!$F$2123</f>
        <v>28.9776360923374</v>
      </c>
      <c r="G2209" s="38" t="n">
        <f aca="false">Sens!$G$2123</f>
        <v>56.1346360923374</v>
      </c>
      <c r="H2209" s="38" t="n">
        <f aca="false">Sens!$H$2123</f>
        <v>62.4937078946075</v>
      </c>
      <c r="I2209" s="38" t="n">
        <f aca="false">Sens!$I$2123</f>
        <v>68.6715233062498</v>
      </c>
      <c r="J2209" s="38" t="n">
        <f aca="false">Sens!$J$2123</f>
        <v>74.4692882949818</v>
      </c>
      <c r="K2209" s="38" t="n">
        <f aca="false">Sens!$K$2123</f>
        <v>79.6821384756306</v>
      </c>
      <c r="L2209" s="38" t="n">
        <f aca="false">Sens!$L$2123</f>
        <v>85.2598881689247</v>
      </c>
      <c r="M2209" s="38" t="n">
        <f aca="false">Sens!$M$2123</f>
        <v>91.2280803407494</v>
      </c>
      <c r="N2209" s="38" t="n">
        <f aca="false">Sens!$N$2123</f>
        <v>23.923</v>
      </c>
      <c r="O2209" s="38" t="n">
        <f aca="false">Sens!$O$2123</f>
        <v>25.696</v>
      </c>
    </row>
    <row r="2210" customFormat="false" ht="15" hidden="false" customHeight="false" outlineLevel="0" collapsed="false">
      <c r="A2210" s="0" t="s">
        <v>484</v>
      </c>
      <c r="B2210" s="0" t="s">
        <v>73</v>
      </c>
      <c r="C2210" s="38" t="n">
        <f aca="false">Sens!$C$2125</f>
        <v>5.425</v>
      </c>
      <c r="D2210" s="38" t="n">
        <f aca="false">Sens!$D$2125</f>
        <v>5.935</v>
      </c>
      <c r="E2210" s="38" t="n">
        <f aca="false">Sens!$E$2125</f>
        <v>3.474</v>
      </c>
      <c r="F2210" s="38" t="n">
        <f aca="false">Sens!$F$2125</f>
        <v>3.36182431966931</v>
      </c>
      <c r="G2210" s="38" t="n">
        <f aca="false">Sens!$G$2125</f>
        <v>6.83582431966931</v>
      </c>
      <c r="H2210" s="38" t="n">
        <f aca="false">Sens!$H$2125</f>
        <v>7.31157108370141</v>
      </c>
      <c r="I2210" s="38" t="n">
        <f aca="false">Sens!$I$2125</f>
        <v>7.77266852639815</v>
      </c>
      <c r="J2210" s="38" t="n">
        <f aca="false">Sens!$J$2125</f>
        <v>8.2120733019884</v>
      </c>
      <c r="K2210" s="38" t="n">
        <f aca="false">Sens!$K$2125</f>
        <v>8.62267696708783</v>
      </c>
      <c r="L2210" s="38" t="n">
        <f aca="false">Sens!$L$2125</f>
        <v>9.05381081544222</v>
      </c>
      <c r="M2210" s="38" t="n">
        <f aca="false">Sens!$M$2125</f>
        <v>9.50650135621433</v>
      </c>
      <c r="N2210" s="38" t="n">
        <f aca="false">Sens!$N$2125</f>
        <v>2.811</v>
      </c>
      <c r="O2210" s="38" t="n">
        <f aca="false">Sens!$O$2125</f>
        <v>3.124</v>
      </c>
    </row>
    <row r="2211" customFormat="false" ht="17.15" hidden="false" customHeight="false" outlineLevel="0" collapsed="false">
      <c r="A2211" s="0" t="s">
        <v>669</v>
      </c>
      <c r="B2211" s="0" t="s">
        <v>73</v>
      </c>
      <c r="C2211" s="38" t="n">
        <f aca="false">Sens!$C$2192</f>
        <v>107.556</v>
      </c>
      <c r="D2211" s="38" t="n">
        <f aca="false">Sens!$D$2192</f>
        <v>128.725</v>
      </c>
      <c r="E2211" s="38" t="n">
        <f aca="false">Sens!$E$2192</f>
        <v>79.819</v>
      </c>
      <c r="F2211" s="38" t="n">
        <f aca="false">Sens!$F$2192</f>
        <v>92.8225824987105</v>
      </c>
      <c r="G2211" s="38" t="n">
        <f aca="false">Sens!$G$2192</f>
        <v>172.641582498711</v>
      </c>
      <c r="H2211" s="38" t="n">
        <f aca="false">Sens!$H$2192</f>
        <v>235.172559000515</v>
      </c>
      <c r="I2211" s="38" t="n">
        <f aca="false">Sens!$I$2192</f>
        <v>300.378311316639</v>
      </c>
      <c r="J2211" s="38" t="n">
        <f aca="false">Sens!$J$2192</f>
        <v>361.763639045568</v>
      </c>
      <c r="K2211" s="38" t="n">
        <f aca="false">Sens!$K$2192</f>
        <v>416.371667174795</v>
      </c>
      <c r="L2211" s="38" t="n">
        <f aca="false">Sens!$L$2192</f>
        <v>472.520511904509</v>
      </c>
      <c r="M2211" s="38" t="n">
        <f aca="false">Sens!$M$2192</f>
        <v>530.318349362485</v>
      </c>
      <c r="N2211" s="38" t="n">
        <f aca="false">Sens!$N$2192</f>
        <v>60.14</v>
      </c>
      <c r="O2211" s="38" t="n">
        <f aca="false">Sens!$O$2192</f>
        <v>68.585</v>
      </c>
    </row>
    <row r="2212" customFormat="false" ht="15" hidden="false" customHeight="false" outlineLevel="0" collapsed="false">
      <c r="A2212" s="1" t="s">
        <v>472</v>
      </c>
      <c r="B2212" s="8" t="s">
        <v>73</v>
      </c>
      <c r="C2212" s="38" t="n">
        <f aca="false">Sens!$C$2129</f>
        <v>387.497</v>
      </c>
      <c r="D2212" s="38" t="n">
        <f aca="false">Sens!$D$2129</f>
        <v>426.305</v>
      </c>
      <c r="E2212" s="38" t="n">
        <f aca="false">Sens!$E$2129</f>
        <v>220.32</v>
      </c>
      <c r="F2212" s="38" t="n">
        <f aca="false">Sens!$F$2129</f>
        <v>256.304015003807</v>
      </c>
      <c r="G2212" s="38" t="n">
        <f aca="false">Sens!$G$2129</f>
        <v>476.624015003807</v>
      </c>
      <c r="H2212" s="38" t="n">
        <f aca="false">Sens!$H$2129</f>
        <v>527.734391091543</v>
      </c>
      <c r="I2212" s="38" t="n">
        <f aca="false">Sens!$I$2129</f>
        <v>577.157693029577</v>
      </c>
      <c r="J2212" s="38" t="n">
        <f aca="false">Sens!$J$2129</f>
        <v>623.024923663827</v>
      </c>
      <c r="K2212" s="38" t="n">
        <f aca="false">Sens!$K$2129</f>
        <v>663.382568393781</v>
      </c>
      <c r="L2212" s="38" t="n">
        <f aca="false">Sens!$L$2129</f>
        <v>706.564873010432</v>
      </c>
      <c r="M2212" s="38" t="n">
        <f aca="false">Sens!$M$2129</f>
        <v>752.784687406019</v>
      </c>
      <c r="N2212" s="38" t="n">
        <f aca="false">Sens!$N$2129</f>
        <v>192.955</v>
      </c>
      <c r="O2212" s="38" t="n">
        <f aca="false">Sens!$O$2129</f>
        <v>233.35</v>
      </c>
    </row>
    <row r="2213" customFormat="false" ht="15" hidden="false" customHeight="false" outlineLevel="0" collapsed="false">
      <c r="A2213" s="1" t="s">
        <v>475</v>
      </c>
      <c r="B2213" s="8" t="s">
        <v>73</v>
      </c>
      <c r="C2213" s="38" t="n">
        <f aca="false">Sens!$C$2130</f>
        <v>142.906</v>
      </c>
      <c r="D2213" s="38" t="n">
        <f aca="false">Sens!$D$2130</f>
        <v>161.894</v>
      </c>
      <c r="E2213" s="38" t="n">
        <f aca="false">Sens!$E$2130</f>
        <v>81.986</v>
      </c>
      <c r="F2213" s="38" t="n">
        <f aca="false">Sens!$F$2130</f>
        <v>100.632414204623</v>
      </c>
      <c r="G2213" s="38" t="n">
        <f aca="false">Sens!$G$2130</f>
        <v>182.618414204623</v>
      </c>
      <c r="H2213" s="38" t="n">
        <f aca="false">Sens!$H$2130</f>
        <v>202.201346530158</v>
      </c>
      <c r="I2213" s="38" t="n">
        <f aca="false">Sens!$I$2130</f>
        <v>221.137876668296</v>
      </c>
      <c r="J2213" s="38" t="n">
        <f aca="false">Sens!$J$2130</f>
        <v>238.711898661958</v>
      </c>
      <c r="K2213" s="38" t="n">
        <f aca="false">Sens!$K$2130</f>
        <v>254.174923708144</v>
      </c>
      <c r="L2213" s="38" t="n">
        <f aca="false">Sens!$L$2130</f>
        <v>270.720216732733</v>
      </c>
      <c r="M2213" s="38" t="n">
        <f aca="false">Sens!$M$2130</f>
        <v>288.429331137484</v>
      </c>
      <c r="N2213" s="38" t="n">
        <f aca="false">Sens!$N$2130</f>
        <v>70.274</v>
      </c>
      <c r="O2213" s="38" t="n">
        <f aca="false">Sens!$O$2130</f>
        <v>91.62</v>
      </c>
    </row>
    <row r="2214" customFormat="false" ht="15" hidden="false" customHeight="false" outlineLevel="0" collapsed="false">
      <c r="A2214" s="1" t="s">
        <v>476</v>
      </c>
      <c r="B2214" s="8" t="s">
        <v>73</v>
      </c>
      <c r="C2214" s="38" t="n">
        <f aca="false">Sens!$C$2192</f>
        <v>107.556</v>
      </c>
      <c r="D2214" s="38" t="n">
        <f aca="false">Sens!$D$2192</f>
        <v>128.725</v>
      </c>
      <c r="E2214" s="38" t="n">
        <f aca="false">Sens!$E$2192</f>
        <v>79.819</v>
      </c>
      <c r="F2214" s="38" t="n">
        <f aca="false">Sens!$F$2192</f>
        <v>92.8225824987105</v>
      </c>
      <c r="G2214" s="38" t="n">
        <f aca="false">Sens!$G$2192</f>
        <v>172.641582498711</v>
      </c>
      <c r="H2214" s="38" t="n">
        <f aca="false">Sens!$H$2192</f>
        <v>235.172559000515</v>
      </c>
      <c r="I2214" s="38" t="n">
        <f aca="false">Sens!$I$2192</f>
        <v>300.378311316639</v>
      </c>
      <c r="J2214" s="38" t="n">
        <f aca="false">Sens!$J$2192</f>
        <v>361.763639045568</v>
      </c>
      <c r="K2214" s="38" t="n">
        <f aca="false">Sens!$K$2192</f>
        <v>416.371667174795</v>
      </c>
      <c r="L2214" s="38" t="n">
        <f aca="false">Sens!$L$2192</f>
        <v>472.520511904509</v>
      </c>
      <c r="M2214" s="38" t="n">
        <f aca="false">Sens!$M$2192</f>
        <v>530.318349362485</v>
      </c>
      <c r="N2214" s="38" t="n">
        <f aca="false">Sens!$N$2192</f>
        <v>60.14</v>
      </c>
      <c r="O2214" s="38" t="n">
        <f aca="false">Sens!$O$2192</f>
        <v>68.585</v>
      </c>
    </row>
    <row r="2215" customFormat="false" ht="17.15" hidden="false" customHeight="false" outlineLevel="0" collapsed="false">
      <c r="A2215" s="0" t="s">
        <v>643</v>
      </c>
      <c r="B2215" s="0" t="s">
        <v>73</v>
      </c>
      <c r="C2215" s="38" t="n">
        <f aca="false">Sens!$C$2190</f>
        <v>2.32100535697364</v>
      </c>
      <c r="D2215" s="38" t="n">
        <f aca="false">Sens!$D$2190</f>
        <v>8.70377008865116</v>
      </c>
      <c r="E2215" s="38" t="n">
        <f aca="false">Sens!$E$2190</f>
        <v>8.51035297557002</v>
      </c>
      <c r="F2215" s="38" t="n">
        <f aca="false">Sens!$F$2190</f>
        <v>14.2275720800453</v>
      </c>
      <c r="G2215" s="38" t="n">
        <f aca="false">Sens!$G$2190</f>
        <v>22.7379250556153</v>
      </c>
      <c r="H2215" s="38" t="n">
        <f aca="false">Sens!$H$2190</f>
        <v>54.278998232373</v>
      </c>
      <c r="I2215" s="38" t="n">
        <f aca="false">Sens!$I$2190</f>
        <v>89.7299141016288</v>
      </c>
      <c r="J2215" s="38" t="n">
        <f aca="false">Sens!$J$2190</f>
        <v>125.364729599073</v>
      </c>
      <c r="K2215" s="38" t="n">
        <f aca="false">Sens!$K$2190</f>
        <v>161.060844972581</v>
      </c>
      <c r="L2215" s="38" t="n">
        <f aca="false">Sens!$L$2190</f>
        <v>196.784823926117</v>
      </c>
      <c r="M2215" s="38" t="n">
        <f aca="false">Sens!$M$2190</f>
        <v>232.523806345822</v>
      </c>
      <c r="N2215" s="38" t="n">
        <f aca="false">Sens!$N$2190</f>
        <v>3.04631953102791</v>
      </c>
      <c r="O2215" s="38" t="n">
        <f aca="false">Sens!$O$2190</f>
        <v>5.65745055762326</v>
      </c>
    </row>
    <row r="2216" customFormat="false" ht="17.15" hidden="false" customHeight="false" outlineLevel="0" collapsed="false">
      <c r="A2216" s="0" t="s">
        <v>645</v>
      </c>
      <c r="B2216" s="0" t="s">
        <v>73</v>
      </c>
      <c r="C2216" s="38" t="n">
        <f aca="false">Sens!$C$2191</f>
        <v>105.234994643026</v>
      </c>
      <c r="D2216" s="38" t="n">
        <f aca="false">Sens!$D$2191</f>
        <v>120.021229911349</v>
      </c>
      <c r="E2216" s="38" t="n">
        <f aca="false">Sens!$E$2191</f>
        <v>71.30864702443</v>
      </c>
      <c r="F2216" s="38" t="n">
        <f aca="false">Sens!$F$2191</f>
        <v>78.5950104186653</v>
      </c>
      <c r="G2216" s="38" t="n">
        <f aca="false">Sens!$G$2191</f>
        <v>149.903657443095</v>
      </c>
      <c r="H2216" s="38" t="n">
        <f aca="false">Sens!$H$2191</f>
        <v>180.893560768142</v>
      </c>
      <c r="I2216" s="38" t="n">
        <f aca="false">Sens!$I$2191</f>
        <v>210.64839721501</v>
      </c>
      <c r="J2216" s="38" t="n">
        <f aca="false">Sens!$J$2191</f>
        <v>236.398909446495</v>
      </c>
      <c r="K2216" s="38" t="n">
        <f aca="false">Sens!$K$2191</f>
        <v>255.310822202215</v>
      </c>
      <c r="L2216" s="38" t="n">
        <f aca="false">Sens!$L$2191</f>
        <v>275.735687978392</v>
      </c>
      <c r="M2216" s="38" t="n">
        <f aca="false">Sens!$M$2191</f>
        <v>297.794543016663</v>
      </c>
      <c r="N2216" s="38" t="n">
        <f aca="false">Sens!$N$2191</f>
        <v>57.0936804689721</v>
      </c>
      <c r="O2216" s="38" t="n">
        <f aca="false">Sens!$O$2191</f>
        <v>62.9275494423768</v>
      </c>
    </row>
    <row r="2217" customFormat="false" ht="15" hidden="false" customHeight="false" outlineLevel="0" collapsed="false">
      <c r="A2217" s="3" t="s">
        <v>477</v>
      </c>
      <c r="B2217" s="8" t="s">
        <v>73</v>
      </c>
      <c r="C2217" s="38" t="n">
        <f aca="false">Sens!$C$2193</f>
        <v>637.959</v>
      </c>
      <c r="D2217" s="38" t="n">
        <f aca="false">Sens!$D$2193</f>
        <v>716.924</v>
      </c>
      <c r="E2217" s="38" t="n">
        <f aca="false">Sens!$E$2193</f>
        <v>382.125</v>
      </c>
      <c r="F2217" s="38" t="n">
        <f aca="false">Sens!$F$2193</f>
        <v>449.75901170714</v>
      </c>
      <c r="G2217" s="38" t="n">
        <f aca="false">Sens!$G$2193</f>
        <v>831.88401170714</v>
      </c>
      <c r="H2217" s="38" t="n">
        <f aca="false">Sens!$H$2193</f>
        <v>965.108296622215</v>
      </c>
      <c r="I2217" s="38" t="n">
        <f aca="false">Sens!$I$2193</f>
        <v>1098.67388101451</v>
      </c>
      <c r="J2217" s="38" t="n">
        <f aca="false">Sens!$J$2193</f>
        <v>1223.50046137135</v>
      </c>
      <c r="K2217" s="38" t="n">
        <f aca="false">Sens!$K$2193</f>
        <v>1333.92915927672</v>
      </c>
      <c r="L2217" s="38" t="n">
        <f aca="false">Sens!$L$2193</f>
        <v>1449.80560164767</v>
      </c>
      <c r="M2217" s="38" t="n">
        <f aca="false">Sens!$M$2193</f>
        <v>1571.53236790599</v>
      </c>
      <c r="N2217" s="38" t="n">
        <f aca="false">Sens!$N$2193</f>
        <v>323.369</v>
      </c>
      <c r="O2217" s="38" t="n">
        <f aca="false">Sens!$O$2193</f>
        <v>393.555</v>
      </c>
    </row>
    <row r="2218" customFormat="false" ht="17.15" hidden="false" customHeight="false" outlineLevel="0" collapsed="false">
      <c r="A2218" s="24" t="s">
        <v>655</v>
      </c>
      <c r="B2218" s="25" t="s">
        <v>73</v>
      </c>
      <c r="C2218" s="39" t="n">
        <f aca="false">Sens!$C$2205+Sens!$C$2206+Sens!$C$2207+Sens!$C$2208+Sens!$C$2209+Sens!$C$2210-(Sens!$C$2212+Sens!$C$2213)</f>
        <v>0</v>
      </c>
      <c r="D2218" s="39" t="n">
        <f aca="false">Sens!$D$2205+Sens!$D$2206+Sens!$D$2207+Sens!$D$2208+Sens!$D$2209+Sens!$D$2210-(Sens!$D$2212+Sens!$D$2213)</f>
        <v>0</v>
      </c>
      <c r="E2218" s="39" t="n">
        <f aca="false">Sens!$E$2205+Sens!$E$2206+Sens!$E$2207+Sens!$E$2208+Sens!$E$2209+Sens!$E$2210-(Sens!$E$2212+Sens!$E$2213)</f>
        <v>0</v>
      </c>
      <c r="F2218" s="39" t="n">
        <f aca="false">Sens!$F$2205+Sens!$F$2206+Sens!$F$2207+Sens!$F$2208+Sens!$F$2209+Sens!$F$2210-(Sens!$F$2212+Sens!$F$2213)</f>
        <v>0</v>
      </c>
      <c r="G2218" s="39" t="n">
        <f aca="false">Sens!$G$2205+Sens!$G$2206+Sens!$G$2207+Sens!$G$2208+Sens!$G$2209+Sens!$G$2210-(Sens!$G$2212+Sens!$G$2213)</f>
        <v>0</v>
      </c>
      <c r="H2218" s="39" t="n">
        <f aca="false">Sens!$H$2205+Sens!$H$2206+Sens!$H$2207+Sens!$H$2208+Sens!$H$2209+Sens!$H$2210-(Sens!$H$2212+Sens!$H$2213)</f>
        <v>0</v>
      </c>
      <c r="I2218" s="39" t="n">
        <f aca="false">Sens!$I$2205+Sens!$I$2206+Sens!$I$2207+Sens!$I$2208+Sens!$I$2209+Sens!$I$2210-(Sens!$I$2212+Sens!$I$2213)</f>
        <v>0</v>
      </c>
      <c r="J2218" s="39" t="n">
        <f aca="false">Sens!$J$2205+Sens!$J$2206+Sens!$J$2207+Sens!$J$2208+Sens!$J$2209+Sens!$J$2210-(Sens!$J$2212+Sens!$J$2213)</f>
        <v>0</v>
      </c>
      <c r="K2218" s="39" t="n">
        <f aca="false">Sens!$K$2205+Sens!$K$2206+Sens!$K$2207+Sens!$K$2208+Sens!$K$2209+Sens!$K$2210-(Sens!$K$2212+Sens!$K$2213)</f>
        <v>0</v>
      </c>
      <c r="L2218" s="39" t="n">
        <f aca="false">Sens!$L$2205+Sens!$L$2206+Sens!$L$2207+Sens!$L$2208+Sens!$L$2209+Sens!$L$2210-(Sens!$L$2212+Sens!$L$2213)</f>
        <v>0</v>
      </c>
      <c r="M2218" s="39" t="n">
        <f aca="false">Sens!$M$2205+Sens!$M$2206+Sens!$M$2207+Sens!$M$2208+Sens!$M$2209+Sens!$M$2210-(Sens!$M$2212+Sens!$M$2213)</f>
        <v>0</v>
      </c>
      <c r="N2218" s="39" t="n">
        <f aca="false">Sens!$N$2205+Sens!$N$2206+Sens!$N$2207+Sens!$N$2208+Sens!$N$2209+Sens!$N$2210-(Sens!$N$2212+Sens!$N$2213)</f>
        <v>0</v>
      </c>
      <c r="O2218" s="39" t="n">
        <f aca="false">Sens!$O$2205+Sens!$O$2206+Sens!$O$2207+Sens!$O$2208+Sens!$O$2209+Sens!$O$2210-(Sens!$O$2212+Sens!$O$2213)</f>
        <v>0</v>
      </c>
    </row>
    <row r="2219" customFormat="false" ht="17.15" hidden="false" customHeight="false" outlineLevel="0" collapsed="false">
      <c r="A2219" s="24" t="s">
        <v>656</v>
      </c>
      <c r="B2219" s="25" t="s">
        <v>73</v>
      </c>
      <c r="C2219" s="39" t="n">
        <f aca="false">Sens!$C$2215+Sens!$C$2216-Sens!$C$2214</f>
        <v>0</v>
      </c>
      <c r="D2219" s="39" t="n">
        <f aca="false">Sens!$D$2215+Sens!$D$2216-Sens!$D$2214</f>
        <v>0</v>
      </c>
      <c r="E2219" s="39" t="n">
        <f aca="false">Sens!$E$2215+Sens!$E$2216-Sens!$E$2214</f>
        <v>0</v>
      </c>
      <c r="F2219" s="39" t="n">
        <f aca="false">Sens!$F$2215+Sens!$F$2216-Sens!$F$2214</f>
        <v>0</v>
      </c>
      <c r="G2219" s="39" t="n">
        <f aca="false">Sens!$G$2215+Sens!$G$2216-Sens!$G$2214</f>
        <v>0</v>
      </c>
      <c r="H2219" s="39" t="n">
        <f aca="false">Sens!$H$2215+Sens!$H$2216-Sens!$H$2214</f>
        <v>0</v>
      </c>
      <c r="I2219" s="39" t="n">
        <f aca="false">Sens!$I$2215+Sens!$I$2216-Sens!$I$2214</f>
        <v>0</v>
      </c>
      <c r="J2219" s="39" t="n">
        <f aca="false">Sens!$J$2215+Sens!$J$2216-Sens!$J$2214</f>
        <v>0</v>
      </c>
      <c r="K2219" s="39" t="n">
        <f aca="false">Sens!$K$2215+Sens!$K$2216-Sens!$K$2214</f>
        <v>0</v>
      </c>
      <c r="L2219" s="39" t="n">
        <f aca="false">Sens!$L$2215+Sens!$L$2216-Sens!$L$2214</f>
        <v>0</v>
      </c>
      <c r="M2219" s="39" t="n">
        <f aca="false">Sens!$M$2215+Sens!$M$2216-Sens!$M$2214</f>
        <v>0</v>
      </c>
      <c r="N2219" s="39" t="n">
        <f aca="false">Sens!$N$2215+Sens!$N$2216-Sens!$N$2214</f>
        <v>0</v>
      </c>
      <c r="O2219" s="39" t="n">
        <f aca="false">Sens!$O$2215+Sens!$O$2216-Sens!$O$2214</f>
        <v>0</v>
      </c>
    </row>
    <row r="2220" customFormat="false" ht="17.15" hidden="false" customHeight="false" outlineLevel="0" collapsed="false">
      <c r="A2220" s="24" t="s">
        <v>710</v>
      </c>
      <c r="B2220" s="25" t="s">
        <v>73</v>
      </c>
      <c r="C2220" s="39" t="n">
        <f aca="false">Sens!$C$2205+Sens!$C$2206+Sens!$C$2207+Sens!$C$2208+Sens!$C$2209+Sens!$C$2210+Sens!$C$2211-Sens!$C$2217</f>
        <v>0</v>
      </c>
      <c r="D2220" s="39" t="n">
        <f aca="false">Sens!$D$2205+Sens!$D$2206+Sens!$D$2207+Sens!$D$2208+Sens!$D$2209+Sens!$D$2210+Sens!$D$2211-Sens!$D$2217</f>
        <v>0</v>
      </c>
      <c r="E2220" s="39" t="n">
        <f aca="false">Sens!$E$2205+Sens!$E$2206+Sens!$E$2207+Sens!$E$2208+Sens!$E$2209+Sens!$E$2210+Sens!$E$2211-Sens!$E$2217</f>
        <v>0</v>
      </c>
      <c r="F2220" s="39" t="n">
        <f aca="false">Sens!$F$2205+Sens!$F$2206+Sens!$F$2207+Sens!$F$2208+Sens!$F$2209+Sens!$F$2210+Sens!$F$2211-Sens!$F$2217</f>
        <v>0</v>
      </c>
      <c r="G2220" s="39" t="n">
        <f aca="false">Sens!$G$2205+Sens!$G$2206+Sens!$G$2207+Sens!$G$2208+Sens!$G$2209+Sens!$G$2210+Sens!$G$2211-Sens!$G$2217</f>
        <v>0</v>
      </c>
      <c r="H2220" s="39" t="n">
        <f aca="false">Sens!$H$2205+Sens!$H$2206+Sens!$H$2207+Sens!$H$2208+Sens!$H$2209+Sens!$H$2210+Sens!$H$2211-Sens!$H$2217</f>
        <v>0</v>
      </c>
      <c r="I2220" s="39" t="n">
        <f aca="false">Sens!$I$2205+Sens!$I$2206+Sens!$I$2207+Sens!$I$2208+Sens!$I$2209+Sens!$I$2210+Sens!$I$2211-Sens!$I$2217</f>
        <v>0</v>
      </c>
      <c r="J2220" s="39" t="n">
        <f aca="false">Sens!$J$2205+Sens!$J$2206+Sens!$J$2207+Sens!$J$2208+Sens!$J$2209+Sens!$J$2210+Sens!$J$2211-Sens!$J$2217</f>
        <v>0</v>
      </c>
      <c r="K2220" s="39" t="n">
        <f aca="false">Sens!$K$2205+Sens!$K$2206+Sens!$K$2207+Sens!$K$2208+Sens!$K$2209+Sens!$K$2210+Sens!$K$2211-Sens!$K$2217</f>
        <v>0</v>
      </c>
      <c r="L2220" s="39" t="n">
        <f aca="false">Sens!$L$2205+Sens!$L$2206+Sens!$L$2207+Sens!$L$2208+Sens!$L$2209+Sens!$L$2210+Sens!$L$2211-Sens!$L$2217</f>
        <v>0</v>
      </c>
      <c r="M2220" s="39" t="n">
        <f aca="false">Sens!$M$2205+Sens!$M$2206+Sens!$M$2207+Sens!$M$2208+Sens!$M$2209+Sens!$M$2210+Sens!$M$2211-Sens!$M$2217</f>
        <v>0</v>
      </c>
      <c r="N2220" s="39" t="n">
        <f aca="false">Sens!$N$2205+Sens!$N$2206+Sens!$N$2207+Sens!$N$2208+Sens!$N$2209+Sens!$N$2210+Sens!$N$2211-Sens!$N$2217</f>
        <v>0</v>
      </c>
      <c r="O2220" s="39" t="n">
        <f aca="false">Sens!$O$2205+Sens!$O$2206+Sens!$O$2207+Sens!$O$2208+Sens!$O$2209+Sens!$O$2210+Sens!$O$2211-Sens!$O$2217</f>
        <v>0</v>
      </c>
    </row>
    <row r="2221" customFormat="false" ht="17.15" hidden="false" customHeight="false" outlineLevel="0" collapsed="false">
      <c r="A2221" s="24" t="s">
        <v>657</v>
      </c>
      <c r="B2221" s="25" t="s">
        <v>73</v>
      </c>
      <c r="C2221" s="39" t="n">
        <f aca="false">Sens!$C$2212+Sens!$C$2213+Sens!$C$2214-Sens!$C$2217</f>
        <v>0</v>
      </c>
      <c r="D2221" s="39" t="n">
        <f aca="false">Sens!$D$2212+Sens!$D$2213+Sens!$D$2214-Sens!$D$2217</f>
        <v>0</v>
      </c>
      <c r="E2221" s="39" t="n">
        <f aca="false">Sens!$E$2212+Sens!$E$2213+Sens!$E$2214-Sens!$E$2217</f>
        <v>0</v>
      </c>
      <c r="F2221" s="39" t="n">
        <f aca="false">Sens!$F$2212+Sens!$F$2213+Sens!$F$2214-Sens!$F$2217</f>
        <v>0</v>
      </c>
      <c r="G2221" s="39" t="n">
        <f aca="false">Sens!$G$2212+Sens!$G$2213+Sens!$G$2214-Sens!$G$2217</f>
        <v>0</v>
      </c>
      <c r="H2221" s="39" t="n">
        <f aca="false">Sens!$H$2212+Sens!$H$2213+Sens!$H$2214-Sens!$H$2217</f>
        <v>0</v>
      </c>
      <c r="I2221" s="39" t="n">
        <f aca="false">Sens!$I$2212+Sens!$I$2213+Sens!$I$2214-Sens!$I$2217</f>
        <v>0</v>
      </c>
      <c r="J2221" s="39" t="n">
        <f aca="false">Sens!$J$2212+Sens!$J$2213+Sens!$J$2214-Sens!$J$2217</f>
        <v>0</v>
      </c>
      <c r="K2221" s="39" t="n">
        <f aca="false">Sens!$K$2212+Sens!$K$2213+Sens!$K$2214-Sens!$K$2217</f>
        <v>0</v>
      </c>
      <c r="L2221" s="39" t="n">
        <f aca="false">Sens!$L$2212+Sens!$L$2213+Sens!$L$2214-Sens!$L$2217</f>
        <v>0</v>
      </c>
      <c r="M2221" s="39" t="n">
        <f aca="false">Sens!$M$2212+Sens!$M$2213+Sens!$M$2214-Sens!$M$2217</f>
        <v>0</v>
      </c>
      <c r="N2221" s="39" t="n">
        <f aca="false">Sens!$N$2212+Sens!$N$2213+Sens!$N$2214-Sens!$N$2217</f>
        <v>0</v>
      </c>
      <c r="O2221" s="39" t="n">
        <f aca="false">Sens!$O$2212+Sens!$O$2213+Sens!$O$2214-Sens!$O$2217</f>
        <v>0</v>
      </c>
    </row>
    <row r="2222" customFormat="false" ht="17.15" hidden="false" customHeight="false" outlineLevel="0" collapsed="false">
      <c r="A2222" s="1" t="s">
        <v>671</v>
      </c>
    </row>
    <row r="2223" customFormat="false" ht="17.15" hidden="false" customHeight="false" outlineLevel="0" collapsed="false">
      <c r="A2223" s="0" t="s">
        <v>672</v>
      </c>
      <c r="B2223" s="0" t="s">
        <v>73</v>
      </c>
      <c r="C2223" s="38" t="n">
        <f aca="false">Sens!$C$2131*m_ad</f>
        <v>20.5341564414228</v>
      </c>
      <c r="D2223" s="38" t="n">
        <f aca="false">Sens!$D$2131*m_ad</f>
        <v>24.8720617299587</v>
      </c>
      <c r="E2223" s="38" t="n">
        <f aca="false">Sens!$E$2131*m_ad</f>
        <v>13.5017112462207</v>
      </c>
      <c r="F2223" s="38" t="n">
        <f aca="false">Sens!$F$2131*m_ad</f>
        <v>17.2886442824599</v>
      </c>
      <c r="G2223" s="38" t="n">
        <f aca="false">Sens!$G$2131*m_ad</f>
        <v>30.8011958765886</v>
      </c>
      <c r="H2223" s="38" t="n">
        <f aca="false">Sens!$H$2131*m_ad</f>
        <v>36.978409366026</v>
      </c>
      <c r="I2223" s="38" t="n">
        <f aca="false">Sens!$I$2131*m_ad</f>
        <v>43.155063281273</v>
      </c>
      <c r="J2223" s="38" t="n">
        <f aca="false">Sens!$J$2131*m_ad</f>
        <v>48.9169991988532</v>
      </c>
      <c r="K2223" s="38" t="n">
        <f aca="false">Sens!$K$2131*m_ad</f>
        <v>53.8086991187386</v>
      </c>
      <c r="L2223" s="38" t="n">
        <f aca="false">Sens!$L$2131*m_ad</f>
        <v>59.1895690306124</v>
      </c>
      <c r="M2223" s="38" t="n">
        <f aca="false">Sens!$M$2131*m_ad</f>
        <v>65.1085259336737</v>
      </c>
      <c r="N2223" s="38" t="n">
        <f aca="false">Sens!$N$2131*m_ad</f>
        <v>10.8543555706248</v>
      </c>
      <c r="O2223" s="38" t="n">
        <f aca="false">Sens!$O$2131*m_ad</f>
        <v>14.0094731821399</v>
      </c>
    </row>
    <row r="2224" customFormat="false" ht="17.15" hidden="false" customHeight="false" outlineLevel="0" collapsed="false">
      <c r="A2224" s="0" t="s">
        <v>673</v>
      </c>
      <c r="B2224" s="0" t="s">
        <v>73</v>
      </c>
      <c r="C2224" s="38" t="n">
        <f aca="false">Sens!$C$2129-Sens!$C$2131</f>
        <v>346.428687117154</v>
      </c>
      <c r="D2224" s="38" t="n">
        <f aca="false">Sens!$D$2129-Sens!$D$2131</f>
        <v>376.560876540083</v>
      </c>
      <c r="E2224" s="38" t="n">
        <f aca="false">Sens!$E$2129-Sens!$E$2131</f>
        <v>193.316577507559</v>
      </c>
      <c r="F2224" s="38" t="n">
        <f aca="false">Sens!$F$2129-Sens!$F$2131</f>
        <v>221.726726438887</v>
      </c>
      <c r="G2224" s="38" t="n">
        <f aca="false">Sens!$G$2129-Sens!$G$2131</f>
        <v>415.02162325063</v>
      </c>
      <c r="H2224" s="38" t="n">
        <f aca="false">Sens!$H$2129-Sens!$H$2131</f>
        <v>453.777572359491</v>
      </c>
      <c r="I2224" s="38" t="n">
        <f aca="false">Sens!$I$2129-Sens!$I$2131</f>
        <v>490.847566467031</v>
      </c>
      <c r="J2224" s="38" t="n">
        <f aca="false">Sens!$J$2129-Sens!$J$2131</f>
        <v>525.190925266121</v>
      </c>
      <c r="K2224" s="38" t="n">
        <f aca="false">Sens!$K$2129-Sens!$K$2131</f>
        <v>555.765170156304</v>
      </c>
      <c r="L2224" s="38" t="n">
        <f aca="false">Sens!$L$2129-Sens!$L$2131</f>
        <v>588.185734949207</v>
      </c>
      <c r="M2224" s="38" t="n">
        <f aca="false">Sens!$M$2129-Sens!$M$2131</f>
        <v>622.567635538672</v>
      </c>
      <c r="N2224" s="38" t="n">
        <f aca="false">Sens!$N$2129-Sens!$N$2131</f>
        <v>171.24628885875</v>
      </c>
      <c r="O2224" s="38" t="n">
        <f aca="false">Sens!$O$2129-Sens!$O$2131</f>
        <v>205.33105363572</v>
      </c>
    </row>
    <row r="2225" customFormat="false" ht="17.15" hidden="false" customHeight="false" outlineLevel="0" collapsed="false">
      <c r="A2225" s="0" t="s">
        <v>674</v>
      </c>
      <c r="B2225" s="0" t="s">
        <v>73</v>
      </c>
      <c r="C2225" s="38" t="n">
        <f aca="false">Sens!$C$2176*Sens!$C$2128</f>
        <v>0.123617442257179</v>
      </c>
      <c r="D2225" s="38" t="n">
        <f aca="false">Sens!$D$2176*Sens!$D$2128</f>
        <v>0.874366899302609</v>
      </c>
      <c r="E2225" s="38" t="n">
        <f aca="false">Sens!$E$2176*Sens!$E$2128</f>
        <v>1.29318830502574</v>
      </c>
      <c r="F2225" s="38" t="n">
        <f aca="false">Sens!$F$2176*Sens!$F$2128</f>
        <v>1.51802024162534</v>
      </c>
      <c r="G2225" s="38" t="n">
        <f aca="false">Sens!$G$2176*Sens!$G$2128</f>
        <v>2.81130189308167</v>
      </c>
      <c r="H2225" s="38" t="n">
        <f aca="false">Sens!$H$2176*Sens!$H$2128</f>
        <v>7.12327841936271</v>
      </c>
      <c r="I2225" s="38" t="n">
        <f aca="false">Sens!$I$2176*Sens!$I$2128</f>
        <v>12.1029484790089</v>
      </c>
      <c r="J2225" s="38" t="n">
        <f aca="false">Sens!$J$2176*Sens!$J$2128</f>
        <v>17.2318002449071</v>
      </c>
      <c r="K2225" s="38" t="n">
        <f aca="false">Sens!$K$2176*Sens!$K$2128</f>
        <v>22.4438082318363</v>
      </c>
      <c r="L2225" s="38" t="n">
        <f aca="false">Sens!$L$2176*Sens!$L$2128</f>
        <v>27.3462814335886</v>
      </c>
      <c r="M2225" s="38" t="n">
        <f aca="false">Sens!$M$2176*Sens!$M$2128</f>
        <v>32.2300489761715</v>
      </c>
      <c r="N2225" s="38" t="n">
        <f aca="false">Sens!$N$2176*Sens!$N$2128</f>
        <v>0.389180508437431</v>
      </c>
      <c r="O2225" s="38" t="n">
        <f aca="false">Sens!$O$2176*Sens!$O$2128</f>
        <v>0.485052120082802</v>
      </c>
    </row>
    <row r="2226" customFormat="false" ht="17.15" hidden="false" customHeight="false" outlineLevel="0" collapsed="false">
      <c r="A2226" s="0" t="s">
        <v>675</v>
      </c>
      <c r="B2226" s="0" t="s">
        <v>52</v>
      </c>
      <c r="C2226" s="28" t="n">
        <f aca="false">(Sens!$C$2227-Sens!$C$2223+Sens!$C$2225)/Sens!$C$2224</f>
        <v>0.0131526665379575</v>
      </c>
      <c r="D2226" s="28" t="n">
        <f aca="false">(Sens!$D$2227-Sens!$D$2223+Sens!$D$2225)/Sens!$D$2224</f>
        <v>0.0149280116962589</v>
      </c>
      <c r="E2226" s="28" t="n">
        <f aca="false">(Sens!$E$2227-Sens!$E$2223+Sens!$E$2225)/Sens!$E$2224</f>
        <v>0.0268030663774938</v>
      </c>
      <c r="F2226" s="28" t="n">
        <f aca="false">Sens!$O$2226+(Sens!$E$2226-Sens!$N$2226)</f>
        <v>0.0232379346966962</v>
      </c>
      <c r="G2226" s="28" t="n">
        <f aca="false">(Sens!$G$2227-Sens!$G$2223+Sens!$G$2225)/Sens!$G$2224</f>
        <v>0.0248738876928168</v>
      </c>
      <c r="H2226" s="28" t="n">
        <f aca="false">Sens!$G$2226+step_na</f>
        <v>0.0278738876928168</v>
      </c>
      <c r="I2226" s="28" t="n">
        <f aca="false">Sens!$H$2226+step_na</f>
        <v>0.0308738876928168</v>
      </c>
      <c r="J2226" s="28" t="n">
        <f aca="false">Sens!$I$2226+step_na</f>
        <v>0.0338738876928168</v>
      </c>
      <c r="K2226" s="28" t="n">
        <f aca="false">Sens!$J$2226+step_na</f>
        <v>0.0368738876928168</v>
      </c>
      <c r="L2226" s="28" t="n">
        <f aca="false">Sens!$K$2226</f>
        <v>0.0368738876928168</v>
      </c>
      <c r="M2226" s="28" t="n">
        <f aca="false">Sens!$L$2226</f>
        <v>0.0368738876928168</v>
      </c>
      <c r="N2226" s="28" t="n">
        <f aca="false">(Sens!$N$2227-Sens!$N$2223+Sens!$N$2225)/Sens!$N$2224</f>
        <v>0.0168927744775755</v>
      </c>
      <c r="O2226" s="28" t="n">
        <f aca="false">(Sens!$O$2227-Sens!$O$2223+Sens!$O$2225)/Sens!$O$2224</f>
        <v>0.0133276427967779</v>
      </c>
      <c r="P2226" s="8" t="s">
        <v>676</v>
      </c>
    </row>
    <row r="2227" customFormat="false" ht="17.15" hidden="false" customHeight="false" outlineLevel="0" collapsed="false">
      <c r="A2227" s="1" t="s">
        <v>677</v>
      </c>
      <c r="B2227" s="8" t="s">
        <v>73</v>
      </c>
      <c r="C2227" s="38" t="n">
        <f aca="false">Q!$D$22</f>
        <v>24.967</v>
      </c>
      <c r="D2227" s="38" t="n">
        <f aca="false">Q!$E$22</f>
        <v>29.619</v>
      </c>
      <c r="E2227" s="38" t="n">
        <f aca="false">Q!$P$22</f>
        <v>17.39</v>
      </c>
      <c r="F2227" s="38" t="n">
        <f aca="false">Sens!$F$2223+Sens!$F$2224*Sens!$F$2226-Sens!$F$2225</f>
        <v>20.9230952303336</v>
      </c>
      <c r="G2227" s="38" t="n">
        <f aca="false">Sens!$E$2227+Sens!$F$2227</f>
        <v>38.3130952303336</v>
      </c>
      <c r="H2227" s="38" t="n">
        <f aca="false">Sens!$H$2223+Sens!$H$2224*Sens!$H$2226-Sens!$H$2225</f>
        <v>42.5036760361308</v>
      </c>
      <c r="I2227" s="38" t="n">
        <f aca="false">Sens!$I$2223+Sens!$I$2224*Sens!$I$2226-Sens!$I$2225</f>
        <v>46.2064874436597</v>
      </c>
      <c r="J2227" s="38" t="n">
        <f aca="false">Sens!$J$2223+Sens!$J$2224*Sens!$J$2226-Sens!$J$2225</f>
        <v>49.4754573736972</v>
      </c>
      <c r="K2227" s="38" t="n">
        <f aca="false">Sens!$K$2223+Sens!$K$2224*Sens!$K$2226-Sens!$K$2225</f>
        <v>51.8581133548251</v>
      </c>
      <c r="L2227" s="38" t="n">
        <f aca="false">Sens!$L$2223+Sens!$L$2224*Sens!$L$2226-Sens!$L$2225</f>
        <v>53.5319823300578</v>
      </c>
      <c r="M2227" s="38" t="n">
        <f aca="false">Sens!$M$2223+Sens!$M$2224*Sens!$M$2226-Sens!$M$2225</f>
        <v>55.8349660315376</v>
      </c>
      <c r="N2227" s="38" t="n">
        <f aca="false">Q!$N$22</f>
        <v>13.358</v>
      </c>
      <c r="O2227" s="38" t="n">
        <f aca="false">Q!$O$22</f>
        <v>16.261</v>
      </c>
    </row>
    <row r="2228" customFormat="false" ht="17.15" hidden="false" customHeight="false" outlineLevel="0" collapsed="false">
      <c r="A2228" s="0" t="s">
        <v>678</v>
      </c>
      <c r="B2228" s="0" t="s">
        <v>73</v>
      </c>
      <c r="C2228" s="38" t="n">
        <f aca="false">Sens!$C$2132*m_ad</f>
        <v>7.57284355857716</v>
      </c>
      <c r="D2228" s="38" t="n">
        <f aca="false">Sens!$D$2132*m_ad</f>
        <v>9.44543827004127</v>
      </c>
      <c r="E2228" s="38" t="n">
        <f aca="false">Sens!$E$2132*m_ad</f>
        <v>5.02428875377928</v>
      </c>
      <c r="F2228" s="38" t="n">
        <f aca="false">Sens!$F$2132*m_ad</f>
        <v>6.78802480890925</v>
      </c>
      <c r="G2228" s="38" t="n">
        <f aca="false">Sens!$G$2132*m_ad</f>
        <v>11.8014732147805</v>
      </c>
      <c r="H2228" s="38" t="n">
        <f aca="false">Sens!$H$2132*m_ad</f>
        <v>14.1682715634442</v>
      </c>
      <c r="I2228" s="38" t="n">
        <f aca="false">Sens!$I$2132*m_ad</f>
        <v>16.5348555113474</v>
      </c>
      <c r="J2228" s="38" t="n">
        <f aca="false">Sens!$J$2132*m_ad</f>
        <v>18.7425403255689</v>
      </c>
      <c r="K2228" s="38" t="n">
        <f aca="false">Sens!$K$2132*m_ad</f>
        <v>20.6167943581258</v>
      </c>
      <c r="L2228" s="38" t="n">
        <f aca="false">Sens!$L$2132*m_ad</f>
        <v>22.6784737939383</v>
      </c>
      <c r="M2228" s="38" t="n">
        <f aca="false">Sens!$M$2132*m_ad</f>
        <v>24.9463211733322</v>
      </c>
      <c r="N2228" s="38" t="n">
        <f aca="false">Sens!$N$2132*m_ad</f>
        <v>3.95314442937518</v>
      </c>
      <c r="O2228" s="38" t="n">
        <f aca="false">Sens!$O$2132*m_ad</f>
        <v>5.50052681786011</v>
      </c>
    </row>
    <row r="2229" customFormat="false" ht="17.15" hidden="false" customHeight="false" outlineLevel="0" collapsed="false">
      <c r="A2229" s="0" t="s">
        <v>679</v>
      </c>
      <c r="B2229" s="0" t="s">
        <v>73</v>
      </c>
      <c r="C2229" s="38" t="n">
        <f aca="false">Sens!$C$2130-Sens!$C$2132</f>
        <v>127.760312882846</v>
      </c>
      <c r="D2229" s="38" t="n">
        <f aca="false">Sens!$D$2130-Sens!$D$2132</f>
        <v>143.003123459917</v>
      </c>
      <c r="E2229" s="38" t="n">
        <f aca="false">Sens!$E$2130-Sens!$E$2132</f>
        <v>71.9374224924414</v>
      </c>
      <c r="F2229" s="38" t="n">
        <f aca="false">Sens!$F$2130-Sens!$F$2132</f>
        <v>87.0563645868046</v>
      </c>
      <c r="G2229" s="38" t="n">
        <f aca="false">Sens!$G$2130-Sens!$G$2132</f>
        <v>159.015467775062</v>
      </c>
      <c r="H2229" s="38" t="n">
        <f aca="false">Sens!$H$2130-Sens!$H$2132</f>
        <v>173.864803403269</v>
      </c>
      <c r="I2229" s="38" t="n">
        <f aca="false">Sens!$I$2130-Sens!$I$2132</f>
        <v>188.068165645601</v>
      </c>
      <c r="J2229" s="38" t="n">
        <f aca="false">Sens!$J$2130-Sens!$J$2132</f>
        <v>201.22681801082</v>
      </c>
      <c r="K2229" s="38" t="n">
        <f aca="false">Sens!$K$2130-Sens!$K$2132</f>
        <v>212.941334991893</v>
      </c>
      <c r="L2229" s="38" t="n">
        <f aca="false">Sens!$L$2130-Sens!$L$2132</f>
        <v>225.363269144856</v>
      </c>
      <c r="M2229" s="38" t="n">
        <f aca="false">Sens!$M$2130-Sens!$M$2132</f>
        <v>238.536688790819</v>
      </c>
      <c r="N2229" s="38" t="n">
        <f aca="false">Sens!$N$2130-Sens!$N$2132</f>
        <v>62.3677111412496</v>
      </c>
      <c r="O2229" s="38" t="n">
        <f aca="false">Sens!$O$2130-Sens!$O$2132</f>
        <v>80.6189463642798</v>
      </c>
    </row>
    <row r="2230" customFormat="false" ht="17.15" hidden="false" customHeight="false" outlineLevel="0" collapsed="false">
      <c r="A2230" s="0" t="s">
        <v>680</v>
      </c>
      <c r="B2230" s="0" t="s">
        <v>73</v>
      </c>
      <c r="C2230" s="38" t="n">
        <f aca="false">Sens!$C$2176*(1-Sens!$C$2128)</f>
        <v>0.0455891896019953</v>
      </c>
      <c r="D2230" s="38" t="n">
        <f aca="false">Sens!$D$2176*(1-Sens!$D$2128)</f>
        <v>0.332050421167231</v>
      </c>
      <c r="E2230" s="38" t="n">
        <f aca="false">Sens!$E$2176*(1-Sens!$E$2128)</f>
        <v>0.481224293644882</v>
      </c>
      <c r="F2230" s="38" t="n">
        <f aca="false">Sens!$F$2176*(1-Sens!$F$2128)</f>
        <v>0.596018918096053</v>
      </c>
      <c r="G2230" s="38" t="n">
        <f aca="false">Sens!$G$2176*(1-Sens!$G$2128)</f>
        <v>1.07714986531035</v>
      </c>
      <c r="H2230" s="38" t="n">
        <f aca="false">Sens!$H$2176*(1-Sens!$H$2128)</f>
        <v>2.72928297343901</v>
      </c>
      <c r="I2230" s="38" t="n">
        <f aca="false">Sens!$I$2176*(1-Sens!$I$2128)</f>
        <v>4.63724275080685</v>
      </c>
      <c r="J2230" s="38" t="n">
        <f aca="false">Sens!$J$2176*(1-Sens!$J$2128)</f>
        <v>6.60236147477931</v>
      </c>
      <c r="K2230" s="38" t="n">
        <f aca="false">Sens!$K$2176*(1-Sens!$K$2128)</f>
        <v>8.59934149138052</v>
      </c>
      <c r="L2230" s="38" t="n">
        <f aca="false">Sens!$L$2176*(1-Sens!$L$2128)</f>
        <v>10.477723305141</v>
      </c>
      <c r="M2230" s="38" t="n">
        <f aca="false">Sens!$M$2176*(1-Sens!$M$2128)</f>
        <v>12.3489380486184</v>
      </c>
      <c r="N2230" s="38" t="n">
        <f aca="false">Sens!$N$2176*(1-Sens!$N$2128)</f>
        <v>0.141739115596548</v>
      </c>
      <c r="O2230" s="38" t="n">
        <f aca="false">Sens!$O$2176*(1-Sens!$O$2128)</f>
        <v>0.190445576353059</v>
      </c>
    </row>
    <row r="2231" customFormat="false" ht="17.15" hidden="false" customHeight="false" outlineLevel="0" collapsed="false">
      <c r="A2231" s="0" t="s">
        <v>681</v>
      </c>
      <c r="B2231" s="0" t="s">
        <v>52</v>
      </c>
      <c r="C2231" s="28" t="n">
        <f aca="false">(Sens!$C$2232-Sens!$C$2228+Sens!$C$2230)/Sens!$C$2229</f>
        <v>-0.0292364215826579</v>
      </c>
      <c r="D2231" s="28" t="n">
        <f aca="false">(Sens!$D$2232-Sens!$D$2228+Sens!$D$2230)/Sens!$D$2229</f>
        <v>-0.0305125352740778</v>
      </c>
      <c r="E2231" s="28" t="n">
        <f aca="false">(Sens!$E$2232-Sens!$E$2228+Sens!$E$2230)/Sens!$E$2229</f>
        <v>-0.019490056934994</v>
      </c>
      <c r="F2231" s="28" t="n">
        <f aca="false">Sens!$O$2231+(Sens!$E$2231-Sens!$N$2231)</f>
        <v>-0.0367332293992226</v>
      </c>
      <c r="G2231" s="28" t="n">
        <f aca="false">(Sens!$G$2232-Sens!$G$2228+Sens!$G$2230)/Sens!$G$2229</f>
        <v>-0.0288599526442178</v>
      </c>
      <c r="H2231" s="28" t="n">
        <f aca="false">Sens!$G$2231+step_in</f>
        <v>-0.0288599526442178</v>
      </c>
      <c r="I2231" s="28" t="n">
        <f aca="false">Sens!$H$2231+step_in</f>
        <v>-0.0288599526442178</v>
      </c>
      <c r="J2231" s="28" t="n">
        <f aca="false">Sens!$I$2231+step_in</f>
        <v>-0.0288599526442178</v>
      </c>
      <c r="K2231" s="28" t="n">
        <f aca="false">Sens!$J$2231+step_in</f>
        <v>-0.0288599526442178</v>
      </c>
      <c r="L2231" s="28" t="n">
        <f aca="false">Sens!$K$2231</f>
        <v>-0.0288599526442178</v>
      </c>
      <c r="M2231" s="28" t="n">
        <f aca="false">Sens!$L$2231</f>
        <v>-0.0288599526442178</v>
      </c>
      <c r="N2231" s="28" t="n">
        <f aca="false">(Sens!$N$2232-Sens!$N$2228+Sens!$N$2230)/Sens!$N$2229</f>
        <v>-0.02085061789158</v>
      </c>
      <c r="O2231" s="28" t="n">
        <f aca="false">(Sens!$O$2232-Sens!$O$2228+Sens!$O$2230)/Sens!$O$2229</f>
        <v>-0.0380937903558086</v>
      </c>
      <c r="P2231" s="8" t="s">
        <v>676</v>
      </c>
    </row>
    <row r="2232" customFormat="false" ht="17.15" hidden="false" customHeight="false" outlineLevel="0" collapsed="false">
      <c r="A2232" s="1" t="s">
        <v>682</v>
      </c>
      <c r="B2232" s="8" t="s">
        <v>73</v>
      </c>
      <c r="C2232" s="38" t="n">
        <f aca="false">Q!$D$23</f>
        <v>3.792</v>
      </c>
      <c r="D2232" s="38" t="n">
        <f aca="false">Q!$E$23</f>
        <v>4.75</v>
      </c>
      <c r="E2232" s="38" t="n">
        <f aca="false">Q!$P$23</f>
        <v>3.141</v>
      </c>
      <c r="F2232" s="38" t="n">
        <f aca="false">Sens!$F$2228+Sens!$F$2229*Sens!$F$2231-Sens!$F$2230</f>
        <v>2.99414447978375</v>
      </c>
      <c r="G2232" s="38" t="n">
        <f aca="false">Sens!$E$2232+Sens!$F$2232</f>
        <v>6.13514447978375</v>
      </c>
      <c r="H2232" s="38" t="n">
        <f aca="false">Sens!$H$2228+Sens!$H$2229*Sens!$H$2231-Sens!$H$2230</f>
        <v>6.42125859729059</v>
      </c>
      <c r="I2232" s="38" t="n">
        <f aca="false">Sens!$I$2228+Sens!$I$2229*Sens!$I$2231-Sens!$I$2230</f>
        <v>6.46997440612362</v>
      </c>
      <c r="J2232" s="38" t="n">
        <f aca="false">Sens!$J$2228+Sens!$J$2229*Sens!$J$2231-Sens!$J$2230</f>
        <v>6.33278241225065</v>
      </c>
      <c r="K2232" s="38" t="n">
        <f aca="false">Sens!$K$2228+Sens!$K$2229*Sens!$K$2231-Sens!$K$2230</f>
        <v>5.87197602288269</v>
      </c>
      <c r="L2232" s="38" t="n">
        <f aca="false">Sens!$L$2228+Sens!$L$2229*Sens!$L$2231-Sens!$L$2230</f>
        <v>5.69677721353063</v>
      </c>
      <c r="M2232" s="38" t="n">
        <f aca="false">Sens!$M$2228+Sens!$M$2229*Sens!$M$2231-Sens!$M$2230</f>
        <v>5.71322558230221</v>
      </c>
      <c r="N2232" s="38" t="n">
        <f aca="false">Q!$N$23</f>
        <v>2.511</v>
      </c>
      <c r="O2232" s="38" t="n">
        <f aca="false">Q!$O$23</f>
        <v>2.239</v>
      </c>
    </row>
    <row r="2233" customFormat="false" ht="17.15" hidden="false" customHeight="false" outlineLevel="0" collapsed="false">
      <c r="A2233" s="0" t="s">
        <v>683</v>
      </c>
      <c r="B2233" s="0" t="s">
        <v>73</v>
      </c>
      <c r="C2233" s="38" t="n">
        <f aca="false">Sens!$C$2173</f>
        <v>1.64417882953695</v>
      </c>
      <c r="D2233" s="38" t="n">
        <f aca="false">Sens!$D$2173</f>
        <v>3.8781008067718</v>
      </c>
      <c r="E2233" s="38" t="n">
        <f aca="false">Sens!$E$2173</f>
        <v>1.41270258088753</v>
      </c>
      <c r="F2233" s="38" t="n">
        <f aca="false">Sens!$F$2173</f>
        <v>5.77141544115966</v>
      </c>
      <c r="G2233" s="38" t="n">
        <f aca="false">Sens!$G$2173</f>
        <v>7.1841180220472</v>
      </c>
      <c r="H2233" s="38" t="n">
        <f aca="false">Sens!$H$2173</f>
        <v>14.8687526611661</v>
      </c>
      <c r="I2233" s="38" t="n">
        <f aca="false">Sens!$I$2173</f>
        <v>22.7691491823658</v>
      </c>
      <c r="J2233" s="38" t="n">
        <f aca="false">Sens!$J$2173</f>
        <v>30.0280827203276</v>
      </c>
      <c r="K2233" s="38" t="n">
        <f aca="false">Sens!$K$2173</f>
        <v>36.8882460797135</v>
      </c>
      <c r="L2233" s="38" t="n">
        <f aca="false">Sens!$L$2173</f>
        <v>45.4888049711981</v>
      </c>
      <c r="M2233" s="38" t="n">
        <f aca="false">Sens!$M$2173</f>
        <v>54.2078582466622</v>
      </c>
      <c r="N2233" s="38" t="n">
        <f aca="false">Sens!$N$2173</f>
        <v>0.92264103489199</v>
      </c>
      <c r="O2233" s="38" t="n">
        <f aca="false">Sens!$O$2173</f>
        <v>2.95545977187981</v>
      </c>
    </row>
    <row r="2234" customFormat="false" ht="17.15" hidden="false" customHeight="false" outlineLevel="0" collapsed="false">
      <c r="A2234" s="0" t="s">
        <v>603</v>
      </c>
      <c r="B2234" s="0" t="s">
        <v>73</v>
      </c>
      <c r="C2234" s="38" t="n">
        <f aca="false">Sens!$C$2178</f>
        <v>38.1898211704631</v>
      </c>
      <c r="D2234" s="38" t="n">
        <f aca="false">Sens!$D$2178</f>
        <v>41.7278991932282</v>
      </c>
      <c r="E2234" s="38" t="n">
        <f aca="false">Sens!$E$2178</f>
        <v>29.3692974191125</v>
      </c>
      <c r="F2234" s="38" t="n">
        <f aca="false">Sens!$F$2178</f>
        <v>29.458060516894</v>
      </c>
      <c r="G2234" s="38" t="n">
        <f aca="false">Sens!$G$2178</f>
        <v>58.8273579360065</v>
      </c>
      <c r="H2234" s="38" t="n">
        <f aca="false">Sens!$H$2178</f>
        <v>67.8004040185081</v>
      </c>
      <c r="I2234" s="38" t="n">
        <f aca="false">Sens!$I$2178</f>
        <v>78.9527630302702</v>
      </c>
      <c r="J2234" s="38" t="n">
        <f aca="false">Sens!$J$2178</f>
        <v>88.6042681781841</v>
      </c>
      <c r="K2234" s="38" t="n">
        <f aca="false">Sens!$K$2178</f>
        <v>95.6926096324389</v>
      </c>
      <c r="L2234" s="38" t="n">
        <f aca="false">Sens!$L$2178</f>
        <v>103.348018403034</v>
      </c>
      <c r="M2234" s="38" t="n">
        <f aca="false">Sens!$M$2178</f>
        <v>111.615859875277</v>
      </c>
      <c r="N2234" s="38" t="n">
        <f aca="false">Sens!$N$2178</f>
        <v>20.784358965108</v>
      </c>
      <c r="O2234" s="38" t="n">
        <f aca="false">Sens!$O$2178</f>
        <v>20.9435402281202</v>
      </c>
    </row>
    <row r="2235" customFormat="false" ht="17.15" hidden="false" customHeight="false" outlineLevel="0" collapsed="false">
      <c r="A2235" s="1" t="s">
        <v>684</v>
      </c>
      <c r="B2235" s="8" t="s">
        <v>73</v>
      </c>
      <c r="C2235" s="38" t="n">
        <f aca="false">Q!$D$24</f>
        <v>39.834</v>
      </c>
      <c r="D2235" s="38" t="n">
        <f aca="false">Q!$E$24</f>
        <v>45.606</v>
      </c>
      <c r="E2235" s="38" t="n">
        <f aca="false">Q!$P$24</f>
        <v>30.782</v>
      </c>
      <c r="F2235" s="38" t="n">
        <f aca="false">Sens!$F$2233+Sens!$F$2234</f>
        <v>35.2294759580537</v>
      </c>
      <c r="G2235" s="38" t="n">
        <f aca="false">Sens!$G$2233+Sens!$G$2234</f>
        <v>66.0114759580537</v>
      </c>
      <c r="H2235" s="38" t="n">
        <f aca="false">Sens!$H$2233+Sens!$H$2234</f>
        <v>82.6691566796742</v>
      </c>
      <c r="I2235" s="38" t="n">
        <f aca="false">Sens!$I$2233+Sens!$I$2234</f>
        <v>101.721912212636</v>
      </c>
      <c r="J2235" s="38" t="n">
        <f aca="false">Sens!$J$2233+Sens!$J$2234</f>
        <v>118.632350898512</v>
      </c>
      <c r="K2235" s="38" t="n">
        <f aca="false">Sens!$K$2233+Sens!$K$2234</f>
        <v>132.580855712152</v>
      </c>
      <c r="L2235" s="38" t="n">
        <f aca="false">Sens!$L$2233+Sens!$L$2234</f>
        <v>148.836823374232</v>
      </c>
      <c r="M2235" s="38" t="n">
        <f aca="false">Sens!$M$2233+Sens!$M$2234</f>
        <v>165.823718121939</v>
      </c>
      <c r="N2235" s="38" t="n">
        <f aca="false">Q!$N$24</f>
        <v>21.707</v>
      </c>
      <c r="O2235" s="38" t="n">
        <f aca="false">Q!$O$24</f>
        <v>23.899</v>
      </c>
    </row>
    <row r="2236" customFormat="false" ht="17.15" hidden="false" customHeight="false" outlineLevel="0" collapsed="false">
      <c r="A2236" s="5" t="s">
        <v>685</v>
      </c>
      <c r="B2236" s="0" t="s">
        <v>73</v>
      </c>
      <c r="C2236" s="38" t="n">
        <f aca="false">Q!$D$26</f>
        <v>0</v>
      </c>
      <c r="D2236" s="38" t="n">
        <f aca="false">Q!$E$26</f>
        <v>0</v>
      </c>
      <c r="E2236" s="38" t="n">
        <f aca="false">Q!$P$26</f>
        <v>0</v>
      </c>
      <c r="F2236" s="41" t="n">
        <v>0</v>
      </c>
      <c r="G2236" s="38" t="n">
        <f aca="false">Sens!$E$2236+Sens!$F$2236</f>
        <v>0</v>
      </c>
      <c r="H2236" s="41" t="n">
        <v>0</v>
      </c>
      <c r="I2236" s="41" t="n">
        <v>0</v>
      </c>
      <c r="J2236" s="41" t="n">
        <v>0</v>
      </c>
      <c r="K2236" s="41" t="n">
        <v>0</v>
      </c>
      <c r="L2236" s="41" t="n">
        <v>0</v>
      </c>
      <c r="M2236" s="41" t="n">
        <v>0</v>
      </c>
      <c r="N2236" s="38" t="n">
        <f aca="false">Q!$N$26</f>
        <v>0</v>
      </c>
      <c r="O2236" s="38" t="n">
        <f aca="false">Q!$O$26</f>
        <v>0</v>
      </c>
    </row>
    <row r="2237" customFormat="false" ht="15" hidden="false" customHeight="false" outlineLevel="0" collapsed="false">
      <c r="A2237" s="3" t="s">
        <v>494</v>
      </c>
      <c r="B2237" s="8" t="s">
        <v>73</v>
      </c>
      <c r="C2237" s="38" t="n">
        <f aca="false">Q!$D$25</f>
        <v>68.593</v>
      </c>
      <c r="D2237" s="38" t="n">
        <f aca="false">Q!$E$25</f>
        <v>79.975</v>
      </c>
      <c r="E2237" s="38" t="n">
        <f aca="false">Q!$P$25</f>
        <v>51.313</v>
      </c>
      <c r="F2237" s="38" t="n">
        <f aca="false">Sens!$F$2227+Sens!$F$2232+Sens!$F$2235+Sens!$F$2236</f>
        <v>59.146715668171</v>
      </c>
      <c r="G2237" s="38" t="n">
        <f aca="false">Sens!$G$2227+Sens!$G$2232+Sens!$G$2235+Sens!$G$2236</f>
        <v>110.459715668171</v>
      </c>
      <c r="H2237" s="38" t="n">
        <f aca="false">Sens!$H$2227+Sens!$H$2232+Sens!$H$2235+Sens!$H$2236</f>
        <v>131.594091313096</v>
      </c>
      <c r="I2237" s="38" t="n">
        <f aca="false">Sens!$I$2227+Sens!$I$2232+Sens!$I$2235+Sens!$I$2236</f>
        <v>154.398374062419</v>
      </c>
      <c r="J2237" s="38" t="n">
        <f aca="false">Sens!$J$2227+Sens!$J$2232+Sens!$J$2235+Sens!$J$2236</f>
        <v>174.44059068446</v>
      </c>
      <c r="K2237" s="38" t="n">
        <f aca="false">Sens!$K$2227+Sens!$K$2232+Sens!$K$2235+Sens!$K$2236</f>
        <v>190.31094508986</v>
      </c>
      <c r="L2237" s="38" t="n">
        <f aca="false">Sens!$L$2227+Sens!$L$2232+Sens!$L$2235+Sens!$L$2236</f>
        <v>208.06558291782</v>
      </c>
      <c r="M2237" s="38" t="n">
        <f aca="false">Sens!$M$2227+Sens!$M$2232+Sens!$M$2235+Sens!$M$2236</f>
        <v>227.371909735779</v>
      </c>
      <c r="N2237" s="38" t="n">
        <f aca="false">Q!$N$25</f>
        <v>37.576</v>
      </c>
      <c r="O2237" s="38" t="n">
        <f aca="false">Q!$O$25</f>
        <v>42.399</v>
      </c>
    </row>
    <row r="2238" customFormat="false" ht="17.15" hidden="false" customHeight="false" outlineLevel="0" collapsed="false">
      <c r="A2238" s="24" t="s">
        <v>711</v>
      </c>
      <c r="B2238" s="25" t="s">
        <v>73</v>
      </c>
      <c r="C2238" s="39" t="n">
        <f aca="false">Sens!$C$2227+Sens!$C$2232+Sens!$C$2235+Sens!$C$2236-Sens!$C$2237</f>
        <v>0</v>
      </c>
      <c r="D2238" s="39" t="n">
        <f aca="false">Sens!$D$2227+Sens!$D$2232+Sens!$D$2235+Sens!$D$2236-Sens!$D$2237</f>
        <v>0</v>
      </c>
      <c r="E2238" s="39" t="n">
        <f aca="false">Sens!$E$2227+Sens!$E$2232+Sens!$E$2235+Sens!$E$2236-Sens!$E$2237</f>
        <v>0</v>
      </c>
      <c r="F2238" s="39" t="n">
        <f aca="false">Sens!$F$2227+Sens!$F$2232+Sens!$F$2235+Sens!$F$2236-Sens!$F$2237</f>
        <v>0</v>
      </c>
      <c r="G2238" s="39" t="n">
        <f aca="false">Sens!$G$2227+Sens!$G$2232+Sens!$G$2235+Sens!$G$2236-Sens!$G$2237</f>
        <v>0</v>
      </c>
      <c r="H2238" s="39" t="n">
        <f aca="false">Sens!$H$2227+Sens!$H$2232+Sens!$H$2235+Sens!$H$2236-Sens!$H$2237</f>
        <v>0</v>
      </c>
      <c r="I2238" s="39" t="n">
        <f aca="false">Sens!$I$2227+Sens!$I$2232+Sens!$I$2235+Sens!$I$2236-Sens!$I$2237</f>
        <v>0</v>
      </c>
      <c r="J2238" s="39" t="n">
        <f aca="false">Sens!$J$2227+Sens!$J$2232+Sens!$J$2235+Sens!$J$2236-Sens!$J$2237</f>
        <v>0</v>
      </c>
      <c r="K2238" s="39" t="n">
        <f aca="false">Sens!$K$2227+Sens!$K$2232+Sens!$K$2235+Sens!$K$2236-Sens!$K$2237</f>
        <v>0</v>
      </c>
      <c r="L2238" s="39" t="n">
        <f aca="false">Sens!$L$2227+Sens!$L$2232+Sens!$L$2235+Sens!$L$2236-Sens!$L$2237</f>
        <v>0</v>
      </c>
      <c r="M2238" s="39" t="n">
        <f aca="false">Sens!$M$2227+Sens!$M$2232+Sens!$M$2235+Sens!$M$2236-Sens!$M$2237</f>
        <v>0</v>
      </c>
      <c r="N2238" s="39" t="n">
        <f aca="false">Sens!$N$2227+Sens!$N$2232+Sens!$N$2235+Sens!$N$2236-Sens!$N$2237</f>
        <v>0</v>
      </c>
      <c r="O2238" s="39" t="n">
        <f aca="false">Sens!$O$2227+Sens!$O$2232+Sens!$O$2235+Sens!$O$2236-Sens!$O$2237</f>
        <v>0</v>
      </c>
    </row>
    <row r="2239" customFormat="false" ht="17.15" hidden="false" customHeight="false" outlineLevel="0" collapsed="false">
      <c r="A2239" s="0" t="s">
        <v>687</v>
      </c>
      <c r="B2239" s="0" t="s">
        <v>52</v>
      </c>
      <c r="C2239" s="12" t="n">
        <f aca="false">Sens!$C$2227/Sens!$C$2212</f>
        <v>0.0644314665661928</v>
      </c>
      <c r="D2239" s="12" t="n">
        <f aca="false">Sens!$D$2227/Sens!$D$2212</f>
        <v>0.0694784250712518</v>
      </c>
      <c r="E2239" s="12" t="n">
        <f aca="false">Sens!$E$2227/Sens!$E$2212</f>
        <v>0.0789306463326071</v>
      </c>
      <c r="F2239" s="12" t="n">
        <f aca="false">Sens!$F$2227/Sens!$F$2212</f>
        <v>0.0816338957078875</v>
      </c>
      <c r="G2239" s="12" t="n">
        <f aca="false">Sens!$G$2227/Sens!$G$2212</f>
        <v>0.080384315570057</v>
      </c>
      <c r="H2239" s="12" t="n">
        <f aca="false">Sens!$H$2227/Sens!$H$2212</f>
        <v>0.0805399018021509</v>
      </c>
      <c r="I2239" s="12" t="n">
        <f aca="false">Sens!$I$2227/Sens!$I$2212</f>
        <v>0.0800586876025437</v>
      </c>
      <c r="J2239" s="12" t="n">
        <f aca="false">Sens!$J$2227/Sens!$J$2212</f>
        <v>0.0794116824135166</v>
      </c>
      <c r="K2239" s="12" t="n">
        <f aca="false">Sens!$K$2227/Sens!$K$2212</f>
        <v>0.0781722580989531</v>
      </c>
      <c r="L2239" s="12" t="n">
        <f aca="false">Sens!$L$2227/Sens!$L$2212</f>
        <v>0.0757637187679261</v>
      </c>
      <c r="M2239" s="12" t="n">
        <f aca="false">Sens!$M$2227/Sens!$M$2212</f>
        <v>0.0741712297894055</v>
      </c>
      <c r="N2239" s="12" t="n">
        <f aca="false">Sens!$N$2227/Sens!$N$2212</f>
        <v>0.069228576611127</v>
      </c>
      <c r="O2239" s="12" t="n">
        <f aca="false">Sens!$O$2227/Sens!$O$2212</f>
        <v>0.069685022498393</v>
      </c>
    </row>
    <row r="2240" customFormat="false" ht="17.15" hidden="false" customHeight="false" outlineLevel="0" collapsed="false">
      <c r="A2240" s="0" t="s">
        <v>688</v>
      </c>
      <c r="B2240" s="0" t="s">
        <v>52</v>
      </c>
      <c r="C2240" s="12" t="n">
        <f aca="false">Sens!$C$2232/Sens!$C$2213</f>
        <v>0.026534925055631</v>
      </c>
      <c r="D2240" s="12" t="n">
        <f aca="false">Sens!$D$2232/Sens!$D$2213</f>
        <v>0.0293401855535103</v>
      </c>
      <c r="E2240" s="12" t="n">
        <f aca="false">Sens!$E$2232/Sens!$E$2213</f>
        <v>0.03831141902276</v>
      </c>
      <c r="F2240" s="12" t="n">
        <f aca="false">Sens!$F$2232/Sens!$F$2213</f>
        <v>0.0297532808235678</v>
      </c>
      <c r="G2240" s="12" t="n">
        <f aca="false">Sens!$G$2232/Sens!$G$2213</f>
        <v>0.0335954317997163</v>
      </c>
      <c r="H2240" s="12" t="n">
        <f aca="false">Sens!$H$2232/Sens!$H$2213</f>
        <v>0.0317567548756797</v>
      </c>
      <c r="I2240" s="12" t="n">
        <f aca="false">Sens!$I$2232/Sens!$I$2213</f>
        <v>0.029257649135469</v>
      </c>
      <c r="J2240" s="12" t="n">
        <f aca="false">Sens!$J$2232/Sens!$J$2213</f>
        <v>0.0265289767613074</v>
      </c>
      <c r="K2240" s="12" t="n">
        <f aca="false">Sens!$K$2232/Sens!$K$2213</f>
        <v>0.0231021059718117</v>
      </c>
      <c r="L2240" s="12" t="n">
        <f aca="false">Sens!$L$2232/Sens!$L$2213</f>
        <v>0.0210430431915424</v>
      </c>
      <c r="M2240" s="12" t="n">
        <f aca="false">Sens!$M$2232/Sens!$M$2213</f>
        <v>0.0198080602959861</v>
      </c>
      <c r="N2240" s="12" t="n">
        <f aca="false">Sens!$N$2232/Sens!$N$2213</f>
        <v>0.0357315650169337</v>
      </c>
      <c r="O2240" s="12" t="n">
        <f aca="false">Sens!$O$2232/Sens!$O$2213</f>
        <v>0.0244378956559703</v>
      </c>
    </row>
    <row r="2241" customFormat="false" ht="17.15" hidden="false" customHeight="false" outlineLevel="0" collapsed="false">
      <c r="A2241" s="13" t="s">
        <v>689</v>
      </c>
      <c r="B2241" s="13" t="s">
        <v>52</v>
      </c>
      <c r="C2241" s="16" t="n">
        <f aca="false">Sens!$C$2235/Sens!$C$2214</f>
        <v>0.370355907620217</v>
      </c>
      <c r="D2241" s="16" t="n">
        <f aca="false">Sens!$D$2235/Sens!$D$2214</f>
        <v>0.35429015342785</v>
      </c>
      <c r="E2241" s="16" t="n">
        <f aca="false">Sens!$E$2235/Sens!$E$2214</f>
        <v>0.385647527531039</v>
      </c>
      <c r="F2241" s="16" t="n">
        <f aca="false">Sens!$F$2235/Sens!$F$2214</f>
        <v>0.379535615253358</v>
      </c>
      <c r="G2241" s="16" t="n">
        <f aca="false">Sens!$G$2235/Sens!$G$2214</f>
        <v>0.382361392908031</v>
      </c>
      <c r="H2241" s="16" t="n">
        <f aca="false">Sens!$H$2235/Sens!$H$2214</f>
        <v>0.351525522497262</v>
      </c>
      <c r="I2241" s="16" t="n">
        <f aca="false">Sens!$I$2235/Sens!$I$2214</f>
        <v>0.338645995334222</v>
      </c>
      <c r="J2241" s="16" t="n">
        <f aca="false">Sens!$J$2235/Sens!$J$2214</f>
        <v>0.32792779067431</v>
      </c>
      <c r="K2241" s="16" t="n">
        <f aca="false">Sens!$K$2235/Sens!$K$2214</f>
        <v>0.318419494322831</v>
      </c>
      <c r="L2241" s="16" t="n">
        <f aca="false">Sens!$L$2235/Sens!$L$2214</f>
        <v>0.314984894040558</v>
      </c>
      <c r="M2241" s="16" t="n">
        <f aca="false">Sens!$M$2235/Sens!$M$2214</f>
        <v>0.312687121464459</v>
      </c>
      <c r="N2241" s="16" t="n">
        <f aca="false">Sens!$N$2235/Sens!$N$2214</f>
        <v>0.360941137346192</v>
      </c>
      <c r="O2241" s="16" t="n">
        <f aca="false">Sens!$O$2235/Sens!$O$2214</f>
        <v>0.348458117664212</v>
      </c>
    </row>
    <row r="2242" customFormat="false" ht="17.15" hidden="false" customHeight="false" outlineLevel="0" collapsed="false">
      <c r="A2242" s="0" t="s">
        <v>690</v>
      </c>
      <c r="B2242" s="0" t="s">
        <v>52</v>
      </c>
      <c r="C2242" s="12" t="n">
        <f aca="false">Sens!$C$2233/Sens!$C$2215</f>
        <v>0.708390794789371</v>
      </c>
      <c r="D2242" s="12" t="n">
        <f aca="false">Sens!$D$2233/Sens!$D$2215</f>
        <v>0.445565630441968</v>
      </c>
      <c r="E2242" s="12" t="n">
        <f aca="false">Sens!$E$2233/Sens!$E$2215</f>
        <v>0.165998118402711</v>
      </c>
      <c r="F2242" s="12" t="n">
        <f aca="false">Sens!$F$2233/Sens!$F$2215</f>
        <v>0.405650058118792</v>
      </c>
      <c r="G2242" s="12" t="n">
        <f aca="false">Sens!$G$2233/Sens!$G$2215</f>
        <v>0.315953104976614</v>
      </c>
      <c r="H2242" s="12" t="n">
        <f aca="false">Sens!$H$2233/Sens!$H$2215</f>
        <v>0.273931965315787</v>
      </c>
      <c r="I2242" s="12" t="n">
        <f aca="false">Sens!$I$2233/Sens!$I$2215</f>
        <v>0.253752044792747</v>
      </c>
      <c r="J2242" s="12" t="n">
        <f aca="false">Sens!$J$2233/Sens!$J$2215</f>
        <v>0.239525764673683</v>
      </c>
      <c r="K2242" s="12" t="n">
        <f aca="false">Sens!$K$2233/Sens!$K$2215</f>
        <v>0.229032984931834</v>
      </c>
      <c r="L2242" s="12" t="n">
        <f aca="false">Sens!$L$2233/Sens!$L$2215</f>
        <v>0.231160127410419</v>
      </c>
      <c r="M2242" s="12" t="n">
        <f aca="false">Sens!$M$2233/Sens!$M$2215</f>
        <v>0.233128207810435</v>
      </c>
      <c r="N2242" s="12" t="n">
        <f aca="false">Sens!$N$2233/Sens!$N$2215</f>
        <v>0.302870734830849</v>
      </c>
      <c r="O2242" s="12" t="n">
        <f aca="false">Sens!$O$2233/Sens!$O$2215</f>
        <v>0.52240134346334</v>
      </c>
    </row>
    <row r="2243" customFormat="false" ht="15" hidden="false" customHeight="false" outlineLevel="0" collapsed="false">
      <c r="A2243" s="5" t="s">
        <v>691</v>
      </c>
      <c r="B2243" s="0" t="s">
        <v>52</v>
      </c>
      <c r="C2243" s="12" t="n">
        <f aca="false">Sens!$C$2237/Sens!$C$2217</f>
        <v>0.107519448742004</v>
      </c>
      <c r="D2243" s="12" t="n">
        <f aca="false">Sens!$D$2237/Sens!$D$2217</f>
        <v>0.111552967957552</v>
      </c>
      <c r="E2243" s="12" t="n">
        <f aca="false">Sens!$E$2237/Sens!$E$2217</f>
        <v>0.13428328426562</v>
      </c>
      <c r="F2243" s="12" t="n">
        <f aca="false">Sens!$F$2237/Sens!$F$2217</f>
        <v>0.131507572118831</v>
      </c>
      <c r="G2243" s="12" t="n">
        <f aca="false">Sens!$G$2237/Sens!$G$2217</f>
        <v>0.132782592421139</v>
      </c>
      <c r="H2243" s="12" t="n">
        <f aca="false">Sens!$H$2237/Sens!$H$2217</f>
        <v>0.136351632012347</v>
      </c>
      <c r="I2243" s="12" t="n">
        <f aca="false">Sens!$I$2237/Sens!$I$2217</f>
        <v>0.140531577868993</v>
      </c>
      <c r="J2243" s="12" t="n">
        <f aca="false">Sens!$J$2237/Sens!$J$2217</f>
        <v>0.142575010138483</v>
      </c>
      <c r="K2243" s="12" t="n">
        <f aca="false">Sens!$K$2237/Sens!$K$2217</f>
        <v>0.142669454195791</v>
      </c>
      <c r="L2243" s="12" t="n">
        <f aca="false">Sens!$L$2237/Sens!$L$2217</f>
        <v>0.14351274590287</v>
      </c>
      <c r="M2243" s="12" t="n">
        <f aca="false">Sens!$M$2237/Sens!$M$2217</f>
        <v>0.144681658729526</v>
      </c>
      <c r="N2243" s="12" t="n">
        <f aca="false">Sens!$N$2237/Sens!$N$2217</f>
        <v>0.116201614873411</v>
      </c>
      <c r="O2243" s="12" t="n">
        <f aca="false">Sens!$O$2237/Sens!$O$2217</f>
        <v>0.107733353660861</v>
      </c>
    </row>
    <row r="2244" customFormat="false" ht="17.15" hidden="false" customHeight="false" outlineLevel="0" collapsed="false">
      <c r="A2244" s="1" t="s">
        <v>692</v>
      </c>
    </row>
    <row r="2245" customFormat="false" ht="17.15" hidden="false" customHeight="false" outlineLevel="0" collapsed="false">
      <c r="A2245" s="5" t="s">
        <v>693</v>
      </c>
      <c r="B2245" s="0" t="s">
        <v>52</v>
      </c>
      <c r="D2245" s="28" t="n">
        <f aca="false">(Q!$E$29+Q!$E$30-(1-ext_sh)*Sens!$D$2169)/Sens!$D$2127</f>
        <v>0.0334674312393194</v>
      </c>
    </row>
    <row r="2246" customFormat="false" ht="17.15" hidden="false" customHeight="false" outlineLevel="0" collapsed="false">
      <c r="A2246" s="0" t="s">
        <v>498</v>
      </c>
      <c r="B2246" s="0" t="s">
        <v>73</v>
      </c>
      <c r="C2246" s="38" t="n">
        <f aca="false">Q!$D$29</f>
        <v>14.285</v>
      </c>
      <c r="D2246" s="38" t="n">
        <f aca="false">Q!$E$29</f>
        <v>15.503</v>
      </c>
      <c r="E2246" s="38" t="n">
        <f aca="false">Q!$P$29</f>
        <v>8.78</v>
      </c>
      <c r="F2246" s="38" t="n">
        <f aca="false">(Sens!$D$2245*Sens!$F$2127+(1-ext_sh)*Sens!$F$2169)*Sens!$F$2128</f>
        <v>9.51361751569285</v>
      </c>
      <c r="G2246" s="38" t="n">
        <f aca="false">Sens!$E$2246+Sens!$F$2246</f>
        <v>18.2936175156929</v>
      </c>
      <c r="H2246" s="38" t="n">
        <f aca="false">(Sens!$D$2245*Sens!$H$2127+(1-ext_sh)*Sens!$H$2169)*Sens!$H$2128</f>
        <v>22.4989767063749</v>
      </c>
      <c r="I2246" s="38" t="n">
        <f aca="false">(Sens!$D$2245*Sens!$I$2127+(1-ext_sh)*Sens!$I$2169)*Sens!$I$2128</f>
        <v>27.6323358433678</v>
      </c>
      <c r="J2246" s="38" t="n">
        <f aca="false">(Sens!$D$2245*Sens!$J$2127+(1-ext_sh)*Sens!$J$2169)*Sens!$J$2128</f>
        <v>32.7930899005158</v>
      </c>
      <c r="K2246" s="38" t="n">
        <f aca="false">(Sens!$D$2245*Sens!$K$2127+(1-ext_sh)*Sens!$K$2169)*Sens!$K$2128</f>
        <v>37.8516837532004</v>
      </c>
      <c r="L2246" s="38" t="n">
        <f aca="false">(Sens!$D$2245*Sens!$L$2127+(1-ext_sh)*Sens!$L$2169)*Sens!$L$2128</f>
        <v>42.6948565957475</v>
      </c>
      <c r="M2246" s="38" t="n">
        <f aca="false">(Sens!$D$2245*Sens!$M$2127+(1-ext_sh)*Sens!$M$2169)*Sens!$M$2128</f>
        <v>47.6207550942941</v>
      </c>
      <c r="N2246" s="38" t="n">
        <f aca="false">Q!$N$29</f>
        <v>7.272</v>
      </c>
      <c r="O2246" s="38" t="n">
        <f aca="false">Q!$O$29</f>
        <v>8.231</v>
      </c>
    </row>
    <row r="2247" customFormat="false" ht="17.15" hidden="false" customHeight="false" outlineLevel="0" collapsed="false">
      <c r="A2247" s="0" t="s">
        <v>500</v>
      </c>
      <c r="B2247" s="0" t="s">
        <v>73</v>
      </c>
      <c r="C2247" s="38" t="n">
        <f aca="false">Q!$D$30</f>
        <v>4.462</v>
      </c>
      <c r="D2247" s="38" t="n">
        <f aca="false">Q!$E$30</f>
        <v>4.907</v>
      </c>
      <c r="E2247" s="38" t="n">
        <f aca="false">Q!$P$30</f>
        <v>2.57</v>
      </c>
      <c r="F2247" s="38" t="n">
        <f aca="false">(Sens!$D$2245*Sens!$F$2127+(1-ext_sh)*Sens!$F$2169)*(1-Sens!$F$2128)</f>
        <v>3.7353230631574</v>
      </c>
      <c r="G2247" s="38" t="n">
        <f aca="false">Sens!$E$2247+Sens!$F$2247</f>
        <v>6.3053230631574</v>
      </c>
      <c r="H2247" s="38" t="n">
        <f aca="false">(Sens!$D$2245*Sens!$H$2127+(1-ext_sh)*Sens!$H$2169)*(1-Sens!$H$2128)</f>
        <v>8.62047928347067</v>
      </c>
      <c r="I2247" s="38" t="n">
        <f aca="false">(Sens!$D$2245*Sens!$I$2127+(1-ext_sh)*Sens!$I$2169)*(1-Sens!$I$2128)</f>
        <v>10.5873250059485</v>
      </c>
      <c r="J2247" s="38" t="n">
        <f aca="false">(Sens!$D$2245*Sens!$J$2127+(1-ext_sh)*Sens!$J$2169)*(1-Sens!$J$2128)</f>
        <v>12.5646670876498</v>
      </c>
      <c r="K2247" s="38" t="n">
        <f aca="false">(Sens!$D$2245*Sens!$K$2127+(1-ext_sh)*Sens!$K$2169)*(1-Sens!$K$2128)</f>
        <v>14.5028665035461</v>
      </c>
      <c r="L2247" s="38" t="n">
        <f aca="false">(Sens!$D$2245*Sens!$L$2127+(1-ext_sh)*Sens!$L$2169)*(1-Sens!$L$2128)</f>
        <v>16.3585273942752</v>
      </c>
      <c r="M2247" s="38" t="n">
        <f aca="false">(Sens!$D$2245*Sens!$M$2127+(1-ext_sh)*Sens!$M$2169)*(1-Sens!$M$2128)</f>
        <v>18.2458846067109</v>
      </c>
      <c r="N2247" s="38" t="n">
        <f aca="false">Q!$N$30</f>
        <v>2.316</v>
      </c>
      <c r="O2247" s="38" t="n">
        <f aca="false">Q!$O$30</f>
        <v>2.591</v>
      </c>
    </row>
    <row r="2248" customFormat="false" ht="17.15" hidden="false" customHeight="false" outlineLevel="0" collapsed="false">
      <c r="A2248" s="0" t="s">
        <v>501</v>
      </c>
      <c r="B2248" s="0" t="s">
        <v>73</v>
      </c>
      <c r="C2248" s="38" t="n">
        <f aca="false">Sens!$C$2181</f>
        <v>13.32</v>
      </c>
      <c r="D2248" s="38" t="n">
        <f aca="false">Sens!$D$2181</f>
        <v>21.45</v>
      </c>
      <c r="E2248" s="38" t="n">
        <f aca="false">Sens!$E$2181</f>
        <v>15.353</v>
      </c>
      <c r="F2248" s="38" t="n">
        <f aca="false">Sens!$F$2181</f>
        <v>17.3614451462707</v>
      </c>
      <c r="G2248" s="38" t="n">
        <f aca="false">Sens!$G$2181</f>
        <v>32.7144451462707</v>
      </c>
      <c r="H2248" s="38" t="n">
        <f aca="false">Sens!$H$2181</f>
        <v>54.7227830415545</v>
      </c>
      <c r="I2248" s="38" t="n">
        <f aca="false">Sens!$I$2181</f>
        <v>78.5715840968627</v>
      </c>
      <c r="J2248" s="38" t="n">
        <f aca="false">Sens!$J$2181</f>
        <v>102.611438848122</v>
      </c>
      <c r="K2248" s="38" t="n">
        <f aca="false">Sens!$K$2181</f>
        <v>126.049184795444</v>
      </c>
      <c r="L2248" s="38" t="n">
        <f aca="false">Sens!$L$2181</f>
        <v>148.005934889448</v>
      </c>
      <c r="M2248" s="38" t="n">
        <f aca="false">Sens!$M$2181</f>
        <v>170.110512425912</v>
      </c>
      <c r="N2248" s="38" t="n">
        <f aca="false">Sens!$N$2181</f>
        <v>9.234</v>
      </c>
      <c r="O2248" s="38" t="n">
        <f aca="false">Sens!$O$2181</f>
        <v>12.216</v>
      </c>
    </row>
    <row r="2249" customFormat="false" ht="17.15" hidden="false" customHeight="false" outlineLevel="0" collapsed="false">
      <c r="A2249" s="5" t="s">
        <v>694</v>
      </c>
      <c r="B2249" s="0" t="s">
        <v>73</v>
      </c>
      <c r="C2249" s="38" t="n">
        <f aca="false">Sens!$C$2246+Sens!$C$2247+Sens!$C$2248</f>
        <v>32.067</v>
      </c>
      <c r="D2249" s="38" t="n">
        <f aca="false">Sens!$D$2246+Sens!$D$2247+Sens!$D$2248</f>
        <v>41.86</v>
      </c>
      <c r="E2249" s="38" t="n">
        <f aca="false">Sens!$E$2246+Sens!$E$2247+Sens!$E$2248</f>
        <v>26.703</v>
      </c>
      <c r="F2249" s="38" t="n">
        <f aca="false">Sens!$F$2246+Sens!$F$2247+Sens!$F$2248</f>
        <v>30.6103857251209</v>
      </c>
      <c r="G2249" s="38" t="n">
        <f aca="false">Sens!$G$2246+Sens!$G$2247+Sens!$G$2248</f>
        <v>57.3133857251209</v>
      </c>
      <c r="H2249" s="38" t="n">
        <f aca="false">Sens!$H$2246+Sens!$H$2247+Sens!$H$2248</f>
        <v>85.8422390314</v>
      </c>
      <c r="I2249" s="38" t="n">
        <f aca="false">Sens!$I$2246+Sens!$I$2247+Sens!$I$2248</f>
        <v>116.791244946179</v>
      </c>
      <c r="J2249" s="38" t="n">
        <f aca="false">Sens!$J$2246+Sens!$J$2247+Sens!$J$2248</f>
        <v>147.969195836287</v>
      </c>
      <c r="K2249" s="38" t="n">
        <f aca="false">Sens!$K$2246+Sens!$K$2247+Sens!$K$2248</f>
        <v>178.403735052191</v>
      </c>
      <c r="L2249" s="38" t="n">
        <f aca="false">Sens!$L$2246+Sens!$L$2247+Sens!$L$2248</f>
        <v>207.059318879471</v>
      </c>
      <c r="M2249" s="38" t="n">
        <f aca="false">Sens!$M$2246+Sens!$M$2247+Sens!$M$2248</f>
        <v>235.977152126917</v>
      </c>
      <c r="N2249" s="38" t="n">
        <f aca="false">Sens!$N$2246+Sens!$N$2247+Sens!$N$2248</f>
        <v>18.822</v>
      </c>
      <c r="O2249" s="38" t="n">
        <f aca="false">Sens!$O$2246+Sens!$O$2247+Sens!$O$2248</f>
        <v>23.038</v>
      </c>
    </row>
    <row r="2250" customFormat="false" ht="17.15" hidden="false" customHeight="false" outlineLevel="0" collapsed="false">
      <c r="A2250" s="0" t="s">
        <v>695</v>
      </c>
      <c r="B2250" s="0" t="s">
        <v>73</v>
      </c>
      <c r="C2250" s="38" t="n">
        <f aca="false">Sens!$C$2223+Sens!$C$2228</f>
        <v>28.107</v>
      </c>
      <c r="D2250" s="38" t="n">
        <f aca="false">Sens!$D$2223+Sens!$D$2228</f>
        <v>34.3175</v>
      </c>
      <c r="E2250" s="38" t="n">
        <f aca="false">Sens!$E$2223+Sens!$E$2228</f>
        <v>18.526</v>
      </c>
      <c r="F2250" s="38" t="n">
        <f aca="false">Sens!$F$2223+Sens!$F$2228</f>
        <v>24.0766690913691</v>
      </c>
      <c r="G2250" s="38" t="n">
        <f aca="false">Sens!$G$2223+Sens!$G$2228</f>
        <v>42.6026690913691</v>
      </c>
      <c r="H2250" s="38" t="n">
        <f aca="false">Sens!$H$2223+Sens!$H$2228</f>
        <v>51.1466809294702</v>
      </c>
      <c r="I2250" s="38" t="n">
        <f aca="false">Sens!$I$2223+Sens!$I$2228</f>
        <v>59.6899187926205</v>
      </c>
      <c r="J2250" s="38" t="n">
        <f aca="false">Sens!$J$2223+Sens!$J$2228</f>
        <v>67.6595395244221</v>
      </c>
      <c r="K2250" s="38" t="n">
        <f aca="false">Sens!$K$2223+Sens!$K$2228</f>
        <v>74.4254934768643</v>
      </c>
      <c r="L2250" s="38" t="n">
        <f aca="false">Sens!$L$2223+Sens!$L$2228</f>
        <v>81.8680428245508</v>
      </c>
      <c r="M2250" s="38" t="n">
        <f aca="false">Sens!$M$2223+Sens!$M$2228</f>
        <v>90.0548471070059</v>
      </c>
      <c r="N2250" s="38" t="n">
        <f aca="false">Sens!$N$2223+Sens!$N$2228</f>
        <v>14.8075</v>
      </c>
      <c r="O2250" s="38" t="n">
        <f aca="false">Sens!$O$2223+Sens!$O$2228</f>
        <v>19.51</v>
      </c>
    </row>
    <row r="2251" customFormat="false" ht="17.15" hidden="false" customHeight="false" outlineLevel="0" collapsed="false">
      <c r="A2251" s="0" t="s">
        <v>696</v>
      </c>
      <c r="B2251" s="0" t="s">
        <v>73</v>
      </c>
      <c r="C2251" s="38" t="n">
        <f aca="false">Sens!$C$2227+Sens!$C$2232+Sens!$C$2246+Sens!$C$2247-Sens!$C$2250</f>
        <v>19.399</v>
      </c>
      <c r="D2251" s="38" t="n">
        <f aca="false">Sens!$D$2227+Sens!$D$2232+Sens!$D$2246+Sens!$D$2247-Sens!$D$2250</f>
        <v>20.4615</v>
      </c>
      <c r="E2251" s="38" t="n">
        <f aca="false">Sens!$E$2227+Sens!$E$2232+Sens!$E$2246+Sens!$E$2247-Sens!$E$2250</f>
        <v>13.355</v>
      </c>
      <c r="F2251" s="38" t="n">
        <f aca="false">Sens!$F$2227+Sens!$F$2232+Sens!$F$2246+Sens!$F$2247-Sens!$F$2250</f>
        <v>13.0895111975985</v>
      </c>
      <c r="G2251" s="38" t="n">
        <f aca="false">Sens!$G$2227+Sens!$G$2232+Sens!$G$2246+Sens!$G$2247-Sens!$G$2250</f>
        <v>26.4445111975985</v>
      </c>
      <c r="H2251" s="38" t="n">
        <f aca="false">Sens!$H$2227+Sens!$H$2232+Sens!$H$2246+Sens!$H$2247-Sens!$H$2250</f>
        <v>28.8977096937968</v>
      </c>
      <c r="I2251" s="38" t="n">
        <f aca="false">Sens!$I$2227+Sens!$I$2232+Sens!$I$2246+Sens!$I$2247-Sens!$I$2250</f>
        <v>31.2062039064791</v>
      </c>
      <c r="J2251" s="38" t="n">
        <f aca="false">Sens!$J$2227+Sens!$J$2232+Sens!$J$2246+Sens!$J$2247-Sens!$J$2250</f>
        <v>33.5064572496913</v>
      </c>
      <c r="K2251" s="38" t="n">
        <f aca="false">Sens!$K$2227+Sens!$K$2232+Sens!$K$2246+Sens!$K$2247-Sens!$K$2250</f>
        <v>35.6591461575899</v>
      </c>
      <c r="L2251" s="38" t="n">
        <f aca="false">Sens!$L$2227+Sens!$L$2232+Sens!$L$2246+Sens!$L$2247-Sens!$L$2250</f>
        <v>36.4141007090604</v>
      </c>
      <c r="M2251" s="38" t="n">
        <f aca="false">Sens!$M$2227+Sens!$M$2232+Sens!$M$2246+Sens!$M$2247-Sens!$M$2250</f>
        <v>37.359984207839</v>
      </c>
      <c r="N2251" s="38" t="n">
        <f aca="false">Sens!$N$2227+Sens!$N$2232+Sens!$N$2246+Sens!$N$2247-Sens!$N$2250</f>
        <v>10.6495</v>
      </c>
      <c r="O2251" s="38" t="n">
        <f aca="false">Sens!$O$2227+Sens!$O$2232+Sens!$O$2246+Sens!$O$2247-Sens!$O$2250</f>
        <v>9.81200000000001</v>
      </c>
    </row>
    <row r="2252" customFormat="false" ht="17.15" hidden="false" customHeight="false" outlineLevel="0" collapsed="false">
      <c r="A2252" s="0" t="s">
        <v>697</v>
      </c>
      <c r="B2252" s="0" t="s">
        <v>73</v>
      </c>
      <c r="C2252" s="38" t="n">
        <f aca="false">Sens!$C$2234+Sens!$C$2248-ext_sh*Sens!$C$2169</f>
        <v>51.3470500115664</v>
      </c>
      <c r="D2252" s="38" t="n">
        <f aca="false">Sens!$D$2234+Sens!$D$2248-ext_sh*Sens!$D$2169</f>
        <v>60.2799375433739</v>
      </c>
      <c r="E2252" s="38" t="n">
        <f aca="false">Sens!$E$2234+Sens!$E$2248-ext_sh*Sens!$E$2169</f>
        <v>39.5095167090767</v>
      </c>
      <c r="F2252" s="38" t="n">
        <f aca="false">Sens!$F$2234+Sens!$F$2248-ext_sh*Sens!$F$2169</f>
        <v>41.606724953129</v>
      </c>
      <c r="G2252" s="38" t="n">
        <f aca="false">Sens!$G$2234+Sens!$G$2248-ext_sh*Sens!$G$2169</f>
        <v>81.1162416622057</v>
      </c>
      <c r="H2252" s="38" t="n">
        <f aca="false">Sens!$H$2234+Sens!$H$2248-ext_sh*Sens!$H$2169</f>
        <v>95.7616595325849</v>
      </c>
      <c r="I2252" s="38" t="n">
        <f aca="false">Sens!$I$2234+Sens!$I$2248-ext_sh*Sens!$I$2169</f>
        <v>111.513312079935</v>
      </c>
      <c r="J2252" s="38" t="n">
        <f aca="false">Sens!$J$2234+Sens!$J$2248-ext_sh*Sens!$J$2169</f>
        <v>125.145150463955</v>
      </c>
      <c r="K2252" s="38" t="n">
        <f aca="false">Sens!$K$2234+Sens!$K$2248-ext_sh*Sens!$K$2169</f>
        <v>135.156762501071</v>
      </c>
      <c r="L2252" s="38" t="n">
        <f aca="false">Sens!$L$2234+Sens!$L$2248-ext_sh*Sens!$L$2169</f>
        <v>145.969303501157</v>
      </c>
      <c r="M2252" s="38" t="n">
        <f aca="false">Sens!$M$2234+Sens!$M$2248-ext_sh*Sens!$M$2169</f>
        <v>157.646847781249</v>
      </c>
      <c r="N2252" s="38" t="n">
        <f aca="false">Sens!$N$2234+Sens!$N$2248-ext_sh*Sens!$N$2169</f>
        <v>28.5693781401809</v>
      </c>
      <c r="O2252" s="38" t="n">
        <f aca="false">Sens!$O$2234+Sens!$O$2248-ext_sh*Sens!$O$2169</f>
        <v>31.7105594031931</v>
      </c>
    </row>
    <row r="2253" customFormat="false" ht="17.15" hidden="false" customHeight="false" outlineLevel="0" collapsed="false">
      <c r="A2253" s="0" t="s">
        <v>698</v>
      </c>
      <c r="B2253" s="0" t="s">
        <v>73</v>
      </c>
      <c r="C2253" s="38" t="n">
        <f aca="false">Sens!$C$2172</f>
        <v>1.80694998843362</v>
      </c>
      <c r="D2253" s="38" t="n">
        <f aca="false">Sens!$D$2172</f>
        <v>6.77606245662607</v>
      </c>
      <c r="E2253" s="38" t="n">
        <f aca="false">Sens!$E$2172</f>
        <v>6.62548329092326</v>
      </c>
      <c r="F2253" s="38" t="n">
        <f aca="false">Sens!$F$2172</f>
        <v>10.9841961511954</v>
      </c>
      <c r="G2253" s="38" t="n">
        <f aca="false">Sens!$G$2172</f>
        <v>17.6096794421187</v>
      </c>
      <c r="H2253" s="38" t="n">
        <f aca="false">Sens!$H$2172</f>
        <v>41.6302801886437</v>
      </c>
      <c r="I2253" s="38" t="n">
        <f aca="false">Sens!$I$2172</f>
        <v>68.7801842295635</v>
      </c>
      <c r="J2253" s="38" t="n">
        <f aca="false">Sens!$J$2172</f>
        <v>96.0986392826786</v>
      </c>
      <c r="K2253" s="38" t="n">
        <f aca="false">Sens!$K$2172</f>
        <v>123.473278006525</v>
      </c>
      <c r="L2253" s="38" t="n">
        <f aca="false">Sens!$L$2172</f>
        <v>150.873454762523</v>
      </c>
      <c r="M2253" s="38" t="n">
        <f aca="false">Sens!$M$2172</f>
        <v>178.287382766602</v>
      </c>
      <c r="N2253" s="38" t="n">
        <f aca="false">Sens!$N$2172</f>
        <v>2.37162185981912</v>
      </c>
      <c r="O2253" s="38" t="n">
        <f aca="false">Sens!$O$2172</f>
        <v>4.40444059680694</v>
      </c>
    </row>
    <row r="2254" customFormat="false" ht="17.15" hidden="false" customHeight="false" outlineLevel="0" collapsed="false">
      <c r="A2254" s="0" t="s">
        <v>699</v>
      </c>
      <c r="B2254" s="0" t="s">
        <v>73</v>
      </c>
      <c r="C2254" s="38" t="n">
        <f aca="false">Sens!$C$2237+Sens!$C$2249</f>
        <v>100.66</v>
      </c>
      <c r="D2254" s="38" t="n">
        <f aca="false">Sens!$D$2237+Sens!$D$2249</f>
        <v>121.835</v>
      </c>
      <c r="E2254" s="38" t="n">
        <f aca="false">Sens!$E$2237+Sens!$E$2249</f>
        <v>78.016</v>
      </c>
      <c r="F2254" s="38" t="n">
        <f aca="false">Sens!$F$2237+Sens!$F$2249</f>
        <v>89.757101393292</v>
      </c>
      <c r="G2254" s="38" t="n">
        <f aca="false">Sens!$G$2237+Sens!$G$2249</f>
        <v>167.773101393292</v>
      </c>
      <c r="H2254" s="38" t="n">
        <f aca="false">Sens!$H$2237+Sens!$H$2249</f>
        <v>217.436330344496</v>
      </c>
      <c r="I2254" s="38" t="n">
        <f aca="false">Sens!$I$2237+Sens!$I$2249</f>
        <v>271.189619008598</v>
      </c>
      <c r="J2254" s="38" t="n">
        <f aca="false">Sens!$J$2237+Sens!$J$2249</f>
        <v>322.409786520747</v>
      </c>
      <c r="K2254" s="38" t="n">
        <f aca="false">Sens!$K$2237+Sens!$K$2249</f>
        <v>368.714680142051</v>
      </c>
      <c r="L2254" s="38" t="n">
        <f aca="false">Sens!$L$2237+Sens!$L$2249</f>
        <v>415.124901797291</v>
      </c>
      <c r="M2254" s="38" t="n">
        <f aca="false">Sens!$M$2237+Sens!$M$2249</f>
        <v>463.349061862696</v>
      </c>
      <c r="N2254" s="38" t="n">
        <f aca="false">Sens!$N$2237+Sens!$N$2249</f>
        <v>56.398</v>
      </c>
      <c r="O2254" s="38" t="n">
        <f aca="false">Sens!$O$2237+Sens!$O$2249</f>
        <v>65.437</v>
      </c>
    </row>
    <row r="2255" customFormat="false" ht="17.15" hidden="false" customHeight="false" outlineLevel="0" collapsed="false">
      <c r="A2255" s="1" t="s">
        <v>700</v>
      </c>
    </row>
    <row r="2256" customFormat="false" ht="15" hidden="false" customHeight="false" outlineLevel="0" collapsed="false">
      <c r="A2256" s="5" t="s">
        <v>504</v>
      </c>
      <c r="B2256" s="0" t="s">
        <v>73</v>
      </c>
      <c r="C2256" s="38" t="n">
        <f aca="false">Q!$D$34</f>
        <v>2.406</v>
      </c>
      <c r="D2256" s="38" t="n">
        <f aca="false">Q!$E$34</f>
        <v>2.274</v>
      </c>
      <c r="E2256" s="38" t="n">
        <f aca="false">Q!$P$34</f>
        <v>2.114</v>
      </c>
      <c r="F2256" s="38" t="n">
        <f aca="false">Sens!$F$2292</f>
        <v>3.24888964316061</v>
      </c>
      <c r="G2256" s="38" t="n">
        <f aca="false">Sens!$E$2256+Sens!$F$2256</f>
        <v>5.36288964316061</v>
      </c>
      <c r="H2256" s="38" t="n">
        <f aca="false">Sens!$H$2292</f>
        <v>7.42354178632123</v>
      </c>
      <c r="I2256" s="38" t="n">
        <f aca="false">Sens!$I$2292</f>
        <v>7.42354178632123</v>
      </c>
      <c r="J2256" s="38" t="n">
        <f aca="false">Sens!$J$2292</f>
        <v>7.42354178632123</v>
      </c>
      <c r="K2256" s="38" t="n">
        <f aca="false">Sens!$K$2292</f>
        <v>7.42354178632123</v>
      </c>
      <c r="L2256" s="38" t="n">
        <f aca="false">Sens!$L$2292</f>
        <v>7.42354178632123</v>
      </c>
      <c r="M2256" s="38" t="n">
        <f aca="false">Sens!$M$2292</f>
        <v>7.42354178632123</v>
      </c>
      <c r="N2256" s="38" t="n">
        <f aca="false">Q!$N$34</f>
        <v>1.057</v>
      </c>
      <c r="O2256" s="38" t="n">
        <f aca="false">Q!$O$34</f>
        <v>1.217</v>
      </c>
    </row>
    <row r="2257" customFormat="false" ht="15" hidden="false" customHeight="false" outlineLevel="0" collapsed="false">
      <c r="A2257" s="5" t="s">
        <v>701</v>
      </c>
      <c r="B2257" s="0" t="s">
        <v>73</v>
      </c>
      <c r="F2257" s="38" t="n">
        <f aca="false">Sens!$F$2293</f>
        <v>2.59</v>
      </c>
      <c r="H2257" s="38" t="n">
        <f aca="false">Sens!$H$2293</f>
        <v>4.37729763794978</v>
      </c>
      <c r="I2257" s="38" t="n">
        <f aca="false">Sens!$I$2293</f>
        <v>3.12094413433823</v>
      </c>
      <c r="J2257" s="38" t="n">
        <f aca="false">Sens!$J$2293</f>
        <v>3.44900989490847</v>
      </c>
      <c r="K2257" s="38" t="n">
        <f aca="false">Sens!$K$2293</f>
        <v>5.4283987397957</v>
      </c>
      <c r="L2257" s="38" t="n">
        <f aca="false">Sens!$L$2293</f>
        <v>8.99426675706789</v>
      </c>
      <c r="M2257" s="38" t="n">
        <f aca="false">Sens!$M$2293</f>
        <v>13.0384195944867</v>
      </c>
    </row>
    <row r="2258" customFormat="false" ht="17.15" hidden="false" customHeight="false" outlineLevel="0" collapsed="false">
      <c r="A2258" s="5" t="s">
        <v>702</v>
      </c>
      <c r="B2258" s="0" t="s">
        <v>73</v>
      </c>
      <c r="C2258" s="38" t="n">
        <f aca="false">Q!$D$39</f>
        <v>2.427</v>
      </c>
      <c r="D2258" s="38" t="n">
        <f aca="false">Q!$E$39</f>
        <v>19.61</v>
      </c>
      <c r="E2258" s="38" t="n">
        <f aca="false">Q!$P$39</f>
        <v>71.492</v>
      </c>
      <c r="F2258" s="41" t="n">
        <v>0</v>
      </c>
      <c r="G2258" s="38" t="n">
        <f aca="false">Sens!$E$2258+Sens!$F$2258</f>
        <v>71.492</v>
      </c>
      <c r="H2258" s="41" t="n">
        <v>0</v>
      </c>
      <c r="I2258" s="41" t="n">
        <v>0</v>
      </c>
      <c r="J2258" s="41" t="n">
        <v>0</v>
      </c>
      <c r="K2258" s="41" t="n">
        <v>0</v>
      </c>
      <c r="L2258" s="41" t="n">
        <v>0</v>
      </c>
      <c r="M2258" s="41" t="n">
        <v>0</v>
      </c>
      <c r="N2258" s="38" t="n">
        <f aca="false">Q!$N$39</f>
        <v>6.017</v>
      </c>
      <c r="O2258" s="38" t="n">
        <f aca="false">Q!$O$39</f>
        <v>13.593</v>
      </c>
      <c r="P2258" s="5" t="s">
        <v>703</v>
      </c>
    </row>
    <row r="2259" customFormat="false" ht="15" hidden="false" customHeight="false" outlineLevel="0" collapsed="false">
      <c r="A2259" s="5" t="s">
        <v>507</v>
      </c>
      <c r="B2259" s="0" t="s">
        <v>73</v>
      </c>
      <c r="C2259" s="38" t="n">
        <f aca="false">Q!$D$36</f>
        <v>68.614</v>
      </c>
      <c r="D2259" s="38" t="n">
        <f aca="false">Q!$E$36</f>
        <v>97.311</v>
      </c>
      <c r="E2259" s="38" t="n">
        <f aca="false">Q!$P$36</f>
        <v>120.691</v>
      </c>
      <c r="F2259" s="38" t="n">
        <f aca="false">Sens!$F$2237-Sens!$F$2256+Sens!$F$2257+Sens!$F$2258</f>
        <v>58.4878260250104</v>
      </c>
      <c r="G2259" s="38" t="n">
        <f aca="false">Sens!$E$2259+Sens!$F$2259</f>
        <v>179.17882602501</v>
      </c>
      <c r="H2259" s="38" t="n">
        <f aca="false">Sens!$H$2237-Sens!$H$2256+Sens!$H$2257+Sens!$H$2258</f>
        <v>128.547847164724</v>
      </c>
      <c r="I2259" s="38" t="n">
        <f aca="false">Sens!$I$2237-Sens!$I$2256+Sens!$I$2257+Sens!$I$2258</f>
        <v>150.095776410436</v>
      </c>
      <c r="J2259" s="38" t="n">
        <f aca="false">Sens!$J$2237-Sens!$J$2256+Sens!$J$2257+Sens!$J$2258</f>
        <v>170.466058793047</v>
      </c>
      <c r="K2259" s="38" t="n">
        <f aca="false">Sens!$K$2237-Sens!$K$2256+Sens!$K$2257+Sens!$K$2258</f>
        <v>188.315802043335</v>
      </c>
      <c r="L2259" s="38" t="n">
        <f aca="false">Sens!$L$2237-Sens!$L$2256+Sens!$L$2257+Sens!$L$2258</f>
        <v>209.636307888567</v>
      </c>
      <c r="M2259" s="38" t="n">
        <f aca="false">Sens!$M$2237-Sens!$M$2256+Sens!$M$2257+Sens!$M$2258</f>
        <v>232.986787543944</v>
      </c>
      <c r="N2259" s="38" t="n">
        <f aca="false">Q!$N$36</f>
        <v>42.536</v>
      </c>
      <c r="O2259" s="38" t="n">
        <f aca="false">Q!$O$36</f>
        <v>54.775</v>
      </c>
    </row>
    <row r="2260" customFormat="false" ht="15" hidden="false" customHeight="false" outlineLevel="0" collapsed="false">
      <c r="A2260" s="5" t="s">
        <v>508</v>
      </c>
      <c r="B2260" s="0" t="s">
        <v>73</v>
      </c>
      <c r="C2260" s="38" t="n">
        <f aca="false">Q!$D$37</f>
        <v>9.265</v>
      </c>
      <c r="D2260" s="38" t="n">
        <f aca="false">Q!$E$37</f>
        <v>19.087</v>
      </c>
      <c r="E2260" s="38" t="n">
        <f aca="false">Q!$P$37</f>
        <v>27.759</v>
      </c>
      <c r="F2260" s="38" t="n">
        <f aca="false">Sens!$F$2259*tax</f>
        <v>10.1525815936443</v>
      </c>
      <c r="G2260" s="38" t="n">
        <f aca="false">Sens!$E$2260+Sens!$F$2260</f>
        <v>37.9115815936443</v>
      </c>
      <c r="H2260" s="38" t="n">
        <f aca="false">Sens!$H$2259*tax</f>
        <v>22.3139171982406</v>
      </c>
      <c r="I2260" s="38" t="n">
        <f aca="false">Sens!$I$2259*tax</f>
        <v>26.0543042960209</v>
      </c>
      <c r="J2260" s="38" t="n">
        <f aca="false">Sens!$J$2259*tax</f>
        <v>29.590270120543</v>
      </c>
      <c r="K2260" s="38" t="n">
        <f aca="false">Sens!$K$2259*tax</f>
        <v>32.688709352951</v>
      </c>
      <c r="L2260" s="38" t="n">
        <f aca="false">Sens!$L$2259*tax</f>
        <v>36.3896192674165</v>
      </c>
      <c r="M2260" s="38" t="n">
        <f aca="false">Sens!$M$2259*tax</f>
        <v>40.4429012247691</v>
      </c>
      <c r="N2260" s="38" t="n">
        <f aca="false">Q!$N$37</f>
        <v>7.231</v>
      </c>
      <c r="O2260" s="38" t="n">
        <f aca="false">Q!$O$37</f>
        <v>11.856</v>
      </c>
    </row>
    <row r="2261" customFormat="false" ht="15" hidden="false" customHeight="false" outlineLevel="0" collapsed="false">
      <c r="A2261" s="3" t="s">
        <v>509</v>
      </c>
      <c r="B2261" s="8" t="s">
        <v>73</v>
      </c>
      <c r="C2261" s="38" t="n">
        <f aca="false">Q!$D$38</f>
        <v>59.248</v>
      </c>
      <c r="D2261" s="38" t="n">
        <f aca="false">Q!$E$38</f>
        <v>77.67</v>
      </c>
      <c r="E2261" s="38" t="n">
        <f aca="false">Q!$P$38</f>
        <v>92.902</v>
      </c>
      <c r="F2261" s="38" t="n">
        <f aca="false">Sens!$F$2259-Sens!$F$2260</f>
        <v>48.3352444313661</v>
      </c>
      <c r="G2261" s="38" t="n">
        <f aca="false">Sens!$E$2261+Sens!$F$2261</f>
        <v>141.237244431366</v>
      </c>
      <c r="H2261" s="38" t="n">
        <f aca="false">Sens!$H$2259-Sens!$H$2260</f>
        <v>106.233929966483</v>
      </c>
      <c r="I2261" s="38" t="n">
        <f aca="false">Sens!$I$2259-Sens!$I$2260</f>
        <v>124.041472114415</v>
      </c>
      <c r="J2261" s="38" t="n">
        <f aca="false">Sens!$J$2259-Sens!$J$2260</f>
        <v>140.875788672504</v>
      </c>
      <c r="K2261" s="38" t="n">
        <f aca="false">Sens!$K$2259-Sens!$K$2260</f>
        <v>155.627092690384</v>
      </c>
      <c r="L2261" s="38" t="n">
        <f aca="false">Sens!$L$2259-Sens!$L$2260</f>
        <v>173.246688621151</v>
      </c>
      <c r="M2261" s="38" t="n">
        <f aca="false">Sens!$M$2259-Sens!$M$2260</f>
        <v>192.543886319175</v>
      </c>
      <c r="N2261" s="38" t="n">
        <f aca="false">Q!$N$38</f>
        <v>35.291</v>
      </c>
      <c r="O2261" s="38" t="n">
        <f aca="false">Q!$O$38</f>
        <v>42.379</v>
      </c>
    </row>
    <row r="2262" customFormat="false" ht="17.15" hidden="false" customHeight="false" outlineLevel="0" collapsed="false">
      <c r="A2262" s="5" t="s">
        <v>512</v>
      </c>
      <c r="B2262" s="5" t="s">
        <v>33</v>
      </c>
      <c r="C2262" s="22" t="n">
        <f aca="false">Q!$D$41</f>
        <v>10.721</v>
      </c>
      <c r="D2262" s="22" t="n">
        <f aca="false">Q!$E$41</f>
        <v>10.827</v>
      </c>
      <c r="E2262" s="22" t="n">
        <f aca="false">(Q!$L$41+Q!$M$41)/2</f>
        <v>10.8885</v>
      </c>
      <c r="F2262" s="22" t="n">
        <f aca="false">Sens!$G$2262</f>
        <v>10.924806</v>
      </c>
      <c r="G2262" s="22" t="n">
        <f aca="false">Q!$M$41*(1+sh_g*0.25)</f>
        <v>10.924806</v>
      </c>
      <c r="H2262" s="22" t="n">
        <f aca="false">Sens!$G$2262*(1+sh_g)</f>
        <v>11.012204448</v>
      </c>
      <c r="I2262" s="22" t="n">
        <f aca="false">Sens!$H$2262*(1+sh_g)</f>
        <v>11.100302083584</v>
      </c>
      <c r="J2262" s="22" t="n">
        <f aca="false">Sens!$I$2262*(1+sh_g)</f>
        <v>11.1891045002527</v>
      </c>
      <c r="K2262" s="22" t="n">
        <f aca="false">Sens!$J$2262*(1+sh_g)</f>
        <v>11.2786173362547</v>
      </c>
      <c r="L2262" s="22" t="n">
        <f aca="false">Sens!$K$2262*(1+sh_g)</f>
        <v>11.3688462749447</v>
      </c>
      <c r="M2262" s="22" t="n">
        <f aca="false">Sens!$L$2262*(1+sh_g)</f>
        <v>11.4597970451443</v>
      </c>
      <c r="P2262" s="5" t="s">
        <v>704</v>
      </c>
    </row>
    <row r="2263" customFormat="false" ht="17.15" hidden="false" customHeight="false" outlineLevel="0" collapsed="false">
      <c r="A2263" s="42" t="s">
        <v>705</v>
      </c>
      <c r="B2263" s="13" t="s">
        <v>27</v>
      </c>
      <c r="C2263" s="43" t="n">
        <f aca="false">Sens!$C$2261/Sens!$C$2262</f>
        <v>5.52635015390355</v>
      </c>
      <c r="D2263" s="43" t="n">
        <f aca="false">Sens!$D$2261/Sens!$D$2262</f>
        <v>7.1737323358271</v>
      </c>
      <c r="E2263" s="43" t="n">
        <f aca="false">Sens!$E$2261/Sens!$E$2262</f>
        <v>8.53212104513937</v>
      </c>
      <c r="F2263" s="13"/>
      <c r="G2263" s="43" t="n">
        <f aca="false">Sens!$G$2261/Sens!$G$2262</f>
        <v>12.9281237974721</v>
      </c>
      <c r="H2263" s="43" t="n">
        <f aca="false">Sens!$H$2261/Sens!$H$2262</f>
        <v>9.64692677729729</v>
      </c>
      <c r="I2263" s="43" t="n">
        <f aca="false">Sens!$I$2261/Sens!$I$2262</f>
        <v>11.1746032838023</v>
      </c>
      <c r="J2263" s="43" t="n">
        <f aca="false">Sens!$J$2261/Sens!$J$2262</f>
        <v>12.5904435577774</v>
      </c>
      <c r="K2263" s="43" t="n">
        <f aca="false">Sens!$K$2261/Sens!$K$2262</f>
        <v>13.7984194383585</v>
      </c>
      <c r="L2263" s="43" t="n">
        <f aca="false">Sens!$L$2261/Sens!$L$2262</f>
        <v>15.2387220683035</v>
      </c>
      <c r="M2263" s="43" t="n">
        <f aca="false">Sens!$M$2261/Sens!$M$2262</f>
        <v>16.8016837960284</v>
      </c>
      <c r="N2263" s="13"/>
      <c r="O2263" s="13"/>
    </row>
    <row r="2264" customFormat="false" ht="17.15" hidden="false" customHeight="false" outlineLevel="0" collapsed="false">
      <c r="A2264" s="0" t="s">
        <v>706</v>
      </c>
      <c r="B2264" s="0" t="s">
        <v>27</v>
      </c>
      <c r="C2264" s="30" t="n">
        <f aca="false">(Sens!$C$2261-Sens!$C$2258*(1-tax))/Sens!$C$2262</f>
        <v>5.33926775917445</v>
      </c>
      <c r="D2264" s="30" t="n">
        <f aca="false">(Sens!$D$2261-Sens!$D$2258*(1-tax))/Sens!$D$2262</f>
        <v>5.67691812755503</v>
      </c>
      <c r="E2264" s="30" t="n">
        <f aca="false">(Sens!$E$2261-Sens!$E$2258*(1-tax))/Sens!$E$2262</f>
        <v>3.10602057006846</v>
      </c>
      <c r="G2264" s="30" t="n">
        <f aca="false">(Sens!$G$2261-Sens!$G$2258*(1-tax))/Sens!$G$2262</f>
        <v>7.52005567957513</v>
      </c>
      <c r="H2264" s="30" t="n">
        <f aca="false">(Sens!$H$2261-Sens!$H$2258*(1-tax))/Sens!$H$2262</f>
        <v>9.64692677729729</v>
      </c>
      <c r="I2264" s="30" t="n">
        <f aca="false">(Sens!$I$2261-Sens!$I$2258*(1-tax))/Sens!$I$2262</f>
        <v>11.1746032838023</v>
      </c>
      <c r="J2264" s="30" t="n">
        <f aca="false">(Sens!$J$2261-Sens!$J$2258*(1-tax))/Sens!$J$2262</f>
        <v>12.5904435577774</v>
      </c>
      <c r="K2264" s="30" t="n">
        <f aca="false">(Sens!$K$2261-Sens!$K$2258*(1-tax))/Sens!$K$2262</f>
        <v>13.7984194383585</v>
      </c>
      <c r="L2264" s="30" t="n">
        <f aca="false">(Sens!$L$2261-Sens!$L$2258*(1-tax))/Sens!$L$2262</f>
        <v>15.2387220683035</v>
      </c>
      <c r="M2264" s="30" t="n">
        <f aca="false">(Sens!$M$2261-Sens!$M$2258*(1-tax))/Sens!$M$2262</f>
        <v>16.8016837960284</v>
      </c>
      <c r="P2264" s="5" t="s">
        <v>707</v>
      </c>
    </row>
    <row r="2265" customFormat="false" ht="17.15" hidden="false" customHeight="false" outlineLevel="0" collapsed="false">
      <c r="A2265" s="0" t="s">
        <v>708</v>
      </c>
      <c r="B2265" s="0" t="s">
        <v>52</v>
      </c>
      <c r="H2265" s="12" t="n">
        <f aca="false">Sens!$H$2263/Sens!$G$2263-1</f>
        <v>-0.253803032178297</v>
      </c>
      <c r="I2265" s="12" t="n">
        <f aca="false">Sens!$I$2263/Sens!$H$2263-1</f>
        <v>0.158358878612016</v>
      </c>
      <c r="J2265" s="12" t="n">
        <f aca="false">Sens!$J$2263/Sens!$I$2263-1</f>
        <v>0.126701614188605</v>
      </c>
      <c r="K2265" s="12" t="n">
        <f aca="false">Sens!$K$2263/Sens!$J$2263-1</f>
        <v>0.0959438700501478</v>
      </c>
      <c r="L2265" s="12" t="n">
        <f aca="false">Sens!$L$2263/Sens!$K$2263-1</f>
        <v>0.104381710990835</v>
      </c>
      <c r="M2265" s="12" t="n">
        <f aca="false">Sens!$M$2263/Sens!$L$2263-1</f>
        <v>0.102565144289616</v>
      </c>
    </row>
    <row r="2268" customFormat="false" ht="19.4" hidden="false" customHeight="false" outlineLevel="0" collapsed="false">
      <c r="A2268" s="31" t="s">
        <v>1091</v>
      </c>
    </row>
    <row r="2269" customFormat="false" ht="17.15" hidden="false" customHeight="false" outlineLevel="0" collapsed="false">
      <c r="A2269" s="6" t="s">
        <v>16</v>
      </c>
      <c r="B2269" s="6" t="s">
        <v>17</v>
      </c>
      <c r="C2269" s="20" t="s">
        <v>457</v>
      </c>
      <c r="D2269" s="20" t="s">
        <v>458</v>
      </c>
      <c r="E2269" s="20" t="s">
        <v>540</v>
      </c>
      <c r="F2269" s="20" t="s">
        <v>541</v>
      </c>
      <c r="G2269" s="20" t="s">
        <v>542</v>
      </c>
      <c r="H2269" s="20" t="s">
        <v>543</v>
      </c>
      <c r="I2269" s="20" t="s">
        <v>544</v>
      </c>
      <c r="J2269" s="20" t="s">
        <v>545</v>
      </c>
      <c r="K2269" s="20" t="s">
        <v>546</v>
      </c>
      <c r="L2269" s="20" t="s">
        <v>547</v>
      </c>
      <c r="M2269" s="20" t="s">
        <v>548</v>
      </c>
      <c r="N2269" s="20" t="s">
        <v>549</v>
      </c>
      <c r="O2269" s="20" t="s">
        <v>550</v>
      </c>
      <c r="P2269" s="6" t="s">
        <v>23</v>
      </c>
      <c r="R2269" s="20" t="n">
        <v>2023</v>
      </c>
      <c r="S2269" s="20" t="n">
        <v>2024</v>
      </c>
      <c r="T2269" s="20" t="n">
        <v>2025</v>
      </c>
      <c r="U2269" s="20" t="n">
        <v>2026</v>
      </c>
      <c r="V2269" s="20" t="n">
        <v>2027</v>
      </c>
      <c r="W2269" s="20" t="n">
        <v>2028</v>
      </c>
      <c r="X2269" s="20" t="n">
        <v>2029</v>
      </c>
      <c r="Y2269" s="20" t="n">
        <v>2030</v>
      </c>
      <c r="Z2269" s="20" t="n">
        <v>2031</v>
      </c>
      <c r="AA2269" s="20" t="n">
        <v>2032</v>
      </c>
    </row>
    <row r="2270" customFormat="false" ht="15" hidden="false" customHeight="false" outlineLevel="0" collapsed="false">
      <c r="A2270" s="5" t="s">
        <v>509</v>
      </c>
      <c r="B2270" s="0" t="s">
        <v>73</v>
      </c>
      <c r="C2270" s="38" t="n">
        <f aca="false">Sens!$C$2261</f>
        <v>59.248</v>
      </c>
      <c r="D2270" s="38" t="n">
        <f aca="false">Sens!$D$2261</f>
        <v>77.67</v>
      </c>
      <c r="E2270" s="38" t="n">
        <f aca="false">Sens!$E$2261</f>
        <v>92.902</v>
      </c>
      <c r="F2270" s="38" t="n">
        <f aca="false">Sens!$F$2261</f>
        <v>48.3352444313661</v>
      </c>
      <c r="G2270" s="38" t="n">
        <f aca="false">Sens!$G$2261</f>
        <v>141.237244431366</v>
      </c>
      <c r="H2270" s="38" t="n">
        <f aca="false">Sens!$H$2261</f>
        <v>106.233929966483</v>
      </c>
      <c r="I2270" s="38" t="n">
        <f aca="false">Sens!$I$2261</f>
        <v>124.041472114415</v>
      </c>
      <c r="J2270" s="38" t="n">
        <f aca="false">Sens!$J$2261</f>
        <v>140.875788672504</v>
      </c>
      <c r="K2270" s="38" t="n">
        <f aca="false">Sens!$K$2261</f>
        <v>155.627092690384</v>
      </c>
      <c r="L2270" s="38" t="n">
        <f aca="false">Sens!$L$2261</f>
        <v>173.246688621151</v>
      </c>
      <c r="M2270" s="38" t="n">
        <f aca="false">Sens!$M$2261</f>
        <v>192.543886319175</v>
      </c>
    </row>
    <row r="2271" customFormat="false" ht="17.15" hidden="false" customHeight="false" outlineLevel="0" collapsed="false">
      <c r="A2271" s="5" t="s">
        <v>730</v>
      </c>
      <c r="B2271" s="0" t="s">
        <v>73</v>
      </c>
      <c r="C2271" s="38" t="n">
        <f aca="false">Sens!$C$2249</f>
        <v>32.067</v>
      </c>
      <c r="D2271" s="38" t="n">
        <f aca="false">Sens!$D$2249</f>
        <v>41.86</v>
      </c>
      <c r="E2271" s="38" t="n">
        <f aca="false">Sens!$E$2249</f>
        <v>26.703</v>
      </c>
      <c r="F2271" s="38" t="n">
        <f aca="false">Sens!$F$2249</f>
        <v>30.6103857251209</v>
      </c>
      <c r="G2271" s="38" t="n">
        <f aca="false">Sens!$G$2249</f>
        <v>57.3133857251209</v>
      </c>
      <c r="H2271" s="38" t="n">
        <f aca="false">Sens!$H$2249</f>
        <v>85.8422390314</v>
      </c>
      <c r="I2271" s="38" t="n">
        <f aca="false">Sens!$I$2249</f>
        <v>116.791244946179</v>
      </c>
      <c r="J2271" s="38" t="n">
        <f aca="false">Sens!$J$2249</f>
        <v>147.969195836287</v>
      </c>
      <c r="K2271" s="38" t="n">
        <f aca="false">Sens!$K$2249</f>
        <v>178.403735052191</v>
      </c>
      <c r="L2271" s="38" t="n">
        <f aca="false">Sens!$L$2249</f>
        <v>207.059318879471</v>
      </c>
      <c r="M2271" s="38" t="n">
        <f aca="false">Sens!$M$2249</f>
        <v>235.977152126917</v>
      </c>
    </row>
    <row r="2272" customFormat="false" ht="15" hidden="false" customHeight="false" outlineLevel="0" collapsed="false">
      <c r="A2272" s="5" t="s">
        <v>731</v>
      </c>
      <c r="B2272" s="0" t="s">
        <v>73</v>
      </c>
      <c r="C2272" s="38" t="n">
        <f aca="false">Q!$D$48</f>
        <v>22.011</v>
      </c>
      <c r="D2272" s="38" t="n">
        <f aca="false">Q!$E$48</f>
        <v>19.467</v>
      </c>
      <c r="E2272" s="38" t="n">
        <f aca="false">Q!$P$48</f>
        <v>10.07</v>
      </c>
      <c r="F2272" s="38" t="n">
        <f aca="false">sbc_r*Sens!$F$2193</f>
        <v>11.1987489069097</v>
      </c>
      <c r="G2272" s="38" t="n">
        <f aca="false">Sens!$E$2272+Sens!$F$2272</f>
        <v>21.2687489069097</v>
      </c>
      <c r="H2272" s="38" t="n">
        <f aca="false">sbc_r*Sens!$H$2193</f>
        <v>24.0306590874606</v>
      </c>
      <c r="I2272" s="38" t="n">
        <f aca="false">sbc_r*Sens!$I$2193</f>
        <v>27.3563677520553</v>
      </c>
      <c r="J2272" s="38" t="n">
        <f aca="false">sbc_r*Sens!$J$2193</f>
        <v>30.4644800831868</v>
      </c>
      <c r="K2272" s="38" t="n">
        <f aca="false">sbc_r*Sens!$K$2193</f>
        <v>33.2140931598992</v>
      </c>
      <c r="L2272" s="38" t="n">
        <f aca="false">sbc_r*Sens!$L$2193</f>
        <v>36.0993520397885</v>
      </c>
      <c r="M2272" s="38" t="n">
        <f aca="false">sbc_r*Sens!$M$2193</f>
        <v>39.1302807262483</v>
      </c>
    </row>
    <row r="2273" customFormat="false" ht="17.15" hidden="false" customHeight="false" outlineLevel="0" collapsed="false">
      <c r="A2273" s="5" t="s">
        <v>732</v>
      </c>
      <c r="B2273" s="0" t="s">
        <v>73</v>
      </c>
      <c r="C2273" s="38" t="n">
        <f aca="false">Q!$D$44-Sens!$C$2270-Sens!$C$2271-Sens!$C$2272</f>
        <v>2.551</v>
      </c>
      <c r="D2273" s="38" t="n">
        <f aca="false">Q!$E$44-Sens!$D$2270-Sens!$D$2271-Sens!$D$2272</f>
        <v>0.51700000000001</v>
      </c>
      <c r="E2273" s="38" t="n">
        <f aca="false">Q!$P$44-Sens!$E$2270-Sens!$E$2271-Sens!$E$2272</f>
        <v>-58.256</v>
      </c>
      <c r="F2273" s="38" t="n">
        <f aca="false">wc_2h26+oth_r*Sens!$F$2193</f>
        <v>7.33717342621093</v>
      </c>
      <c r="G2273" s="38" t="n">
        <f aca="false">Sens!$E$2273+Sens!$F$2273</f>
        <v>-50.9188265737891</v>
      </c>
      <c r="H2273" s="38" t="n">
        <f aca="false">oth_r*Sens!$H$2193</f>
        <v>11.5664188119839</v>
      </c>
      <c r="I2273" s="38" t="n">
        <f aca="false">oth_r*Sens!$I$2193</f>
        <v>13.1671464125606</v>
      </c>
      <c r="J2273" s="38" t="n">
        <f aca="false">oth_r*Sens!$J$2193</f>
        <v>14.6631407090847</v>
      </c>
      <c r="K2273" s="38" t="n">
        <f aca="false">oth_r*Sens!$K$2193</f>
        <v>15.9865824133016</v>
      </c>
      <c r="L2273" s="38" t="n">
        <f aca="false">oth_r*Sens!$L$2193</f>
        <v>17.3753130537862</v>
      </c>
      <c r="M2273" s="38" t="n">
        <f aca="false">oth_r*Sens!$M$2193</f>
        <v>18.834157376335</v>
      </c>
      <c r="P2273" s="8" t="s">
        <v>733</v>
      </c>
    </row>
    <row r="2274" customFormat="false" ht="15" hidden="false" customHeight="false" outlineLevel="0" collapsed="false">
      <c r="A2274" s="3" t="s">
        <v>515</v>
      </c>
      <c r="B2274" s="8" t="s">
        <v>73</v>
      </c>
      <c r="C2274" s="38" t="n">
        <f aca="false">Q!$D$44</f>
        <v>115.877</v>
      </c>
      <c r="D2274" s="38" t="n">
        <f aca="false">Q!$E$44</f>
        <v>139.514</v>
      </c>
      <c r="E2274" s="38" t="n">
        <f aca="false">Q!$P$44</f>
        <v>71.419</v>
      </c>
      <c r="F2274" s="38" t="n">
        <f aca="false">Sens!$F$2270+Sens!$F$2271+Sens!$F$2272+Sens!$F$2273</f>
        <v>97.4815524896076</v>
      </c>
      <c r="G2274" s="38" t="n">
        <f aca="false">Sens!$E$2274+Sens!$F$2274</f>
        <v>168.900552489608</v>
      </c>
      <c r="H2274" s="38" t="n">
        <f aca="false">Sens!$H$2270+Sens!$H$2271+Sens!$H$2272+Sens!$H$2273</f>
        <v>227.673246897328</v>
      </c>
      <c r="I2274" s="38" t="n">
        <f aca="false">Sens!$I$2270+Sens!$I$2271+Sens!$I$2272+Sens!$I$2273</f>
        <v>281.35623122521</v>
      </c>
      <c r="J2274" s="38" t="n">
        <f aca="false">Sens!$J$2270+Sens!$J$2271+Sens!$J$2272+Sens!$J$2273</f>
        <v>333.972605301062</v>
      </c>
      <c r="K2274" s="38" t="n">
        <f aca="false">Sens!$K$2270+Sens!$K$2271+Sens!$K$2272+Sens!$K$2273</f>
        <v>383.231503315775</v>
      </c>
      <c r="L2274" s="38" t="n">
        <f aca="false">Sens!$L$2270+Sens!$L$2271+Sens!$L$2272+Sens!$L$2273</f>
        <v>433.780672594196</v>
      </c>
      <c r="M2274" s="38" t="n">
        <f aca="false">Sens!$M$2270+Sens!$M$2271+Sens!$M$2272+Sens!$M$2273</f>
        <v>486.485476548676</v>
      </c>
    </row>
    <row r="2275" customFormat="false" ht="17.15" hidden="false" customHeight="false" outlineLevel="0" collapsed="false">
      <c r="A2275" s="5" t="s">
        <v>734</v>
      </c>
      <c r="B2275" s="0" t="s">
        <v>73</v>
      </c>
      <c r="C2275" s="38" t="n">
        <f aca="false">Sens!$C$2163</f>
        <v>25.2781053077374</v>
      </c>
      <c r="D2275" s="38" t="n">
        <f aca="false">Sens!$D$2163</f>
        <v>69.5686316310026</v>
      </c>
      <c r="E2275" s="38" t="n">
        <f aca="false">Sens!$E$2163</f>
        <v>64.1899206485108</v>
      </c>
      <c r="F2275" s="38" t="n">
        <f aca="false">Sens!$F$2163</f>
        <v>86.8854234933474</v>
      </c>
      <c r="G2275" s="38" t="n">
        <f aca="false">Sens!$G$2163</f>
        <v>151.075344141858</v>
      </c>
      <c r="H2275" s="38" t="n">
        <f aca="false">Sens!$H$2163</f>
        <v>176.6039130979</v>
      </c>
      <c r="I2275" s="38" t="n">
        <f aca="false">Sens!$I$2163</f>
        <v>182.67901806365</v>
      </c>
      <c r="J2275" s="38" t="n">
        <f aca="false">Sens!$J$2163</f>
        <v>187.19044872365</v>
      </c>
      <c r="K2275" s="38" t="n">
        <f aca="false">Sens!$K$2163</f>
        <v>191.70187938365</v>
      </c>
      <c r="L2275" s="38" t="n">
        <f aca="false">Sens!$L$2163</f>
        <v>223.28189400365</v>
      </c>
      <c r="M2275" s="38" t="n">
        <f aca="false">Sens!$M$2163</f>
        <v>275.056200115475</v>
      </c>
    </row>
    <row r="2276" customFormat="false" ht="17.15" hidden="false" customHeight="false" outlineLevel="0" collapsed="false">
      <c r="A2276" s="5" t="s">
        <v>735</v>
      </c>
      <c r="B2276" s="0" t="s">
        <v>73</v>
      </c>
      <c r="C2276" s="38" t="n">
        <f aca="false">cx_awso*Sens!$C$2191</f>
        <v>21.0469989286053</v>
      </c>
      <c r="D2276" s="38" t="n">
        <f aca="false">cx_awso*Sens!$D$2191</f>
        <v>24.0042459822698</v>
      </c>
      <c r="E2276" s="38" t="n">
        <f aca="false">cx_awso*Sens!$E$2191</f>
        <v>14.261729404886</v>
      </c>
      <c r="F2276" s="38" t="n">
        <f aca="false">cx_awso*Sens!$F$2191</f>
        <v>15.7190020837331</v>
      </c>
      <c r="G2276" s="38" t="n">
        <f aca="false">Sens!$E$2276+Sens!$F$2276</f>
        <v>29.9807314886191</v>
      </c>
      <c r="H2276" s="38" t="n">
        <f aca="false">cx_awso*Sens!$H$2191</f>
        <v>36.1787121536283</v>
      </c>
      <c r="I2276" s="38" t="n">
        <f aca="false">cx_awso*Sens!$I$2191</f>
        <v>42.1296794430021</v>
      </c>
      <c r="J2276" s="38" t="n">
        <f aca="false">cx_awso*Sens!$J$2191</f>
        <v>47.279781889299</v>
      </c>
      <c r="K2276" s="38" t="n">
        <f aca="false">cx_awso*Sens!$K$2191</f>
        <v>51.0621644404429</v>
      </c>
      <c r="L2276" s="38" t="n">
        <f aca="false">cx_awso*Sens!$L$2191</f>
        <v>55.1471375956783</v>
      </c>
      <c r="M2276" s="38" t="n">
        <f aca="false">cx_awso*Sens!$M$2191</f>
        <v>59.5589086033326</v>
      </c>
    </row>
    <row r="2277" customFormat="false" ht="17.15" hidden="false" customHeight="false" outlineLevel="0" collapsed="false">
      <c r="A2277" s="5" t="s">
        <v>736</v>
      </c>
      <c r="B2277" s="0" t="s">
        <v>73</v>
      </c>
      <c r="C2277" s="38" t="n">
        <f aca="false">Q!$D$46-Sens!$C$2275-Sens!$C$2276</f>
        <v>31.3328957636573</v>
      </c>
      <c r="D2277" s="38" t="n">
        <f aca="false">Q!$E$46-Sens!$D$2275-Sens!$D$2276</f>
        <v>34.7471223867276</v>
      </c>
      <c r="E2277" s="38" t="n">
        <f aca="false">Q!$P$46-Sens!$E$2275-Sens!$E$2276</f>
        <v>17.8583499466032</v>
      </c>
      <c r="F2277" s="38" t="n">
        <f aca="false">cx_rt*Sens!$F$2127</f>
        <v>21.0855744229195</v>
      </c>
      <c r="G2277" s="38" t="n">
        <f aca="false">Sens!$E$2277+Sens!$F$2277</f>
        <v>38.9439243695228</v>
      </c>
      <c r="H2277" s="38" t="n">
        <f aca="false">cx_rt*Sens!$H$2127</f>
        <v>43.1200434029767</v>
      </c>
      <c r="I2277" s="38" t="n">
        <f aca="false">cx_rt*Sens!$I$2127</f>
        <v>47.1583152318763</v>
      </c>
      <c r="J2277" s="38" t="n">
        <f aca="false">cx_rt*Sens!$J$2127</f>
        <v>50.9060281137911</v>
      </c>
      <c r="K2277" s="38" t="n">
        <f aca="false">cx_rt*Sens!$K$2127</f>
        <v>54.2035645673053</v>
      </c>
      <c r="L2277" s="38" t="n">
        <f aca="false">cx_rt*Sens!$L$2127</f>
        <v>57.7318979121519</v>
      </c>
      <c r="M2277" s="38" t="n">
        <f aca="false">cx_rt*Sens!$M$2127</f>
        <v>61.5084196557756</v>
      </c>
    </row>
    <row r="2278" customFormat="false" ht="15" hidden="false" customHeight="false" outlineLevel="0" collapsed="false">
      <c r="A2278" s="3" t="s">
        <v>737</v>
      </c>
      <c r="B2278" s="8" t="s">
        <v>73</v>
      </c>
      <c r="C2278" s="38" t="n">
        <f aca="false">Q!$D$46</f>
        <v>77.658</v>
      </c>
      <c r="D2278" s="38" t="n">
        <f aca="false">Q!$E$46</f>
        <v>128.32</v>
      </c>
      <c r="E2278" s="38" t="n">
        <f aca="false">Q!$P$46</f>
        <v>96.31</v>
      </c>
      <c r="F2278" s="38" t="n">
        <f aca="false">Sens!$F$2275+Sens!$F$2276+Sens!$F$2277</f>
        <v>123.69</v>
      </c>
      <c r="G2278" s="38" t="n">
        <f aca="false">Sens!$E$2278+Sens!$F$2278</f>
        <v>220</v>
      </c>
      <c r="H2278" s="38" t="n">
        <f aca="false">Sens!$H$2275+Sens!$H$2276+Sens!$H$2277</f>
        <v>255.902668654505</v>
      </c>
      <c r="I2278" s="38" t="n">
        <f aca="false">Sens!$I$2275+Sens!$I$2276+Sens!$I$2277</f>
        <v>271.967012738528</v>
      </c>
      <c r="J2278" s="38" t="n">
        <f aca="false">Sens!$J$2275+Sens!$J$2276+Sens!$J$2277</f>
        <v>285.37625872674</v>
      </c>
      <c r="K2278" s="38" t="n">
        <f aca="false">Sens!$K$2275+Sens!$K$2276+Sens!$K$2277</f>
        <v>296.967608391398</v>
      </c>
      <c r="L2278" s="38" t="n">
        <f aca="false">Sens!$L$2275+Sens!$L$2276+Sens!$L$2277</f>
        <v>336.16092951148</v>
      </c>
      <c r="M2278" s="38" t="n">
        <f aca="false">Sens!$M$2275+Sens!$M$2276+Sens!$M$2277</f>
        <v>396.123528374583</v>
      </c>
    </row>
    <row r="2279" customFormat="false" ht="17.15" hidden="false" customHeight="false" outlineLevel="0" collapsed="false">
      <c r="A2279" s="5" t="s">
        <v>523</v>
      </c>
      <c r="B2279" s="0" t="s">
        <v>73</v>
      </c>
      <c r="C2279" s="38" t="n">
        <f aca="false">Q!$D$50</f>
        <v>2.043</v>
      </c>
      <c r="D2279" s="38" t="n">
        <f aca="false">Q!$E$50</f>
        <v>1.557</v>
      </c>
      <c r="E2279" s="38" t="n">
        <f aca="false">lease_pr/2</f>
        <v>0.8</v>
      </c>
      <c r="F2279" s="38" t="n">
        <f aca="false">lease_pr/2</f>
        <v>0.8</v>
      </c>
      <c r="G2279" s="38" t="n">
        <f aca="false">Sens!$E$2279+Sens!$F$2279</f>
        <v>1.6</v>
      </c>
      <c r="H2279" s="38" t="n">
        <f aca="false">lease_pr</f>
        <v>1.6</v>
      </c>
      <c r="I2279" s="38" t="n">
        <f aca="false">lease_pr</f>
        <v>1.6</v>
      </c>
      <c r="J2279" s="38" t="n">
        <f aca="false">lease_pr</f>
        <v>1.6</v>
      </c>
      <c r="K2279" s="38" t="n">
        <f aca="false">lease_pr</f>
        <v>1.6</v>
      </c>
      <c r="L2279" s="38" t="n">
        <f aca="false">lease_pr</f>
        <v>1.6</v>
      </c>
      <c r="M2279" s="38" t="n">
        <f aca="false">lease_pr</f>
        <v>1.6</v>
      </c>
      <c r="P2279" s="8" t="s">
        <v>738</v>
      </c>
    </row>
    <row r="2280" customFormat="false" ht="15" hidden="false" customHeight="false" outlineLevel="0" collapsed="false">
      <c r="A2280" s="46" t="s">
        <v>739</v>
      </c>
      <c r="B2280" s="13" t="s">
        <v>73</v>
      </c>
      <c r="C2280" s="47" t="n">
        <f aca="false">Sens!$C$2274-Sens!$C$2278-Sens!$C$2279</f>
        <v>36.176</v>
      </c>
      <c r="D2280" s="47" t="n">
        <f aca="false">Sens!$D$2274-Sens!$D$2278-Sens!$D$2279</f>
        <v>9.63700000000002</v>
      </c>
      <c r="E2280" s="47" t="n">
        <f aca="false">Sens!$E$2274-Sens!$E$2278-Sens!$E$2279</f>
        <v>-25.691</v>
      </c>
      <c r="F2280" s="47" t="n">
        <f aca="false">Sens!$F$2274-Sens!$F$2278-Sens!$F$2279</f>
        <v>-27.0084475103924</v>
      </c>
      <c r="G2280" s="47" t="n">
        <f aca="false">Sens!$G$2274-Sens!$G$2278-Sens!$G$2279</f>
        <v>-52.6994475103924</v>
      </c>
      <c r="H2280" s="47" t="n">
        <f aca="false">Sens!$H$2274-Sens!$H$2278-Sens!$H$2279</f>
        <v>-29.8294217571771</v>
      </c>
      <c r="I2280" s="47" t="n">
        <f aca="false">Sens!$I$2274-Sens!$I$2278-Sens!$I$2279</f>
        <v>7.78921848668207</v>
      </c>
      <c r="J2280" s="47" t="n">
        <f aca="false">Sens!$J$2274-Sens!$J$2278-Sens!$J$2279</f>
        <v>46.9963465743225</v>
      </c>
      <c r="K2280" s="47" t="n">
        <f aca="false">Sens!$K$2274-Sens!$K$2278-Sens!$K$2279</f>
        <v>84.6638949243767</v>
      </c>
      <c r="L2280" s="47" t="n">
        <f aca="false">Sens!$L$2274-Sens!$L$2278-Sens!$L$2279</f>
        <v>96.0197430827157</v>
      </c>
      <c r="M2280" s="47" t="n">
        <f aca="false">Sens!$M$2274-Sens!$M$2278-Sens!$M$2279</f>
        <v>88.7619481740926</v>
      </c>
      <c r="N2280" s="13"/>
      <c r="O2280" s="13"/>
    </row>
    <row r="2281" customFormat="false" ht="17.15" hidden="false" customHeight="false" outlineLevel="0" collapsed="false">
      <c r="A2281" s="5" t="s">
        <v>740</v>
      </c>
      <c r="B2281" s="0" t="s">
        <v>73</v>
      </c>
      <c r="C2281" s="38" t="n">
        <f aca="false">dps*Sens!$C$2262</f>
        <v>0</v>
      </c>
      <c r="D2281" s="38" t="n">
        <f aca="false">dps*Sens!$D$2262</f>
        <v>0</v>
      </c>
      <c r="E2281" s="38" t="n">
        <f aca="false">dps*Sens!$E$2262</f>
        <v>0</v>
      </c>
      <c r="F2281" s="38" t="n">
        <f aca="false">0</f>
        <v>0</v>
      </c>
      <c r="G2281" s="38" t="n">
        <f aca="false">dps*Sens!$G$2262</f>
        <v>0</v>
      </c>
      <c r="H2281" s="38" t="n">
        <f aca="false">dps*Sens!$H$2262</f>
        <v>0</v>
      </c>
      <c r="I2281" s="38" t="n">
        <f aca="false">dps*Sens!$I$2262</f>
        <v>0</v>
      </c>
      <c r="J2281" s="38" t="n">
        <f aca="false">dps*Sens!$J$2262</f>
        <v>0</v>
      </c>
      <c r="K2281" s="38" t="n">
        <f aca="false">dps*Sens!$K$2262</f>
        <v>0</v>
      </c>
      <c r="L2281" s="38" t="n">
        <f aca="false">dps*Sens!$L$2262</f>
        <v>0</v>
      </c>
      <c r="M2281" s="38" t="n">
        <f aca="false">dps*Sens!$M$2262</f>
        <v>0</v>
      </c>
      <c r="P2281" s="8" t="s">
        <v>741</v>
      </c>
    </row>
    <row r="2282" customFormat="false" ht="17.15" hidden="false" customHeight="false" outlineLevel="0" collapsed="false">
      <c r="A2282" s="5" t="s">
        <v>742</v>
      </c>
      <c r="B2282" s="0" t="s">
        <v>73</v>
      </c>
      <c r="C2282" s="38" t="n">
        <f aca="false">0</f>
        <v>0</v>
      </c>
      <c r="D2282" s="38" t="n">
        <f aca="false">0</f>
        <v>0</v>
      </c>
      <c r="E2282" s="38" t="n">
        <f aca="false">0</f>
        <v>0</v>
      </c>
      <c r="F2282" s="38" t="n">
        <f aca="false">0</f>
        <v>0</v>
      </c>
      <c r="G2282" s="38" t="n">
        <f aca="false">0</f>
        <v>0</v>
      </c>
      <c r="H2282" s="38" t="n">
        <f aca="false">0</f>
        <v>0</v>
      </c>
      <c r="I2282" s="38" t="n">
        <f aca="false">0</f>
        <v>0</v>
      </c>
      <c r="J2282" s="38" t="n">
        <f aca="false">0</f>
        <v>0</v>
      </c>
      <c r="K2282" s="38" t="n">
        <f aca="false">0</f>
        <v>0</v>
      </c>
      <c r="L2282" s="38" t="n">
        <f aca="false">0</f>
        <v>0</v>
      </c>
      <c r="M2282" s="38" t="n">
        <f aca="false">0</f>
        <v>0</v>
      </c>
      <c r="P2282" s="8" t="s">
        <v>743</v>
      </c>
    </row>
    <row r="2283" customFormat="false" ht="15" hidden="false" customHeight="false" outlineLevel="0" collapsed="false">
      <c r="A2283" s="3" t="s">
        <v>744</v>
      </c>
      <c r="B2283" s="8" t="s">
        <v>73</v>
      </c>
      <c r="C2283" s="38" t="n">
        <f aca="false">Sens!$C$2280-Sens!$C$2281</f>
        <v>36.176</v>
      </c>
      <c r="D2283" s="38" t="n">
        <f aca="false">Sens!$D$2280-Sens!$D$2281</f>
        <v>9.63700000000002</v>
      </c>
      <c r="E2283" s="38" t="n">
        <f aca="false">Sens!$E$2280-Sens!$E$2281</f>
        <v>-25.691</v>
      </c>
      <c r="F2283" s="38" t="n">
        <f aca="false">Sens!$F$2280-Sens!$F$2281</f>
        <v>-27.0084475103924</v>
      </c>
      <c r="G2283" s="38" t="n">
        <f aca="false">Sens!$G$2280-Sens!$G$2281</f>
        <v>-52.6994475103924</v>
      </c>
      <c r="H2283" s="38" t="n">
        <f aca="false">Sens!$H$2280-Sens!$H$2281</f>
        <v>-29.8294217571771</v>
      </c>
      <c r="I2283" s="38" t="n">
        <f aca="false">Sens!$I$2280-Sens!$I$2281</f>
        <v>7.78921848668207</v>
      </c>
      <c r="J2283" s="38" t="n">
        <f aca="false">Sens!$J$2280-Sens!$J$2281</f>
        <v>46.9963465743225</v>
      </c>
      <c r="K2283" s="38" t="n">
        <f aca="false">Sens!$K$2280-Sens!$K$2281</f>
        <v>84.6638949243767</v>
      </c>
      <c r="L2283" s="38" t="n">
        <f aca="false">Sens!$L$2280-Sens!$L$2281</f>
        <v>96.0197430827157</v>
      </c>
      <c r="M2283" s="38" t="n">
        <f aca="false">Sens!$M$2280-Sens!$M$2281</f>
        <v>88.7619481740926</v>
      </c>
    </row>
    <row r="2284" customFormat="false" ht="17.15" hidden="false" customHeight="false" outlineLevel="0" collapsed="false">
      <c r="A2284" s="5" t="s">
        <v>745</v>
      </c>
      <c r="B2284" s="0" t="s">
        <v>73</v>
      </c>
      <c r="E2284" s="38" t="n">
        <f aca="false">Q!$P$53</f>
        <v>39.767</v>
      </c>
      <c r="F2284" s="38" t="n">
        <f aca="false">inv_2h26</f>
        <v>21.3</v>
      </c>
      <c r="G2284" s="38" t="n">
        <f aca="false">Sens!$E$2284+Sens!$F$2284</f>
        <v>61.067</v>
      </c>
      <c r="H2284" s="41" t="n">
        <v>0</v>
      </c>
      <c r="I2284" s="41" t="n">
        <v>0</v>
      </c>
      <c r="J2284" s="41" t="n">
        <v>0</v>
      </c>
      <c r="K2284" s="41" t="n">
        <v>0</v>
      </c>
      <c r="L2284" s="41" t="n">
        <v>0</v>
      </c>
      <c r="M2284" s="41" t="n">
        <v>0</v>
      </c>
    </row>
    <row r="2285" customFormat="false" ht="17.15" hidden="false" customHeight="false" outlineLevel="0" collapsed="false">
      <c r="A2285" s="5" t="s">
        <v>746</v>
      </c>
      <c r="B2285" s="0" t="s">
        <v>73</v>
      </c>
      <c r="F2285" s="38" t="n">
        <f aca="false">iss_2h26</f>
        <v>29.25</v>
      </c>
      <c r="G2285" s="38" t="n">
        <f aca="false">Sens!$F$2285</f>
        <v>29.25</v>
      </c>
      <c r="H2285" s="41" t="n">
        <v>0</v>
      </c>
      <c r="I2285" s="41" t="n">
        <v>0</v>
      </c>
      <c r="J2285" s="41" t="n">
        <v>0</v>
      </c>
      <c r="K2285" s="41" t="n">
        <v>0</v>
      </c>
      <c r="L2285" s="41" t="n">
        <v>0</v>
      </c>
      <c r="M2285" s="41" t="n">
        <v>0</v>
      </c>
    </row>
    <row r="2286" customFormat="false" ht="17.15" hidden="false" customHeight="false" outlineLevel="0" collapsed="false">
      <c r="A2286" s="5" t="s">
        <v>747</v>
      </c>
      <c r="B2286" s="0" t="s">
        <v>73</v>
      </c>
      <c r="F2286" s="38" t="n">
        <f aca="false">cash_q2</f>
        <v>122.988</v>
      </c>
      <c r="G2286" s="38" t="n">
        <f aca="false">cash_q2</f>
        <v>122.988</v>
      </c>
      <c r="H2286" s="38" t="n">
        <f aca="false">Sens!$G$2289</f>
        <v>103.929552489608</v>
      </c>
      <c r="I2286" s="38" t="n">
        <f aca="false">Sens!$H$2289</f>
        <v>74.1001307324306</v>
      </c>
      <c r="J2286" s="38" t="n">
        <f aca="false">Sens!$I$2289</f>
        <v>81.8893492191126</v>
      </c>
      <c r="K2286" s="38" t="n">
        <f aca="false">Sens!$J$2289</f>
        <v>128.885695793435</v>
      </c>
      <c r="L2286" s="38" t="n">
        <f aca="false">Sens!$K$2289</f>
        <v>213.549590717812</v>
      </c>
      <c r="M2286" s="38" t="n">
        <f aca="false">Sens!$L$2289</f>
        <v>309.569333800528</v>
      </c>
    </row>
    <row r="2287" customFormat="false" ht="15" hidden="false" customHeight="false" outlineLevel="0" collapsed="false">
      <c r="A2287" s="5" t="s">
        <v>748</v>
      </c>
      <c r="B2287" s="0" t="s">
        <v>73</v>
      </c>
      <c r="F2287" s="38" t="n">
        <f aca="false">Sens!$F$2286+Sens!$F$2283-Sens!$F$2282-Sens!$F$2284+Sens!$F$2285</f>
        <v>103.929552489608</v>
      </c>
      <c r="H2287" s="38" t="n">
        <f aca="false">Sens!$H$2286+Sens!$H$2283-Sens!$H$2282-Sens!$H$2284+Sens!$H$2285</f>
        <v>74.1001307324306</v>
      </c>
      <c r="I2287" s="38" t="n">
        <f aca="false">Sens!$I$2286+Sens!$I$2283-Sens!$I$2282-Sens!$I$2284+Sens!$I$2285</f>
        <v>81.8893492191126</v>
      </c>
      <c r="J2287" s="38" t="n">
        <f aca="false">Sens!$J$2286+Sens!$J$2283-Sens!$J$2282-Sens!$J$2284+Sens!$J$2285</f>
        <v>128.885695793435</v>
      </c>
      <c r="K2287" s="38" t="n">
        <f aca="false">Sens!$K$2286+Sens!$K$2283-Sens!$K$2282-Sens!$K$2284+Sens!$K$2285</f>
        <v>213.549590717812</v>
      </c>
      <c r="L2287" s="38" t="n">
        <f aca="false">Sens!$L$2286+Sens!$L$2283-Sens!$L$2282-Sens!$L$2284+Sens!$L$2285</f>
        <v>309.569333800528</v>
      </c>
      <c r="M2287" s="38" t="n">
        <f aca="false">Sens!$M$2286+Sens!$M$2283-Sens!$M$2282-Sens!$M$2284+Sens!$M$2285</f>
        <v>398.33128197462</v>
      </c>
    </row>
    <row r="2288" customFormat="false" ht="17.15" hidden="false" customHeight="false" outlineLevel="0" collapsed="false">
      <c r="A2288" s="5" t="s">
        <v>749</v>
      </c>
      <c r="B2288" s="0" t="s">
        <v>73</v>
      </c>
      <c r="F2288" s="38" t="n">
        <f aca="false">MAX(0,min_cash-Sens!$F$2287)</f>
        <v>0</v>
      </c>
      <c r="G2288" s="38" t="n">
        <f aca="false">Sens!$F$2288</f>
        <v>0</v>
      </c>
      <c r="H2288" s="38" t="n">
        <f aca="false">MAX(0,min_cash-Sens!$H$2287)</f>
        <v>0</v>
      </c>
      <c r="I2288" s="38" t="n">
        <f aca="false">MAX(0,min_cash-Sens!$I$2287)</f>
        <v>0</v>
      </c>
      <c r="J2288" s="38" t="n">
        <f aca="false">MAX(0,min_cash-Sens!$J$2287)</f>
        <v>0</v>
      </c>
      <c r="K2288" s="38" t="n">
        <f aca="false">MAX(0,min_cash-Sens!$K$2287)</f>
        <v>0</v>
      </c>
      <c r="L2288" s="38" t="n">
        <f aca="false">MAX(0,min_cash-Sens!$L$2287)</f>
        <v>0</v>
      </c>
      <c r="M2288" s="38" t="n">
        <f aca="false">MAX(0,min_cash-Sens!$M$2287)</f>
        <v>0</v>
      </c>
      <c r="P2288" s="5" t="s">
        <v>750</v>
      </c>
    </row>
    <row r="2289" customFormat="false" ht="15" hidden="false" customHeight="false" outlineLevel="0" collapsed="false">
      <c r="A2289" s="5" t="s">
        <v>751</v>
      </c>
      <c r="B2289" s="0" t="s">
        <v>73</v>
      </c>
      <c r="D2289" s="38" t="n">
        <f aca="false">Q!$E$61</f>
        <v>123.029</v>
      </c>
      <c r="E2289" s="38" t="n">
        <f aca="false">Q!$M$61</f>
        <v>122.988</v>
      </c>
      <c r="F2289" s="38" t="n">
        <f aca="false">Sens!$F$2287+Sens!$F$2288</f>
        <v>103.929552489608</v>
      </c>
      <c r="G2289" s="38" t="n">
        <f aca="false">Sens!$F$2289</f>
        <v>103.929552489608</v>
      </c>
      <c r="H2289" s="38" t="n">
        <f aca="false">Sens!$H$2287+Sens!$H$2288</f>
        <v>74.1001307324306</v>
      </c>
      <c r="I2289" s="38" t="n">
        <f aca="false">Sens!$I$2287+Sens!$I$2288</f>
        <v>81.8893492191126</v>
      </c>
      <c r="J2289" s="38" t="n">
        <f aca="false">Sens!$J$2287+Sens!$J$2288</f>
        <v>128.885695793435</v>
      </c>
      <c r="K2289" s="38" t="n">
        <f aca="false">Sens!$K$2287+Sens!$K$2288</f>
        <v>213.549590717812</v>
      </c>
      <c r="L2289" s="38" t="n">
        <f aca="false">Sens!$L$2287+Sens!$L$2288</f>
        <v>309.569333800528</v>
      </c>
      <c r="M2289" s="38" t="n">
        <f aca="false">Sens!$M$2287+Sens!$M$2288</f>
        <v>398.33128197462</v>
      </c>
    </row>
    <row r="2290" customFormat="false" ht="15" hidden="false" customHeight="false" outlineLevel="0" collapsed="false">
      <c r="A2290" s="5" t="s">
        <v>752</v>
      </c>
      <c r="B2290" s="0" t="s">
        <v>73</v>
      </c>
      <c r="D2290" s="38" t="n">
        <f aca="false">Q!$E$62</f>
        <v>68.836</v>
      </c>
      <c r="E2290" s="38" t="n">
        <f aca="false">Q!$M$62</f>
        <v>132.995</v>
      </c>
      <c r="F2290" s="38" t="n">
        <f aca="false">debt_q2+Sens!$F$2285+Sens!$F$2288</f>
        <v>162.245</v>
      </c>
      <c r="G2290" s="38" t="n">
        <f aca="false">Sens!$F$2290</f>
        <v>162.245</v>
      </c>
      <c r="H2290" s="38" t="n">
        <f aca="false">Sens!$G$2290+Sens!$H$2288</f>
        <v>162.245</v>
      </c>
      <c r="I2290" s="38" t="n">
        <f aca="false">Sens!$H$2290+Sens!$I$2288</f>
        <v>162.245</v>
      </c>
      <c r="J2290" s="38" t="n">
        <f aca="false">Sens!$I$2290+Sens!$J$2288</f>
        <v>162.245</v>
      </c>
      <c r="K2290" s="38" t="n">
        <f aca="false">Sens!$J$2290+Sens!$K$2288</f>
        <v>162.245</v>
      </c>
      <c r="L2290" s="38" t="n">
        <f aca="false">Sens!$K$2290+Sens!$L$2288</f>
        <v>162.245</v>
      </c>
      <c r="M2290" s="38" t="n">
        <f aca="false">Sens!$L$2290+Sens!$M$2288</f>
        <v>162.245</v>
      </c>
    </row>
    <row r="2291" customFormat="false" ht="15" hidden="false" customHeight="false" outlineLevel="0" collapsed="false">
      <c r="A2291" s="5" t="s">
        <v>753</v>
      </c>
      <c r="B2291" s="0" t="s">
        <v>73</v>
      </c>
      <c r="D2291" s="38" t="n">
        <f aca="false">Sens!$D$2290-Sens!$D$2289</f>
        <v>-54.193</v>
      </c>
      <c r="E2291" s="38" t="n">
        <f aca="false">Sens!$E$2290-Sens!$E$2289</f>
        <v>10.007</v>
      </c>
      <c r="F2291" s="38" t="n">
        <f aca="false">Sens!$F$2290-Sens!$F$2289</f>
        <v>58.3154475103924</v>
      </c>
      <c r="G2291" s="38" t="n">
        <f aca="false">Sens!$G$2290-Sens!$G$2289</f>
        <v>58.3154475103924</v>
      </c>
      <c r="H2291" s="38" t="n">
        <f aca="false">Sens!$H$2290-Sens!$H$2289</f>
        <v>88.1448692675695</v>
      </c>
      <c r="I2291" s="38" t="n">
        <f aca="false">Sens!$I$2290-Sens!$I$2289</f>
        <v>80.3556507808874</v>
      </c>
      <c r="J2291" s="38" t="n">
        <f aca="false">Sens!$J$2290-Sens!$J$2289</f>
        <v>33.3593042065649</v>
      </c>
      <c r="K2291" s="38" t="n">
        <f aca="false">Sens!$K$2290-Sens!$K$2289</f>
        <v>-51.3045907178118</v>
      </c>
      <c r="L2291" s="38" t="n">
        <f aca="false">Sens!$L$2290-Sens!$L$2289</f>
        <v>-147.324333800527</v>
      </c>
      <c r="M2291" s="38" t="n">
        <f aca="false">Sens!$M$2290-Sens!$M$2289</f>
        <v>-236.08628197462</v>
      </c>
    </row>
    <row r="2292" customFormat="false" ht="17.15" hidden="false" customHeight="false" outlineLevel="0" collapsed="false">
      <c r="A2292" s="5" t="s">
        <v>754</v>
      </c>
      <c r="B2292" s="0" t="s">
        <v>73</v>
      </c>
      <c r="F2292" s="38" t="n">
        <f aca="false">debt_q2*kd_book*0.5+iss_2h26*kd_new*0.25</f>
        <v>3.24888964316061</v>
      </c>
      <c r="H2292" s="38" t="n">
        <f aca="false">debt_q2*kd_book+(Sens!$G$2290-debt_q2)*kd_new</f>
        <v>7.42354178632123</v>
      </c>
      <c r="I2292" s="38" t="n">
        <f aca="false">debt_q2*kd_book+(Sens!$H$2290-debt_q2)*kd_new</f>
        <v>7.42354178632123</v>
      </c>
      <c r="J2292" s="38" t="n">
        <f aca="false">debt_q2*kd_book+(Sens!$I$2290-debt_q2)*kd_new</f>
        <v>7.42354178632123</v>
      </c>
      <c r="K2292" s="38" t="n">
        <f aca="false">debt_q2*kd_book+(Sens!$J$2290-debt_q2)*kd_new</f>
        <v>7.42354178632123</v>
      </c>
      <c r="L2292" s="38" t="n">
        <f aca="false">debt_q2*kd_book+(Sens!$K$2290-debt_q2)*kd_new</f>
        <v>7.42354178632123</v>
      </c>
      <c r="M2292" s="38" t="n">
        <f aca="false">debt_q2*kd_book+(Sens!$L$2290-debt_q2)*kd_new</f>
        <v>7.42354178632123</v>
      </c>
    </row>
    <row r="2293" customFormat="false" ht="17.15" hidden="false" customHeight="false" outlineLevel="0" collapsed="false">
      <c r="A2293" s="5" t="s">
        <v>755</v>
      </c>
      <c r="B2293" s="0" t="s">
        <v>73</v>
      </c>
      <c r="F2293" s="38" t="n">
        <f aca="false">cash_q2*y_cash*0.5</f>
        <v>2.59</v>
      </c>
      <c r="H2293" s="38" t="n">
        <f aca="false">Sens!$G$2289*y_cash</f>
        <v>4.37729763794978</v>
      </c>
      <c r="I2293" s="38" t="n">
        <f aca="false">Sens!$H$2289*y_cash</f>
        <v>3.12094413433823</v>
      </c>
      <c r="J2293" s="38" t="n">
        <f aca="false">Sens!$I$2289*y_cash</f>
        <v>3.44900989490847</v>
      </c>
      <c r="K2293" s="38" t="n">
        <f aca="false">Sens!$J$2289*y_cash</f>
        <v>5.4283987397957</v>
      </c>
      <c r="L2293" s="38" t="n">
        <f aca="false">Sens!$K$2289*y_cash</f>
        <v>8.99426675706789</v>
      </c>
      <c r="M2293" s="38" t="n">
        <f aca="false">Sens!$L$2289*y_cash</f>
        <v>13.0384195944867</v>
      </c>
    </row>
    <row r="2294" customFormat="false" ht="17.15" hidden="false" customHeight="false" outlineLevel="0" collapsed="false">
      <c r="A2294" s="46" t="s">
        <v>756</v>
      </c>
      <c r="B2294" s="13" t="s">
        <v>73</v>
      </c>
      <c r="C2294" s="13"/>
      <c r="D2294" s="13"/>
      <c r="E2294" s="13"/>
      <c r="F2294" s="13"/>
      <c r="G2294" s="47" t="n">
        <f aca="false">SUM(Sens!$G$2283:$K$2283)</f>
        <v>56.9205907178118</v>
      </c>
      <c r="H2294" s="13"/>
      <c r="I2294" s="13"/>
      <c r="J2294" s="13"/>
      <c r="K2294" s="13"/>
      <c r="L2294" s="13"/>
      <c r="M2294" s="13"/>
      <c r="N2294" s="13"/>
      <c r="O2294" s="13"/>
    </row>
    <row r="2295" customFormat="false" ht="17.15" hidden="false" customHeight="false" outlineLevel="0" collapsed="false">
      <c r="A2295" s="0" t="s">
        <v>723</v>
      </c>
      <c r="B2295" s="0" t="s">
        <v>73</v>
      </c>
      <c r="G2295" s="38" t="n">
        <f aca="false">SUM(Sens!$G$2288:$K$2288)</f>
        <v>0</v>
      </c>
    </row>
    <row r="2298" customFormat="false" ht="19.4" hidden="false" customHeight="false" outlineLevel="0" collapsed="false">
      <c r="A2298" s="31" t="s">
        <v>1092</v>
      </c>
    </row>
    <row r="2299" customFormat="false" ht="17.15" hidden="false" customHeight="false" outlineLevel="0" collapsed="false">
      <c r="A2299" s="6" t="s">
        <v>16</v>
      </c>
      <c r="B2299" s="6" t="s">
        <v>17</v>
      </c>
      <c r="C2299" s="20" t="s">
        <v>457</v>
      </c>
      <c r="D2299" s="20" t="s">
        <v>458</v>
      </c>
      <c r="E2299" s="20" t="s">
        <v>540</v>
      </c>
      <c r="F2299" s="20" t="s">
        <v>541</v>
      </c>
      <c r="G2299" s="20" t="s">
        <v>542</v>
      </c>
      <c r="H2299" s="20" t="s">
        <v>543</v>
      </c>
      <c r="I2299" s="20" t="s">
        <v>544</v>
      </c>
      <c r="J2299" s="20" t="s">
        <v>545</v>
      </c>
      <c r="K2299" s="20" t="s">
        <v>546</v>
      </c>
      <c r="L2299" s="20" t="s">
        <v>547</v>
      </c>
      <c r="M2299" s="20" t="s">
        <v>548</v>
      </c>
      <c r="N2299" s="20" t="s">
        <v>549</v>
      </c>
      <c r="O2299" s="20" t="s">
        <v>550</v>
      </c>
      <c r="P2299" s="6" t="s">
        <v>23</v>
      </c>
      <c r="R2299" s="20" t="n">
        <v>2023</v>
      </c>
      <c r="S2299" s="20" t="n">
        <v>2024</v>
      </c>
      <c r="T2299" s="20" t="n">
        <v>2025</v>
      </c>
      <c r="U2299" s="20" t="n">
        <v>2026</v>
      </c>
      <c r="V2299" s="20" t="n">
        <v>2027</v>
      </c>
      <c r="W2299" s="20" t="n">
        <v>2028</v>
      </c>
      <c r="X2299" s="20" t="n">
        <v>2029</v>
      </c>
      <c r="Y2299" s="20" t="n">
        <v>2030</v>
      </c>
      <c r="Z2299" s="20" t="n">
        <v>2031</v>
      </c>
      <c r="AA2299" s="20" t="n">
        <v>2032</v>
      </c>
    </row>
    <row r="2300" customFormat="false" ht="17.15" hidden="false" customHeight="false" outlineLevel="0" collapsed="false">
      <c r="A2300" s="1" t="s">
        <v>851</v>
      </c>
    </row>
    <row r="2301" customFormat="false" ht="17.15" hidden="false" customHeight="false" outlineLevel="0" collapsed="false">
      <c r="A2301" s="0" t="s">
        <v>852</v>
      </c>
      <c r="B2301" s="0" t="s">
        <v>73</v>
      </c>
      <c r="H2301" s="38" t="n">
        <f aca="false">Sens!$H$2237*(1-tax)</f>
        <v>108.751393266388</v>
      </c>
      <c r="I2301" s="38" t="n">
        <f aca="false">Sens!$I$2237*(1-tax)</f>
        <v>127.597205389738</v>
      </c>
      <c r="J2301" s="38" t="n">
        <f aca="false">Sens!$J$2237*(1-tax)</f>
        <v>144.160403327006</v>
      </c>
      <c r="K2301" s="38" t="n">
        <f aca="false">Sens!$K$2237*(1-tax)</f>
        <v>157.275909775637</v>
      </c>
      <c r="L2301" s="38" t="n">
        <f aca="false">Sens!$L$2237*(1-tax)</f>
        <v>171.948617200903</v>
      </c>
      <c r="M2301" s="38" t="n">
        <f aca="false">Sens!$M$2237*(1-tax)</f>
        <v>187.903664417375</v>
      </c>
    </row>
    <row r="2302" customFormat="false" ht="15" hidden="false" customHeight="false" outlineLevel="0" collapsed="false">
      <c r="A2302" s="5" t="s">
        <v>853</v>
      </c>
      <c r="B2302" s="0" t="s">
        <v>73</v>
      </c>
      <c r="H2302" s="38" t="n">
        <f aca="false">Sens!$H$2249</f>
        <v>85.8422390314</v>
      </c>
      <c r="I2302" s="38" t="n">
        <f aca="false">Sens!$I$2249</f>
        <v>116.791244946179</v>
      </c>
      <c r="J2302" s="38" t="n">
        <f aca="false">Sens!$J$2249</f>
        <v>147.969195836287</v>
      </c>
      <c r="K2302" s="38" t="n">
        <f aca="false">Sens!$K$2249</f>
        <v>178.403735052191</v>
      </c>
      <c r="L2302" s="38" t="n">
        <f aca="false">Sens!$L$2249</f>
        <v>207.059318879471</v>
      </c>
      <c r="M2302" s="38" t="n">
        <f aca="false">Sens!$M$2249</f>
        <v>235.977152126917</v>
      </c>
    </row>
    <row r="2303" customFormat="false" ht="15" hidden="false" customHeight="false" outlineLevel="0" collapsed="false">
      <c r="A2303" s="5" t="s">
        <v>854</v>
      </c>
      <c r="B2303" s="0" t="s">
        <v>73</v>
      </c>
      <c r="H2303" s="38" t="n">
        <f aca="false">Sens!$H$2278</f>
        <v>255.902668654505</v>
      </c>
      <c r="I2303" s="38" t="n">
        <f aca="false">Sens!$I$2278</f>
        <v>271.967012738528</v>
      </c>
      <c r="J2303" s="38" t="n">
        <f aca="false">Sens!$J$2278</f>
        <v>285.37625872674</v>
      </c>
      <c r="K2303" s="38" t="n">
        <f aca="false">Sens!$K$2278</f>
        <v>296.967608391398</v>
      </c>
      <c r="L2303" s="38" t="n">
        <f aca="false">Sens!$L$2278</f>
        <v>336.16092951148</v>
      </c>
      <c r="M2303" s="38" t="n">
        <f aca="false">Sens!$M$2278</f>
        <v>396.123528374583</v>
      </c>
    </row>
    <row r="2304" customFormat="false" ht="15" hidden="false" customHeight="false" outlineLevel="0" collapsed="false">
      <c r="A2304" s="5" t="s">
        <v>855</v>
      </c>
      <c r="B2304" s="0" t="s">
        <v>73</v>
      </c>
      <c r="H2304" s="38" t="n">
        <f aca="false">Sens!$H$2279</f>
        <v>1.6</v>
      </c>
      <c r="I2304" s="38" t="n">
        <f aca="false">Sens!$I$2279</f>
        <v>1.6</v>
      </c>
      <c r="J2304" s="38" t="n">
        <f aca="false">Sens!$J$2279</f>
        <v>1.6</v>
      </c>
      <c r="K2304" s="38" t="n">
        <f aca="false">Sens!$K$2279</f>
        <v>1.6</v>
      </c>
      <c r="L2304" s="38" t="n">
        <f aca="false">Sens!$L$2279</f>
        <v>1.6</v>
      </c>
      <c r="M2304" s="38" t="n">
        <f aca="false">Sens!$M$2279</f>
        <v>1.6</v>
      </c>
    </row>
    <row r="2305" customFormat="false" ht="15" hidden="false" customHeight="false" outlineLevel="0" collapsed="false">
      <c r="A2305" s="5" t="s">
        <v>856</v>
      </c>
      <c r="B2305" s="0" t="s">
        <v>73</v>
      </c>
      <c r="H2305" s="38" t="n">
        <f aca="false">Sens!$H$2273</f>
        <v>11.5664188119839</v>
      </c>
      <c r="I2305" s="38" t="n">
        <f aca="false">Sens!$I$2273</f>
        <v>13.1671464125606</v>
      </c>
      <c r="J2305" s="38" t="n">
        <f aca="false">Sens!$J$2273</f>
        <v>14.6631407090847</v>
      </c>
      <c r="K2305" s="38" t="n">
        <f aca="false">Sens!$K$2273</f>
        <v>15.9865824133016</v>
      </c>
      <c r="L2305" s="38" t="n">
        <f aca="false">Sens!$L$2273</f>
        <v>17.3753130537862</v>
      </c>
      <c r="M2305" s="38" t="n">
        <f aca="false">Sens!$M$2273</f>
        <v>18.834157376335</v>
      </c>
    </row>
    <row r="2306" customFormat="false" ht="17.15" hidden="false" customHeight="false" outlineLevel="0" collapsed="false">
      <c r="A2306" s="1" t="s">
        <v>857</v>
      </c>
      <c r="B2306" s="8" t="s">
        <v>73</v>
      </c>
      <c r="H2306" s="38" t="n">
        <f aca="false">Sens!$H$2301+Sens!$H$2302-Sens!$H$2303-Sens!$H$2304+Sens!$H$2305</f>
        <v>-51.3426175447334</v>
      </c>
      <c r="I2306" s="38" t="n">
        <f aca="false">Sens!$I$2301+Sens!$I$2302-Sens!$I$2303-Sens!$I$2304+Sens!$I$2305</f>
        <v>-16.0114159900505</v>
      </c>
      <c r="J2306" s="38" t="n">
        <f aca="false">Sens!$J$2301+Sens!$J$2302-Sens!$J$2303-Sens!$J$2304+Sens!$J$2305</f>
        <v>19.8164811456373</v>
      </c>
      <c r="K2306" s="38" t="n">
        <f aca="false">Sens!$K$2301+Sens!$K$2302-Sens!$K$2303-Sens!$K$2304+Sens!$K$2305</f>
        <v>53.0986188497306</v>
      </c>
      <c r="L2306" s="38" t="n">
        <f aca="false">Sens!$L$2301+Sens!$L$2302-Sens!$L$2303-Sens!$L$2304+Sens!$L$2305</f>
        <v>58.6223196226794</v>
      </c>
      <c r="M2306" s="38" t="n">
        <f aca="false">Sens!$M$2301+Sens!$M$2302-Sens!$M$2303-Sens!$M$2304+Sens!$M$2305</f>
        <v>44.9914455460442</v>
      </c>
    </row>
    <row r="2307" customFormat="false" ht="15" hidden="false" customHeight="false" outlineLevel="0" collapsed="false">
      <c r="A2307" s="5" t="s">
        <v>858</v>
      </c>
      <c r="B2307" s="0" t="s">
        <v>57</v>
      </c>
      <c r="H2307" s="51" t="n">
        <f aca="false">1/(1+wacc)^(2027-2026-0.5)</f>
        <v>0.942858177653364</v>
      </c>
      <c r="I2307" s="51" t="n">
        <f aca="false">1/(1+wacc)^(2028-2026-0.5)</f>
        <v>0.838183517758688</v>
      </c>
      <c r="J2307" s="51" t="n">
        <f aca="false">1/(1+wacc)^(2029-2026-0.5)</f>
        <v>0.745129677074952</v>
      </c>
      <c r="K2307" s="51" t="n">
        <f aca="false">1/(1+wacc)^(2030-2026-0.5)</f>
        <v>0.662406530186232</v>
      </c>
      <c r="L2307" s="51" t="n">
        <f aca="false">1/(1+wacc)^(2031-2026-0.5)</f>
        <v>0.588867179409399</v>
      </c>
      <c r="M2307" s="51" t="n">
        <f aca="false">1/(1+wacc)^(2032-2026-0.5)</f>
        <v>0.52349205387225</v>
      </c>
    </row>
    <row r="2308" customFormat="false" ht="15" hidden="false" customHeight="false" outlineLevel="0" collapsed="false">
      <c r="A2308" s="5" t="s">
        <v>859</v>
      </c>
      <c r="B2308" s="0" t="s">
        <v>73</v>
      </c>
      <c r="H2308" s="38" t="n">
        <f aca="false">Sens!$H$2306*Sens!$H$2307</f>
        <v>-48.408806814181</v>
      </c>
      <c r="I2308" s="38" t="n">
        <f aca="false">Sens!$I$2306*Sens!$I$2307</f>
        <v>-13.4205049788382</v>
      </c>
      <c r="J2308" s="38" t="n">
        <f aca="false">Sens!$J$2306*Sens!$J$2307</f>
        <v>14.7658481968106</v>
      </c>
      <c r="K2308" s="38" t="n">
        <f aca="false">Sens!$K$2306*Sens!$K$2307</f>
        <v>35.1728718699313</v>
      </c>
      <c r="L2308" s="38" t="n">
        <f aca="false">Sens!$L$2306*Sens!$L$2307</f>
        <v>34.5207600066435</v>
      </c>
      <c r="M2308" s="38" t="n">
        <f aca="false">Sens!$M$2306*Sens!$M$2307</f>
        <v>23.5526642355802</v>
      </c>
    </row>
    <row r="2309" customFormat="false" ht="15" hidden="false" customHeight="false" outlineLevel="0" collapsed="false">
      <c r="A2309" s="5" t="s">
        <v>860</v>
      </c>
      <c r="B2309" s="0" t="s">
        <v>73</v>
      </c>
      <c r="C2309" s="38" t="n">
        <f aca="false">SUM(Sens!$H$2308:$M$2308)</f>
        <v>46.1828325159464</v>
      </c>
    </row>
    <row r="2310" customFormat="false" ht="17.15" hidden="false" customHeight="false" outlineLevel="0" collapsed="false">
      <c r="A2310" s="5" t="s">
        <v>861</v>
      </c>
      <c r="B2310" s="0" t="s">
        <v>73</v>
      </c>
      <c r="C2310" s="38" t="n">
        <f aca="false">Sens!$M$2301*(1+tg)*(1-tg/ronic)/(wacc-tg)</f>
        <v>1549.77992990439</v>
      </c>
    </row>
    <row r="2311" customFormat="false" ht="15" hidden="false" customHeight="false" outlineLevel="0" collapsed="false">
      <c r="A2311" s="5" t="s">
        <v>862</v>
      </c>
      <c r="B2311" s="0" t="s">
        <v>73</v>
      </c>
      <c r="C2311" s="38" t="n">
        <f aca="false">Sens!$C$2310/(1+wacc)^6</f>
        <v>764.938462165741</v>
      </c>
    </row>
    <row r="2312" customFormat="false" ht="17.15" hidden="false" customHeight="false" outlineLevel="0" collapsed="false">
      <c r="A2312" s="5" t="s">
        <v>863</v>
      </c>
      <c r="B2312" s="0" t="s">
        <v>73</v>
      </c>
      <c r="C2312" s="38" t="n">
        <f aca="false">Sens!$C$2309+Sens!$C$2311</f>
        <v>811.121294681687</v>
      </c>
    </row>
    <row r="2313" customFormat="false" ht="17.15" hidden="false" customHeight="false" outlineLevel="0" collapsed="false">
      <c r="A2313" s="5" t="s">
        <v>864</v>
      </c>
      <c r="B2313" s="0" t="s">
        <v>52</v>
      </c>
      <c r="C2313" s="12" t="n">
        <f aca="false">Sens!$C$2311/Sens!$C$2312</f>
        <v>0.943062976130999</v>
      </c>
    </row>
    <row r="2314" customFormat="false" ht="17.15" hidden="false" customHeight="false" outlineLevel="0" collapsed="false">
      <c r="A2314" s="5" t="s">
        <v>865</v>
      </c>
      <c r="B2314" s="0" t="s">
        <v>73</v>
      </c>
      <c r="C2314" s="38" t="n">
        <f aca="false">Sens!$G$2291</f>
        <v>58.3154475103924</v>
      </c>
    </row>
    <row r="2315" customFormat="false" ht="17.15" hidden="false" customHeight="false" outlineLevel="0" collapsed="false">
      <c r="A2315" s="5" t="s">
        <v>866</v>
      </c>
      <c r="B2315" s="0" t="s">
        <v>73</v>
      </c>
      <c r="C2315" s="38" t="n">
        <f aca="false">(ant_val*ant_sh+oai_val*oai_sh)*(1-liq_disc)</f>
        <v>178.944</v>
      </c>
    </row>
    <row r="2316" customFormat="false" ht="15" hidden="false" customHeight="false" outlineLevel="0" collapsed="false">
      <c r="A2316" s="5" t="s">
        <v>867</v>
      </c>
      <c r="B2316" s="0" t="s">
        <v>73</v>
      </c>
      <c r="C2316" s="38" t="n">
        <f aca="false">Sens!$C$2312-Sens!$C$2314+Sens!$C$2315</f>
        <v>931.749847171295</v>
      </c>
    </row>
    <row r="2317" customFormat="false" ht="17.15" hidden="false" customHeight="false" outlineLevel="0" collapsed="false">
      <c r="A2317" s="5" t="s">
        <v>868</v>
      </c>
      <c r="B2317" s="0" t="s">
        <v>27</v>
      </c>
      <c r="C2317" s="30" t="n">
        <f aca="false">Sens!$C$2316/sh_val</f>
        <v>84.4717427963787</v>
      </c>
    </row>
    <row r="2318" customFormat="false" ht="17.15" hidden="false" customHeight="false" outlineLevel="0" collapsed="false">
      <c r="A2318" s="1" t="s">
        <v>869</v>
      </c>
      <c r="B2318" s="8" t="s">
        <v>27</v>
      </c>
      <c r="C2318" s="30" t="n">
        <f aca="false">Sens!$C$2317*(1+ke)^tp_yf</f>
        <v>93.2943872506753</v>
      </c>
    </row>
    <row r="2319" customFormat="false" ht="17.15" hidden="false" customHeight="false" outlineLevel="0" collapsed="false">
      <c r="A2319" s="3" t="s">
        <v>870</v>
      </c>
    </row>
    <row r="2320" customFormat="false" ht="17.15" hidden="false" customHeight="false" outlineLevel="0" collapsed="false">
      <c r="A2320" s="5" t="s">
        <v>871</v>
      </c>
      <c r="B2320" s="0" t="s">
        <v>73</v>
      </c>
      <c r="C2320" s="38" t="n">
        <f aca="false">0.25*Sens!$H$2250+0.75*Sens!$I$2250</f>
        <v>57.5541093268329</v>
      </c>
    </row>
    <row r="2321" customFormat="false" ht="15" hidden="false" customHeight="false" outlineLevel="0" collapsed="false">
      <c r="A2321" s="5" t="s">
        <v>872</v>
      </c>
      <c r="B2321" s="0" t="s">
        <v>57</v>
      </c>
      <c r="C2321" s="30" t="n">
        <f aca="false">m_ads*m_x</f>
        <v>9.11</v>
      </c>
    </row>
    <row r="2322" customFormat="false" ht="17.15" hidden="false" customHeight="false" outlineLevel="0" collapsed="false">
      <c r="A2322" s="5" t="s">
        <v>873</v>
      </c>
      <c r="B2322" s="0" t="s">
        <v>73</v>
      </c>
      <c r="C2322" s="38" t="n">
        <f aca="false">Sens!$C$2320*Sens!$C$2321</f>
        <v>524.317935967448</v>
      </c>
    </row>
    <row r="2323" customFormat="false" ht="17.15" hidden="false" customHeight="false" outlineLevel="0" collapsed="false">
      <c r="A2323" s="5" t="s">
        <v>874</v>
      </c>
      <c r="B2323" s="0" t="s">
        <v>73</v>
      </c>
      <c r="C2323" s="38" t="n">
        <f aca="false">0.25*Sens!$H$2251+0.75*Sens!$I$2251</f>
        <v>30.6290803533085</v>
      </c>
    </row>
    <row r="2324" customFormat="false" ht="15" hidden="false" customHeight="false" outlineLevel="0" collapsed="false">
      <c r="A2324" s="5" t="s">
        <v>875</v>
      </c>
      <c r="B2324" s="0" t="s">
        <v>57</v>
      </c>
      <c r="C2324" s="30" t="n">
        <f aca="false">m_retail*m_x</f>
        <v>17.72</v>
      </c>
    </row>
    <row r="2325" customFormat="false" ht="17.15" hidden="false" customHeight="false" outlineLevel="0" collapsed="false">
      <c r="A2325" s="5" t="s">
        <v>876</v>
      </c>
      <c r="B2325" s="0" t="s">
        <v>73</v>
      </c>
      <c r="C2325" s="38" t="n">
        <f aca="false">Sens!$C$2323*Sens!$C$2324</f>
        <v>542.747303860627</v>
      </c>
    </row>
    <row r="2326" customFormat="false" ht="17.15" hidden="false" customHeight="false" outlineLevel="0" collapsed="false">
      <c r="A2326" s="0" t="s">
        <v>877</v>
      </c>
      <c r="B2326" s="0" t="s">
        <v>73</v>
      </c>
      <c r="C2326" s="38" t="n">
        <f aca="false">0.25*Sens!$H$2252+0.75*Sens!$I$2252</f>
        <v>107.575398943098</v>
      </c>
    </row>
    <row r="2327" customFormat="false" ht="17.15" hidden="false" customHeight="false" outlineLevel="0" collapsed="false">
      <c r="A2327" s="0" t="s">
        <v>878</v>
      </c>
      <c r="B2327" s="0" t="s">
        <v>57</v>
      </c>
      <c r="C2327" s="30" t="n">
        <f aca="false">m_cloud*m_x</f>
        <v>13.82</v>
      </c>
    </row>
    <row r="2328" customFormat="false" ht="17.15" hidden="false" customHeight="false" outlineLevel="0" collapsed="false">
      <c r="A2328" s="0" t="s">
        <v>879</v>
      </c>
      <c r="B2328" s="0" t="s">
        <v>73</v>
      </c>
      <c r="C2328" s="38" t="n">
        <f aca="false">Sens!$C$2326*Sens!$C$2327</f>
        <v>1486.69201339361</v>
      </c>
    </row>
    <row r="2329" customFormat="false" ht="17.15" hidden="false" customHeight="false" outlineLevel="0" collapsed="false">
      <c r="A2329" s="0" t="s">
        <v>880</v>
      </c>
      <c r="B2329" s="0" t="s">
        <v>73</v>
      </c>
      <c r="C2329" s="38" t="n">
        <f aca="false">0.25*Sens!$H$2253+0.75*Sens!$I$2253</f>
        <v>61.9927082193335</v>
      </c>
    </row>
    <row r="2330" customFormat="false" ht="17.15" hidden="false" customHeight="false" outlineLevel="0" collapsed="false">
      <c r="A2330" s="0" t="s">
        <v>881</v>
      </c>
      <c r="B2330" s="0" t="s">
        <v>57</v>
      </c>
      <c r="C2330" s="30" t="n">
        <f aca="false">m_ai</f>
        <v>6</v>
      </c>
    </row>
    <row r="2331" customFormat="false" ht="17.15" hidden="false" customHeight="false" outlineLevel="0" collapsed="false">
      <c r="A2331" s="0" t="s">
        <v>882</v>
      </c>
      <c r="B2331" s="0" t="s">
        <v>73</v>
      </c>
      <c r="C2331" s="38" t="n">
        <f aca="false">Sens!$C$2329*Sens!$C$2330</f>
        <v>371.956249316001</v>
      </c>
    </row>
    <row r="2332" customFormat="false" ht="17.15" hidden="false" customHeight="false" outlineLevel="0" collapsed="false">
      <c r="A2332" s="5" t="s">
        <v>883</v>
      </c>
      <c r="B2332" s="0" t="s">
        <v>73</v>
      </c>
      <c r="C2332" s="38" t="n">
        <f aca="false">Sens!$C$2322+Sens!$C$2325+Sens!$C$2328+Sens!$C$2331</f>
        <v>2925.71350253769</v>
      </c>
    </row>
    <row r="2333" customFormat="false" ht="17.15" hidden="false" customHeight="false" outlineLevel="0" collapsed="false">
      <c r="A2333" s="5" t="s">
        <v>884</v>
      </c>
      <c r="B2333" s="0" t="s">
        <v>73</v>
      </c>
      <c r="C2333" s="38" t="n">
        <f aca="false">Sens!$H$2291</f>
        <v>88.1448692675695</v>
      </c>
    </row>
    <row r="2334" customFormat="false" ht="15" hidden="false" customHeight="false" outlineLevel="0" collapsed="false">
      <c r="A2334" s="5" t="s">
        <v>885</v>
      </c>
      <c r="B2334" s="0" t="s">
        <v>73</v>
      </c>
      <c r="C2334" s="38" t="n">
        <f aca="false">Sens!$C$2332-Sens!$C$2333+Sens!$C$2315</f>
        <v>3016.51263327012</v>
      </c>
    </row>
    <row r="2335" customFormat="false" ht="15" hidden="false" customHeight="false" outlineLevel="0" collapsed="false">
      <c r="A2335" s="3" t="s">
        <v>886</v>
      </c>
      <c r="B2335" s="8" t="s">
        <v>27</v>
      </c>
      <c r="C2335" s="30" t="n">
        <f aca="false">Sens!$C$2334/sh_val</f>
        <v>273.474774450674</v>
      </c>
    </row>
    <row r="2336" customFormat="false" ht="17.15" hidden="false" customHeight="false" outlineLevel="0" collapsed="false">
      <c r="A2336" s="46" t="s">
        <v>887</v>
      </c>
      <c r="B2336" s="13" t="s">
        <v>27</v>
      </c>
      <c r="C2336" s="43" t="n">
        <f aca="false">w_dcf*Sens!$C$2318+(1-w_dcf)*Sens!$C$2335</f>
        <v>183.384580850675</v>
      </c>
      <c r="D2336" s="13"/>
      <c r="E2336" s="13"/>
      <c r="F2336" s="13"/>
      <c r="G2336" s="13"/>
      <c r="H2336" s="13"/>
      <c r="I2336" s="13"/>
      <c r="J2336" s="13"/>
      <c r="K2336" s="13"/>
      <c r="L2336" s="13"/>
      <c r="M2336" s="13"/>
      <c r="N2336" s="13"/>
      <c r="O2336" s="13"/>
    </row>
    <row r="2337" customFormat="false" ht="17.15" hidden="false" customHeight="false" outlineLevel="0" collapsed="false">
      <c r="A2337" s="5" t="s">
        <v>888</v>
      </c>
      <c r="B2337" s="0" t="s">
        <v>27</v>
      </c>
      <c r="C2337" s="30" t="n">
        <f aca="false">0.45*Sens!$C$2318+0.55*Sens!$C$2335</f>
        <v>192.393600210675</v>
      </c>
    </row>
    <row r="2340" customFormat="false" ht="19.4" hidden="false" customHeight="false" outlineLevel="0" collapsed="false">
      <c r="A2340" s="31" t="s">
        <v>1093</v>
      </c>
    </row>
    <row r="2341" customFormat="false" ht="17.15" hidden="false" customHeight="false" outlineLevel="0" collapsed="false">
      <c r="A2341" s="6" t="s">
        <v>16</v>
      </c>
      <c r="B2341" s="6" t="s">
        <v>17</v>
      </c>
      <c r="C2341" s="20" t="s">
        <v>457</v>
      </c>
      <c r="D2341" s="20" t="s">
        <v>458</v>
      </c>
      <c r="E2341" s="20" t="s">
        <v>540</v>
      </c>
      <c r="F2341" s="20" t="s">
        <v>541</v>
      </c>
      <c r="G2341" s="20" t="s">
        <v>542</v>
      </c>
      <c r="H2341" s="20" t="s">
        <v>543</v>
      </c>
      <c r="I2341" s="20" t="s">
        <v>544</v>
      </c>
      <c r="J2341" s="20" t="s">
        <v>545</v>
      </c>
      <c r="K2341" s="20" t="s">
        <v>546</v>
      </c>
      <c r="L2341" s="20" t="s">
        <v>547</v>
      </c>
      <c r="M2341" s="20" t="s">
        <v>548</v>
      </c>
      <c r="N2341" s="20" t="s">
        <v>549</v>
      </c>
      <c r="O2341" s="20" t="s">
        <v>550</v>
      </c>
      <c r="P2341" s="6" t="s">
        <v>23</v>
      </c>
      <c r="R2341" s="20" t="n">
        <v>2023</v>
      </c>
      <c r="S2341" s="20" t="n">
        <v>2024</v>
      </c>
      <c r="T2341" s="20" t="n">
        <v>2025</v>
      </c>
      <c r="U2341" s="20" t="n">
        <v>2026</v>
      </c>
      <c r="V2341" s="20" t="n">
        <v>2027</v>
      </c>
      <c r="W2341" s="20" t="n">
        <v>2028</v>
      </c>
      <c r="X2341" s="20" t="n">
        <v>2029</v>
      </c>
      <c r="Y2341" s="20" t="n">
        <v>2030</v>
      </c>
      <c r="Z2341" s="20" t="n">
        <v>2031</v>
      </c>
      <c r="AA2341" s="20" t="n">
        <v>2032</v>
      </c>
    </row>
    <row r="2342" customFormat="false" ht="17.15" hidden="false" customHeight="false" outlineLevel="0" collapsed="false">
      <c r="A2342" s="1" t="s">
        <v>620</v>
      </c>
    </row>
    <row r="2343" customFormat="false" ht="17.15" hidden="false" customHeight="false" outlineLevel="0" collapsed="false">
      <c r="A2343" s="0" t="s">
        <v>479</v>
      </c>
      <c r="B2343" s="0" t="s">
        <v>73</v>
      </c>
      <c r="C2343" s="38" t="n">
        <f aca="false">Q!$D$10</f>
        <v>247.029</v>
      </c>
      <c r="D2343" s="38" t="n">
        <f aca="false">Q!$E$10</f>
        <v>269.287</v>
      </c>
      <c r="E2343" s="38" t="n">
        <f aca="false">Q!$P$10</f>
        <v>134.686</v>
      </c>
      <c r="F2343" s="38" t="n">
        <f aca="false">Sens!$O$2343*(1+Sens!$F$2344)-pd_amt*Q!$O$10/(Q!$O$10+Q!$O$12)</f>
        <v>160.728085930082</v>
      </c>
      <c r="G2343" s="38" t="n">
        <f aca="false">Sens!$E$2343+Sens!$F$2343</f>
        <v>295.414085930082</v>
      </c>
      <c r="H2343" s="38" t="n">
        <f aca="false">Sens!$G$2343*(1+Sens!$H$2344)</f>
        <v>320.828163943375</v>
      </c>
      <c r="I2343" s="38" t="n">
        <f aca="false">Sens!$H$2343*(1+Sens!$I$2344)</f>
        <v>344.575578072228</v>
      </c>
      <c r="J2343" s="38" t="n">
        <f aca="false">Sens!$I$2343*(1+Sens!$J$2344)</f>
        <v>365.942555779681</v>
      </c>
      <c r="K2343" s="38" t="n">
        <f aca="false">Sens!$J$2343*(1+Sens!$K$2344)</f>
        <v>384.239683568665</v>
      </c>
      <c r="L2343" s="38" t="n">
        <f aca="false">Sens!$K$2343*(1+Sens!$L$2344)</f>
        <v>403.451667747098</v>
      </c>
      <c r="M2343" s="38" t="n">
        <f aca="false">Sens!$L$2343*(1+Sens!$M$2344)</f>
        <v>423.624251134453</v>
      </c>
      <c r="N2343" s="38" t="n">
        <f aca="false">Q!$N$10</f>
        <v>118.892</v>
      </c>
      <c r="O2343" s="38" t="n">
        <f aca="false">Q!$O$10</f>
        <v>150.395</v>
      </c>
      <c r="P2343" s="8" t="s">
        <v>621</v>
      </c>
    </row>
    <row r="2344" customFormat="false" ht="17.15" hidden="false" customHeight="false" outlineLevel="0" collapsed="false">
      <c r="A2344" s="0" t="s">
        <v>622</v>
      </c>
      <c r="B2344" s="0" t="s">
        <v>52</v>
      </c>
      <c r="E2344" s="12" t="n">
        <f aca="false">Sens!$E$2343/Sens!$N$2343-1</f>
        <v>0.132843252699929</v>
      </c>
      <c r="F2344" s="12" t="n">
        <f aca="false">Sens!$O$2343/(Q!$F$10+Q!$G$10)-1</f>
        <v>0.0980382135842941</v>
      </c>
      <c r="G2344" s="12" t="n">
        <f aca="false">Sens!$G$2343/Sens!$D$2343-1</f>
        <v>0.0970231980380869</v>
      </c>
      <c r="H2344" s="12" t="n">
        <f aca="false">Sens!$F$2344+(g_os-Sens!$F$2344)*1/4</f>
        <v>0.0860286601882206</v>
      </c>
      <c r="I2344" s="12" t="n">
        <f aca="false">Sens!$F$2344+(g_os-Sens!$F$2344)*2/4</f>
        <v>0.074019106792147</v>
      </c>
      <c r="J2344" s="12" t="n">
        <f aca="false">Sens!$F$2344+(g_os-Sens!$F$2344)*3/4</f>
        <v>0.0620095533960735</v>
      </c>
      <c r="K2344" s="12" t="n">
        <f aca="false">Sens!$F$2344+(g_os-Sens!$F$2344)*4/4</f>
        <v>0.05</v>
      </c>
      <c r="L2344" s="12" t="n">
        <f aca="false">g_os</f>
        <v>0.05</v>
      </c>
      <c r="M2344" s="12" t="n">
        <f aca="false">g_os</f>
        <v>0.05</v>
      </c>
      <c r="P2344" s="8" t="s">
        <v>623</v>
      </c>
    </row>
    <row r="2345" customFormat="false" ht="17.15" hidden="false" customHeight="false" outlineLevel="0" collapsed="false">
      <c r="A2345" s="0" t="s">
        <v>480</v>
      </c>
      <c r="B2345" s="0" t="s">
        <v>73</v>
      </c>
      <c r="C2345" s="38" t="n">
        <f aca="false">Q!$D$11</f>
        <v>21.215</v>
      </c>
      <c r="D2345" s="38" t="n">
        <f aca="false">Q!$E$11</f>
        <v>22.561</v>
      </c>
      <c r="E2345" s="38" t="n">
        <f aca="false">Q!$P$11</f>
        <v>11.579</v>
      </c>
      <c r="F2345" s="38" t="n">
        <f aca="false">Sens!$O$2345*(1+Sens!$F$2346)</f>
        <v>12.0952613121125</v>
      </c>
      <c r="G2345" s="38" t="n">
        <f aca="false">Sens!$E$2345+Sens!$F$2345</f>
        <v>23.6742613121125</v>
      </c>
      <c r="H2345" s="38" t="n">
        <f aca="false">Sens!$G$2345*(1+Sens!$H$2346)</f>
        <v>24.8803243963206</v>
      </c>
      <c r="I2345" s="38" t="n">
        <f aca="false">Sens!$H$2345*(1+Sens!$I$2346)</f>
        <v>25.9741308664154</v>
      </c>
      <c r="J2345" s="38" t="n">
        <f aca="false">Sens!$I$2345*(1+Sens!$J$2346)</f>
        <v>26.9346894124267</v>
      </c>
      <c r="K2345" s="38" t="n">
        <f aca="false">Sens!$J$2345*(1+Sens!$K$2346)</f>
        <v>27.7427300947995</v>
      </c>
      <c r="L2345" s="38" t="n">
        <f aca="false">Sens!$K$2345*(1+Sens!$L$2346)</f>
        <v>28.5750119976435</v>
      </c>
      <c r="M2345" s="38" t="n">
        <f aca="false">Sens!$L$2345*(1+Sens!$M$2346)</f>
        <v>29.4322623575728</v>
      </c>
      <c r="N2345" s="38" t="n">
        <f aca="false">Q!$N$11</f>
        <v>11.128</v>
      </c>
      <c r="O2345" s="38" t="n">
        <f aca="false">Q!$O$11</f>
        <v>11.433</v>
      </c>
      <c r="P2345" s="8" t="s">
        <v>621</v>
      </c>
    </row>
    <row r="2346" customFormat="false" ht="17.15" hidden="false" customHeight="false" outlineLevel="0" collapsed="false">
      <c r="A2346" s="0" t="s">
        <v>624</v>
      </c>
      <c r="B2346" s="0" t="s">
        <v>52</v>
      </c>
      <c r="E2346" s="12" t="n">
        <f aca="false">Sens!$E$2345/Sens!$N$2345-1</f>
        <v>0.0405283968368082</v>
      </c>
      <c r="F2346" s="12" t="n">
        <f aca="false">Sens!$O$2345/(Q!$F$11+Q!$G$11)-1</f>
        <v>0.0579254187100955</v>
      </c>
      <c r="G2346" s="12" t="n">
        <f aca="false">Sens!$G$2345/Sens!$D$2345-1</f>
        <v>0.0493445021103904</v>
      </c>
      <c r="H2346" s="12" t="n">
        <f aca="false">Sens!$F$2346+(g_ps-Sens!$F$2346)*1/4</f>
        <v>0.0509440640325716</v>
      </c>
      <c r="I2346" s="12" t="n">
        <f aca="false">Sens!$F$2346+(g_ps-Sens!$F$2346)*2/4</f>
        <v>0.0439627093550477</v>
      </c>
      <c r="J2346" s="12" t="n">
        <f aca="false">Sens!$F$2346+(g_ps-Sens!$F$2346)*3/4</f>
        <v>0.0369813546775239</v>
      </c>
      <c r="K2346" s="12" t="n">
        <f aca="false">Sens!$F$2346+(g_ps-Sens!$F$2346)*4/4</f>
        <v>0.03</v>
      </c>
      <c r="L2346" s="12" t="n">
        <f aca="false">g_ps</f>
        <v>0.03</v>
      </c>
      <c r="M2346" s="12" t="n">
        <f aca="false">g_ps</f>
        <v>0.03</v>
      </c>
      <c r="P2346" s="8" t="s">
        <v>625</v>
      </c>
    </row>
    <row r="2347" customFormat="false" ht="17.15" hidden="false" customHeight="false" outlineLevel="0" collapsed="false">
      <c r="A2347" s="0" t="s">
        <v>481</v>
      </c>
      <c r="B2347" s="0" t="s">
        <v>73</v>
      </c>
      <c r="C2347" s="38" t="n">
        <f aca="false">Q!$D$12</f>
        <v>156.146</v>
      </c>
      <c r="D2347" s="38" t="n">
        <f aca="false">Q!$E$12</f>
        <v>172.162</v>
      </c>
      <c r="E2347" s="38" t="n">
        <f aca="false">Q!$P$12</f>
        <v>88.358</v>
      </c>
      <c r="F2347" s="38" t="n">
        <f aca="false">Sens!$O$2347*(1+Sens!$F$2348)-pd_amt*Q!$O$12/(Q!$O$10+Q!$O$12)</f>
        <v>103.62028337149</v>
      </c>
      <c r="G2347" s="38" t="n">
        <f aca="false">Sens!$E$2347+Sens!$F$2347</f>
        <v>191.97828337149</v>
      </c>
      <c r="H2347" s="38" t="n">
        <f aca="false">Sens!$G$2347*(1+Sens!$H$2348)</f>
        <v>212.128608444755</v>
      </c>
      <c r="I2347" s="38" t="n">
        <f aca="false">Sens!$H$2347*(1+Sens!$I$2348)</f>
        <v>231.92183134134</v>
      </c>
      <c r="J2347" s="38" t="n">
        <f aca="false">Sens!$I$2347*(1+Sens!$J$2348)</f>
        <v>250.859136487863</v>
      </c>
      <c r="K2347" s="38" t="n">
        <f aca="false">Sens!$J$2347*(1+Sens!$K$2348)</f>
        <v>268.419276042014</v>
      </c>
      <c r="L2347" s="38" t="n">
        <f aca="false">Sens!$K$2347*(1+Sens!$L$2348)</f>
        <v>287.208625364954</v>
      </c>
      <c r="M2347" s="38" t="n">
        <f aca="false">Sens!$L$2347*(1+Sens!$M$2348)</f>
        <v>307.313229140501</v>
      </c>
      <c r="N2347" s="38" t="n">
        <f aca="false">Q!$N$12</f>
        <v>76.86</v>
      </c>
      <c r="O2347" s="38" t="n">
        <f aca="false">Q!$O$12</f>
        <v>95.302</v>
      </c>
      <c r="P2347" s="8" t="s">
        <v>621</v>
      </c>
    </row>
    <row r="2348" customFormat="false" ht="17.15" hidden="false" customHeight="false" outlineLevel="0" collapsed="false">
      <c r="A2348" s="0" t="s">
        <v>626</v>
      </c>
      <c r="B2348" s="0" t="s">
        <v>52</v>
      </c>
      <c r="E2348" s="12" t="n">
        <f aca="false">Sens!$E$2347/Sens!$N$2347-1</f>
        <v>0.1495966692688</v>
      </c>
      <c r="F2348" s="12" t="n">
        <f aca="false">Sens!$O$2347/(Q!$F$12+Q!$G$12)-1</f>
        <v>0.11661530890813</v>
      </c>
      <c r="G2348" s="12" t="n">
        <f aca="false">Sens!$G$2347/Sens!$D$2347-1</f>
        <v>0.115102539303041</v>
      </c>
      <c r="H2348" s="12" t="n">
        <f aca="false">Sens!$F$2348+(g_sp-Sens!$F$2348)*1/4</f>
        <v>0.104961481681098</v>
      </c>
      <c r="I2348" s="12" t="n">
        <f aca="false">Sens!$F$2348+(g_sp-Sens!$F$2348)*2/4</f>
        <v>0.0933076544540651</v>
      </c>
      <c r="J2348" s="12" t="n">
        <f aca="false">Sens!$F$2348+(g_sp-Sens!$F$2348)*3/4</f>
        <v>0.0816538272270325</v>
      </c>
      <c r="K2348" s="12" t="n">
        <f aca="false">Sens!$F$2348+(g_sp-Sens!$F$2348)*4/4</f>
        <v>0.07</v>
      </c>
      <c r="L2348" s="12" t="n">
        <f aca="false">g_sp</f>
        <v>0.07</v>
      </c>
      <c r="M2348" s="12" t="n">
        <f aca="false">g_sp</f>
        <v>0.07</v>
      </c>
      <c r="P2348" s="8" t="s">
        <v>627</v>
      </c>
    </row>
    <row r="2349" customFormat="false" ht="17.15" hidden="false" customHeight="false" outlineLevel="0" collapsed="false">
      <c r="A2349" s="0" t="s">
        <v>482</v>
      </c>
      <c r="B2349" s="0" t="s">
        <v>73</v>
      </c>
      <c r="C2349" s="38" t="n">
        <f aca="false">Q!$D$13</f>
        <v>56.214</v>
      </c>
      <c r="D2349" s="38" t="n">
        <f aca="false">Q!$E$13</f>
        <v>68.635</v>
      </c>
      <c r="E2349" s="38" t="n">
        <f aca="false">Q!$P$13</f>
        <v>37.052</v>
      </c>
      <c r="F2349" s="38" t="n">
        <f aca="false">Sens!$O$2349*(1+Sens!$F$2350)</f>
        <v>48.1533381827382</v>
      </c>
      <c r="G2349" s="38" t="n">
        <f aca="false">Sens!$E$2349+Sens!$F$2349</f>
        <v>85.2053381827382</v>
      </c>
      <c r="H2349" s="38" t="n">
        <f aca="false">Sens!$G$2349*(1+Sens!$H$2350)</f>
        <v>102.29336185894</v>
      </c>
      <c r="I2349" s="38" t="n">
        <f aca="false">Sens!$H$2349*(1+Sens!$I$2350)</f>
        <v>119.379837585241</v>
      </c>
      <c r="J2349" s="38" t="n">
        <f aca="false">Sens!$I$2349*(1+Sens!$J$2350)</f>
        <v>135.319079048844</v>
      </c>
      <c r="K2349" s="38" t="n">
        <f aca="false">Sens!$J$2349*(1+Sens!$K$2350)</f>
        <v>148.850986953729</v>
      </c>
      <c r="L2349" s="38" t="n">
        <f aca="false">Sens!$K$2349*(1+Sens!$L$2350)</f>
        <v>163.736085649102</v>
      </c>
      <c r="M2349" s="38" t="n">
        <f aca="false">Sens!$L$2349*(1+Sens!$M$2350)</f>
        <v>180.109694214012</v>
      </c>
      <c r="N2349" s="38" t="n">
        <f aca="false">Q!$N$13</f>
        <v>29.615</v>
      </c>
      <c r="O2349" s="38" t="n">
        <f aca="false">Q!$O$13</f>
        <v>39.02</v>
      </c>
      <c r="P2349" s="8" t="s">
        <v>621</v>
      </c>
    </row>
    <row r="2350" customFormat="false" ht="17.15" hidden="false" customHeight="false" outlineLevel="0" collapsed="false">
      <c r="A2350" s="0" t="s">
        <v>628</v>
      </c>
      <c r="B2350" s="0" t="s">
        <v>52</v>
      </c>
      <c r="E2350" s="12" t="n">
        <f aca="false">Sens!$E$2349/Sens!$N$2349-1</f>
        <v>0.25112274185379</v>
      </c>
      <c r="F2350" s="12" t="n">
        <f aca="false">Sens!$O$2349/(Q!$F$13+Q!$G$13)-1</f>
        <v>0.234068123596572</v>
      </c>
      <c r="G2350" s="12" t="n">
        <f aca="false">Sens!$G$2349/Sens!$D$2349-1</f>
        <v>0.241426942270536</v>
      </c>
      <c r="H2350" s="12" t="n">
        <f aca="false">Sens!$F$2350+(g_ad-Sens!$F$2350)*1/4</f>
        <v>0.200551092697429</v>
      </c>
      <c r="I2350" s="12" t="n">
        <f aca="false">Sens!$F$2350+(g_ad-Sens!$F$2350)*2/4</f>
        <v>0.167034061798286</v>
      </c>
      <c r="J2350" s="12" t="n">
        <f aca="false">Sens!$F$2350+(g_ad-Sens!$F$2350)*3/4</f>
        <v>0.133517030899143</v>
      </c>
      <c r="K2350" s="12" t="n">
        <f aca="false">Sens!$F$2350+(g_ad-Sens!$F$2350)*4/4</f>
        <v>0.1</v>
      </c>
      <c r="L2350" s="12" t="n">
        <f aca="false">g_ad</f>
        <v>0.1</v>
      </c>
      <c r="M2350" s="12" t="n">
        <f aca="false">g_ad</f>
        <v>0.1</v>
      </c>
      <c r="P2350" s="8" t="s">
        <v>629</v>
      </c>
    </row>
    <row r="2351" customFormat="false" ht="17.15" hidden="false" customHeight="false" outlineLevel="0" collapsed="false">
      <c r="A2351" s="0" t="s">
        <v>483</v>
      </c>
      <c r="B2351" s="0" t="s">
        <v>73</v>
      </c>
      <c r="C2351" s="38" t="n">
        <f aca="false">Q!$D$14</f>
        <v>44.374</v>
      </c>
      <c r="D2351" s="38" t="n">
        <f aca="false">Q!$E$14</f>
        <v>49.619</v>
      </c>
      <c r="E2351" s="38" t="n">
        <f aca="false">Q!$P$14</f>
        <v>27.157</v>
      </c>
      <c r="F2351" s="38" t="n">
        <f aca="false">Sens!$O$2351*(1+Sens!$F$2352)</f>
        <v>28.9776360923374</v>
      </c>
      <c r="G2351" s="38" t="n">
        <f aca="false">Sens!$E$2351+Sens!$F$2351</f>
        <v>56.1346360923374</v>
      </c>
      <c r="H2351" s="38" t="n">
        <f aca="false">Sens!$G$2351*(1+Sens!$H$2352)</f>
        <v>62.4937078946075</v>
      </c>
      <c r="I2351" s="38" t="n">
        <f aca="false">Sens!$H$2351*(1+Sens!$I$2352)</f>
        <v>68.6715233062498</v>
      </c>
      <c r="J2351" s="38" t="n">
        <f aca="false">Sens!$I$2351*(1+Sens!$J$2352)</f>
        <v>74.4692882949818</v>
      </c>
      <c r="K2351" s="38" t="n">
        <f aca="false">Sens!$J$2351*(1+Sens!$K$2352)</f>
        <v>79.6821384756306</v>
      </c>
      <c r="L2351" s="38" t="n">
        <f aca="false">Sens!$K$2351*(1+Sens!$L$2352)</f>
        <v>85.2598881689247</v>
      </c>
      <c r="M2351" s="38" t="n">
        <f aca="false">Sens!$L$2351*(1+Sens!$M$2352)</f>
        <v>91.2280803407494</v>
      </c>
      <c r="N2351" s="38" t="n">
        <f aca="false">Q!$N$14</f>
        <v>23.923</v>
      </c>
      <c r="O2351" s="38" t="n">
        <f aca="false">Q!$O$14</f>
        <v>25.696</v>
      </c>
      <c r="P2351" s="8" t="s">
        <v>621</v>
      </c>
    </row>
    <row r="2352" customFormat="false" ht="17.15" hidden="false" customHeight="false" outlineLevel="0" collapsed="false">
      <c r="A2352" s="0" t="s">
        <v>630</v>
      </c>
      <c r="B2352" s="0" t="s">
        <v>52</v>
      </c>
      <c r="E2352" s="12" t="n">
        <f aca="false">Sens!$E$2351/Sens!$N$2351-1</f>
        <v>0.135183714417088</v>
      </c>
      <c r="F2352" s="12" t="n">
        <f aca="false">Sens!$O$2351/(Q!$F$14+Q!$G$14)-1</f>
        <v>0.127709997366804</v>
      </c>
      <c r="G2352" s="12" t="n">
        <f aca="false">Sens!$G$2351/Sens!$D$2351-1</f>
        <v>0.131313329416905</v>
      </c>
      <c r="H2352" s="12" t="n">
        <f aca="false">Sens!$F$2352+(g_sub-Sens!$F$2352)*1/4</f>
        <v>0.113282498025103</v>
      </c>
      <c r="I2352" s="12" t="n">
        <f aca="false">Sens!$F$2352+(g_sub-Sens!$F$2352)*2/4</f>
        <v>0.0988549986834021</v>
      </c>
      <c r="J2352" s="12" t="n">
        <f aca="false">Sens!$F$2352+(g_sub-Sens!$F$2352)*3/4</f>
        <v>0.084427499341701</v>
      </c>
      <c r="K2352" s="12" t="n">
        <f aca="false">Sens!$F$2352+(g_sub-Sens!$F$2352)*4/4</f>
        <v>0.07</v>
      </c>
      <c r="L2352" s="12" t="n">
        <f aca="false">g_sub</f>
        <v>0.07</v>
      </c>
      <c r="M2352" s="12" t="n">
        <f aca="false">g_sub</f>
        <v>0.07</v>
      </c>
      <c r="P2352" s="8" t="s">
        <v>631</v>
      </c>
    </row>
    <row r="2353" customFormat="false" ht="17.15" hidden="false" customHeight="false" outlineLevel="0" collapsed="false">
      <c r="A2353" s="0" t="s">
        <v>484</v>
      </c>
      <c r="B2353" s="0" t="s">
        <v>73</v>
      </c>
      <c r="C2353" s="38" t="n">
        <f aca="false">Q!$D$15</f>
        <v>5.425</v>
      </c>
      <c r="D2353" s="38" t="n">
        <f aca="false">Q!$E$15</f>
        <v>5.935</v>
      </c>
      <c r="E2353" s="38" t="n">
        <f aca="false">Q!$P$15</f>
        <v>3.474</v>
      </c>
      <c r="F2353" s="38" t="n">
        <f aca="false">Sens!$O$2353*(1+Sens!$F$2354)</f>
        <v>3.36182431966931</v>
      </c>
      <c r="G2353" s="38" t="n">
        <f aca="false">Sens!$E$2353+Sens!$F$2353</f>
        <v>6.83582431966931</v>
      </c>
      <c r="H2353" s="38" t="n">
        <f aca="false">Sens!$G$2353*(1+Sens!$H$2354)</f>
        <v>7.31157108370141</v>
      </c>
      <c r="I2353" s="38" t="n">
        <f aca="false">Sens!$H$2353*(1+Sens!$I$2354)</f>
        <v>7.77266852639815</v>
      </c>
      <c r="J2353" s="38" t="n">
        <f aca="false">Sens!$I$2353*(1+Sens!$J$2354)</f>
        <v>8.2120733019884</v>
      </c>
      <c r="K2353" s="38" t="n">
        <f aca="false">Sens!$J$2353*(1+Sens!$K$2354)</f>
        <v>8.62267696708783</v>
      </c>
      <c r="L2353" s="38" t="n">
        <f aca="false">Sens!$K$2353*(1+Sens!$L$2354)</f>
        <v>9.05381081544222</v>
      </c>
      <c r="M2353" s="38" t="n">
        <f aca="false">Sens!$L$2353*(1+Sens!$M$2354)</f>
        <v>9.50650135621433</v>
      </c>
      <c r="N2353" s="38" t="n">
        <f aca="false">Q!$N$15</f>
        <v>2.811</v>
      </c>
      <c r="O2353" s="38" t="n">
        <f aca="false">Q!$O$15</f>
        <v>3.124</v>
      </c>
      <c r="P2353" s="8" t="s">
        <v>621</v>
      </c>
    </row>
    <row r="2354" customFormat="false" ht="17.15" hidden="false" customHeight="false" outlineLevel="0" collapsed="false">
      <c r="A2354" s="0" t="s">
        <v>632</v>
      </c>
      <c r="B2354" s="0" t="s">
        <v>52</v>
      </c>
      <c r="E2354" s="12" t="n">
        <f aca="false">Sens!$E$2353/Sens!$N$2353-1</f>
        <v>0.235859124866596</v>
      </c>
      <c r="F2354" s="12" t="n">
        <f aca="false">Sens!$O$2353/(Q!$F$15+Q!$G$15)-1</f>
        <v>0.0761281433000345</v>
      </c>
      <c r="G2354" s="12" t="n">
        <f aca="false">Sens!$G$2353/Sens!$D$2353-1</f>
        <v>0.151781688234087</v>
      </c>
      <c r="H2354" s="12" t="n">
        <f aca="false">Sens!$F$2354+(g_ot-Sens!$F$2354)*1/4</f>
        <v>0.0695961074750259</v>
      </c>
      <c r="I2354" s="12" t="n">
        <f aca="false">Sens!$F$2354+(g_ot-Sens!$F$2354)*2/4</f>
        <v>0.0630640716500172</v>
      </c>
      <c r="J2354" s="12" t="n">
        <f aca="false">Sens!$F$2354+(g_ot-Sens!$F$2354)*3/4</f>
        <v>0.0565320358250086</v>
      </c>
      <c r="K2354" s="12" t="n">
        <f aca="false">Sens!$F$2354+(g_ot-Sens!$F$2354)*4/4</f>
        <v>0.05</v>
      </c>
      <c r="L2354" s="12" t="n">
        <f aca="false">g_ot</f>
        <v>0.05</v>
      </c>
      <c r="M2354" s="12" t="n">
        <f aca="false">g_ot</f>
        <v>0.05</v>
      </c>
      <c r="P2354" s="8" t="s">
        <v>633</v>
      </c>
    </row>
    <row r="2355" customFormat="false" ht="17.15" hidden="false" customHeight="false" outlineLevel="0" collapsed="false">
      <c r="A2355" s="3" t="s">
        <v>634</v>
      </c>
      <c r="B2355" s="8" t="s">
        <v>73</v>
      </c>
      <c r="C2355" s="38" t="n">
        <f aca="false">Sens!$C$2343+Sens!$C$2345+Sens!$C$2347+Sens!$C$2349+Sens!$C$2351+Sens!$C$2353</f>
        <v>530.403</v>
      </c>
      <c r="D2355" s="38" t="n">
        <f aca="false">Sens!$D$2343+Sens!$D$2345+Sens!$D$2347+Sens!$D$2349+Sens!$D$2351+Sens!$D$2353</f>
        <v>588.199</v>
      </c>
      <c r="E2355" s="38" t="n">
        <f aca="false">Sens!$E$2343+Sens!$E$2345+Sens!$E$2347+Sens!$E$2349+Sens!$E$2351+Sens!$E$2353</f>
        <v>302.306</v>
      </c>
      <c r="F2355" s="38" t="n">
        <f aca="false">Sens!$F$2343+Sens!$F$2345+Sens!$F$2347+Sens!$F$2349+Sens!$F$2351+Sens!$F$2353</f>
        <v>356.93642920843</v>
      </c>
      <c r="G2355" s="38" t="n">
        <f aca="false">Sens!$G$2343+Sens!$G$2345+Sens!$G$2347+Sens!$G$2349+Sens!$G$2351+Sens!$G$2353</f>
        <v>659.24242920843</v>
      </c>
      <c r="H2355" s="38" t="n">
        <f aca="false">Sens!$H$2343+Sens!$H$2345+Sens!$H$2347+Sens!$H$2349+Sens!$H$2351+Sens!$H$2353</f>
        <v>729.935737621701</v>
      </c>
      <c r="I2355" s="38" t="n">
        <f aca="false">Sens!$I$2343+Sens!$I$2345+Sens!$I$2347+Sens!$I$2349+Sens!$I$2351+Sens!$I$2353</f>
        <v>798.295569697873</v>
      </c>
      <c r="J2355" s="38" t="n">
        <f aca="false">Sens!$J$2343+Sens!$J$2345+Sens!$J$2347+Sens!$J$2349+Sens!$J$2351+Sens!$J$2353</f>
        <v>861.736822325785</v>
      </c>
      <c r="K2355" s="38" t="n">
        <f aca="false">Sens!$K$2343+Sens!$K$2345+Sens!$K$2347+Sens!$K$2349+Sens!$K$2351+Sens!$K$2353</f>
        <v>917.557492101925</v>
      </c>
      <c r="L2355" s="38" t="n">
        <f aca="false">Sens!$L$2343+Sens!$L$2345+Sens!$L$2347+Sens!$L$2349+Sens!$L$2351+Sens!$L$2353</f>
        <v>977.285089743165</v>
      </c>
      <c r="M2355" s="38" t="n">
        <f aca="false">Sens!$M$2343+Sens!$M$2345+Sens!$M$2347+Sens!$M$2349+Sens!$M$2351+Sens!$M$2353</f>
        <v>1041.2140185435</v>
      </c>
      <c r="N2355" s="38" t="n">
        <f aca="false">Sens!$N$2343+Sens!$N$2345+Sens!$N$2347+Sens!$N$2349+Sens!$N$2351+Sens!$N$2353</f>
        <v>263.229</v>
      </c>
      <c r="O2355" s="38" t="n">
        <f aca="false">Sens!$O$2343+Sens!$O$2345+Sens!$O$2347+Sens!$O$2349+Sens!$O$2351+Sens!$O$2353</f>
        <v>324.97</v>
      </c>
    </row>
    <row r="2356" customFormat="false" ht="17.15" hidden="false" customHeight="false" outlineLevel="0" collapsed="false">
      <c r="A2356" s="5" t="s">
        <v>635</v>
      </c>
      <c r="B2356" s="0" t="s">
        <v>52</v>
      </c>
      <c r="C2356" s="12" t="n">
        <f aca="false">Q!$D$5/(Q!$D$5+Q!$D$6)</f>
        <v>0.730570905519011</v>
      </c>
      <c r="D2356" s="12" t="n">
        <f aca="false">Q!$E$5/(Q!$E$5+Q!$E$6)</f>
        <v>0.724763217890544</v>
      </c>
      <c r="E2356" s="12" t="n">
        <f aca="false">Q!$P$5/(Q!$P$5+Q!$P$6)</f>
        <v>0.728797972914861</v>
      </c>
      <c r="F2356" s="12" t="n">
        <f aca="false">Sens!$O$2356</f>
        <v>0.718066283041511</v>
      </c>
      <c r="G2356" s="12" t="n">
        <f aca="false">Sens!$G$2357/Sens!$G$2355</f>
        <v>0.722987468473627</v>
      </c>
      <c r="H2356" s="12" t="n">
        <f aca="false">Sens!$G$2356</f>
        <v>0.722987468473627</v>
      </c>
      <c r="I2356" s="12" t="n">
        <f aca="false">Sens!$G$2356</f>
        <v>0.722987468473627</v>
      </c>
      <c r="J2356" s="12" t="n">
        <f aca="false">Sens!$G$2356</f>
        <v>0.722987468473627</v>
      </c>
      <c r="K2356" s="12" t="n">
        <f aca="false">Sens!$G$2356</f>
        <v>0.722987468473627</v>
      </c>
      <c r="L2356" s="12" t="n">
        <f aca="false">Sens!$G$2356</f>
        <v>0.722987468473627</v>
      </c>
      <c r="M2356" s="12" t="n">
        <f aca="false">Sens!$G$2356</f>
        <v>0.722987468473627</v>
      </c>
      <c r="N2356" s="12" t="n">
        <f aca="false">Q!$N$5/(Q!$N$5+Q!$N$6)</f>
        <v>0.733030935041352</v>
      </c>
      <c r="O2356" s="12" t="n">
        <f aca="false">Q!$O$5/(Q!$O$5+Q!$O$6)</f>
        <v>0.718066283041511</v>
      </c>
      <c r="P2356" s="8" t="s">
        <v>636</v>
      </c>
    </row>
    <row r="2357" customFormat="false" ht="17.15" hidden="false" customHeight="false" outlineLevel="0" collapsed="false">
      <c r="A2357" s="1" t="s">
        <v>472</v>
      </c>
      <c r="B2357" s="8" t="s">
        <v>73</v>
      </c>
      <c r="C2357" s="38" t="n">
        <f aca="false">Q!$D$5</f>
        <v>387.497</v>
      </c>
      <c r="D2357" s="38" t="n">
        <f aca="false">Q!$E$5</f>
        <v>426.305</v>
      </c>
      <c r="E2357" s="38" t="n">
        <f aca="false">Q!$P$5</f>
        <v>220.32</v>
      </c>
      <c r="F2357" s="38" t="n">
        <f aca="false">Sens!$F$2355*Sens!$F$2356</f>
        <v>256.304015003807</v>
      </c>
      <c r="G2357" s="38" t="n">
        <f aca="false">Sens!$E$2357+Sens!$F$2357</f>
        <v>476.624015003807</v>
      </c>
      <c r="H2357" s="38" t="n">
        <f aca="false">Sens!$H$2355*Sens!$H$2356</f>
        <v>527.734391091543</v>
      </c>
      <c r="I2357" s="38" t="n">
        <f aca="false">Sens!$I$2355*Sens!$I$2356</f>
        <v>577.157693029577</v>
      </c>
      <c r="J2357" s="38" t="n">
        <f aca="false">Sens!$J$2355*Sens!$J$2356</f>
        <v>623.024923663827</v>
      </c>
      <c r="K2357" s="38" t="n">
        <f aca="false">Sens!$K$2355*Sens!$K$2356</f>
        <v>663.382568393781</v>
      </c>
      <c r="L2357" s="38" t="n">
        <f aca="false">Sens!$L$2355*Sens!$L$2356</f>
        <v>706.564873010432</v>
      </c>
      <c r="M2357" s="38" t="n">
        <f aca="false">Sens!$M$2355*Sens!$M$2356</f>
        <v>752.784687406019</v>
      </c>
      <c r="N2357" s="38" t="n">
        <f aca="false">Q!$N$5</f>
        <v>192.955</v>
      </c>
      <c r="O2357" s="38" t="n">
        <f aca="false">Q!$O$5</f>
        <v>233.35</v>
      </c>
      <c r="P2357" s="5" t="s">
        <v>637</v>
      </c>
    </row>
    <row r="2358" customFormat="false" ht="17.15" hidden="false" customHeight="false" outlineLevel="0" collapsed="false">
      <c r="A2358" s="1" t="s">
        <v>475</v>
      </c>
      <c r="B2358" s="8" t="s">
        <v>73</v>
      </c>
      <c r="C2358" s="38" t="n">
        <f aca="false">Q!$D$6</f>
        <v>142.906</v>
      </c>
      <c r="D2358" s="38" t="n">
        <f aca="false">Q!$E$6</f>
        <v>161.894</v>
      </c>
      <c r="E2358" s="38" t="n">
        <f aca="false">Q!$P$6</f>
        <v>81.986</v>
      </c>
      <c r="F2358" s="38" t="n">
        <f aca="false">Sens!$F$2355*(1-Sens!$F$2356)</f>
        <v>100.632414204623</v>
      </c>
      <c r="G2358" s="38" t="n">
        <f aca="false">Sens!$E$2358+Sens!$F$2358</f>
        <v>182.618414204623</v>
      </c>
      <c r="H2358" s="38" t="n">
        <f aca="false">Sens!$H$2355*(1-Sens!$H$2356)</f>
        <v>202.201346530158</v>
      </c>
      <c r="I2358" s="38" t="n">
        <f aca="false">Sens!$I$2355*(1-Sens!$I$2356)</f>
        <v>221.137876668296</v>
      </c>
      <c r="J2358" s="38" t="n">
        <f aca="false">Sens!$J$2355*(1-Sens!$J$2356)</f>
        <v>238.711898661958</v>
      </c>
      <c r="K2358" s="38" t="n">
        <f aca="false">Sens!$K$2355*(1-Sens!$K$2356)</f>
        <v>254.174923708144</v>
      </c>
      <c r="L2358" s="38" t="n">
        <f aca="false">Sens!$L$2355*(1-Sens!$L$2356)</f>
        <v>270.720216732733</v>
      </c>
      <c r="M2358" s="38" t="n">
        <f aca="false">Sens!$M$2355*(1-Sens!$M$2356)</f>
        <v>288.429331137484</v>
      </c>
      <c r="N2358" s="38" t="n">
        <f aca="false">Q!$N$6</f>
        <v>70.274</v>
      </c>
      <c r="O2358" s="38" t="n">
        <f aca="false">Q!$O$6</f>
        <v>91.62</v>
      </c>
      <c r="P2358" s="5" t="s">
        <v>638</v>
      </c>
    </row>
    <row r="2359" customFormat="false" ht="17.15" hidden="false" customHeight="false" outlineLevel="0" collapsed="false">
      <c r="A2359" s="5" t="s">
        <v>639</v>
      </c>
      <c r="B2359" s="0" t="s">
        <v>73</v>
      </c>
      <c r="C2359" s="38" t="n">
        <f aca="false">Sens!$C$2349*Sens!$C$2356</f>
        <v>41.0683128828457</v>
      </c>
      <c r="D2359" s="38" t="n">
        <f aca="false">Sens!$D$2349*Sens!$D$2356</f>
        <v>49.7441234599175</v>
      </c>
      <c r="E2359" s="38" t="n">
        <f aca="false">Sens!$E$2349*Sens!$E$2356</f>
        <v>27.0034224924414</v>
      </c>
      <c r="F2359" s="38" t="n">
        <f aca="false">Sens!$F$2349*Sens!$F$2356</f>
        <v>34.5772885649197</v>
      </c>
      <c r="G2359" s="38" t="n">
        <f aca="false">Sens!$G$2349*Sens!$G$2356</f>
        <v>61.6023917531772</v>
      </c>
      <c r="H2359" s="38" t="n">
        <f aca="false">Sens!$H$2349*Sens!$H$2356</f>
        <v>73.9568187320519</v>
      </c>
      <c r="I2359" s="38" t="n">
        <f aca="false">Sens!$I$2349*Sens!$I$2356</f>
        <v>86.3101265625461</v>
      </c>
      <c r="J2359" s="38" t="n">
        <f aca="false">Sens!$J$2349*Sens!$J$2356</f>
        <v>97.8339983977065</v>
      </c>
      <c r="K2359" s="38" t="n">
        <f aca="false">Sens!$K$2349*Sens!$K$2356</f>
        <v>107.617398237477</v>
      </c>
      <c r="L2359" s="38" t="n">
        <f aca="false">Sens!$L$2349*Sens!$L$2356</f>
        <v>118.379138061225</v>
      </c>
      <c r="M2359" s="38" t="n">
        <f aca="false">Sens!$M$2349*Sens!$M$2356</f>
        <v>130.217051867347</v>
      </c>
      <c r="N2359" s="38" t="n">
        <f aca="false">Sens!$N$2349*Sens!$N$2356</f>
        <v>21.7087111412496</v>
      </c>
      <c r="O2359" s="38" t="n">
        <f aca="false">Sens!$O$2349*Sens!$O$2356</f>
        <v>28.0189463642798</v>
      </c>
      <c r="P2359" s="5" t="s">
        <v>640</v>
      </c>
    </row>
    <row r="2360" customFormat="false" ht="15" hidden="false" customHeight="false" outlineLevel="0" collapsed="false">
      <c r="A2360" s="5" t="s">
        <v>641</v>
      </c>
      <c r="B2360" s="0" t="s">
        <v>73</v>
      </c>
      <c r="C2360" s="38" t="n">
        <f aca="false">Sens!$C$2349-Sens!$C$2359</f>
        <v>15.1456871171543</v>
      </c>
      <c r="D2360" s="38" t="n">
        <f aca="false">Sens!$D$2349-Sens!$D$2359</f>
        <v>18.8908765400825</v>
      </c>
      <c r="E2360" s="38" t="n">
        <f aca="false">Sens!$E$2349-Sens!$E$2359</f>
        <v>10.0485775075586</v>
      </c>
      <c r="F2360" s="38" t="n">
        <f aca="false">Sens!$F$2349-Sens!$F$2359</f>
        <v>13.5760496178185</v>
      </c>
      <c r="G2360" s="38" t="n">
        <f aca="false">Sens!$G$2349-Sens!$G$2359</f>
        <v>23.6029464295611</v>
      </c>
      <c r="H2360" s="38" t="n">
        <f aca="false">Sens!$H$2349-Sens!$H$2359</f>
        <v>28.3365431268884</v>
      </c>
      <c r="I2360" s="38" t="n">
        <f aca="false">Sens!$I$2349-Sens!$I$2359</f>
        <v>33.0697110226949</v>
      </c>
      <c r="J2360" s="38" t="n">
        <f aca="false">Sens!$J$2349-Sens!$J$2359</f>
        <v>37.4850806511378</v>
      </c>
      <c r="K2360" s="38" t="n">
        <f aca="false">Sens!$K$2349-Sens!$K$2359</f>
        <v>41.2335887162515</v>
      </c>
      <c r="L2360" s="38" t="n">
        <f aca="false">Sens!$L$2349-Sens!$L$2359</f>
        <v>45.3569475878767</v>
      </c>
      <c r="M2360" s="38" t="n">
        <f aca="false">Sens!$M$2349-Sens!$M$2359</f>
        <v>49.8926423466644</v>
      </c>
      <c r="N2360" s="38" t="n">
        <f aca="false">Sens!$N$2349-Sens!$N$2359</f>
        <v>7.90628885875037</v>
      </c>
      <c r="O2360" s="38" t="n">
        <f aca="false">Sens!$O$2349-Sens!$O$2359</f>
        <v>11.0010536357202</v>
      </c>
    </row>
    <row r="2361" customFormat="false" ht="19.4" hidden="false" customHeight="false" outlineLevel="0" collapsed="false">
      <c r="A2361" s="31" t="s">
        <v>1094</v>
      </c>
    </row>
    <row r="2362" customFormat="false" ht="17.15" hidden="false" customHeight="false" outlineLevel="0" collapsed="false">
      <c r="A2362" s="6" t="s">
        <v>16</v>
      </c>
      <c r="B2362" s="6" t="s">
        <v>17</v>
      </c>
      <c r="C2362" s="20" t="s">
        <v>457</v>
      </c>
      <c r="D2362" s="20" t="s">
        <v>458</v>
      </c>
      <c r="E2362" s="20" t="s">
        <v>540</v>
      </c>
      <c r="F2362" s="20" t="s">
        <v>541</v>
      </c>
      <c r="G2362" s="20" t="s">
        <v>542</v>
      </c>
      <c r="H2362" s="20" t="s">
        <v>543</v>
      </c>
      <c r="I2362" s="20" t="s">
        <v>544</v>
      </c>
      <c r="J2362" s="20" t="s">
        <v>545</v>
      </c>
      <c r="K2362" s="20" t="s">
        <v>546</v>
      </c>
      <c r="L2362" s="20" t="s">
        <v>547</v>
      </c>
      <c r="M2362" s="20" t="s">
        <v>548</v>
      </c>
      <c r="N2362" s="20" t="s">
        <v>549</v>
      </c>
      <c r="O2362" s="20" t="s">
        <v>550</v>
      </c>
      <c r="P2362" s="6" t="s">
        <v>23</v>
      </c>
      <c r="R2362" s="20" t="n">
        <v>2023</v>
      </c>
      <c r="S2362" s="20" t="n">
        <v>2024</v>
      </c>
      <c r="T2362" s="20" t="n">
        <v>2025</v>
      </c>
      <c r="U2362" s="20" t="n">
        <v>2026</v>
      </c>
      <c r="V2362" s="20" t="n">
        <v>2027</v>
      </c>
      <c r="W2362" s="20" t="n">
        <v>2028</v>
      </c>
      <c r="X2362" s="20" t="n">
        <v>2029</v>
      </c>
      <c r="Y2362" s="20" t="n">
        <v>2030</v>
      </c>
      <c r="Z2362" s="20" t="n">
        <v>2031</v>
      </c>
      <c r="AA2362" s="20" t="n">
        <v>2032</v>
      </c>
    </row>
    <row r="2363" customFormat="false" ht="17.15" hidden="false" customHeight="false" outlineLevel="0" collapsed="false">
      <c r="A2363" s="1" t="s">
        <v>551</v>
      </c>
    </row>
    <row r="2364" customFormat="false" ht="17.15" hidden="false" customHeight="false" outlineLevel="0" collapsed="false">
      <c r="A2364" s="14" t="s">
        <v>552</v>
      </c>
      <c r="B2364" s="13" t="s">
        <v>108</v>
      </c>
      <c r="C2364" s="32" t="n">
        <f aca="false">mw_ye24</f>
        <v>360</v>
      </c>
      <c r="D2364" s="32" t="n">
        <f aca="false">mw_ye25</f>
        <v>1440</v>
      </c>
      <c r="E2364" s="32" t="n">
        <f aca="false">mw_open</f>
        <v>2080</v>
      </c>
      <c r="F2364" s="32" t="n">
        <f aca="false">Sens!$E$2364+pace_B*0.5</f>
        <v>3897.15</v>
      </c>
      <c r="G2364" s="32" t="n">
        <f aca="false">Sens!$F$2364</f>
        <v>3897.15</v>
      </c>
      <c r="H2364" s="32" t="n">
        <f aca="false">Sens!$G$2364+pace_B</f>
        <v>7531.45</v>
      </c>
      <c r="I2364" s="32" t="n">
        <f aca="false">Sens!$H$2364+pace_B</f>
        <v>11165.75</v>
      </c>
      <c r="J2364" s="32" t="n">
        <f aca="false">Sens!$I$2364+pace_B</f>
        <v>14800.05</v>
      </c>
      <c r="K2364" s="32" t="n">
        <f aca="false">Sens!$J$2364+pace_B</f>
        <v>18434.35</v>
      </c>
      <c r="L2364" s="32" t="n">
        <f aca="false">Sens!$K$2364+pace_B</f>
        <v>22068.65</v>
      </c>
      <c r="M2364" s="32" t="n">
        <f aca="false">Sens!$L$2364+pace_B</f>
        <v>25702.95</v>
      </c>
      <c r="N2364" s="32" t="n">
        <f aca="false">(mw_ye24+mw_ye25)/2</f>
        <v>900</v>
      </c>
      <c r="O2364" s="32" t="n">
        <f aca="false">mw_ye25</f>
        <v>1440</v>
      </c>
      <c r="P2364" s="5" t="s">
        <v>553</v>
      </c>
    </row>
    <row r="2365" customFormat="false" ht="17.15" hidden="false" customHeight="false" outlineLevel="0" collapsed="false">
      <c r="A2365" s="5" t="s">
        <v>554</v>
      </c>
      <c r="B2365" s="0" t="s">
        <v>108</v>
      </c>
      <c r="C2365" s="33" t="n">
        <f aca="false">(mw_ye23+mw_ye24)/2</f>
        <v>240</v>
      </c>
      <c r="D2365" s="33" t="n">
        <f aca="false">(Sens!$C$2364+Sens!$D$2364)/2</f>
        <v>900</v>
      </c>
      <c r="E2365" s="33" t="n">
        <f aca="false">(Sens!$D$2364+Sens!$E$2364)/2</f>
        <v>1760</v>
      </c>
      <c r="F2365" s="33" t="n">
        <f aca="false">(Sens!$E$2364+Sens!$F$2364)/2</f>
        <v>2988.575</v>
      </c>
      <c r="G2365" s="33" t="n">
        <f aca="false">(Sens!$E$2365+Sens!$F$2365)/2</f>
        <v>2374.2875</v>
      </c>
      <c r="H2365" s="33" t="n">
        <f aca="false">(Sens!$G$2364+Sens!$H$2364)/2</f>
        <v>5714.3</v>
      </c>
      <c r="I2365" s="33" t="n">
        <f aca="false">(Sens!$H$2364+Sens!$I$2364)/2</f>
        <v>9348.6</v>
      </c>
      <c r="J2365" s="33" t="n">
        <f aca="false">(Sens!$I$2364+Sens!$J$2364)/2</f>
        <v>12982.9</v>
      </c>
      <c r="K2365" s="33" t="n">
        <f aca="false">(Sens!$J$2364+Sens!$K$2364)/2</f>
        <v>16617.2</v>
      </c>
      <c r="L2365" s="33" t="n">
        <f aca="false">(Sens!$K$2364+Sens!$L$2364)/2</f>
        <v>20251.5</v>
      </c>
      <c r="M2365" s="33" t="n">
        <f aca="false">(Sens!$L$2364+Sens!$M$2364)/2</f>
        <v>23885.8</v>
      </c>
      <c r="N2365" s="33" t="n">
        <f aca="false">(Sens!$C$2364+Sens!$N$2364)/2</f>
        <v>630</v>
      </c>
      <c r="O2365" s="33" t="n">
        <f aca="false">(Sens!$N$2364+Sens!$O$2364)/2</f>
        <v>1170</v>
      </c>
    </row>
    <row r="2366" customFormat="false" ht="15" hidden="false" customHeight="false" outlineLevel="0" collapsed="false">
      <c r="A2366" s="5" t="s">
        <v>555</v>
      </c>
      <c r="B2366" s="5" t="s">
        <v>102</v>
      </c>
      <c r="C2366" s="34" t="n">
        <v>1</v>
      </c>
      <c r="D2366" s="34" t="n">
        <v>1</v>
      </c>
      <c r="E2366" s="34" t="n">
        <v>0.5</v>
      </c>
      <c r="F2366" s="34" t="n">
        <v>0.5</v>
      </c>
      <c r="G2366" s="34" t="n">
        <v>1</v>
      </c>
      <c r="H2366" s="34" t="n">
        <v>1</v>
      </c>
      <c r="I2366" s="34" t="n">
        <v>1</v>
      </c>
      <c r="J2366" s="34" t="n">
        <v>1</v>
      </c>
      <c r="K2366" s="34" t="n">
        <v>1</v>
      </c>
      <c r="L2366" s="34" t="n">
        <v>1</v>
      </c>
      <c r="M2366" s="34" t="n">
        <v>1</v>
      </c>
      <c r="N2366" s="34" t="n">
        <v>0.5</v>
      </c>
      <c r="O2366" s="34" t="n">
        <v>0.5</v>
      </c>
    </row>
    <row r="2367" customFormat="false" ht="17.15" hidden="false" customHeight="false" outlineLevel="0" collapsed="false">
      <c r="A2367" s="5" t="s">
        <v>556</v>
      </c>
      <c r="B2367" s="0" t="s">
        <v>108</v>
      </c>
      <c r="C2367" s="33" t="n">
        <f aca="false">Sens!$C$2364-mw_ye23</f>
        <v>240</v>
      </c>
      <c r="D2367" s="33" t="n">
        <f aca="false">Sens!$D$2364-Sens!$C$2364</f>
        <v>1080</v>
      </c>
      <c r="E2367" s="33" t="n">
        <f aca="false">Sens!$E$2364-Sens!$D$2364</f>
        <v>640</v>
      </c>
      <c r="F2367" s="33" t="n">
        <f aca="false">Sens!$F$2364-Sens!$E$2364</f>
        <v>1817.15</v>
      </c>
      <c r="G2367" s="33" t="n">
        <f aca="false">Sens!$E$2367+Sens!$F$2367</f>
        <v>2457.15</v>
      </c>
      <c r="H2367" s="33" t="n">
        <f aca="false">Sens!$H$2364-Sens!$G$2364</f>
        <v>3634.3</v>
      </c>
      <c r="I2367" s="33" t="n">
        <f aca="false">Sens!$I$2364-Sens!$H$2364</f>
        <v>3634.3</v>
      </c>
      <c r="J2367" s="33" t="n">
        <f aca="false">Sens!$J$2364-Sens!$I$2364</f>
        <v>3634.3</v>
      </c>
      <c r="K2367" s="33" t="n">
        <f aca="false">Sens!$K$2364-Sens!$J$2364</f>
        <v>3634.3</v>
      </c>
      <c r="L2367" s="33" t="n">
        <f aca="false">Sens!$L$2364-Sens!$K$2364</f>
        <v>3634.3</v>
      </c>
      <c r="M2367" s="33" t="n">
        <f aca="false">Sens!$M$2364-Sens!$L$2364</f>
        <v>3634.3</v>
      </c>
      <c r="N2367" s="33" t="n">
        <f aca="false">Sens!$N$2364-Sens!$C$2364</f>
        <v>540</v>
      </c>
      <c r="O2367" s="33" t="n">
        <f aca="false">Sens!$O$2364-Sens!$N$2364</f>
        <v>540</v>
      </c>
    </row>
    <row r="2368" customFormat="false" ht="17.15" hidden="false" customHeight="false" outlineLevel="0" collapsed="false">
      <c r="A2368" s="5" t="s">
        <v>557</v>
      </c>
      <c r="B2368" s="0" t="s">
        <v>108</v>
      </c>
      <c r="C2368" s="33" t="n">
        <f aca="false">Sens!$C$2367/ext_sh</f>
        <v>300</v>
      </c>
      <c r="D2368" s="33" t="n">
        <f aca="false">Sens!$D$2367/ext_sh</f>
        <v>1350</v>
      </c>
      <c r="E2368" s="33" t="n">
        <f aca="false">Sens!$E$2367/ext_sh</f>
        <v>800</v>
      </c>
      <c r="F2368" s="33" t="n">
        <f aca="false">Sens!$F$2367/ext_sh</f>
        <v>2271.4375</v>
      </c>
      <c r="G2368" s="33" t="n">
        <f aca="false">Sens!$G$2367/ext_sh</f>
        <v>3071.4375</v>
      </c>
      <c r="H2368" s="33" t="n">
        <f aca="false">Sens!$H$2367/ext_sh</f>
        <v>4542.875</v>
      </c>
      <c r="I2368" s="33" t="n">
        <f aca="false">Sens!$I$2367/ext_sh</f>
        <v>4542.875</v>
      </c>
      <c r="J2368" s="33" t="n">
        <f aca="false">Sens!$J$2367/ext_sh</f>
        <v>4542.875</v>
      </c>
      <c r="K2368" s="33" t="n">
        <f aca="false">Sens!$K$2367/ext_sh</f>
        <v>4542.875</v>
      </c>
      <c r="L2368" s="33" t="n">
        <f aca="false">Sens!$L$2367/ext_sh</f>
        <v>4542.875</v>
      </c>
      <c r="M2368" s="33" t="n">
        <f aca="false">Sens!$M$2367/ext_sh</f>
        <v>4542.875</v>
      </c>
      <c r="N2368" s="33" t="n">
        <f aca="false">Sens!$N$2367/ext_sh</f>
        <v>675</v>
      </c>
      <c r="O2368" s="33" t="n">
        <f aca="false">Sens!$O$2367/ext_sh</f>
        <v>675</v>
      </c>
      <c r="P2368" s="8" t="s">
        <v>558</v>
      </c>
      <c r="R2368" s="33" t="n">
        <f aca="false">mw_ye23/ext_sh</f>
        <v>150</v>
      </c>
      <c r="S2368" s="33" t="n">
        <f aca="false">Sens!$C$2368</f>
        <v>300</v>
      </c>
      <c r="T2368" s="33" t="n">
        <f aca="false">Sens!$D$2368</f>
        <v>1350</v>
      </c>
      <c r="U2368" s="33" t="n">
        <f aca="false">Sens!$G$2368</f>
        <v>3071.4375</v>
      </c>
      <c r="V2368" s="33" t="n">
        <f aca="false">Sens!$H$2368</f>
        <v>4542.875</v>
      </c>
      <c r="W2368" s="33" t="n">
        <f aca="false">Sens!$I$2368</f>
        <v>4542.875</v>
      </c>
      <c r="X2368" s="33" t="n">
        <f aca="false">Sens!$J$2368</f>
        <v>4542.875</v>
      </c>
      <c r="Y2368" s="33" t="n">
        <f aca="false">Sens!$K$2368</f>
        <v>4542.875</v>
      </c>
      <c r="Z2368" s="33" t="n">
        <f aca="false">Sens!$L$2368</f>
        <v>4542.875</v>
      </c>
      <c r="AA2368" s="33" t="n">
        <f aca="false">Sens!$M$2368</f>
        <v>4542.875</v>
      </c>
    </row>
    <row r="2369" customFormat="false" ht="17.15" hidden="false" customHeight="false" outlineLevel="0" collapsed="false">
      <c r="A2369" s="1" t="s">
        <v>559</v>
      </c>
    </row>
    <row r="2370" customFormat="false" ht="17.15" hidden="false" customHeight="false" outlineLevel="0" collapsed="false">
      <c r="A2370" s="0" t="s">
        <v>560</v>
      </c>
      <c r="B2370" s="0" t="s">
        <v>52</v>
      </c>
      <c r="F2370" s="35" t="n">
        <f aca="false">na_vr26</f>
        <v>0</v>
      </c>
      <c r="G2370" s="35" t="n">
        <f aca="false">na_vr26</f>
        <v>0</v>
      </c>
      <c r="H2370" s="35" t="n">
        <f aca="false">na_vr27</f>
        <v>0.5</v>
      </c>
      <c r="I2370" s="35" t="n">
        <f aca="false">na_vr28</f>
        <v>1</v>
      </c>
      <c r="J2370" s="35" t="n">
        <f aca="false">na_vr28</f>
        <v>1</v>
      </c>
      <c r="K2370" s="35" t="n">
        <f aca="false">na_vr28</f>
        <v>1</v>
      </c>
      <c r="L2370" s="35" t="n">
        <f aca="false">na_vr28</f>
        <v>1</v>
      </c>
      <c r="M2370" s="35" t="n">
        <f aca="false">na_vr28</f>
        <v>1</v>
      </c>
    </row>
    <row r="2371" customFormat="false" ht="17.15" hidden="false" customHeight="false" outlineLevel="0" collapsed="false">
      <c r="A2371" s="5" t="s">
        <v>561</v>
      </c>
      <c r="B2371" s="0" t="s">
        <v>151</v>
      </c>
      <c r="F2371" s="36" t="n">
        <f aca="false">cust_sh*tk_he_gb300*cf_chip+(1-cust_sh)*((1-Sens!$F$2370)*tk_he_gb300+Sens!$F$2370*tk_he_vr200)</f>
        <v>10.8864110021101</v>
      </c>
      <c r="G2371" s="36" t="n">
        <f aca="false">cust_sh*tk_he_gb300*cf_chip+(1-cust_sh)*((1-Sens!$G$2370)*tk_he_gb300+Sens!$G$2370*tk_he_vr200)</f>
        <v>10.8864110021101</v>
      </c>
      <c r="H2371" s="36" t="n">
        <f aca="false">cust_sh*tk_he_gb300*cf_chip+(1-cust_sh)*((1-Sens!$H$2370)*tk_he_gb300+Sens!$H$2370*tk_he_vr200)</f>
        <v>11.2211760027286</v>
      </c>
      <c r="I2371" s="36" t="n">
        <f aca="false">cust_sh*tk_he_gb300*cf_chip+(1-cust_sh)*((1-Sens!$I$2370)*tk_he_gb300+Sens!$I$2370*tk_he_vr200)</f>
        <v>11.5559410033471</v>
      </c>
      <c r="J2371" s="36" t="n">
        <f aca="false">cust_sh*tk_he_gb300*cf_chip+(1-cust_sh)*((1-Sens!$J$2370)*tk_he_gb300+Sens!$J$2370*tk_he_vr200)</f>
        <v>11.5559410033471</v>
      </c>
      <c r="K2371" s="36" t="n">
        <f aca="false">cust_sh*tk_he_gb300*cf_chip+(1-cust_sh)*((1-Sens!$K$2370)*tk_he_gb300+Sens!$K$2370*tk_he_vr200)</f>
        <v>11.5559410033471</v>
      </c>
      <c r="L2371" s="36" t="n">
        <f aca="false">cust_sh*tk_he_gb300*cf_chip+(1-cust_sh)*((1-Sens!$L$2370)*tk_he_gb300+Sens!$L$2370*tk_he_vr200)</f>
        <v>11.5559410033471</v>
      </c>
      <c r="M2371" s="36" t="n">
        <f aca="false">cust_sh*tk_he_gb300*cf_chip+(1-cust_sh)*((1-Sens!$M$2370)*tk_he_gb300+Sens!$M$2370*tk_he_vr200)</f>
        <v>11.5559410033471</v>
      </c>
    </row>
    <row r="2372" customFormat="false" ht="17.15" hidden="false" customHeight="false" outlineLevel="0" collapsed="false">
      <c r="A2372" s="5" t="s">
        <v>562</v>
      </c>
      <c r="B2372" s="0" t="s">
        <v>151</v>
      </c>
      <c r="F2372" s="36" t="n">
        <f aca="false">cust_sh*tk_ox_gb300+(1-cust_sh)*((1-Sens!$F$2370)*tk_ox_gb300+Sens!$F$2370*tk_ox_vr200)</f>
        <v>1.98263481314457</v>
      </c>
      <c r="G2372" s="36" t="n">
        <f aca="false">cust_sh*tk_ox_gb300+(1-cust_sh)*((1-Sens!$G$2370)*tk_ox_gb300+Sens!$G$2370*tk_ox_vr200)</f>
        <v>1.98263481314457</v>
      </c>
      <c r="H2372" s="36" t="n">
        <f aca="false">cust_sh*tk_ox_gb300+(1-cust_sh)*((1-Sens!$H$2370)*tk_ox_gb300+Sens!$H$2370*tk_ox_vr200)</f>
        <v>2.01034999693694</v>
      </c>
      <c r="I2372" s="36" t="n">
        <f aca="false">cust_sh*tk_ox_gb300+(1-cust_sh)*((1-Sens!$I$2370)*tk_ox_gb300+Sens!$I$2370*tk_ox_vr200)</f>
        <v>2.0380651807293</v>
      </c>
      <c r="J2372" s="36" t="n">
        <f aca="false">cust_sh*tk_ox_gb300+(1-cust_sh)*((1-Sens!$J$2370)*tk_ox_gb300+Sens!$J$2370*tk_ox_vr200)</f>
        <v>2.0380651807293</v>
      </c>
      <c r="K2372" s="36" t="n">
        <f aca="false">cust_sh*tk_ox_gb300+(1-cust_sh)*((1-Sens!$K$2370)*tk_ox_gb300+Sens!$K$2370*tk_ox_vr200)</f>
        <v>2.0380651807293</v>
      </c>
      <c r="L2372" s="36" t="n">
        <f aca="false">cust_sh*tk_ox_gb300+(1-cust_sh)*((1-Sens!$L$2370)*tk_ox_gb300+Sens!$L$2370*tk_ox_vr200)</f>
        <v>2.0380651807293</v>
      </c>
      <c r="M2372" s="36" t="n">
        <f aca="false">cust_sh*tk_ox_gb300+(1-cust_sh)*((1-Sens!$M$2370)*tk_ox_gb300+Sens!$M$2370*tk_ox_vr200)</f>
        <v>2.0380651807293</v>
      </c>
    </row>
    <row r="2373" customFormat="false" ht="17.15" hidden="false" customHeight="false" outlineLevel="0" collapsed="false">
      <c r="A2373" s="5" t="s">
        <v>563</v>
      </c>
      <c r="B2373" s="0" t="s">
        <v>170</v>
      </c>
      <c r="F2373" s="36" t="n">
        <f aca="false">cust_sh*tk_cx_gb300*cf_cx+(1-cust_sh)*((1-Sens!$F$2370)*tk_cx_gb300+Sens!$F$2370*tk_cx_vr200)</f>
        <v>32.237224</v>
      </c>
      <c r="G2373" s="36" t="n">
        <f aca="false">cust_sh*tk_cx_gb300*cf_cx+(1-cust_sh)*((1-Sens!$G$2370)*tk_cx_gb300+Sens!$G$2370*tk_cx_vr200)</f>
        <v>32.237224</v>
      </c>
      <c r="H2373" s="36" t="n">
        <f aca="false">cust_sh*tk_cx_gb300*cf_cx+(1-cust_sh)*((1-Sens!$H$2370)*tk_cx_gb300+Sens!$H$2370*tk_cx_vr200)</f>
        <v>33.574506</v>
      </c>
      <c r="I2373" s="36" t="n">
        <f aca="false">cust_sh*tk_cx_gb300*cf_cx+(1-cust_sh)*((1-Sens!$I$2370)*tk_cx_gb300+Sens!$I$2370*tk_cx_vr200)</f>
        <v>34.911788</v>
      </c>
      <c r="J2373" s="36" t="n">
        <f aca="false">cust_sh*tk_cx_gb300*cf_cx+(1-cust_sh)*((1-Sens!$J$2370)*tk_cx_gb300+Sens!$J$2370*tk_cx_vr200)</f>
        <v>34.911788</v>
      </c>
      <c r="K2373" s="36" t="n">
        <f aca="false">cust_sh*tk_cx_gb300*cf_cx+(1-cust_sh)*((1-Sens!$K$2370)*tk_cx_gb300+Sens!$K$2370*tk_cx_vr200)</f>
        <v>34.911788</v>
      </c>
      <c r="L2373" s="36" t="n">
        <f aca="false">cust_sh*tk_cx_gb300*cf_cx+(1-cust_sh)*((1-Sens!$L$2370)*tk_cx_gb300+Sens!$L$2370*tk_cx_vr200)</f>
        <v>34.911788</v>
      </c>
      <c r="M2373" s="36" t="n">
        <f aca="false">cust_sh*tk_cx_gb300*cf_cx+(1-cust_sh)*((1-Sens!$M$2370)*tk_cx_gb300+Sens!$M$2370*tk_cx_vr200)</f>
        <v>34.911788</v>
      </c>
    </row>
    <row r="2374" customFormat="false" ht="17.15" hidden="false" customHeight="false" outlineLevel="0" collapsed="false">
      <c r="A2374" s="5" t="s">
        <v>564</v>
      </c>
      <c r="B2374" s="0" t="s">
        <v>108</v>
      </c>
      <c r="F2374" s="33" t="n">
        <f aca="false">Sens!$F$2364-mw_open</f>
        <v>1817.15</v>
      </c>
      <c r="G2374" s="33" t="n">
        <f aca="false">Sens!$F$2374</f>
        <v>1817.15</v>
      </c>
      <c r="H2374" s="33" t="n">
        <f aca="false">Sens!$H$2364-mw_open</f>
        <v>5451.45</v>
      </c>
      <c r="I2374" s="33" t="n">
        <f aca="false">Sens!$I$2364-mw_open</f>
        <v>9085.75</v>
      </c>
      <c r="J2374" s="33" t="n">
        <f aca="false">Sens!$J$2364-mw_open</f>
        <v>12720.05</v>
      </c>
      <c r="K2374" s="33" t="n">
        <f aca="false">Sens!$K$2364-mw_open</f>
        <v>16354.35</v>
      </c>
      <c r="L2374" s="33" t="n">
        <f aca="false">Sens!$L$2364-mw_open</f>
        <v>19988.65</v>
      </c>
      <c r="M2374" s="33" t="n">
        <f aca="false">Sens!$M$2364-mw_open</f>
        <v>23622.95</v>
      </c>
    </row>
    <row r="2375" customFormat="false" ht="17.15" hidden="false" customHeight="false" outlineLevel="0" collapsed="false">
      <c r="A2375" s="0" t="s">
        <v>565</v>
      </c>
      <c r="B2375" s="0" t="s">
        <v>566</v>
      </c>
      <c r="F2375" s="33" t="n">
        <f aca="false">Sens!$F$2367*Sens!$F$2371</f>
        <v>19782.2417524844</v>
      </c>
      <c r="G2375" s="33" t="n">
        <f aca="false">Sens!$F$2375</f>
        <v>19782.2417524844</v>
      </c>
      <c r="H2375" s="33" t="n">
        <f aca="false">Sens!$G$2375+Sens!$H$2367*Sens!$H$2371</f>
        <v>60563.3616992009</v>
      </c>
      <c r="I2375" s="33" t="n">
        <f aca="false">Sens!$H$2375+Sens!$I$2367*Sens!$I$2371</f>
        <v>102561.118087665</v>
      </c>
      <c r="J2375" s="33" t="n">
        <f aca="false">Sens!$I$2375+Sens!$J$2367*Sens!$J$2371</f>
        <v>144558.87447613</v>
      </c>
      <c r="K2375" s="33" t="n">
        <f aca="false">Sens!$J$2375+Sens!$K$2367*Sens!$K$2371</f>
        <v>186556.630864594</v>
      </c>
      <c r="L2375" s="33" t="n">
        <f aca="false">Sens!$K$2375+Sens!$L$2367*Sens!$L$2371</f>
        <v>228554.387253058</v>
      </c>
      <c r="M2375" s="33" t="n">
        <f aca="false">Sens!$L$2375+Sens!$M$2367*Sens!$M$2371</f>
        <v>270552.143641523</v>
      </c>
    </row>
    <row r="2376" customFormat="false" ht="17.15" hidden="false" customHeight="false" outlineLevel="0" collapsed="false">
      <c r="A2376" s="0" t="s">
        <v>567</v>
      </c>
      <c r="B2376" s="0" t="s">
        <v>566</v>
      </c>
      <c r="F2376" s="33" t="n">
        <f aca="false">Sens!$F$2367*Sens!$F$2372</f>
        <v>3602.74485070566</v>
      </c>
      <c r="G2376" s="33" t="n">
        <f aca="false">Sens!$F$2376</f>
        <v>3602.74485070566</v>
      </c>
      <c r="H2376" s="33" t="n">
        <f aca="false">Sens!$G$2376+Sens!$H$2367*Sens!$H$2372</f>
        <v>10908.9598445736</v>
      </c>
      <c r="I2376" s="33" t="n">
        <f aca="false">Sens!$H$2376+Sens!$I$2367*Sens!$I$2372</f>
        <v>18315.9001308981</v>
      </c>
      <c r="J2376" s="33" t="n">
        <f aca="false">Sens!$I$2376+Sens!$J$2367*Sens!$J$2372</f>
        <v>25722.8404172225</v>
      </c>
      <c r="K2376" s="33" t="n">
        <f aca="false">Sens!$J$2376+Sens!$K$2367*Sens!$K$2372</f>
        <v>33129.780703547</v>
      </c>
      <c r="L2376" s="33" t="n">
        <f aca="false">Sens!$K$2376+Sens!$L$2367*Sens!$L$2372</f>
        <v>40536.7209898715</v>
      </c>
      <c r="M2376" s="33" t="n">
        <f aca="false">Sens!$L$2376+Sens!$M$2367*Sens!$M$2372</f>
        <v>47943.661276196</v>
      </c>
    </row>
    <row r="2377" customFormat="false" ht="17.15" hidden="false" customHeight="false" outlineLevel="0" collapsed="false">
      <c r="A2377" s="5" t="s">
        <v>568</v>
      </c>
      <c r="B2377" s="0" t="s">
        <v>151</v>
      </c>
      <c r="F2377" s="36" t="n">
        <f aca="false">IF(Sens!$F$2374&gt;0,Sens!$F$2375/Sens!$F$2374,Sens!$F$2371)</f>
        <v>10.8864110021101</v>
      </c>
      <c r="G2377" s="36" t="n">
        <f aca="false">IF(Sens!$G$2374&gt;0,Sens!$G$2375/Sens!$G$2374,Sens!$G$2371)</f>
        <v>10.8864110021101</v>
      </c>
      <c r="H2377" s="36" t="n">
        <f aca="false">IF(Sens!$H$2374&gt;0,Sens!$H$2375/Sens!$H$2374,Sens!$H$2371)</f>
        <v>11.1095876691891</v>
      </c>
      <c r="I2377" s="36" t="n">
        <f aca="false">IF(Sens!$I$2374&gt;0,Sens!$I$2375/Sens!$I$2374,Sens!$I$2371)</f>
        <v>11.2881290028523</v>
      </c>
      <c r="J2377" s="36" t="n">
        <f aca="false">IF(Sens!$J$2374&gt;0,Sens!$J$2375/Sens!$J$2374,Sens!$J$2371)</f>
        <v>11.3646467172794</v>
      </c>
      <c r="K2377" s="36" t="n">
        <f aca="false">IF(Sens!$K$2374&gt;0,Sens!$K$2375/Sens!$K$2374,Sens!$K$2371)</f>
        <v>11.4071565586278</v>
      </c>
      <c r="L2377" s="36" t="n">
        <f aca="false">IF(Sens!$L$2374&gt;0,Sens!$L$2375/Sens!$L$2374,Sens!$L$2371)</f>
        <v>11.4342082758495</v>
      </c>
      <c r="M2377" s="36" t="n">
        <f aca="false">IF(Sens!$M$2374&gt;0,Sens!$M$2375/Sens!$M$2374,Sens!$M$2371)</f>
        <v>11.4529363877722</v>
      </c>
    </row>
    <row r="2378" customFormat="false" ht="17.15" hidden="false" customHeight="false" outlineLevel="0" collapsed="false">
      <c r="A2378" s="5" t="s">
        <v>569</v>
      </c>
      <c r="B2378" s="0" t="s">
        <v>151</v>
      </c>
      <c r="F2378" s="36" t="n">
        <f aca="false">IF(Sens!$F$2374&gt;0,Sens!$F$2376/Sens!$F$2374,Sens!$F$2372)</f>
        <v>1.98263481314457</v>
      </c>
      <c r="G2378" s="36" t="n">
        <f aca="false">IF(Sens!$G$2374&gt;0,Sens!$G$2376/Sens!$G$2374,Sens!$G$2372)</f>
        <v>1.98263481314457</v>
      </c>
      <c r="H2378" s="36" t="n">
        <f aca="false">IF(Sens!$H$2374&gt;0,Sens!$H$2376/Sens!$H$2374,Sens!$H$2372)</f>
        <v>2.00111160233948</v>
      </c>
      <c r="I2378" s="36" t="n">
        <f aca="false">IF(Sens!$I$2374&gt;0,Sens!$I$2376/Sens!$I$2374,Sens!$I$2372)</f>
        <v>2.01589303369541</v>
      </c>
      <c r="J2378" s="36" t="n">
        <f aca="false">IF(Sens!$J$2374&gt;0,Sens!$J$2376/Sens!$J$2374,Sens!$J$2372)</f>
        <v>2.02222793284795</v>
      </c>
      <c r="K2378" s="36" t="n">
        <f aca="false">IF(Sens!$K$2374&gt;0,Sens!$K$2376/Sens!$K$2374,Sens!$K$2372)</f>
        <v>2.02574732126603</v>
      </c>
      <c r="L2378" s="36" t="n">
        <f aca="false">IF(Sens!$L$2374&gt;0,Sens!$L$2376/Sens!$L$2374,Sens!$L$2372)</f>
        <v>2.02798693207753</v>
      </c>
      <c r="M2378" s="36" t="n">
        <f aca="false">IF(Sens!$M$2374&gt;0,Sens!$M$2376/Sens!$M$2374,Sens!$M$2372)</f>
        <v>2.02953743187011</v>
      </c>
    </row>
    <row r="2379" customFormat="false" ht="17.15" hidden="false" customHeight="false" outlineLevel="0" collapsed="false">
      <c r="A2379" s="14" t="s">
        <v>570</v>
      </c>
      <c r="B2379" s="13" t="s">
        <v>151</v>
      </c>
      <c r="C2379" s="13"/>
      <c r="D2379" s="13"/>
      <c r="E2379" s="13"/>
      <c r="F2379" s="37" t="n">
        <f aca="false">Sens!$F$2377*k_B</f>
        <v>10.7987645808025</v>
      </c>
      <c r="G2379" s="37" t="n">
        <f aca="false">Sens!$G$2377*k_B</f>
        <v>10.7987645808025</v>
      </c>
      <c r="H2379" s="37" t="n">
        <f aca="false">Sens!$H$2377*k_B</f>
        <v>11.0201444540452</v>
      </c>
      <c r="I2379" s="37" t="n">
        <f aca="false">Sens!$I$2377*k_B</f>
        <v>11.1972483526393</v>
      </c>
      <c r="J2379" s="37" t="n">
        <f aca="false">Sens!$J$2377*k_B</f>
        <v>11.2731500234653</v>
      </c>
      <c r="K2379" s="37" t="n">
        <f aca="false">Sens!$K$2377*k_B</f>
        <v>11.3153176183687</v>
      </c>
      <c r="L2379" s="37" t="n">
        <f aca="false">Sens!$L$2377*k_B</f>
        <v>11.3421515423981</v>
      </c>
      <c r="M2379" s="37" t="n">
        <f aca="false">Sens!$M$2377*k_B</f>
        <v>11.3607288744184</v>
      </c>
      <c r="N2379" s="13"/>
      <c r="O2379" s="13"/>
      <c r="P2379" s="5" t="s">
        <v>571</v>
      </c>
    </row>
    <row r="2380" customFormat="false" ht="17.15" hidden="false" customHeight="false" outlineLevel="0" collapsed="false">
      <c r="A2380" s="5" t="s">
        <v>572</v>
      </c>
      <c r="B2380" s="0" t="s">
        <v>108</v>
      </c>
      <c r="F2380" s="33" t="n">
        <f aca="false">Sens!$F$2374/2</f>
        <v>908.575</v>
      </c>
      <c r="H2380" s="33" t="n">
        <f aca="false">(Sens!$G$2374+Sens!$H$2374)/2</f>
        <v>3634.3</v>
      </c>
      <c r="I2380" s="33" t="n">
        <f aca="false">(Sens!$H$2374+Sens!$I$2374)/2</f>
        <v>7268.6</v>
      </c>
      <c r="J2380" s="33" t="n">
        <f aca="false">(Sens!$I$2374+Sens!$J$2374)/2</f>
        <v>10902.9</v>
      </c>
      <c r="K2380" s="33" t="n">
        <f aca="false">(Sens!$J$2374+Sens!$K$2374)/2</f>
        <v>14537.2</v>
      </c>
      <c r="L2380" s="33" t="n">
        <f aca="false">(Sens!$K$2374+Sens!$L$2374)/2</f>
        <v>18171.5</v>
      </c>
      <c r="M2380" s="33" t="n">
        <f aca="false">(Sens!$L$2374+Sens!$M$2374)/2</f>
        <v>21805.8</v>
      </c>
    </row>
    <row r="2381" customFormat="false" ht="17.15" hidden="false" customHeight="false" outlineLevel="0" collapsed="false">
      <c r="A2381" s="1" t="s">
        <v>573</v>
      </c>
    </row>
    <row r="2382" customFormat="false" ht="17.15" hidden="false" customHeight="false" outlineLevel="0" collapsed="false">
      <c r="A2382" s="1" t="s">
        <v>574</v>
      </c>
      <c r="B2382" s="8" t="s">
        <v>73</v>
      </c>
      <c r="C2382" s="38" t="n">
        <f aca="false">Sens!$C$2365*rpm_open*Sens!$C$2366/1000</f>
        <v>2.32100535697364</v>
      </c>
      <c r="D2382" s="38" t="n">
        <f aca="false">Sens!$D$2365*rpm_open*Sens!$D$2366/1000</f>
        <v>8.70377008865116</v>
      </c>
      <c r="E2382" s="38" t="n">
        <f aca="false">Sens!$E$2365*rpm_open*Sens!$E$2366/1000</f>
        <v>8.51035297557002</v>
      </c>
      <c r="F2382" s="38" t="n">
        <f aca="false">(mw_open*rpm_open+Sens!$F$2380*Sens!$F$2379)*Sens!$F$2366/1000</f>
        <v>14.9634336447205</v>
      </c>
      <c r="G2382" s="38" t="n">
        <f aca="false">Sens!$E$2382+Sens!$F$2382</f>
        <v>23.4737866202905</v>
      </c>
      <c r="H2382" s="38" t="n">
        <f aca="false">(mw_open*rpm_open+Sens!$H$2380*Sens!$H$2379)/1000</f>
        <v>60.1658907497746</v>
      </c>
      <c r="I2382" s="38" t="n">
        <f aca="false">(mw_open*rpm_open+Sens!$I$2380*Sens!$I$2379)/1000</f>
        <v>101.503699136432</v>
      </c>
      <c r="J2382" s="38" t="n">
        <f aca="false">(mw_open*rpm_open+Sens!$J$2380*Sens!$J$2379)/1000</f>
        <v>143.025407151278</v>
      </c>
      <c r="K2382" s="38" t="n">
        <f aca="false">(mw_open*rpm_open+Sens!$K$2380*Sens!$K$2379)/1000</f>
        <v>184.608415042187</v>
      </c>
      <c r="L2382" s="38" t="n">
        <f aca="false">(mw_open*rpm_open+Sens!$L$2380*Sens!$L$2379)/1000</f>
        <v>226.219286513125</v>
      </c>
      <c r="M2382" s="38" t="n">
        <f aca="false">(mw_open*rpm_open+Sens!$M$2380*Sens!$M$2379)/1000</f>
        <v>267.845161450232</v>
      </c>
      <c r="N2382" s="38" t="n">
        <f aca="false">Sens!$N$2365*rpm_open*Sens!$N$2366/1000</f>
        <v>3.04631953102791</v>
      </c>
      <c r="O2382" s="38" t="n">
        <f aca="false">Sens!$O$2365*rpm_open*Sens!$O$2366/1000</f>
        <v>5.65745055762326</v>
      </c>
      <c r="P2382" s="5" t="s">
        <v>575</v>
      </c>
    </row>
    <row r="2383" customFormat="false" ht="17.15" hidden="false" customHeight="false" outlineLevel="0" collapsed="false">
      <c r="A2383" s="5" t="s">
        <v>576</v>
      </c>
      <c r="B2383" s="0" t="s">
        <v>151</v>
      </c>
      <c r="C2383" s="36" t="n">
        <f aca="false">Sens!$C$2382*1000/(Sens!$C$2365*Sens!$C$2366)</f>
        <v>9.67085565405685</v>
      </c>
      <c r="D2383" s="36" t="n">
        <f aca="false">Sens!$D$2382*1000/(Sens!$D$2365*Sens!$D$2366)</f>
        <v>9.67085565405685</v>
      </c>
      <c r="E2383" s="36" t="n">
        <f aca="false">Sens!$E$2382*1000/(Sens!$E$2365*Sens!$E$2366)</f>
        <v>9.67085565405685</v>
      </c>
      <c r="F2383" s="36" t="n">
        <f aca="false">Sens!$F$2382*1000/(Sens!$F$2365*Sens!$F$2366)</f>
        <v>10.0137581588017</v>
      </c>
      <c r="G2383" s="36" t="n">
        <f aca="false">Sens!$G$2382*1000/(Sens!$G$2365*Sens!$G$2366)</f>
        <v>9.88666562928478</v>
      </c>
      <c r="H2383" s="36" t="n">
        <f aca="false">Sens!$H$2382*1000/(Sens!$H$2365*Sens!$H$2366)</f>
        <v>10.5290045586992</v>
      </c>
      <c r="I2383" s="36" t="n">
        <f aca="false">Sens!$I$2382*1000/(Sens!$I$2365*Sens!$I$2366)</f>
        <v>10.8576363451674</v>
      </c>
      <c r="J2383" s="36" t="n">
        <f aca="false">Sens!$J$2382*1000/(Sens!$J$2365*Sens!$J$2366)</f>
        <v>11.0164452588619</v>
      </c>
      <c r="K2383" s="36" t="n">
        <f aca="false">Sens!$K$2382*1000/(Sens!$K$2365*Sens!$K$2366)</f>
        <v>11.1094778327388</v>
      </c>
      <c r="L2383" s="36" t="n">
        <f aca="false">Sens!$L$2382*1000/(Sens!$L$2365*Sens!$L$2366)</f>
        <v>11.1704953466718</v>
      </c>
      <c r="M2383" s="36" t="n">
        <f aca="false">Sens!$M$2382*1000/(Sens!$M$2365*Sens!$M$2366)</f>
        <v>11.2135729785158</v>
      </c>
      <c r="N2383" s="36" t="n">
        <f aca="false">Sens!$N$2382*1000/(Sens!$N$2365*Sens!$N$2366)</f>
        <v>9.67085565405685</v>
      </c>
      <c r="O2383" s="36" t="n">
        <f aca="false">Sens!$O$2382*1000/(Sens!$O$2365*Sens!$O$2366)</f>
        <v>9.67085565405685</v>
      </c>
    </row>
    <row r="2384" customFormat="false" ht="17.15" hidden="false" customHeight="false" outlineLevel="0" collapsed="false">
      <c r="A2384" s="0" t="s">
        <v>577</v>
      </c>
      <c r="B2384" s="0" t="s">
        <v>73</v>
      </c>
      <c r="C2384" s="38" t="n">
        <f aca="false">Sens!$C$2365/ext_sh*(ox_open+rent_mw)*Sens!$C$2366/1000</f>
        <v>0.642569210675032</v>
      </c>
      <c r="D2384" s="38" t="n">
        <f aca="false">Sens!$D$2365/ext_sh*(ox_open+rent_mw)*Sens!$D$2366/1000</f>
        <v>2.40963454003137</v>
      </c>
      <c r="E2384" s="38" t="n">
        <f aca="false">Sens!$E$2365/ext_sh*(ox_open+rent_mw)*Sens!$E$2366/1000</f>
        <v>2.35608710580845</v>
      </c>
      <c r="F2384" s="38" t="n">
        <f aca="false">((mw_open*ox_open+Sens!$F$2380*Sens!$F$2378)/ext_sh+Sens!$F$2365/ext_sh*rent_mw)*Sens!$F$2366/1000</f>
        <v>4.05421991106232</v>
      </c>
      <c r="G2384" s="38" t="n">
        <f aca="false">Sens!$E$2384+Sens!$F$2384</f>
        <v>6.41030701687077</v>
      </c>
      <c r="H2384" s="38" t="n">
        <f aca="false">((mw_open*ox_open+Sens!$H$2380*Sens!$H$2378)/ext_sh+Sens!$H$2365/ext_sh*rent_mw)*Sens!$H$2366/1000</f>
        <v>15.8108975546616</v>
      </c>
      <c r="I2384" s="38" t="n">
        <f aca="false">((mw_open*ox_open+Sens!$I$2380*Sens!$I$2378)/ext_sh+Sens!$I$2365/ext_sh*rent_mw)*Sens!$I$2366/1000</f>
        <v>26.1871623400817</v>
      </c>
      <c r="J2384" s="38" t="n">
        <f aca="false">((mw_open*ox_open+Sens!$J$2380*Sens!$J$2378)/ext_sh+Sens!$J$2365/ext_sh*rent_mw)*Sens!$J$2366/1000</f>
        <v>36.5826128954935</v>
      </c>
      <c r="K2384" s="38" t="n">
        <f aca="false">((mw_open*ox_open+Sens!$K$2380*Sens!$K$2378)/ext_sh+Sens!$K$2365/ext_sh*rent_mw)*Sens!$K$2366/1000</f>
        <v>46.9844587075692</v>
      </c>
      <c r="L2384" s="38" t="n">
        <f aca="false">((mw_open*ox_open+Sens!$L$2380*Sens!$L$2378)/ext_sh+Sens!$L$2365/ext_sh*rent_mw)*Sens!$L$2366/1000</f>
        <v>57.3892114544922</v>
      </c>
      <c r="M2384" s="38" t="n">
        <f aca="false">((mw_open*ox_open+Sens!$M$2380*Sens!$M$2378)/ext_sh+Sens!$M$2365/ext_sh*rent_mw)*Sens!$M$2366/1000</f>
        <v>67.7955294740252</v>
      </c>
      <c r="N2384" s="38" t="n">
        <f aca="false">Sens!$N$2365/ext_sh*(ox_open+rent_mw)*Sens!$N$2366/1000</f>
        <v>0.84337208901098</v>
      </c>
      <c r="O2384" s="38" t="n">
        <f aca="false">Sens!$O$2365/ext_sh*(ox_open+rent_mw)*Sens!$O$2366/1000</f>
        <v>1.56626245102039</v>
      </c>
    </row>
    <row r="2385" customFormat="false" ht="17.15" hidden="false" customHeight="false" outlineLevel="0" collapsed="false">
      <c r="A2385" s="0" t="s">
        <v>578</v>
      </c>
      <c r="B2385" s="0" t="s">
        <v>73</v>
      </c>
      <c r="C2385" s="38" t="n">
        <f aca="false">Q!$D$7</f>
        <v>107.556</v>
      </c>
      <c r="D2385" s="38" t="n">
        <f aca="false">Q!$E$7</f>
        <v>128.725</v>
      </c>
      <c r="E2385" s="38" t="n">
        <f aca="false">Q!$P$7</f>
        <v>79.819</v>
      </c>
      <c r="N2385" s="38" t="n">
        <f aca="false">Q!$N$7</f>
        <v>60.14</v>
      </c>
      <c r="O2385" s="38" t="n">
        <f aca="false">Q!$O$7</f>
        <v>68.585</v>
      </c>
    </row>
    <row r="2386" customFormat="false" ht="17.15" hidden="false" customHeight="false" outlineLevel="0" collapsed="false">
      <c r="A2386" s="1" t="s">
        <v>579</v>
      </c>
      <c r="B2386" s="8" t="s">
        <v>73</v>
      </c>
      <c r="C2386" s="38" t="n">
        <f aca="false">Sens!$C$2385-Sens!$C$2382</f>
        <v>105.234994643026</v>
      </c>
      <c r="D2386" s="38" t="n">
        <f aca="false">Sens!$D$2385-Sens!$D$2382</f>
        <v>120.021229911349</v>
      </c>
      <c r="E2386" s="38" t="n">
        <f aca="false">Sens!$E$2385-Sens!$E$2382</f>
        <v>71.30864702443</v>
      </c>
      <c r="F2386" s="38" t="n">
        <f aca="false">Sens!$O$2386*(1+Sens!$F$2387)</f>
        <v>78.5950104186653</v>
      </c>
      <c r="G2386" s="38" t="n">
        <f aca="false">Sens!$E$2386+Sens!$F$2386</f>
        <v>149.903657443095</v>
      </c>
      <c r="H2386" s="38" t="n">
        <f aca="false">Sens!$G$2386*(1+Sens!$H$2387)</f>
        <v>180.893560768142</v>
      </c>
      <c r="I2386" s="38" t="n">
        <f aca="false">Sens!$H$2386*(1+Sens!$I$2387)</f>
        <v>210.64839721501</v>
      </c>
      <c r="J2386" s="38" t="n">
        <f aca="false">Sens!$I$2386*(1+Sens!$J$2387)</f>
        <v>236.398909446495</v>
      </c>
      <c r="K2386" s="38" t="n">
        <f aca="false">Sens!$J$2386*(1+Sens!$K$2387)</f>
        <v>255.310822202215</v>
      </c>
      <c r="L2386" s="38" t="n">
        <f aca="false">Sens!$K$2386*(1+Sens!$L$2387)</f>
        <v>275.735687978392</v>
      </c>
      <c r="M2386" s="38" t="n">
        <f aca="false">Sens!$L$2386*(1+Sens!$M$2387)</f>
        <v>297.794543016663</v>
      </c>
      <c r="N2386" s="38" t="n">
        <f aca="false">Sens!$N$2385-Sens!$N$2382</f>
        <v>57.0936804689721</v>
      </c>
      <c r="O2386" s="38" t="n">
        <f aca="false">Sens!$O$2385-Sens!$O$2382</f>
        <v>62.9275494423768</v>
      </c>
      <c r="P2386" s="5" t="s">
        <v>580</v>
      </c>
    </row>
    <row r="2387" customFormat="false" ht="17.15" hidden="false" customHeight="false" outlineLevel="0" collapsed="false">
      <c r="A2387" s="0" t="s">
        <v>581</v>
      </c>
      <c r="B2387" s="0" t="s">
        <v>52</v>
      </c>
      <c r="E2387" s="12" t="n">
        <f aca="false">Sens!$E$2386/Sens!$N$2386-1</f>
        <v>0.248976181579029</v>
      </c>
      <c r="F2387" s="12" t="n">
        <f aca="false">Sens!$E$2387</f>
        <v>0.248976181579029</v>
      </c>
      <c r="G2387" s="12" t="n">
        <f aca="false">Sens!$G$2386/Sens!$D$2386-1</f>
        <v>0.248976181579029</v>
      </c>
      <c r="H2387" s="12" t="n">
        <f aca="false">Sens!$E$2387+(g_awso_lt-Sens!$E$2387)*1/4</f>
        <v>0.206732136184272</v>
      </c>
      <c r="I2387" s="12" t="n">
        <f aca="false">Sens!$E$2387+(g_awso_lt-Sens!$E$2387)*2/4</f>
        <v>0.164488090789515</v>
      </c>
      <c r="J2387" s="12" t="n">
        <f aca="false">Sens!$E$2387+(g_awso_lt-Sens!$E$2387)*3/4</f>
        <v>0.122244045394757</v>
      </c>
      <c r="K2387" s="12" t="n">
        <f aca="false">Sens!$E$2387+(g_awso_lt-Sens!$E$2387)*4/4</f>
        <v>0.08</v>
      </c>
      <c r="L2387" s="12" t="n">
        <f aca="false">g_awso_lt</f>
        <v>0.08</v>
      </c>
      <c r="M2387" s="12" t="n">
        <f aca="false">g_awso_lt</f>
        <v>0.08</v>
      </c>
      <c r="P2387" s="8" t="s">
        <v>582</v>
      </c>
    </row>
    <row r="2388" customFormat="false" ht="17.15" hidden="false" customHeight="false" outlineLevel="0" collapsed="false">
      <c r="A2388" s="1" t="s">
        <v>583</v>
      </c>
    </row>
    <row r="2389" customFormat="false" ht="17.15" hidden="false" customHeight="false" outlineLevel="0" collapsed="false">
      <c r="A2389" s="0" t="s">
        <v>584</v>
      </c>
      <c r="B2389" s="0" t="s">
        <v>73</v>
      </c>
      <c r="F2389" s="38" t="n">
        <f aca="false">cx_rt*Sens!$F$2355+cx_awso*Sens!$F$2386</f>
        <v>36.8045765066526</v>
      </c>
    </row>
    <row r="2390" customFormat="false" ht="17.15" hidden="false" customHeight="false" outlineLevel="0" collapsed="false">
      <c r="A2390" s="0" t="s">
        <v>585</v>
      </c>
      <c r="B2390" s="0" t="s">
        <v>52</v>
      </c>
      <c r="C2390" s="12" t="n">
        <f aca="false">tk_cx_h100/(tk_cx_h100+tk_fac*(1-colo_sh))</f>
        <v>0.730756458006641</v>
      </c>
      <c r="D2390" s="12" t="n">
        <f aca="false">tk_cx_h100/(tk_cx_h100+tk_fac*(1-colo_sh))</f>
        <v>0.730756458006641</v>
      </c>
      <c r="E2390" s="12" t="n">
        <f aca="false">Sens!$F$2390</f>
        <v>0.760792334328868</v>
      </c>
      <c r="F2390" s="12" t="n">
        <f aca="false">Sens!$F$2373/(Sens!$F$2373+tk_fac*(1-colo_sh))</f>
        <v>0.760792334328868</v>
      </c>
      <c r="G2390" s="12" t="n">
        <f aca="false">Sens!$G$2373/(Sens!$G$2373+tk_fac*(1-colo_sh))</f>
        <v>0.760792334328868</v>
      </c>
      <c r="H2390" s="12" t="n">
        <f aca="false">Sens!$H$2373/(Sens!$H$2373+tk_fac*(1-colo_sh))</f>
        <v>0.768110668862996</v>
      </c>
      <c r="I2390" s="12" t="n">
        <f aca="false">Sens!$I$2373/(Sens!$I$2373+tk_fac*(1-colo_sh))</f>
        <v>0.77499450139483</v>
      </c>
      <c r="J2390" s="12" t="n">
        <f aca="false">Sens!$J$2373/(Sens!$J$2373+tk_fac*(1-colo_sh))</f>
        <v>0.77499450139483</v>
      </c>
      <c r="K2390" s="12" t="n">
        <f aca="false">Sens!$K$2373/(Sens!$K$2373+tk_fac*(1-colo_sh))</f>
        <v>0.77499450139483</v>
      </c>
      <c r="L2390" s="12" t="n">
        <f aca="false">Sens!$L$2373/(Sens!$L$2373+tk_fac*(1-colo_sh))</f>
        <v>0.77499450139483</v>
      </c>
      <c r="M2390" s="12" t="n">
        <f aca="false">Sens!$M$2373/(Sens!$M$2373+tk_fac*(1-colo_sh))</f>
        <v>0.77499450139483</v>
      </c>
    </row>
    <row r="2391" customFormat="false" ht="17.15" hidden="false" customHeight="false" outlineLevel="0" collapsed="false">
      <c r="A2391" s="1" t="s">
        <v>586</v>
      </c>
      <c r="B2391" s="8" t="s">
        <v>73</v>
      </c>
      <c r="C2391" s="38" t="n">
        <f aca="false">Q!$D$46-cx_rt*Q!$D$16-cx_awso*Sens!$C$2386</f>
        <v>25.2781053077374</v>
      </c>
      <c r="D2391" s="38" t="n">
        <f aca="false">Q!$E$46-cx_rt*Q!$E$16-cx_awso*Sens!$D$2386</f>
        <v>69.5686316310026</v>
      </c>
      <c r="E2391" s="38" t="n">
        <f aca="false">Q!$P$46-cx_rt*Q!$P$16-cx_awso*Sens!$E$2386</f>
        <v>64.1899206485108</v>
      </c>
      <c r="F2391" s="38" t="n">
        <f aca="false">MAX(Sens!$F$2368*(Sens!$F$2373+tk_fac*(1-colo_sh))/1000,capex_g26-Q!$P$46-Sens!$F$2389)</f>
        <v>96.2481299895</v>
      </c>
      <c r="G2391" s="38" t="n">
        <f aca="false">Sens!$E$2391+Sens!$F$2391</f>
        <v>160.438050638011</v>
      </c>
      <c r="H2391" s="38" t="n">
        <f aca="false">Sens!$H$2368*(Sens!$H$2373+tk_fac*(1-colo_sh))/1000+Sens!$H$2392</f>
        <v>198.57136494475</v>
      </c>
      <c r="I2391" s="38" t="n">
        <f aca="false">Sens!$I$2368*(Sens!$I$2373+tk_fac*(1-colo_sh))/1000+Sens!$I$2392</f>
        <v>204.6464699105</v>
      </c>
      <c r="J2391" s="38" t="n">
        <f aca="false">Sens!$J$2368*(Sens!$J$2373+tk_fac*(1-colo_sh))/1000+Sens!$J$2392</f>
        <v>209.8832381105</v>
      </c>
      <c r="K2391" s="38" t="n">
        <f aca="false">Sens!$K$2368*(Sens!$K$2373+tk_fac*(1-colo_sh))/1000+Sens!$K$2392</f>
        <v>215.1200063105</v>
      </c>
      <c r="L2391" s="38" t="n">
        <f aca="false">Sens!$L$2368*(Sens!$L$2373+tk_fac*(1-colo_sh))/1000+Sens!$L$2392</f>
        <v>251.7773837105</v>
      </c>
      <c r="M2391" s="38" t="n">
        <f aca="false">Sens!$M$2368*(Sens!$M$2373+tk_fac*(1-colo_sh))/1000+Sens!$M$2392</f>
        <v>311.87584476575</v>
      </c>
      <c r="P2391" s="5" t="s">
        <v>587</v>
      </c>
      <c r="R2391" s="38" t="n">
        <f aca="false">Q!$C$46-cx_rt*Q!$C$16-cx_awso*(Q!$C$7-mw_ye23/2*rpm_open/1000)</f>
        <v>1.50429979529945</v>
      </c>
      <c r="S2391" s="38" t="n">
        <f aca="false">Sens!$C$2391</f>
        <v>25.2781053077374</v>
      </c>
      <c r="T2391" s="38" t="n">
        <f aca="false">Sens!$D$2391</f>
        <v>69.5686316310026</v>
      </c>
      <c r="U2391" s="38" t="n">
        <f aca="false">Sens!$G$2391</f>
        <v>160.438050638011</v>
      </c>
      <c r="V2391" s="38" t="n">
        <f aca="false">Sens!$H$2391</f>
        <v>198.57136494475</v>
      </c>
      <c r="W2391" s="38" t="n">
        <f aca="false">Sens!$I$2391</f>
        <v>204.6464699105</v>
      </c>
      <c r="X2391" s="38" t="n">
        <f aca="false">Sens!$J$2391</f>
        <v>209.8832381105</v>
      </c>
      <c r="Y2391" s="38" t="n">
        <f aca="false">Sens!$K$2391</f>
        <v>215.1200063105</v>
      </c>
      <c r="Z2391" s="38" t="n">
        <f aca="false">Sens!$L$2391</f>
        <v>251.7773837105</v>
      </c>
      <c r="AA2391" s="38" t="n">
        <f aca="false">Sens!$M$2391</f>
        <v>311.87584476575</v>
      </c>
    </row>
    <row r="2392" customFormat="false" ht="17.15" hidden="false" customHeight="false" outlineLevel="0" collapsed="false">
      <c r="A2392" s="0" t="s">
        <v>588</v>
      </c>
      <c r="B2392" s="0" t="s">
        <v>73</v>
      </c>
      <c r="H2392" s="38" t="n">
        <f aca="false">SUMPRODUCT(--(Sens!$R$2362:$AA$2362=2027-tk_life),Sens!$R$2368:$AA$2368)*Sens!$H$2373/1000</f>
        <v>0</v>
      </c>
      <c r="I2392" s="38" t="n">
        <f aca="false">SUMPRODUCT(--(Sens!$R$2362:$AA$2362=2028-tk_life),Sens!$R$2368:$AA$2368)*Sens!$I$2373/1000</f>
        <v>0</v>
      </c>
      <c r="J2392" s="38" t="n">
        <f aca="false">SUMPRODUCT(--(Sens!$R$2362:$AA$2362=2029-tk_life),Sens!$R$2368:$AA$2368)*Sens!$J$2373/1000</f>
        <v>5.2367682</v>
      </c>
      <c r="K2392" s="38" t="n">
        <f aca="false">SUMPRODUCT(--(Sens!$R$2362:$AA$2362=2030-tk_life),Sens!$R$2368:$AA$2368)*Sens!$K$2373/1000</f>
        <v>10.4735364</v>
      </c>
      <c r="L2392" s="38" t="n">
        <f aca="false">SUMPRODUCT(--(Sens!$R$2362:$AA$2362=2031-tk_life),Sens!$R$2368:$AA$2368)*Sens!$L$2373/1000</f>
        <v>47.1309138</v>
      </c>
      <c r="M2392" s="38" t="n">
        <f aca="false">SUMPRODUCT(--(Sens!$R$2362:$AA$2362=2032-tk_life),Sens!$R$2368:$AA$2368)*Sens!$M$2373/1000</f>
        <v>107.22937485525</v>
      </c>
    </row>
    <row r="2393" customFormat="false" ht="17.15" hidden="false" customHeight="false" outlineLevel="0" collapsed="false">
      <c r="A2393" s="5" t="s">
        <v>589</v>
      </c>
      <c r="B2393" s="0" t="s">
        <v>73</v>
      </c>
      <c r="C2393" s="38" t="n">
        <f aca="false">Sens!$C$2391*Sens!$C$2390</f>
        <v>18.472138699801</v>
      </c>
      <c r="D2393" s="38" t="n">
        <f aca="false">Sens!$D$2391*Sens!$D$2390</f>
        <v>50.8377268390402</v>
      </c>
      <c r="E2393" s="38" t="n">
        <f aca="false">Sens!$E$2391*Sens!$E$2390</f>
        <v>48.8351995705653</v>
      </c>
      <c r="F2393" s="38" t="n">
        <f aca="false">Sens!$F$2391*Sens!$F$2390</f>
        <v>73.2248394895</v>
      </c>
      <c r="G2393" s="38" t="n">
        <f aca="false">Sens!$E$2393+Sens!$F$2393</f>
        <v>122.060039060065</v>
      </c>
      <c r="H2393" s="38" t="n">
        <f aca="false">(Sens!$H$2391-Sens!$H$2392)*Sens!$H$2390+Sens!$H$2392</f>
        <v>152.52478394475</v>
      </c>
      <c r="I2393" s="38" t="n">
        <f aca="false">(Sens!$I$2391-Sens!$I$2392)*Sens!$I$2390+Sens!$I$2392</f>
        <v>158.5998889105</v>
      </c>
      <c r="J2393" s="38" t="n">
        <f aca="false">(Sens!$J$2391-Sens!$J$2392)*Sens!$J$2390+Sens!$J$2392</f>
        <v>163.8366571105</v>
      </c>
      <c r="K2393" s="38" t="n">
        <f aca="false">(Sens!$K$2391-Sens!$K$2392)*Sens!$K$2390+Sens!$K$2392</f>
        <v>169.0734253105</v>
      </c>
      <c r="L2393" s="38" t="n">
        <f aca="false">(Sens!$L$2391-Sens!$L$2392)*Sens!$L$2390+Sens!$L$2392</f>
        <v>205.7308027105</v>
      </c>
      <c r="M2393" s="38" t="n">
        <f aca="false">(Sens!$M$2391-Sens!$M$2392)*Sens!$M$2390+Sens!$M$2392</f>
        <v>265.82926376575</v>
      </c>
      <c r="R2393" s="38" t="n">
        <f aca="false">Sens!$R$2391*Sens!$C$2390</f>
        <v>1.09927679019314</v>
      </c>
      <c r="S2393" s="38" t="n">
        <f aca="false">Sens!$C$2393</f>
        <v>18.472138699801</v>
      </c>
      <c r="T2393" s="38" t="n">
        <f aca="false">Sens!$D$2393</f>
        <v>50.8377268390402</v>
      </c>
      <c r="U2393" s="38" t="n">
        <f aca="false">Sens!$G$2393</f>
        <v>122.060039060065</v>
      </c>
      <c r="V2393" s="38" t="n">
        <f aca="false">Sens!$H$2393</f>
        <v>152.52478394475</v>
      </c>
      <c r="W2393" s="38" t="n">
        <f aca="false">Sens!$I$2393</f>
        <v>158.5998889105</v>
      </c>
      <c r="X2393" s="38" t="n">
        <f aca="false">Sens!$J$2393</f>
        <v>163.8366571105</v>
      </c>
      <c r="Y2393" s="38" t="n">
        <f aca="false">Sens!$K$2393</f>
        <v>169.0734253105</v>
      </c>
      <c r="Z2393" s="38" t="n">
        <f aca="false">Sens!$L$2393</f>
        <v>205.7308027105</v>
      </c>
      <c r="AA2393" s="38" t="n">
        <f aca="false">Sens!$M$2393</f>
        <v>265.82926376575</v>
      </c>
    </row>
    <row r="2394" customFormat="false" ht="15" hidden="false" customHeight="false" outlineLevel="0" collapsed="false">
      <c r="A2394" s="5" t="s">
        <v>590</v>
      </c>
      <c r="B2394" s="0" t="s">
        <v>73</v>
      </c>
      <c r="R2394" s="38" t="n">
        <f aca="false">Sens!$R$2391-Sens!$R$2393</f>
        <v>0.405023005106309</v>
      </c>
      <c r="S2394" s="38" t="n">
        <f aca="false">Sens!$S$2391-Sens!$S$2393</f>
        <v>6.80596660793636</v>
      </c>
      <c r="T2394" s="38" t="n">
        <f aca="false">Sens!$T$2391-Sens!$T$2393</f>
        <v>18.7309047919624</v>
      </c>
      <c r="U2394" s="38" t="n">
        <f aca="false">Sens!$U$2391-Sens!$U$2393</f>
        <v>38.3780115779455</v>
      </c>
      <c r="V2394" s="38" t="n">
        <f aca="false">Sens!$V$2391-Sens!$V$2393</f>
        <v>46.046581</v>
      </c>
      <c r="W2394" s="38" t="n">
        <f aca="false">Sens!$W$2391-Sens!$W$2393</f>
        <v>46.046581</v>
      </c>
      <c r="X2394" s="38" t="n">
        <f aca="false">Sens!$X$2391-Sens!$X$2393</f>
        <v>46.046581</v>
      </c>
      <c r="Y2394" s="38" t="n">
        <f aca="false">Sens!$Y$2391-Sens!$Y$2393</f>
        <v>46.046581</v>
      </c>
      <c r="Z2394" s="38" t="n">
        <f aca="false">Sens!$Z$2391-Sens!$Z$2393</f>
        <v>46.046581</v>
      </c>
      <c r="AA2394" s="38" t="n">
        <f aca="false">Sens!$AA$2391-Sens!$AA$2393</f>
        <v>46.046581</v>
      </c>
    </row>
    <row r="2395" customFormat="false" ht="17.15" hidden="false" customHeight="false" outlineLevel="0" collapsed="false">
      <c r="A2395" s="0" t="s">
        <v>591</v>
      </c>
      <c r="B2395" s="0" t="s">
        <v>73</v>
      </c>
      <c r="C2395" s="38" t="n">
        <f aca="false">Sens!$S$2395</f>
        <v>0.183212798365523</v>
      </c>
      <c r="D2395" s="38" t="n">
        <f aca="false">Sens!$T$2395</f>
        <v>3.2619025816657</v>
      </c>
      <c r="E2395" s="38" t="n">
        <f aca="false">Sens!$G$2395/2</f>
        <v>5.86742852741953</v>
      </c>
      <c r="F2395" s="38" t="n">
        <f aca="false">Sens!$G$2395/2</f>
        <v>5.86742852741953</v>
      </c>
      <c r="G2395" s="38" t="n">
        <f aca="false">Sens!$U$2395</f>
        <v>11.7348570548391</v>
      </c>
      <c r="H2395" s="38" t="n">
        <f aca="false">Sens!$V$2395</f>
        <v>32.0781968981833</v>
      </c>
      <c r="I2395" s="38" t="n">
        <f aca="false">Sens!$W$2395</f>
        <v>57.4989942223083</v>
      </c>
      <c r="J2395" s="38" t="n">
        <f aca="false">Sens!$X$2395</f>
        <v>83.932309040725</v>
      </c>
      <c r="K2395" s="38" t="n">
        <f aca="false">Sens!$Y$2395</f>
        <v>111.055205760776</v>
      </c>
      <c r="L2395" s="38" t="n">
        <f aca="false">Sens!$Z$2395</f>
        <v>136.155420195893</v>
      </c>
      <c r="M2395" s="38" t="n">
        <f aca="false">Sens!$AA$2395</f>
        <v>161.970932841136</v>
      </c>
      <c r="N2395" s="38" t="n">
        <f aca="false">Sens!$D$2395/2</f>
        <v>1.63095129083285</v>
      </c>
      <c r="O2395" s="38" t="n">
        <f aca="false">Sens!$D$2395/2</f>
        <v>1.63095129083285</v>
      </c>
      <c r="R2395" s="38" t="n">
        <f aca="false">SUMPRODUCT(--(Sens!$R$2362:$AA$2362&lt;Sens!R$2362),--(Sens!$R$2362:$AA$2362&gt;=Sens!R$2362-tk_life),Sens!$R$2393:$AA$2393)/tk_life</f>
        <v>0</v>
      </c>
      <c r="S2395" s="38" t="n">
        <f aca="false">SUMPRODUCT(--(Sens!$R$2362:$AA$2362&lt;Sens!S$2362),--(Sens!$R$2362:$AA$2362&gt;=Sens!S$2362-tk_life),Sens!$R$2393:$AA$2393)/tk_life</f>
        <v>0.183212798365523</v>
      </c>
      <c r="T2395" s="38" t="n">
        <f aca="false">SUMPRODUCT(--(Sens!$R$2362:$AA$2362&lt;Sens!T$2362),--(Sens!$R$2362:$AA$2362&gt;=Sens!T$2362-tk_life),Sens!$R$2393:$AA$2393)/tk_life</f>
        <v>3.2619025816657</v>
      </c>
      <c r="U2395" s="38" t="n">
        <f aca="false">SUMPRODUCT(--(Sens!$R$2362:$AA$2362&lt;Sens!U$2362),--(Sens!$R$2362:$AA$2362&gt;=Sens!U$2362-tk_life),Sens!$R$2393:$AA$2393)/tk_life</f>
        <v>11.7348570548391</v>
      </c>
      <c r="V2395" s="38" t="n">
        <f aca="false">SUMPRODUCT(--(Sens!$R$2362:$AA$2362&lt;Sens!V$2362),--(Sens!$R$2362:$AA$2362&gt;=Sens!V$2362-tk_life),Sens!$R$2393:$AA$2393)/tk_life</f>
        <v>32.0781968981833</v>
      </c>
      <c r="W2395" s="38" t="n">
        <f aca="false">SUMPRODUCT(--(Sens!$R$2362:$AA$2362&lt;Sens!W$2362),--(Sens!$R$2362:$AA$2362&gt;=Sens!W$2362-tk_life),Sens!$R$2393:$AA$2393)/tk_life</f>
        <v>57.4989942223083</v>
      </c>
      <c r="X2395" s="38" t="n">
        <f aca="false">SUMPRODUCT(--(Sens!$R$2362:$AA$2362&lt;Sens!X$2362),--(Sens!$R$2362:$AA$2362&gt;=Sens!X$2362-tk_life),Sens!$R$2393:$AA$2393)/tk_life</f>
        <v>83.932309040725</v>
      </c>
      <c r="Y2395" s="38" t="n">
        <f aca="false">SUMPRODUCT(--(Sens!$R$2362:$AA$2362&lt;Sens!Y$2362),--(Sens!$R$2362:$AA$2362&gt;=Sens!Y$2362-tk_life),Sens!$R$2393:$AA$2393)/tk_life</f>
        <v>111.055205760776</v>
      </c>
      <c r="Z2395" s="38" t="n">
        <f aca="false">SUMPRODUCT(--(Sens!$R$2362:$AA$2362&lt;Sens!Z$2362),--(Sens!$R$2362:$AA$2362&gt;=Sens!Z$2362-tk_life),Sens!$R$2393:$AA$2393)/tk_life</f>
        <v>136.155420195893</v>
      </c>
      <c r="AA2395" s="38" t="n">
        <f aca="false">SUMPRODUCT(--(Sens!$R$2362:$AA$2362&lt;Sens!AA$2362),--(Sens!$R$2362:$AA$2362&gt;=Sens!AA$2362-tk_life),Sens!$R$2393:$AA$2393)/tk_life</f>
        <v>161.970932841136</v>
      </c>
    </row>
    <row r="2396" customFormat="false" ht="17.15" hidden="false" customHeight="false" outlineLevel="0" collapsed="false">
      <c r="A2396" s="0" t="s">
        <v>592</v>
      </c>
      <c r="B2396" s="0" t="s">
        <v>73</v>
      </c>
      <c r="C2396" s="38" t="n">
        <f aca="false">Sens!$S$2396</f>
        <v>0.0202511502553155</v>
      </c>
      <c r="D2396" s="38" t="n">
        <f aca="false">Sens!$T$2396</f>
        <v>0.360549480652134</v>
      </c>
      <c r="E2396" s="38" t="n">
        <f aca="false">Sens!$G$2396/2</f>
        <v>0.648547360125127</v>
      </c>
      <c r="F2396" s="38" t="n">
        <f aca="false">Sens!$G$2396/2</f>
        <v>0.648547360125127</v>
      </c>
      <c r="G2396" s="38" t="n">
        <f aca="false">Sens!$U$2396</f>
        <v>1.29709472025025</v>
      </c>
      <c r="H2396" s="38" t="n">
        <f aca="false">Sens!$V$2396</f>
        <v>3.21599529914753</v>
      </c>
      <c r="I2396" s="38" t="n">
        <f aca="false">Sens!$W$2396</f>
        <v>5.51832434914753</v>
      </c>
      <c r="J2396" s="38" t="n">
        <f aca="false">Sens!$X$2396</f>
        <v>7.82065339914753</v>
      </c>
      <c r="K2396" s="38" t="n">
        <f aca="false">Sens!$Y$2396</f>
        <v>10.1229824491475</v>
      </c>
      <c r="L2396" s="38" t="n">
        <f aca="false">Sens!$Z$2396</f>
        <v>12.4253114991475</v>
      </c>
      <c r="M2396" s="38" t="n">
        <f aca="false">Sens!$AA$2396</f>
        <v>14.7276405491475</v>
      </c>
      <c r="N2396" s="38" t="n">
        <f aca="false">Sens!$D$2396/2</f>
        <v>0.180274740326067</v>
      </c>
      <c r="O2396" s="38" t="n">
        <f aca="false">Sens!$D$2396/2</f>
        <v>0.180274740326067</v>
      </c>
      <c r="R2396" s="38" t="n">
        <f aca="false">SUMPRODUCT(--(Sens!$R$2362:$AA$2362&lt;Sens!R$2362),Sens!$R$2394:$AA$2394)/fac_life</f>
        <v>0</v>
      </c>
      <c r="S2396" s="38" t="n">
        <f aca="false">SUMPRODUCT(--(Sens!$R$2362:$AA$2362&lt;Sens!S$2362),Sens!$R$2394:$AA$2394)/fac_life</f>
        <v>0.0202511502553155</v>
      </c>
      <c r="T2396" s="38" t="n">
        <f aca="false">SUMPRODUCT(--(Sens!$R$2362:$AA$2362&lt;Sens!T$2362),Sens!$R$2394:$AA$2394)/fac_life</f>
        <v>0.360549480652134</v>
      </c>
      <c r="U2396" s="38" t="n">
        <f aca="false">SUMPRODUCT(--(Sens!$R$2362:$AA$2362&lt;Sens!U$2362),Sens!$R$2394:$AA$2394)/fac_life</f>
        <v>1.29709472025025</v>
      </c>
      <c r="V2396" s="38" t="n">
        <f aca="false">SUMPRODUCT(--(Sens!$R$2362:$AA$2362&lt;Sens!V$2362),Sens!$R$2394:$AA$2394)/fac_life</f>
        <v>3.21599529914753</v>
      </c>
      <c r="W2396" s="38" t="n">
        <f aca="false">SUMPRODUCT(--(Sens!$R$2362:$AA$2362&lt;Sens!W$2362),Sens!$R$2394:$AA$2394)/fac_life</f>
        <v>5.51832434914753</v>
      </c>
      <c r="X2396" s="38" t="n">
        <f aca="false">SUMPRODUCT(--(Sens!$R$2362:$AA$2362&lt;Sens!X$2362),Sens!$R$2394:$AA$2394)/fac_life</f>
        <v>7.82065339914753</v>
      </c>
      <c r="Y2396" s="38" t="n">
        <f aca="false">SUMPRODUCT(--(Sens!$R$2362:$AA$2362&lt;Sens!Y$2362),Sens!$R$2394:$AA$2394)/fac_life</f>
        <v>10.1229824491475</v>
      </c>
      <c r="Z2396" s="38" t="n">
        <f aca="false">SUMPRODUCT(--(Sens!$R$2362:$AA$2362&lt;Sens!Z$2362),Sens!$R$2394:$AA$2394)/fac_life</f>
        <v>12.4253114991475</v>
      </c>
      <c r="AA2396" s="38" t="n">
        <f aca="false">SUMPRODUCT(--(Sens!$R$2362:$AA$2362&lt;Sens!AA$2362),Sens!$R$2394:$AA$2394)/fac_life</f>
        <v>14.7276405491475</v>
      </c>
    </row>
    <row r="2397" customFormat="false" ht="17.15" hidden="false" customHeight="false" outlineLevel="0" collapsed="false">
      <c r="A2397" s="1" t="s">
        <v>593</v>
      </c>
      <c r="B2397" s="8" t="s">
        <v>73</v>
      </c>
      <c r="C2397" s="38" t="n">
        <f aca="false">Sens!$C$2395+Sens!$C$2396</f>
        <v>0.203463948620839</v>
      </c>
      <c r="D2397" s="38" t="n">
        <f aca="false">Sens!$D$2395+Sens!$D$2396</f>
        <v>3.62245206231783</v>
      </c>
      <c r="E2397" s="38" t="n">
        <f aca="false">Sens!$E$2395+Sens!$E$2396</f>
        <v>6.51597588754466</v>
      </c>
      <c r="F2397" s="38" t="n">
        <f aca="false">Sens!$F$2395+Sens!$F$2396</f>
        <v>6.51597588754466</v>
      </c>
      <c r="G2397" s="38" t="n">
        <f aca="false">Sens!$G$2395+Sens!$G$2396</f>
        <v>13.0319517750893</v>
      </c>
      <c r="H2397" s="38" t="n">
        <f aca="false">Sens!$H$2395+Sens!$H$2396</f>
        <v>35.2941921973308</v>
      </c>
      <c r="I2397" s="38" t="n">
        <f aca="false">Sens!$I$2395+Sens!$I$2396</f>
        <v>63.0173185714558</v>
      </c>
      <c r="J2397" s="38" t="n">
        <f aca="false">Sens!$J$2395+Sens!$J$2396</f>
        <v>91.7529624398725</v>
      </c>
      <c r="K2397" s="38" t="n">
        <f aca="false">Sens!$K$2395+Sens!$K$2396</f>
        <v>121.178188209924</v>
      </c>
      <c r="L2397" s="38" t="n">
        <f aca="false">Sens!$L$2395+Sens!$L$2396</f>
        <v>148.58073169504</v>
      </c>
      <c r="M2397" s="38" t="n">
        <f aca="false">Sens!$M$2395+Sens!$M$2396</f>
        <v>176.698573390283</v>
      </c>
      <c r="N2397" s="38" t="n">
        <f aca="false">Sens!$N$2395+Sens!$N$2396</f>
        <v>1.81122603115892</v>
      </c>
      <c r="O2397" s="38" t="n">
        <f aca="false">Sens!$O$2395+Sens!$O$2396</f>
        <v>1.81122603115892</v>
      </c>
      <c r="R2397" s="38" t="n">
        <f aca="false">Sens!$R$2395+Sens!$R$2396</f>
        <v>0</v>
      </c>
      <c r="S2397" s="38" t="n">
        <f aca="false">Sens!$S$2395+Sens!$S$2396</f>
        <v>0.203463948620839</v>
      </c>
      <c r="T2397" s="38" t="n">
        <f aca="false">Sens!$T$2395+Sens!$T$2396</f>
        <v>3.62245206231783</v>
      </c>
      <c r="U2397" s="38" t="n">
        <f aca="false">Sens!$U$2395+Sens!$U$2396</f>
        <v>13.0319517750893</v>
      </c>
      <c r="V2397" s="38" t="n">
        <f aca="false">Sens!$V$2395+Sens!$V$2396</f>
        <v>35.2941921973308</v>
      </c>
      <c r="W2397" s="38" t="n">
        <f aca="false">Sens!$W$2395+Sens!$W$2396</f>
        <v>63.0173185714558</v>
      </c>
      <c r="X2397" s="38" t="n">
        <f aca="false">Sens!$X$2395+Sens!$X$2396</f>
        <v>91.7529624398725</v>
      </c>
      <c r="Y2397" s="38" t="n">
        <f aca="false">Sens!$Y$2395+Sens!$Y$2396</f>
        <v>121.178188209924</v>
      </c>
      <c r="Z2397" s="38" t="n">
        <f aca="false">Sens!$Z$2395+Sens!$Z$2396</f>
        <v>148.58073169504</v>
      </c>
      <c r="AA2397" s="38" t="n">
        <f aca="false">Sens!$AA$2395+Sens!$AA$2396</f>
        <v>176.698573390283</v>
      </c>
    </row>
    <row r="2398" customFormat="false" ht="17.15" hidden="false" customHeight="false" outlineLevel="0" collapsed="false">
      <c r="A2398" s="0" t="s">
        <v>594</v>
      </c>
      <c r="B2398" s="0" t="s">
        <v>73</v>
      </c>
      <c r="C2398" s="38" t="n">
        <f aca="false">Sens!$S$2398</f>
        <v>26.578941154416</v>
      </c>
      <c r="D2398" s="38" t="n">
        <f aca="false">Sens!$T$2398</f>
        <v>92.5251207231008</v>
      </c>
      <c r="G2398" s="38" t="n">
        <f aca="false">Sens!$U$2398</f>
        <v>239.931219586022</v>
      </c>
      <c r="H2398" s="38" t="n">
        <f aca="false">Sens!$V$2398</f>
        <v>403.208392333442</v>
      </c>
      <c r="I2398" s="38" t="n">
        <f aca="false">Sens!$W$2398</f>
        <v>544.837543672486</v>
      </c>
      <c r="J2398" s="38" t="n">
        <f aca="false">Sens!$X$2398</f>
        <v>662.967819343113</v>
      </c>
      <c r="K2398" s="38" t="n">
        <f aca="false">Sens!$Y$2398</f>
        <v>756.90963744369</v>
      </c>
      <c r="L2398" s="38" t="n">
        <f aca="false">Sens!$Z$2398</f>
        <v>860.10628945915</v>
      </c>
      <c r="M2398" s="38" t="n">
        <f aca="false">Sens!$AA$2398</f>
        <v>995.283560834616</v>
      </c>
      <c r="R2398" s="38" t="n">
        <f aca="false">SUM(Sens!$R$2391:$R$2391)-SUM(Sens!$R$2397:$R$2397)</f>
        <v>1.50429979529945</v>
      </c>
      <c r="S2398" s="38" t="n">
        <f aca="false">SUM(Sens!$R$2391:$S$2391)-SUM(Sens!$R$2397:$S$2397)</f>
        <v>26.578941154416</v>
      </c>
      <c r="T2398" s="38" t="n">
        <f aca="false">SUM(Sens!$R$2391:$T$2391)-SUM(Sens!$R$2397:$T$2397)</f>
        <v>92.5251207231008</v>
      </c>
      <c r="U2398" s="38" t="n">
        <f aca="false">SUM(Sens!$R$2391:$U$2391)-SUM(Sens!$R$2397:$U$2397)</f>
        <v>239.931219586022</v>
      </c>
      <c r="V2398" s="38" t="n">
        <f aca="false">SUM(Sens!$R$2391:$V$2391)-SUM(Sens!$R$2397:$V$2397)</f>
        <v>403.208392333442</v>
      </c>
      <c r="W2398" s="38" t="n">
        <f aca="false">SUM(Sens!$R$2391:$W$2391)-SUM(Sens!$R$2397:$W$2397)</f>
        <v>544.837543672486</v>
      </c>
      <c r="X2398" s="38" t="n">
        <f aca="false">SUM(Sens!$R$2391:$X$2391)-SUM(Sens!$R$2397:$X$2397)</f>
        <v>662.967819343113</v>
      </c>
      <c r="Y2398" s="38" t="n">
        <f aca="false">SUM(Sens!$R$2391:$Y$2391)-SUM(Sens!$R$2397:$Y$2397)</f>
        <v>756.90963744369</v>
      </c>
      <c r="Z2398" s="38" t="n">
        <f aca="false">SUM(Sens!$R$2391:$Z$2391)-SUM(Sens!$R$2397:$Z$2397)</f>
        <v>860.10628945915</v>
      </c>
      <c r="AA2398" s="38" t="n">
        <f aca="false">SUM(Sens!$R$2391:$AA$2391)-SUM(Sens!$R$2397:$AA$2397)</f>
        <v>995.283560834616</v>
      </c>
    </row>
    <row r="2399" customFormat="false" ht="17.15" hidden="false" customHeight="false" outlineLevel="0" collapsed="false">
      <c r="A2399" s="1" t="s">
        <v>595</v>
      </c>
    </row>
    <row r="2400" customFormat="false" ht="17.15" hidden="false" customHeight="false" outlineLevel="0" collapsed="false">
      <c r="A2400" s="0" t="s">
        <v>596</v>
      </c>
      <c r="B2400" s="0" t="s">
        <v>73</v>
      </c>
      <c r="C2400" s="38" t="n">
        <f aca="false">Sens!$C$2382-ext_sh*Sens!$C$2384</f>
        <v>1.80694998843362</v>
      </c>
      <c r="D2400" s="38" t="n">
        <f aca="false">Sens!$D$2382-ext_sh*Sens!$D$2384</f>
        <v>6.77606245662607</v>
      </c>
      <c r="E2400" s="38" t="n">
        <f aca="false">Sens!$E$2382-ext_sh*Sens!$E$2384</f>
        <v>6.62548329092326</v>
      </c>
      <c r="F2400" s="38" t="n">
        <f aca="false">Sens!$F$2382-ext_sh*Sens!$F$2384</f>
        <v>11.7200577158706</v>
      </c>
      <c r="G2400" s="38" t="n">
        <f aca="false">Sens!$G$2382-ext_sh*Sens!$G$2384</f>
        <v>18.3455410067939</v>
      </c>
      <c r="H2400" s="38" t="n">
        <f aca="false">Sens!$H$2382-ext_sh*Sens!$H$2384</f>
        <v>47.5171727060453</v>
      </c>
      <c r="I2400" s="38" t="n">
        <f aca="false">Sens!$I$2382-ext_sh*Sens!$I$2384</f>
        <v>80.5539692643667</v>
      </c>
      <c r="J2400" s="38" t="n">
        <f aca="false">Sens!$J$2382-ext_sh*Sens!$J$2384</f>
        <v>113.759316834883</v>
      </c>
      <c r="K2400" s="38" t="n">
        <f aca="false">Sens!$K$2382-ext_sh*Sens!$K$2384</f>
        <v>147.020848076132</v>
      </c>
      <c r="L2400" s="38" t="n">
        <f aca="false">Sens!$L$2382-ext_sh*Sens!$L$2384</f>
        <v>180.307917349531</v>
      </c>
      <c r="M2400" s="38" t="n">
        <f aca="false">Sens!$M$2382-ext_sh*Sens!$M$2384</f>
        <v>213.608737871012</v>
      </c>
      <c r="N2400" s="38" t="n">
        <f aca="false">Sens!$N$2382-ext_sh*Sens!$N$2384</f>
        <v>2.37162185981912</v>
      </c>
      <c r="O2400" s="38" t="n">
        <f aca="false">Sens!$O$2382-ext_sh*Sens!$O$2384</f>
        <v>4.40444059680694</v>
      </c>
    </row>
    <row r="2401" customFormat="false" ht="17.15" hidden="false" customHeight="false" outlineLevel="0" collapsed="false">
      <c r="A2401" s="1" t="s">
        <v>597</v>
      </c>
      <c r="B2401" s="8" t="s">
        <v>73</v>
      </c>
      <c r="C2401" s="38" t="n">
        <f aca="false">Sens!$C$2400-ext_sh*Sens!$C$2397</f>
        <v>1.64417882953695</v>
      </c>
      <c r="D2401" s="38" t="n">
        <f aca="false">Sens!$D$2400-ext_sh*Sens!$D$2397</f>
        <v>3.8781008067718</v>
      </c>
      <c r="E2401" s="38" t="n">
        <f aca="false">Sens!$E$2400-ext_sh*Sens!$E$2397</f>
        <v>1.41270258088753</v>
      </c>
      <c r="F2401" s="38" t="n">
        <f aca="false">Sens!$F$2400-ext_sh*Sens!$F$2397</f>
        <v>6.50727700583486</v>
      </c>
      <c r="G2401" s="38" t="n">
        <f aca="false">Sens!$G$2400-ext_sh*Sens!$G$2397</f>
        <v>7.9199795867224</v>
      </c>
      <c r="H2401" s="38" t="n">
        <f aca="false">Sens!$H$2400-ext_sh*Sens!$H$2397</f>
        <v>19.2818189481807</v>
      </c>
      <c r="I2401" s="38" t="n">
        <f aca="false">Sens!$I$2400-ext_sh*Sens!$I$2397</f>
        <v>30.140114407202</v>
      </c>
      <c r="J2401" s="38" t="n">
        <f aca="false">Sens!$J$2400-ext_sh*Sens!$J$2397</f>
        <v>40.3569468829854</v>
      </c>
      <c r="K2401" s="38" t="n">
        <f aca="false">Sens!$K$2400-ext_sh*Sens!$K$2397</f>
        <v>50.0782975081929</v>
      </c>
      <c r="L2401" s="38" t="n">
        <f aca="false">Sens!$L$2400-ext_sh*Sens!$L$2397</f>
        <v>61.443331993499</v>
      </c>
      <c r="M2401" s="38" t="n">
        <f aca="false">Sens!$M$2400-ext_sh*Sens!$M$2397</f>
        <v>72.2498791587849</v>
      </c>
      <c r="N2401" s="38" t="n">
        <f aca="false">Sens!$N$2400-ext_sh*Sens!$N$2397</f>
        <v>0.92264103489199</v>
      </c>
      <c r="O2401" s="38" t="n">
        <f aca="false">Sens!$O$2400-ext_sh*Sens!$O$2397</f>
        <v>2.95545977187981</v>
      </c>
    </row>
    <row r="2402" customFormat="false" ht="17.15" hidden="false" customHeight="false" outlineLevel="0" collapsed="false">
      <c r="A2402" s="0" t="s">
        <v>598</v>
      </c>
      <c r="B2402" s="0" t="s">
        <v>52</v>
      </c>
      <c r="C2402" s="12" t="n">
        <f aca="false">Sens!$C$2401/Sens!$C$2382</f>
        <v>0.708390794789371</v>
      </c>
      <c r="D2402" s="12" t="n">
        <f aca="false">Sens!$D$2401/Sens!$D$2382</f>
        <v>0.445565630441968</v>
      </c>
      <c r="E2402" s="12" t="n">
        <f aca="false">Sens!$E$2401/Sens!$E$2382</f>
        <v>0.165998118402711</v>
      </c>
      <c r="F2402" s="12" t="n">
        <f aca="false">Sens!$F$2401/Sens!$F$2382</f>
        <v>0.434878595403858</v>
      </c>
      <c r="G2402" s="12" t="n">
        <f aca="false">Sens!$G$2401/Sens!$G$2382</f>
        <v>0.3373967615381</v>
      </c>
      <c r="H2402" s="12" t="n">
        <f aca="false">Sens!$H$2401/Sens!$H$2382</f>
        <v>0.320477578041224</v>
      </c>
      <c r="I2402" s="12" t="n">
        <f aca="false">Sens!$I$2401/Sens!$I$2382</f>
        <v>0.296936118226494</v>
      </c>
      <c r="J2402" s="12" t="n">
        <f aca="false">Sens!$J$2401/Sens!$J$2382</f>
        <v>0.282166278613001</v>
      </c>
      <c r="K2402" s="12" t="n">
        <f aca="false">Sens!$K$2401/Sens!$K$2382</f>
        <v>0.271267685694333</v>
      </c>
      <c r="L2402" s="12" t="n">
        <f aca="false">Sens!$L$2401/Sens!$L$2382</f>
        <v>0.27160960915653</v>
      </c>
      <c r="M2402" s="12" t="n">
        <f aca="false">Sens!$M$2401/Sens!$M$2382</f>
        <v>0.26974494804234</v>
      </c>
      <c r="N2402" s="12" t="n">
        <f aca="false">Sens!$N$2401/Sens!$N$2382</f>
        <v>0.302870734830849</v>
      </c>
      <c r="O2402" s="12" t="n">
        <f aca="false">Sens!$O$2401/Sens!$O$2382</f>
        <v>0.52240134346334</v>
      </c>
    </row>
    <row r="2403" customFormat="false" ht="17.15" hidden="false" customHeight="false" outlineLevel="0" collapsed="false">
      <c r="A2403" s="5" t="s">
        <v>599</v>
      </c>
      <c r="B2403" s="0" t="s">
        <v>73</v>
      </c>
      <c r="C2403" s="38" t="n">
        <f aca="false">rd2_hi*(1-ext_sh)/ext_sh*Sens!$C$2365*he_open*Sens!$C$2366/1000</f>
        <v>0.584960855129516</v>
      </c>
      <c r="D2403" s="38" t="n">
        <f aca="false">rd2_hi*(1-ext_sh)/ext_sh*Sens!$D$2365*he_open*Sens!$D$2366/1000</f>
        <v>2.19360320673569</v>
      </c>
      <c r="E2403" s="38" t="n">
        <f aca="false">rd2_hi*(1-ext_sh)/ext_sh*Sens!$E$2365*he_open*Sens!$E$2366/1000</f>
        <v>2.14485646880823</v>
      </c>
      <c r="F2403" s="38" t="n">
        <f aca="false">rd2_hi*(1-ext_sh)/ext_sh*(mw_open*he_open+Sens!$F$2380*Sens!$F$2377)*Sens!$F$2366/1000</f>
        <v>3.77122048175818</v>
      </c>
      <c r="G2403" s="38" t="n">
        <f aca="false">Sens!$E$2403+Sens!$F$2403</f>
        <v>5.9160769505664</v>
      </c>
      <c r="H2403" s="38" t="n">
        <f aca="false">rd2_hi*(1-ext_sh)/ext_sh*(mw_open*he_open+Sens!$H$2380*Sens!$H$2377)*Sens!$H$2366/1000</f>
        <v>15.1635543609893</v>
      </c>
      <c r="I2403" s="38" t="n">
        <f aca="false">rd2_hi*(1-ext_sh)/ext_sh*(mw_open*he_open+Sens!$I$2380*Sens!$I$2377)*Sens!$I$2366/1000</f>
        <v>25.5818843619889</v>
      </c>
      <c r="J2403" s="38" t="n">
        <f aca="false">rd2_hi*(1-ext_sh)/ext_sh*(mw_open*he_open+Sens!$J$2380*Sens!$J$2377)*Sens!$J$2366/1000</f>
        <v>36.0465624179122</v>
      </c>
      <c r="K2403" s="38" t="n">
        <f aca="false">rd2_hi*(1-ext_sh)/ext_sh*(mw_open*he_open+Sens!$K$2380*Sens!$K$2377)*Sens!$K$2366/1000</f>
        <v>46.5266898254767</v>
      </c>
      <c r="L2403" s="38" t="n">
        <f aca="false">rd2_hi*(1-ext_sh)/ext_sh*(mw_open*he_open+Sens!$L$2380*Sens!$L$2377)*Sens!$L$2366/1000</f>
        <v>57.0138396656054</v>
      </c>
      <c r="M2403" s="38" t="n">
        <f aca="false">rd2_hi*(1-ext_sh)/ext_sh*(mw_open*he_open+Sens!$M$2380*Sens!$M$2377)*Sens!$M$2366/1000</f>
        <v>67.5047708155764</v>
      </c>
      <c r="N2403" s="38" t="n">
        <f aca="false">rd2_hi*(1-ext_sh)/ext_sh*Sens!$N$2365*he_open*Sens!$N$2366/1000</f>
        <v>0.76776112235749</v>
      </c>
      <c r="O2403" s="38" t="n">
        <f aca="false">rd2_hi*(1-ext_sh)/ext_sh*Sens!$O$2365*he_open*Sens!$O$2366/1000</f>
        <v>1.4258420843782</v>
      </c>
      <c r="P2403" s="8" t="s">
        <v>600</v>
      </c>
    </row>
    <row r="2404" customFormat="false" ht="17.15" hidden="false" customHeight="false" outlineLevel="0" collapsed="false">
      <c r="A2404" s="5" t="s">
        <v>601</v>
      </c>
      <c r="B2404" s="0" t="s">
        <v>73</v>
      </c>
      <c r="C2404" s="38" t="n">
        <f aca="false">(1-ext_sh)*(Sens!$C$2384+Sens!$C$2397)-Sens!$C$2403</f>
        <v>-0.415754223270342</v>
      </c>
      <c r="D2404" s="38" t="n">
        <f aca="false">(1-ext_sh)*(Sens!$D$2384+Sens!$D$2397)-Sens!$D$2403</f>
        <v>-0.987185886265846</v>
      </c>
      <c r="E2404" s="38" t="n">
        <f aca="false">(1-ext_sh)*(Sens!$E$2384+Sens!$E$2397)-Sens!$E$2403</f>
        <v>-0.370443870137604</v>
      </c>
      <c r="F2404" s="38" t="n">
        <f aca="false">(1-ext_sh)*(Sens!$F$2384+Sens!$F$2397)-Sens!$F$2403</f>
        <v>-1.65718132203678</v>
      </c>
      <c r="G2404" s="38" t="n">
        <f aca="false">(1-ext_sh)*(Sens!$G$2384+Sens!$G$2397)-Sens!$G$2403</f>
        <v>-2.02762519217439</v>
      </c>
      <c r="H2404" s="38" t="n">
        <f aca="false">(1-ext_sh)*(Sens!$H$2384+Sens!$H$2397)-Sens!$H$2403</f>
        <v>-4.94253641059082</v>
      </c>
      <c r="I2404" s="38" t="n">
        <f aca="false">(1-ext_sh)*(Sens!$I$2384+Sens!$I$2397)-Sens!$I$2403</f>
        <v>-7.74098817968138</v>
      </c>
      <c r="J2404" s="38" t="n">
        <f aca="false">(1-ext_sh)*(Sens!$J$2384+Sens!$J$2397)-Sens!$J$2403</f>
        <v>-10.379447350839</v>
      </c>
      <c r="K2404" s="38" t="n">
        <f aca="false">(1-ext_sh)*(Sens!$K$2384+Sens!$K$2397)-Sens!$K$2403</f>
        <v>-12.8941604419781</v>
      </c>
      <c r="L2404" s="38" t="n">
        <f aca="false">(1-ext_sh)*(Sens!$L$2384+Sens!$L$2397)-Sens!$L$2403</f>
        <v>-15.819851035699</v>
      </c>
      <c r="M2404" s="38" t="n">
        <f aca="false">(1-ext_sh)*(Sens!$M$2384+Sens!$M$2397)-Sens!$M$2403</f>
        <v>-18.6059502427147</v>
      </c>
      <c r="N2404" s="38" t="n">
        <f aca="false">(1-ext_sh)*(Sens!$N$2384+Sens!$N$2397)-Sens!$N$2403</f>
        <v>-0.236841498323511</v>
      </c>
      <c r="O2404" s="38" t="n">
        <f aca="false">(1-ext_sh)*(Sens!$O$2384+Sens!$O$2397)-Sens!$O$2403</f>
        <v>-0.750344387942335</v>
      </c>
    </row>
    <row r="2405" customFormat="false" ht="17.15" hidden="false" customHeight="false" outlineLevel="0" collapsed="false">
      <c r="A2405" s="0" t="s">
        <v>602</v>
      </c>
      <c r="B2405" s="0" t="s">
        <v>73</v>
      </c>
      <c r="C2405" s="38" t="n">
        <f aca="false">Q!$D$24</f>
        <v>39.834</v>
      </c>
      <c r="D2405" s="38" t="n">
        <f aca="false">Q!$E$24</f>
        <v>45.606</v>
      </c>
      <c r="E2405" s="38" t="n">
        <f aca="false">Q!$P$24</f>
        <v>30.782</v>
      </c>
      <c r="N2405" s="38" t="n">
        <f aca="false">Q!$N$24</f>
        <v>21.707</v>
      </c>
      <c r="O2405" s="38" t="n">
        <f aca="false">Q!$O$24</f>
        <v>23.899</v>
      </c>
    </row>
    <row r="2406" customFormat="false" ht="17.15" hidden="false" customHeight="false" outlineLevel="0" collapsed="false">
      <c r="A2406" s="0" t="s">
        <v>603</v>
      </c>
      <c r="B2406" s="0" t="s">
        <v>73</v>
      </c>
      <c r="C2406" s="38" t="n">
        <f aca="false">Sens!$C$2405-Sens!$C$2401</f>
        <v>38.1898211704631</v>
      </c>
      <c r="D2406" s="38" t="n">
        <f aca="false">Sens!$D$2405-Sens!$D$2401</f>
        <v>41.7278991932282</v>
      </c>
      <c r="E2406" s="38" t="n">
        <f aca="false">Sens!$E$2405-Sens!$E$2401</f>
        <v>29.3692974191125</v>
      </c>
      <c r="F2406" s="38" t="n">
        <f aca="false">Sens!$F$2386*Sens!$F$2407</f>
        <v>29.458060516894</v>
      </c>
      <c r="G2406" s="38" t="n">
        <f aca="false">Sens!$E$2406+Sens!$F$2406</f>
        <v>58.8273579360065</v>
      </c>
      <c r="H2406" s="38" t="n">
        <f aca="false">Sens!$H$2386*Sens!$H$2407</f>
        <v>67.8004040185081</v>
      </c>
      <c r="I2406" s="38" t="n">
        <f aca="false">Sens!$I$2386*Sens!$I$2407</f>
        <v>78.9527630302702</v>
      </c>
      <c r="J2406" s="38" t="n">
        <f aca="false">Sens!$J$2386*Sens!$J$2407</f>
        <v>88.6042681781841</v>
      </c>
      <c r="K2406" s="38" t="n">
        <f aca="false">Sens!$K$2386*Sens!$K$2407</f>
        <v>95.6926096324389</v>
      </c>
      <c r="L2406" s="38" t="n">
        <f aca="false">Sens!$L$2386*Sens!$L$2407</f>
        <v>103.348018403034</v>
      </c>
      <c r="M2406" s="38" t="n">
        <f aca="false">Sens!$M$2386*Sens!$M$2407</f>
        <v>111.615859875277</v>
      </c>
      <c r="N2406" s="38" t="n">
        <f aca="false">Sens!$N$2405-Sens!$N$2401</f>
        <v>20.784358965108</v>
      </c>
      <c r="O2406" s="38" t="n">
        <f aca="false">Sens!$O$2405-Sens!$O$2401</f>
        <v>20.9435402281202</v>
      </c>
      <c r="P2406" s="5" t="s">
        <v>604</v>
      </c>
    </row>
    <row r="2407" customFormat="false" ht="17.15" hidden="false" customHeight="false" outlineLevel="0" collapsed="false">
      <c r="A2407" s="0" t="s">
        <v>605</v>
      </c>
      <c r="B2407" s="0" t="s">
        <v>52</v>
      </c>
      <c r="C2407" s="12" t="n">
        <f aca="false">Sens!$C$2406/Sens!$C$2386</f>
        <v>0.362900395443635</v>
      </c>
      <c r="D2407" s="12" t="n">
        <f aca="false">Sens!$D$2406/Sens!$D$2386</f>
        <v>0.34767098474203</v>
      </c>
      <c r="E2407" s="12" t="n">
        <f aca="false">Sens!$E$2406/Sens!$E$2386</f>
        <v>0.411861655558416</v>
      </c>
      <c r="F2407" s="12" t="n">
        <f aca="false">(Sens!$O$2406+Sens!$E$2406)/(Sens!$O$2386+Sens!$E$2386)</f>
        <v>0.37480827803158</v>
      </c>
      <c r="G2407" s="12" t="n">
        <f aca="false">Sens!$G$2406/Sens!$G$2386</f>
        <v>0.392434440489471</v>
      </c>
      <c r="H2407" s="12" t="n">
        <f aca="false">Sens!$F$2407</f>
        <v>0.37480827803158</v>
      </c>
      <c r="I2407" s="12" t="n">
        <f aca="false">Sens!$F$2407</f>
        <v>0.37480827803158</v>
      </c>
      <c r="J2407" s="12" t="n">
        <f aca="false">Sens!$F$2407</f>
        <v>0.37480827803158</v>
      </c>
      <c r="K2407" s="12" t="n">
        <f aca="false">Sens!$F$2407</f>
        <v>0.37480827803158</v>
      </c>
      <c r="L2407" s="12" t="n">
        <f aca="false">Sens!$F$2407</f>
        <v>0.37480827803158</v>
      </c>
      <c r="M2407" s="12" t="n">
        <f aca="false">Sens!$F$2407</f>
        <v>0.37480827803158</v>
      </c>
      <c r="N2407" s="12" t="n">
        <f aca="false">Sens!$N$2406/Sens!$N$2386</f>
        <v>0.364039571356823</v>
      </c>
      <c r="O2407" s="12" t="n">
        <f aca="false">Sens!$O$2406/Sens!$O$2386</f>
        <v>0.332819892300086</v>
      </c>
      <c r="P2407" s="8" t="s">
        <v>606</v>
      </c>
    </row>
    <row r="2408" customFormat="false" ht="17.15" hidden="false" customHeight="false" outlineLevel="0" collapsed="false">
      <c r="A2408" s="0" t="s">
        <v>607</v>
      </c>
      <c r="B2408" s="0" t="s">
        <v>52</v>
      </c>
      <c r="D2408" s="12" t="n">
        <f aca="false">(Q!$E$31-ext_sh*Sens!$D$2397)/Sens!$D$2386</f>
        <v>0.154572973163571</v>
      </c>
    </row>
    <row r="2409" customFormat="false" ht="17.15" hidden="false" customHeight="false" outlineLevel="0" collapsed="false">
      <c r="A2409" s="0" t="s">
        <v>608</v>
      </c>
      <c r="B2409" s="0" t="s">
        <v>73</v>
      </c>
      <c r="C2409" s="38" t="n">
        <f aca="false">Q!$D$31</f>
        <v>13.32</v>
      </c>
      <c r="D2409" s="38" t="n">
        <f aca="false">Q!$E$31</f>
        <v>21.45</v>
      </c>
      <c r="E2409" s="38" t="n">
        <f aca="false">Q!$P$31</f>
        <v>15.353</v>
      </c>
      <c r="F2409" s="38" t="n">
        <f aca="false">ext_sh*Sens!$F$2397+Sens!$D$2408*Sens!$F$2386</f>
        <v>17.3614451462707</v>
      </c>
      <c r="G2409" s="38" t="n">
        <f aca="false">Sens!$E$2409+Sens!$F$2409</f>
        <v>32.7144451462707</v>
      </c>
      <c r="H2409" s="38" t="n">
        <f aca="false">ext_sh*Sens!$H$2397+Sens!$D$2408*Sens!$H$2386</f>
        <v>56.1966092719415</v>
      </c>
      <c r="I2409" s="38" t="n">
        <f aca="false">ext_sh*Sens!$I$2397+Sens!$D$2408*Sens!$I$2386</f>
        <v>82.9744039068297</v>
      </c>
      <c r="J2409" s="38" t="n">
        <f aca="false">ext_sh*Sens!$J$2397+Sens!$D$2408*Sens!$J$2386</f>
        <v>109.943252237669</v>
      </c>
      <c r="K2409" s="38" t="n">
        <f aca="false">ext_sh*Sens!$K$2397+Sens!$D$2408*Sens!$K$2386</f>
        <v>136.406703436571</v>
      </c>
      <c r="L2409" s="38" t="n">
        <f aca="false">ext_sh*Sens!$L$2397+Sens!$D$2408*Sens!$L$2386</f>
        <v>161.485870454155</v>
      </c>
      <c r="M2409" s="38" t="n">
        <f aca="false">ext_sh*Sens!$M$2397+Sens!$D$2408*Sens!$M$2386</f>
        <v>187.389846618199</v>
      </c>
      <c r="N2409" s="38" t="n">
        <f aca="false">Q!$N$31</f>
        <v>9.234</v>
      </c>
      <c r="O2409" s="38" t="n">
        <f aca="false">Q!$O$31</f>
        <v>12.216</v>
      </c>
    </row>
    <row r="2410" customFormat="false" ht="17.15" hidden="false" customHeight="false" outlineLevel="0" collapsed="false">
      <c r="A2410" s="1" t="s">
        <v>609</v>
      </c>
    </row>
    <row r="2411" customFormat="false" ht="17.15" hidden="false" customHeight="false" outlineLevel="0" collapsed="false">
      <c r="A2411" s="14" t="s">
        <v>610</v>
      </c>
      <c r="B2411" s="13" t="s">
        <v>52</v>
      </c>
      <c r="C2411" s="13"/>
      <c r="D2411" s="13"/>
      <c r="E2411" s="13"/>
      <c r="F2411" s="13"/>
      <c r="G2411" s="16" t="n">
        <f aca="false">Sens!$G$2401*(1-tax)/(ext_sh*(Sens!$D$2398+Sens!$G$2398)/2)</f>
        <v>0.0492184452944045</v>
      </c>
      <c r="H2411" s="16" t="n">
        <f aca="false">Sens!$H$2401*(1-tax)/(ext_sh*(Sens!$G$2398+Sens!$H$2398)/2)</f>
        <v>0.0619414246858107</v>
      </c>
      <c r="I2411" s="16" t="n">
        <f aca="false">Sens!$I$2401*(1-tax)/(ext_sh*(Sens!$H$2398+Sens!$I$2398)/2)</f>
        <v>0.0656831488051666</v>
      </c>
      <c r="J2411" s="16" t="n">
        <f aca="false">Sens!$J$2401*(1-tax)/(ext_sh*(Sens!$I$2398+Sens!$J$2398)/2)</f>
        <v>0.0690334849962116</v>
      </c>
      <c r="K2411" s="16" t="n">
        <f aca="false">Sens!$K$2401*(1-tax)/(ext_sh*(Sens!$J$2398+Sens!$K$2398)/2)</f>
        <v>0.0728680488295485</v>
      </c>
      <c r="L2411" s="16" t="n">
        <f aca="false">Sens!$L$2401*(1-tax)/(ext_sh*(Sens!$K$2398+Sens!$L$2398)/2)</f>
        <v>0.0785052878122331</v>
      </c>
      <c r="M2411" s="16" t="n">
        <f aca="false">Sens!$M$2401*(1-tax)/(ext_sh*(Sens!$L$2398+Sens!$M$2398)/2)</f>
        <v>0.0804526580722741</v>
      </c>
      <c r="N2411" s="13"/>
      <c r="O2411" s="13"/>
      <c r="P2411" s="8" t="s">
        <v>611</v>
      </c>
    </row>
    <row r="2412" customFormat="false" ht="17.15" hidden="false" customHeight="false" outlineLevel="0" collapsed="false">
      <c r="A2412" s="5" t="s">
        <v>612</v>
      </c>
      <c r="B2412" s="0" t="s">
        <v>57</v>
      </c>
      <c r="H2412" s="36" t="n">
        <f aca="false">Sens!$H$2382*1000/(mw_open*he_open+Sens!$H$2380*Sens!$H$2377)</f>
        <v>0.991949006767191</v>
      </c>
      <c r="I2412" s="36" t="n">
        <f aca="false">Sens!$I$2382*1000/(mw_open*he_open+Sens!$I$2380*Sens!$I$2377)</f>
        <v>0.991949006767191</v>
      </c>
      <c r="J2412" s="36" t="n">
        <f aca="false">Sens!$J$2382*1000/(mw_open*he_open+Sens!$J$2380*Sens!$J$2377)</f>
        <v>0.991949006767191</v>
      </c>
      <c r="K2412" s="36" t="n">
        <f aca="false">Sens!$K$2382*1000/(mw_open*he_open+Sens!$K$2380*Sens!$K$2377)</f>
        <v>0.991949006767191</v>
      </c>
      <c r="L2412" s="36" t="n">
        <f aca="false">Sens!$L$2382*1000/(mw_open*he_open+Sens!$L$2380*Sens!$L$2377)</f>
        <v>0.991949006767191</v>
      </c>
      <c r="M2412" s="36" t="n">
        <f aca="false">Sens!$M$2382*1000/(mw_open*he_open+Sens!$M$2380*Sens!$M$2377)</f>
        <v>0.991949006767192</v>
      </c>
    </row>
    <row r="2413" customFormat="false" ht="17.15" hidden="false" customHeight="false" outlineLevel="0" collapsed="false">
      <c r="A2413" s="5" t="s">
        <v>613</v>
      </c>
      <c r="B2413" s="0" t="s">
        <v>57</v>
      </c>
      <c r="H2413" s="36" t="n">
        <f aca="false">Sens!$H$2412*(Sens!$H$2382+wacc*ext_sh*(Sens!$G$2398+Sens!$H$2398)/2/(1-tax)-Sens!$H$2401)/Sens!$H$2382</f>
        <v>1.3149781212103</v>
      </c>
      <c r="I2413" s="36" t="n">
        <f aca="false">Sens!$I$2412*(Sens!$I$2382+wacc*ext_sh*(Sens!$H$2398+Sens!$I$2398)/2/(1-tax)-Sens!$I$2401)/Sens!$I$2382</f>
        <v>1.25742005569107</v>
      </c>
      <c r="J2413" s="36" t="n">
        <f aca="false">Sens!$J$2412*(Sens!$J$2382+wacc*ext_sh*(Sens!$I$2398+Sens!$J$2398)/2/(1-tax)-Sens!$J$2401)/Sens!$J$2382</f>
        <v>1.21838845868559</v>
      </c>
      <c r="K2413" s="36" t="n">
        <f aca="false">Sens!$K$2412*(Sens!$K$2382+wacc*ext_sh*(Sens!$J$2398+Sens!$K$2398)/2/(1-tax)-Sens!$K$2401)/Sens!$K$2382</f>
        <v>1.18402644209548</v>
      </c>
      <c r="L2413" s="36" t="n">
        <f aca="false">Sens!$L$2412*(Sens!$L$2382+wacc*ext_sh*(Sens!$K$2398+Sens!$L$2398)/2/(1-tax)-Sens!$L$2401)/Sens!$L$2382</f>
        <v>1.15111215322059</v>
      </c>
      <c r="M2413" s="36" t="n">
        <f aca="false">Sens!$M$2412*(Sens!$M$2382+wacc*ext_sh*(Sens!$L$2398+Sens!$M$2398)/2/(1-tax)-Sens!$M$2401)/Sens!$M$2382</f>
        <v>1.1397166845677</v>
      </c>
    </row>
    <row r="2414" customFormat="false" ht="17.15" hidden="false" customHeight="false" outlineLevel="0" collapsed="false">
      <c r="A2414" s="5" t="s">
        <v>614</v>
      </c>
      <c r="B2414" s="0" t="s">
        <v>52</v>
      </c>
      <c r="C2414" s="12" t="n">
        <f aca="false">Sens!$C$2383/tk_pq</f>
        <v>0.195316432429398</v>
      </c>
      <c r="D2414" s="12" t="n">
        <f aca="false">Sens!$D$2383/tk_pq</f>
        <v>0.195316432429398</v>
      </c>
      <c r="E2414" s="12" t="n">
        <f aca="false">Sens!$E$2383/tk_pq</f>
        <v>0.195316432429398</v>
      </c>
      <c r="F2414" s="12" t="n">
        <f aca="false">Sens!$F$2383/tk_pq</f>
        <v>0.202241827274866</v>
      </c>
      <c r="G2414" s="12" t="n">
        <f aca="false">Sens!$G$2383/tk_pq</f>
        <v>0.199675016194063</v>
      </c>
      <c r="H2414" s="12" t="n">
        <f aca="false">Sens!$H$2383/tk_pq</f>
        <v>0.212647947710325</v>
      </c>
      <c r="I2414" s="12" t="n">
        <f aca="false">Sens!$I$2383/tk_pq</f>
        <v>0.219285125475351</v>
      </c>
      <c r="J2414" s="12" t="n">
        <f aca="false">Sens!$J$2383/tk_pq</f>
        <v>0.222492493217189</v>
      </c>
      <c r="K2414" s="12" t="n">
        <f aca="false">Sens!$K$2383/tk_pq</f>
        <v>0.224371415939166</v>
      </c>
      <c r="L2414" s="12" t="n">
        <f aca="false">Sens!$L$2383/tk_pq</f>
        <v>0.225603749825993</v>
      </c>
      <c r="M2414" s="12" t="n">
        <f aca="false">Sens!$M$2383/tk_pq</f>
        <v>0.22647376274628</v>
      </c>
      <c r="N2414" s="12" t="n">
        <f aca="false">Sens!$N$2383/tk_pq</f>
        <v>0.195316432429398</v>
      </c>
      <c r="O2414" s="12" t="n">
        <f aca="false">Sens!$O$2383/tk_pq</f>
        <v>0.195316432429398</v>
      </c>
      <c r="P2414" s="5" t="s">
        <v>615</v>
      </c>
    </row>
    <row r="2417" customFormat="false" ht="17.15" hidden="false" customHeight="false" outlineLevel="0" collapsed="false">
      <c r="A2417" s="1" t="s">
        <v>642</v>
      </c>
    </row>
    <row r="2418" customFormat="false" ht="17.15" hidden="false" customHeight="false" outlineLevel="0" collapsed="false">
      <c r="A2418" s="0" t="s">
        <v>643</v>
      </c>
      <c r="B2418" s="0" t="s">
        <v>73</v>
      </c>
      <c r="C2418" s="38" t="n">
        <f aca="false">Sens!$C$2382</f>
        <v>2.32100535697364</v>
      </c>
      <c r="D2418" s="38" t="n">
        <f aca="false">Sens!$D$2382</f>
        <v>8.70377008865116</v>
      </c>
      <c r="E2418" s="38" t="n">
        <f aca="false">Sens!$E$2382</f>
        <v>8.51035297557002</v>
      </c>
      <c r="F2418" s="38" t="n">
        <f aca="false">Sens!$F$2382</f>
        <v>14.9634336447205</v>
      </c>
      <c r="G2418" s="38" t="n">
        <f aca="false">Sens!$G$2382</f>
        <v>23.4737866202905</v>
      </c>
      <c r="H2418" s="38" t="n">
        <f aca="false">Sens!$H$2382</f>
        <v>60.1658907497746</v>
      </c>
      <c r="I2418" s="38" t="n">
        <f aca="false">Sens!$I$2382</f>
        <v>101.503699136432</v>
      </c>
      <c r="J2418" s="38" t="n">
        <f aca="false">Sens!$J$2382</f>
        <v>143.025407151278</v>
      </c>
      <c r="K2418" s="38" t="n">
        <f aca="false">Sens!$K$2382</f>
        <v>184.608415042187</v>
      </c>
      <c r="L2418" s="38" t="n">
        <f aca="false">Sens!$L$2382</f>
        <v>226.219286513125</v>
      </c>
      <c r="M2418" s="38" t="n">
        <f aca="false">Sens!$M$2382</f>
        <v>267.845161450232</v>
      </c>
      <c r="N2418" s="38" t="n">
        <f aca="false">Sens!$N$2382</f>
        <v>3.04631953102791</v>
      </c>
      <c r="O2418" s="38" t="n">
        <f aca="false">Sens!$O$2382</f>
        <v>5.65745055762326</v>
      </c>
      <c r="P2418" s="8" t="s">
        <v>644</v>
      </c>
    </row>
    <row r="2419" customFormat="false" ht="17.15" hidden="false" customHeight="false" outlineLevel="0" collapsed="false">
      <c r="A2419" s="0" t="s">
        <v>645</v>
      </c>
      <c r="B2419" s="0" t="s">
        <v>73</v>
      </c>
      <c r="C2419" s="38" t="n">
        <f aca="false">Sens!$C$2386</f>
        <v>105.234994643026</v>
      </c>
      <c r="D2419" s="38" t="n">
        <f aca="false">Sens!$D$2386</f>
        <v>120.021229911349</v>
      </c>
      <c r="E2419" s="38" t="n">
        <f aca="false">Sens!$E$2386</f>
        <v>71.30864702443</v>
      </c>
      <c r="F2419" s="38" t="n">
        <f aca="false">Sens!$F$2386</f>
        <v>78.5950104186653</v>
      </c>
      <c r="G2419" s="38" t="n">
        <f aca="false">Sens!$G$2386</f>
        <v>149.903657443095</v>
      </c>
      <c r="H2419" s="38" t="n">
        <f aca="false">Sens!$H$2386</f>
        <v>180.893560768142</v>
      </c>
      <c r="I2419" s="38" t="n">
        <f aca="false">Sens!$I$2386</f>
        <v>210.64839721501</v>
      </c>
      <c r="J2419" s="38" t="n">
        <f aca="false">Sens!$J$2386</f>
        <v>236.398909446495</v>
      </c>
      <c r="K2419" s="38" t="n">
        <f aca="false">Sens!$K$2386</f>
        <v>255.310822202215</v>
      </c>
      <c r="L2419" s="38" t="n">
        <f aca="false">Sens!$L$2386</f>
        <v>275.735687978392</v>
      </c>
      <c r="M2419" s="38" t="n">
        <f aca="false">Sens!$M$2386</f>
        <v>297.794543016663</v>
      </c>
      <c r="N2419" s="38" t="n">
        <f aca="false">Sens!$N$2386</f>
        <v>57.0936804689721</v>
      </c>
      <c r="O2419" s="38" t="n">
        <f aca="false">Sens!$O$2386</f>
        <v>62.9275494423768</v>
      </c>
      <c r="P2419" s="8" t="s">
        <v>644</v>
      </c>
    </row>
    <row r="2420" customFormat="false" ht="17.15" hidden="false" customHeight="false" outlineLevel="0" collapsed="false">
      <c r="A2420" s="1" t="s">
        <v>476</v>
      </c>
      <c r="B2420" s="8" t="s">
        <v>73</v>
      </c>
      <c r="C2420" s="38" t="n">
        <f aca="false">Q!$D$7</f>
        <v>107.556</v>
      </c>
      <c r="D2420" s="38" t="n">
        <f aca="false">Q!$E$7</f>
        <v>128.725</v>
      </c>
      <c r="E2420" s="38" t="n">
        <f aca="false">Q!$P$7</f>
        <v>79.819</v>
      </c>
      <c r="F2420" s="38" t="n">
        <f aca="false">Sens!$F$2418+Sens!$F$2419</f>
        <v>93.5584440633857</v>
      </c>
      <c r="G2420" s="38" t="n">
        <f aca="false">Sens!$G$2418+Sens!$G$2419</f>
        <v>173.377444063386</v>
      </c>
      <c r="H2420" s="38" t="n">
        <f aca="false">Sens!$H$2418+Sens!$H$2419</f>
        <v>241.059451517916</v>
      </c>
      <c r="I2420" s="38" t="n">
        <f aca="false">Sens!$I$2418+Sens!$I$2419</f>
        <v>312.152096351442</v>
      </c>
      <c r="J2420" s="38" t="n">
        <f aca="false">Sens!$J$2418+Sens!$J$2419</f>
        <v>379.424316597773</v>
      </c>
      <c r="K2420" s="38" t="n">
        <f aca="false">Sens!$K$2418+Sens!$K$2419</f>
        <v>439.919237244402</v>
      </c>
      <c r="L2420" s="38" t="n">
        <f aca="false">Sens!$L$2418+Sens!$L$2419</f>
        <v>501.954974491517</v>
      </c>
      <c r="M2420" s="38" t="n">
        <f aca="false">Sens!$M$2418+Sens!$M$2419</f>
        <v>565.639704466895</v>
      </c>
      <c r="N2420" s="38" t="n">
        <f aca="false">Q!$N$7</f>
        <v>60.14</v>
      </c>
      <c r="O2420" s="38" t="n">
        <f aca="false">Q!$O$7</f>
        <v>68.585</v>
      </c>
      <c r="P2420" s="5" t="s">
        <v>646</v>
      </c>
    </row>
    <row r="2421" customFormat="false" ht="15" hidden="false" customHeight="false" outlineLevel="0" collapsed="false">
      <c r="A2421" s="3" t="s">
        <v>647</v>
      </c>
      <c r="B2421" s="8" t="s">
        <v>73</v>
      </c>
      <c r="C2421" s="38" t="n">
        <f aca="false">Q!$D$8</f>
        <v>637.959</v>
      </c>
      <c r="D2421" s="38" t="n">
        <f aca="false">Q!$E$8</f>
        <v>716.924</v>
      </c>
      <c r="E2421" s="38" t="n">
        <f aca="false">Q!$P$8</f>
        <v>382.125</v>
      </c>
      <c r="F2421" s="38" t="n">
        <f aca="false">Sens!$F$2355+Sens!$F$2420</f>
        <v>450.494873271816</v>
      </c>
      <c r="G2421" s="38" t="n">
        <f aca="false">Sens!$G$2355+Sens!$G$2420</f>
        <v>832.619873271816</v>
      </c>
      <c r="H2421" s="38" t="n">
        <f aca="false">Sens!$H$2355+Sens!$H$2420</f>
        <v>970.995189139617</v>
      </c>
      <c r="I2421" s="38" t="n">
        <f aca="false">Sens!$I$2355+Sens!$I$2420</f>
        <v>1110.44766604932</v>
      </c>
      <c r="J2421" s="38" t="n">
        <f aca="false">Sens!$J$2355+Sens!$J$2420</f>
        <v>1241.16113892356</v>
      </c>
      <c r="K2421" s="38" t="n">
        <f aca="false">Sens!$K$2355+Sens!$K$2420</f>
        <v>1357.47672934633</v>
      </c>
      <c r="L2421" s="38" t="n">
        <f aca="false">Sens!$L$2355+Sens!$L$2420</f>
        <v>1479.24006423468</v>
      </c>
      <c r="M2421" s="38" t="n">
        <f aca="false">Sens!$M$2355+Sens!$M$2420</f>
        <v>1606.8537230104</v>
      </c>
      <c r="N2421" s="38" t="n">
        <f aca="false">Q!$N$8</f>
        <v>323.369</v>
      </c>
      <c r="O2421" s="38" t="n">
        <f aca="false">Q!$O$8</f>
        <v>393.555</v>
      </c>
    </row>
    <row r="2422" customFormat="false" ht="17.15" hidden="false" customHeight="false" outlineLevel="0" collapsed="false">
      <c r="A2422" s="24" t="s">
        <v>655</v>
      </c>
      <c r="B2422" s="25" t="s">
        <v>73</v>
      </c>
      <c r="C2422" s="39" t="n">
        <f aca="false">Sens!$C$2355-(Sens!$C$2357+Sens!$C$2358)</f>
        <v>0</v>
      </c>
      <c r="D2422" s="39" t="n">
        <f aca="false">Sens!$D$2355-(Sens!$D$2357+Sens!$D$2358)</f>
        <v>0</v>
      </c>
      <c r="E2422" s="39" t="n">
        <f aca="false">Sens!$E$2355-(Sens!$E$2357+Sens!$E$2358)</f>
        <v>0</v>
      </c>
      <c r="F2422" s="39" t="n">
        <f aca="false">Sens!$F$2355-(Sens!$F$2357+Sens!$F$2358)</f>
        <v>0</v>
      </c>
      <c r="G2422" s="39" t="n">
        <f aca="false">Sens!$G$2355-(Sens!$G$2357+Sens!$G$2358)</f>
        <v>0</v>
      </c>
      <c r="H2422" s="39" t="n">
        <f aca="false">Sens!$H$2355-(Sens!$H$2357+Sens!$H$2358)</f>
        <v>0</v>
      </c>
      <c r="I2422" s="39" t="n">
        <f aca="false">Sens!$I$2355-(Sens!$I$2357+Sens!$I$2358)</f>
        <v>0</v>
      </c>
      <c r="J2422" s="39" t="n">
        <f aca="false">Sens!$J$2355-(Sens!$J$2357+Sens!$J$2358)</f>
        <v>0</v>
      </c>
      <c r="K2422" s="39" t="n">
        <f aca="false">Sens!$K$2355-(Sens!$K$2357+Sens!$K$2358)</f>
        <v>0</v>
      </c>
      <c r="L2422" s="39" t="n">
        <f aca="false">Sens!$L$2355-(Sens!$L$2357+Sens!$L$2358)</f>
        <v>0</v>
      </c>
      <c r="M2422" s="39" t="n">
        <f aca="false">Sens!$M$2355-(Sens!$M$2357+Sens!$M$2358)</f>
        <v>0</v>
      </c>
      <c r="N2422" s="39" t="n">
        <f aca="false">Sens!$N$2355-(Sens!$N$2357+Sens!$N$2358)</f>
        <v>0</v>
      </c>
      <c r="O2422" s="39" t="n">
        <f aca="false">Sens!$O$2355-(Sens!$O$2357+Sens!$O$2358)</f>
        <v>0</v>
      </c>
    </row>
    <row r="2423" customFormat="false" ht="17.15" hidden="false" customHeight="false" outlineLevel="0" collapsed="false">
      <c r="A2423" s="24" t="s">
        <v>656</v>
      </c>
      <c r="B2423" s="25" t="s">
        <v>73</v>
      </c>
      <c r="C2423" s="39" t="n">
        <f aca="false">Sens!$C$2418+Sens!$C$2419-Sens!$C$2420</f>
        <v>0</v>
      </c>
      <c r="D2423" s="39" t="n">
        <f aca="false">Sens!$D$2418+Sens!$D$2419-Sens!$D$2420</f>
        <v>0</v>
      </c>
      <c r="E2423" s="39" t="n">
        <f aca="false">Sens!$E$2418+Sens!$E$2419-Sens!$E$2420</f>
        <v>0</v>
      </c>
      <c r="F2423" s="39" t="n">
        <f aca="false">Sens!$F$2418+Sens!$F$2419-Sens!$F$2420</f>
        <v>0</v>
      </c>
      <c r="G2423" s="39" t="n">
        <f aca="false">Sens!$G$2418+Sens!$G$2419-Sens!$G$2420</f>
        <v>0</v>
      </c>
      <c r="H2423" s="39" t="n">
        <f aca="false">Sens!$H$2418+Sens!$H$2419-Sens!$H$2420</f>
        <v>0</v>
      </c>
      <c r="I2423" s="39" t="n">
        <f aca="false">Sens!$I$2418+Sens!$I$2419-Sens!$I$2420</f>
        <v>0</v>
      </c>
      <c r="J2423" s="39" t="n">
        <f aca="false">Sens!$J$2418+Sens!$J$2419-Sens!$J$2420</f>
        <v>0</v>
      </c>
      <c r="K2423" s="39" t="n">
        <f aca="false">Sens!$K$2418+Sens!$K$2419-Sens!$K$2420</f>
        <v>0</v>
      </c>
      <c r="L2423" s="39" t="n">
        <f aca="false">Sens!$L$2418+Sens!$L$2419-Sens!$L$2420</f>
        <v>0</v>
      </c>
      <c r="M2423" s="39" t="n">
        <f aca="false">Sens!$M$2418+Sens!$M$2419-Sens!$M$2420</f>
        <v>0</v>
      </c>
      <c r="N2423" s="39" t="n">
        <f aca="false">Sens!$N$2418+Sens!$N$2419-Sens!$N$2420</f>
        <v>0</v>
      </c>
      <c r="O2423" s="39" t="n">
        <f aca="false">Sens!$O$2418+Sens!$O$2419-Sens!$O$2420</f>
        <v>0</v>
      </c>
    </row>
    <row r="2424" customFormat="false" ht="17.15" hidden="false" customHeight="false" outlineLevel="0" collapsed="false">
      <c r="A2424" s="24" t="s">
        <v>657</v>
      </c>
      <c r="B2424" s="25" t="s">
        <v>73</v>
      </c>
      <c r="C2424" s="39" t="n">
        <f aca="false">Sens!$C$2357+Sens!$C$2358+Sens!$C$2420-Sens!$C$2421</f>
        <v>0</v>
      </c>
      <c r="D2424" s="39" t="n">
        <f aca="false">Sens!$D$2357+Sens!$D$2358+Sens!$D$2420-Sens!$D$2421</f>
        <v>0</v>
      </c>
      <c r="E2424" s="39" t="n">
        <f aca="false">Sens!$E$2357+Sens!$E$2358+Sens!$E$2420-Sens!$E$2421</f>
        <v>0</v>
      </c>
      <c r="F2424" s="39" t="n">
        <f aca="false">Sens!$F$2357+Sens!$F$2358+Sens!$F$2420-Sens!$F$2421</f>
        <v>0</v>
      </c>
      <c r="G2424" s="39" t="n">
        <f aca="false">Sens!$G$2357+Sens!$G$2358+Sens!$G$2420-Sens!$G$2421</f>
        <v>0</v>
      </c>
      <c r="H2424" s="39" t="n">
        <f aca="false">Sens!$H$2357+Sens!$H$2358+Sens!$H$2420-Sens!$H$2421</f>
        <v>0</v>
      </c>
      <c r="I2424" s="39" t="n">
        <f aca="false">Sens!$I$2357+Sens!$I$2358+Sens!$I$2420-Sens!$I$2421</f>
        <v>0</v>
      </c>
      <c r="J2424" s="39" t="n">
        <f aca="false">Sens!$J$2357+Sens!$J$2358+Sens!$J$2420-Sens!$J$2421</f>
        <v>0</v>
      </c>
      <c r="K2424" s="39" t="n">
        <f aca="false">Sens!$K$2357+Sens!$K$2358+Sens!$K$2420-Sens!$K$2421</f>
        <v>0</v>
      </c>
      <c r="L2424" s="39" t="n">
        <f aca="false">Sens!$L$2357+Sens!$L$2358+Sens!$L$2420-Sens!$L$2421</f>
        <v>0</v>
      </c>
      <c r="M2424" s="39" t="n">
        <f aca="false">Sens!$M$2357+Sens!$M$2358+Sens!$M$2420-Sens!$M$2421</f>
        <v>0</v>
      </c>
      <c r="N2424" s="39" t="n">
        <f aca="false">Sens!$N$2357+Sens!$N$2358+Sens!$N$2420-Sens!$N$2421</f>
        <v>0</v>
      </c>
      <c r="O2424" s="39" t="n">
        <f aca="false">Sens!$O$2357+Sens!$O$2358+Sens!$O$2420-Sens!$O$2421</f>
        <v>0</v>
      </c>
    </row>
    <row r="2425" customFormat="false" ht="15" hidden="false" customHeight="false" outlineLevel="0" collapsed="false">
      <c r="A2425" s="5" t="s">
        <v>651</v>
      </c>
      <c r="B2425" s="0" t="s">
        <v>52</v>
      </c>
      <c r="G2425" s="12" t="n">
        <f aca="false">Sens!$G$2421/Sens!$D$2421-1</f>
        <v>0.161378156222718</v>
      </c>
      <c r="H2425" s="12" t="n">
        <f aca="false">Sens!$H$2421/Sens!$G$2421-1</f>
        <v>0.166192665236357</v>
      </c>
      <c r="I2425" s="12" t="n">
        <f aca="false">Sens!$I$2421/Sens!$H$2421-1</f>
        <v>0.143618092519351</v>
      </c>
      <c r="J2425" s="12" t="n">
        <f aca="false">Sens!$J$2421/Sens!$I$2421-1</f>
        <v>0.117712411733268</v>
      </c>
      <c r="K2425" s="12" t="n">
        <f aca="false">Sens!$K$2421/Sens!$J$2421-1</f>
        <v>0.0937151404237868</v>
      </c>
      <c r="L2425" s="12" t="n">
        <f aca="false">Sens!$L$2421/Sens!$K$2421-1</f>
        <v>0.0896982852494186</v>
      </c>
      <c r="M2425" s="12" t="n">
        <f aca="false">Sens!$M$2421/Sens!$L$2421-1</f>
        <v>0.0862697420528154</v>
      </c>
    </row>
    <row r="2426" customFormat="false" ht="17.15" hidden="false" customHeight="false" outlineLevel="0" collapsed="false">
      <c r="A2426" s="0" t="s">
        <v>652</v>
      </c>
      <c r="B2426" s="0" t="s">
        <v>52</v>
      </c>
      <c r="C2426" s="12" t="n">
        <f aca="false">Sens!$C$2420/Sens!$C$2421</f>
        <v>0.168593906504964</v>
      </c>
      <c r="D2426" s="12" t="n">
        <f aca="false">Sens!$D$2420/Sens!$D$2421</f>
        <v>0.179551807444025</v>
      </c>
      <c r="E2426" s="12" t="n">
        <f aca="false">Sens!$E$2420/Sens!$E$2421</f>
        <v>0.208881910369643</v>
      </c>
      <c r="F2426" s="12" t="n">
        <f aca="false">Sens!$F$2420/Sens!$F$2421</f>
        <v>0.207679264769203</v>
      </c>
      <c r="G2426" s="12" t="n">
        <f aca="false">Sens!$G$2420/Sens!$G$2421</f>
        <v>0.208231210458731</v>
      </c>
      <c r="H2426" s="12" t="n">
        <f aca="false">Sens!$H$2420/Sens!$H$2421</f>
        <v>0.248260191414043</v>
      </c>
      <c r="I2426" s="12" t="n">
        <f aca="false">Sens!$I$2420/Sens!$I$2421</f>
        <v>0.28110473450946</v>
      </c>
      <c r="J2426" s="12" t="n">
        <f aca="false">Sens!$J$2420/Sens!$J$2421</f>
        <v>0.30570109287086</v>
      </c>
      <c r="K2426" s="12" t="n">
        <f aca="false">Sens!$K$2420/Sens!$K$2421</f>
        <v>0.324071291782835</v>
      </c>
      <c r="L2426" s="12" t="n">
        <f aca="false">Sens!$L$2420/Sens!$L$2421</f>
        <v>0.339333003903741</v>
      </c>
      <c r="M2426" s="12" t="n">
        <f aca="false">Sens!$M$2420/Sens!$M$2421</f>
        <v>0.3520169237354</v>
      </c>
      <c r="N2426" s="12" t="n">
        <f aca="false">Sens!$N$2420/Sens!$N$2421</f>
        <v>0.185979484737251</v>
      </c>
      <c r="O2426" s="12" t="n">
        <f aca="false">Sens!$O$2420/Sens!$O$2421</f>
        <v>0.174270432341096</v>
      </c>
    </row>
    <row r="2427" customFormat="false" ht="17.15" hidden="false" customHeight="false" outlineLevel="0" collapsed="false">
      <c r="A2427" s="0" t="s">
        <v>653</v>
      </c>
      <c r="B2427" s="0" t="s">
        <v>52</v>
      </c>
      <c r="C2427" s="12" t="n">
        <f aca="false">Sens!$C$2418/Sens!$C$2420</f>
        <v>0.0215795060896058</v>
      </c>
      <c r="D2427" s="12" t="n">
        <f aca="false">Sens!$D$2418/Sens!$D$2420</f>
        <v>0.0676152269462122</v>
      </c>
      <c r="E2427" s="12" t="n">
        <f aca="false">Sens!$E$2418/Sens!$E$2420</f>
        <v>0.106620641395783</v>
      </c>
      <c r="F2427" s="12" t="n">
        <f aca="false">Sens!$F$2418/Sens!$F$2420</f>
        <v>0.159936751776064</v>
      </c>
      <c r="G2427" s="12" t="n">
        <f aca="false">Sens!$G$2418/Sens!$G$2420</f>
        <v>0.135391237003751</v>
      </c>
      <c r="H2427" s="12" t="n">
        <f aca="false">Sens!$H$2418/Sens!$H$2420</f>
        <v>0.249589428545194</v>
      </c>
      <c r="I2427" s="12" t="n">
        <f aca="false">Sens!$I$2418/Sens!$I$2420</f>
        <v>0.325173850577483</v>
      </c>
      <c r="J2427" s="12" t="n">
        <f aca="false">Sens!$J$2418/Sens!$J$2420</f>
        <v>0.376953718817392</v>
      </c>
      <c r="K2427" s="12" t="n">
        <f aca="false">Sens!$K$2418/Sens!$K$2420</f>
        <v>0.419641605578676</v>
      </c>
      <c r="L2427" s="12" t="n">
        <f aca="false">Sens!$L$2418/Sens!$L$2420</f>
        <v>0.450676451094615</v>
      </c>
      <c r="M2427" s="12" t="n">
        <f aca="false">Sens!$M$2418/Sens!$M$2420</f>
        <v>0.473526096798086</v>
      </c>
      <c r="N2427" s="12" t="n">
        <f aca="false">Sens!$N$2418/Sens!$N$2420</f>
        <v>0.0506537999838362</v>
      </c>
      <c r="O2427" s="12" t="n">
        <f aca="false">Sens!$O$2418/Sens!$O$2420</f>
        <v>0.0824881615167056</v>
      </c>
    </row>
    <row r="2430" customFormat="false" ht="19.4" hidden="false" customHeight="false" outlineLevel="0" collapsed="false">
      <c r="A2430" s="31" t="s">
        <v>1095</v>
      </c>
    </row>
    <row r="2431" customFormat="false" ht="17.15" hidden="false" customHeight="false" outlineLevel="0" collapsed="false">
      <c r="A2431" s="6" t="s">
        <v>16</v>
      </c>
      <c r="B2431" s="6" t="s">
        <v>17</v>
      </c>
      <c r="C2431" s="20" t="s">
        <v>457</v>
      </c>
      <c r="D2431" s="20" t="s">
        <v>458</v>
      </c>
      <c r="E2431" s="20" t="s">
        <v>540</v>
      </c>
      <c r="F2431" s="20" t="s">
        <v>541</v>
      </c>
      <c r="G2431" s="20" t="s">
        <v>542</v>
      </c>
      <c r="H2431" s="20" t="s">
        <v>543</v>
      </c>
      <c r="I2431" s="20" t="s">
        <v>544</v>
      </c>
      <c r="J2431" s="20" t="s">
        <v>545</v>
      </c>
      <c r="K2431" s="20" t="s">
        <v>546</v>
      </c>
      <c r="L2431" s="20" t="s">
        <v>547</v>
      </c>
      <c r="M2431" s="20" t="s">
        <v>548</v>
      </c>
      <c r="N2431" s="20" t="s">
        <v>549</v>
      </c>
      <c r="O2431" s="20" t="s">
        <v>550</v>
      </c>
      <c r="P2431" s="6" t="s">
        <v>23</v>
      </c>
      <c r="R2431" s="20" t="n">
        <v>2023</v>
      </c>
      <c r="S2431" s="20" t="n">
        <v>2024</v>
      </c>
      <c r="T2431" s="20" t="n">
        <v>2025</v>
      </c>
      <c r="U2431" s="20" t="n">
        <v>2026</v>
      </c>
      <c r="V2431" s="20" t="n">
        <v>2027</v>
      </c>
      <c r="W2431" s="20" t="n">
        <v>2028</v>
      </c>
      <c r="X2431" s="20" t="n">
        <v>2029</v>
      </c>
      <c r="Y2431" s="20" t="n">
        <v>2030</v>
      </c>
      <c r="Z2431" s="20" t="n">
        <v>2031</v>
      </c>
      <c r="AA2431" s="20" t="n">
        <v>2032</v>
      </c>
    </row>
    <row r="2432" customFormat="false" ht="17.15" hidden="false" customHeight="false" outlineLevel="0" collapsed="false">
      <c r="A2432" s="1" t="s">
        <v>668</v>
      </c>
    </row>
    <row r="2433" customFormat="false" ht="15" hidden="false" customHeight="false" outlineLevel="0" collapsed="false">
      <c r="A2433" s="0" t="s">
        <v>479</v>
      </c>
      <c r="B2433" s="0" t="s">
        <v>73</v>
      </c>
      <c r="C2433" s="38" t="n">
        <f aca="false">Sens!$C$2343</f>
        <v>247.029</v>
      </c>
      <c r="D2433" s="38" t="n">
        <f aca="false">Sens!$D$2343</f>
        <v>269.287</v>
      </c>
      <c r="E2433" s="38" t="n">
        <f aca="false">Sens!$E$2343</f>
        <v>134.686</v>
      </c>
      <c r="F2433" s="38" t="n">
        <f aca="false">Sens!$F$2343</f>
        <v>160.728085930082</v>
      </c>
      <c r="G2433" s="38" t="n">
        <f aca="false">Sens!$G$2343</f>
        <v>295.414085930082</v>
      </c>
      <c r="H2433" s="38" t="n">
        <f aca="false">Sens!$H$2343</f>
        <v>320.828163943375</v>
      </c>
      <c r="I2433" s="38" t="n">
        <f aca="false">Sens!$I$2343</f>
        <v>344.575578072228</v>
      </c>
      <c r="J2433" s="38" t="n">
        <f aca="false">Sens!$J$2343</f>
        <v>365.942555779681</v>
      </c>
      <c r="K2433" s="38" t="n">
        <f aca="false">Sens!$K$2343</f>
        <v>384.239683568665</v>
      </c>
      <c r="L2433" s="38" t="n">
        <f aca="false">Sens!$L$2343</f>
        <v>403.451667747098</v>
      </c>
      <c r="M2433" s="38" t="n">
        <f aca="false">Sens!$M$2343</f>
        <v>423.624251134453</v>
      </c>
      <c r="N2433" s="38" t="n">
        <f aca="false">Sens!$N$2343</f>
        <v>118.892</v>
      </c>
      <c r="O2433" s="38" t="n">
        <f aca="false">Sens!$O$2343</f>
        <v>150.395</v>
      </c>
    </row>
    <row r="2434" customFormat="false" ht="15" hidden="false" customHeight="false" outlineLevel="0" collapsed="false">
      <c r="A2434" s="0" t="s">
        <v>480</v>
      </c>
      <c r="B2434" s="0" t="s">
        <v>73</v>
      </c>
      <c r="C2434" s="38" t="n">
        <f aca="false">Sens!$C$2345</f>
        <v>21.215</v>
      </c>
      <c r="D2434" s="38" t="n">
        <f aca="false">Sens!$D$2345</f>
        <v>22.561</v>
      </c>
      <c r="E2434" s="38" t="n">
        <f aca="false">Sens!$E$2345</f>
        <v>11.579</v>
      </c>
      <c r="F2434" s="38" t="n">
        <f aca="false">Sens!$F$2345</f>
        <v>12.0952613121125</v>
      </c>
      <c r="G2434" s="38" t="n">
        <f aca="false">Sens!$G$2345</f>
        <v>23.6742613121125</v>
      </c>
      <c r="H2434" s="38" t="n">
        <f aca="false">Sens!$H$2345</f>
        <v>24.8803243963206</v>
      </c>
      <c r="I2434" s="38" t="n">
        <f aca="false">Sens!$I$2345</f>
        <v>25.9741308664154</v>
      </c>
      <c r="J2434" s="38" t="n">
        <f aca="false">Sens!$J$2345</f>
        <v>26.9346894124267</v>
      </c>
      <c r="K2434" s="38" t="n">
        <f aca="false">Sens!$K$2345</f>
        <v>27.7427300947995</v>
      </c>
      <c r="L2434" s="38" t="n">
        <f aca="false">Sens!$L$2345</f>
        <v>28.5750119976435</v>
      </c>
      <c r="M2434" s="38" t="n">
        <f aca="false">Sens!$M$2345</f>
        <v>29.4322623575728</v>
      </c>
      <c r="N2434" s="38" t="n">
        <f aca="false">Sens!$N$2345</f>
        <v>11.128</v>
      </c>
      <c r="O2434" s="38" t="n">
        <f aca="false">Sens!$O$2345</f>
        <v>11.433</v>
      </c>
    </row>
    <row r="2435" customFormat="false" ht="15" hidden="false" customHeight="false" outlineLevel="0" collapsed="false">
      <c r="A2435" s="0" t="s">
        <v>481</v>
      </c>
      <c r="B2435" s="0" t="s">
        <v>73</v>
      </c>
      <c r="C2435" s="38" t="n">
        <f aca="false">Sens!$C$2347</f>
        <v>156.146</v>
      </c>
      <c r="D2435" s="38" t="n">
        <f aca="false">Sens!$D$2347</f>
        <v>172.162</v>
      </c>
      <c r="E2435" s="38" t="n">
        <f aca="false">Sens!$E$2347</f>
        <v>88.358</v>
      </c>
      <c r="F2435" s="38" t="n">
        <f aca="false">Sens!$F$2347</f>
        <v>103.62028337149</v>
      </c>
      <c r="G2435" s="38" t="n">
        <f aca="false">Sens!$G$2347</f>
        <v>191.97828337149</v>
      </c>
      <c r="H2435" s="38" t="n">
        <f aca="false">Sens!$H$2347</f>
        <v>212.128608444755</v>
      </c>
      <c r="I2435" s="38" t="n">
        <f aca="false">Sens!$I$2347</f>
        <v>231.92183134134</v>
      </c>
      <c r="J2435" s="38" t="n">
        <f aca="false">Sens!$J$2347</f>
        <v>250.859136487863</v>
      </c>
      <c r="K2435" s="38" t="n">
        <f aca="false">Sens!$K$2347</f>
        <v>268.419276042014</v>
      </c>
      <c r="L2435" s="38" t="n">
        <f aca="false">Sens!$L$2347</f>
        <v>287.208625364954</v>
      </c>
      <c r="M2435" s="38" t="n">
        <f aca="false">Sens!$M$2347</f>
        <v>307.313229140501</v>
      </c>
      <c r="N2435" s="38" t="n">
        <f aca="false">Sens!$N$2347</f>
        <v>76.86</v>
      </c>
      <c r="O2435" s="38" t="n">
        <f aca="false">Sens!$O$2347</f>
        <v>95.302</v>
      </c>
    </row>
    <row r="2436" customFormat="false" ht="15" hidden="false" customHeight="false" outlineLevel="0" collapsed="false">
      <c r="A2436" s="0" t="s">
        <v>482</v>
      </c>
      <c r="B2436" s="0" t="s">
        <v>73</v>
      </c>
      <c r="C2436" s="38" t="n">
        <f aca="false">Sens!$C$2349</f>
        <v>56.214</v>
      </c>
      <c r="D2436" s="38" t="n">
        <f aca="false">Sens!$D$2349</f>
        <v>68.635</v>
      </c>
      <c r="E2436" s="38" t="n">
        <f aca="false">Sens!$E$2349</f>
        <v>37.052</v>
      </c>
      <c r="F2436" s="38" t="n">
        <f aca="false">Sens!$F$2349</f>
        <v>48.1533381827382</v>
      </c>
      <c r="G2436" s="38" t="n">
        <f aca="false">Sens!$G$2349</f>
        <v>85.2053381827382</v>
      </c>
      <c r="H2436" s="38" t="n">
        <f aca="false">Sens!$H$2349</f>
        <v>102.29336185894</v>
      </c>
      <c r="I2436" s="38" t="n">
        <f aca="false">Sens!$I$2349</f>
        <v>119.379837585241</v>
      </c>
      <c r="J2436" s="38" t="n">
        <f aca="false">Sens!$J$2349</f>
        <v>135.319079048844</v>
      </c>
      <c r="K2436" s="38" t="n">
        <f aca="false">Sens!$K$2349</f>
        <v>148.850986953729</v>
      </c>
      <c r="L2436" s="38" t="n">
        <f aca="false">Sens!$L$2349</f>
        <v>163.736085649102</v>
      </c>
      <c r="M2436" s="38" t="n">
        <f aca="false">Sens!$M$2349</f>
        <v>180.109694214012</v>
      </c>
      <c r="N2436" s="38" t="n">
        <f aca="false">Sens!$N$2349</f>
        <v>29.615</v>
      </c>
      <c r="O2436" s="38" t="n">
        <f aca="false">Sens!$O$2349</f>
        <v>39.02</v>
      </c>
    </row>
    <row r="2437" customFormat="false" ht="15" hidden="false" customHeight="false" outlineLevel="0" collapsed="false">
      <c r="A2437" s="0" t="s">
        <v>483</v>
      </c>
      <c r="B2437" s="0" t="s">
        <v>73</v>
      </c>
      <c r="C2437" s="38" t="n">
        <f aca="false">Sens!$C$2351</f>
        <v>44.374</v>
      </c>
      <c r="D2437" s="38" t="n">
        <f aca="false">Sens!$D$2351</f>
        <v>49.619</v>
      </c>
      <c r="E2437" s="38" t="n">
        <f aca="false">Sens!$E$2351</f>
        <v>27.157</v>
      </c>
      <c r="F2437" s="38" t="n">
        <f aca="false">Sens!$F$2351</f>
        <v>28.9776360923374</v>
      </c>
      <c r="G2437" s="38" t="n">
        <f aca="false">Sens!$G$2351</f>
        <v>56.1346360923374</v>
      </c>
      <c r="H2437" s="38" t="n">
        <f aca="false">Sens!$H$2351</f>
        <v>62.4937078946075</v>
      </c>
      <c r="I2437" s="38" t="n">
        <f aca="false">Sens!$I$2351</f>
        <v>68.6715233062498</v>
      </c>
      <c r="J2437" s="38" t="n">
        <f aca="false">Sens!$J$2351</f>
        <v>74.4692882949818</v>
      </c>
      <c r="K2437" s="38" t="n">
        <f aca="false">Sens!$K$2351</f>
        <v>79.6821384756306</v>
      </c>
      <c r="L2437" s="38" t="n">
        <f aca="false">Sens!$L$2351</f>
        <v>85.2598881689247</v>
      </c>
      <c r="M2437" s="38" t="n">
        <f aca="false">Sens!$M$2351</f>
        <v>91.2280803407494</v>
      </c>
      <c r="N2437" s="38" t="n">
        <f aca="false">Sens!$N$2351</f>
        <v>23.923</v>
      </c>
      <c r="O2437" s="38" t="n">
        <f aca="false">Sens!$O$2351</f>
        <v>25.696</v>
      </c>
    </row>
    <row r="2438" customFormat="false" ht="15" hidden="false" customHeight="false" outlineLevel="0" collapsed="false">
      <c r="A2438" s="0" t="s">
        <v>484</v>
      </c>
      <c r="B2438" s="0" t="s">
        <v>73</v>
      </c>
      <c r="C2438" s="38" t="n">
        <f aca="false">Sens!$C$2353</f>
        <v>5.425</v>
      </c>
      <c r="D2438" s="38" t="n">
        <f aca="false">Sens!$D$2353</f>
        <v>5.935</v>
      </c>
      <c r="E2438" s="38" t="n">
        <f aca="false">Sens!$E$2353</f>
        <v>3.474</v>
      </c>
      <c r="F2438" s="38" t="n">
        <f aca="false">Sens!$F$2353</f>
        <v>3.36182431966931</v>
      </c>
      <c r="G2438" s="38" t="n">
        <f aca="false">Sens!$G$2353</f>
        <v>6.83582431966931</v>
      </c>
      <c r="H2438" s="38" t="n">
        <f aca="false">Sens!$H$2353</f>
        <v>7.31157108370141</v>
      </c>
      <c r="I2438" s="38" t="n">
        <f aca="false">Sens!$I$2353</f>
        <v>7.77266852639815</v>
      </c>
      <c r="J2438" s="38" t="n">
        <f aca="false">Sens!$J$2353</f>
        <v>8.2120733019884</v>
      </c>
      <c r="K2438" s="38" t="n">
        <f aca="false">Sens!$K$2353</f>
        <v>8.62267696708783</v>
      </c>
      <c r="L2438" s="38" t="n">
        <f aca="false">Sens!$L$2353</f>
        <v>9.05381081544222</v>
      </c>
      <c r="M2438" s="38" t="n">
        <f aca="false">Sens!$M$2353</f>
        <v>9.50650135621433</v>
      </c>
      <c r="N2438" s="38" t="n">
        <f aca="false">Sens!$N$2353</f>
        <v>2.811</v>
      </c>
      <c r="O2438" s="38" t="n">
        <f aca="false">Sens!$O$2353</f>
        <v>3.124</v>
      </c>
    </row>
    <row r="2439" customFormat="false" ht="17.15" hidden="false" customHeight="false" outlineLevel="0" collapsed="false">
      <c r="A2439" s="0" t="s">
        <v>669</v>
      </c>
      <c r="B2439" s="0" t="s">
        <v>73</v>
      </c>
      <c r="C2439" s="38" t="n">
        <f aca="false">Sens!$C$2420</f>
        <v>107.556</v>
      </c>
      <c r="D2439" s="38" t="n">
        <f aca="false">Sens!$D$2420</f>
        <v>128.725</v>
      </c>
      <c r="E2439" s="38" t="n">
        <f aca="false">Sens!$E$2420</f>
        <v>79.819</v>
      </c>
      <c r="F2439" s="38" t="n">
        <f aca="false">Sens!$F$2420</f>
        <v>93.5584440633857</v>
      </c>
      <c r="G2439" s="38" t="n">
        <f aca="false">Sens!$G$2420</f>
        <v>173.377444063386</v>
      </c>
      <c r="H2439" s="38" t="n">
        <f aca="false">Sens!$H$2420</f>
        <v>241.059451517916</v>
      </c>
      <c r="I2439" s="38" t="n">
        <f aca="false">Sens!$I$2420</f>
        <v>312.152096351442</v>
      </c>
      <c r="J2439" s="38" t="n">
        <f aca="false">Sens!$J$2420</f>
        <v>379.424316597773</v>
      </c>
      <c r="K2439" s="38" t="n">
        <f aca="false">Sens!$K$2420</f>
        <v>439.919237244402</v>
      </c>
      <c r="L2439" s="38" t="n">
        <f aca="false">Sens!$L$2420</f>
        <v>501.954974491517</v>
      </c>
      <c r="M2439" s="38" t="n">
        <f aca="false">Sens!$M$2420</f>
        <v>565.639704466895</v>
      </c>
      <c r="N2439" s="38" t="n">
        <f aca="false">Sens!$N$2420</f>
        <v>60.14</v>
      </c>
      <c r="O2439" s="38" t="n">
        <f aca="false">Sens!$O$2420</f>
        <v>68.585</v>
      </c>
    </row>
    <row r="2440" customFormat="false" ht="15" hidden="false" customHeight="false" outlineLevel="0" collapsed="false">
      <c r="A2440" s="1" t="s">
        <v>472</v>
      </c>
      <c r="B2440" s="8" t="s">
        <v>73</v>
      </c>
      <c r="C2440" s="38" t="n">
        <f aca="false">Sens!$C$2357</f>
        <v>387.497</v>
      </c>
      <c r="D2440" s="38" t="n">
        <f aca="false">Sens!$D$2357</f>
        <v>426.305</v>
      </c>
      <c r="E2440" s="38" t="n">
        <f aca="false">Sens!$E$2357</f>
        <v>220.32</v>
      </c>
      <c r="F2440" s="38" t="n">
        <f aca="false">Sens!$F$2357</f>
        <v>256.304015003807</v>
      </c>
      <c r="G2440" s="38" t="n">
        <f aca="false">Sens!$G$2357</f>
        <v>476.624015003807</v>
      </c>
      <c r="H2440" s="38" t="n">
        <f aca="false">Sens!$H$2357</f>
        <v>527.734391091543</v>
      </c>
      <c r="I2440" s="38" t="n">
        <f aca="false">Sens!$I$2357</f>
        <v>577.157693029577</v>
      </c>
      <c r="J2440" s="38" t="n">
        <f aca="false">Sens!$J$2357</f>
        <v>623.024923663827</v>
      </c>
      <c r="K2440" s="38" t="n">
        <f aca="false">Sens!$K$2357</f>
        <v>663.382568393781</v>
      </c>
      <c r="L2440" s="38" t="n">
        <f aca="false">Sens!$L$2357</f>
        <v>706.564873010432</v>
      </c>
      <c r="M2440" s="38" t="n">
        <f aca="false">Sens!$M$2357</f>
        <v>752.784687406019</v>
      </c>
      <c r="N2440" s="38" t="n">
        <f aca="false">Sens!$N$2357</f>
        <v>192.955</v>
      </c>
      <c r="O2440" s="38" t="n">
        <f aca="false">Sens!$O$2357</f>
        <v>233.35</v>
      </c>
    </row>
    <row r="2441" customFormat="false" ht="15" hidden="false" customHeight="false" outlineLevel="0" collapsed="false">
      <c r="A2441" s="1" t="s">
        <v>475</v>
      </c>
      <c r="B2441" s="8" t="s">
        <v>73</v>
      </c>
      <c r="C2441" s="38" t="n">
        <f aca="false">Sens!$C$2358</f>
        <v>142.906</v>
      </c>
      <c r="D2441" s="38" t="n">
        <f aca="false">Sens!$D$2358</f>
        <v>161.894</v>
      </c>
      <c r="E2441" s="38" t="n">
        <f aca="false">Sens!$E$2358</f>
        <v>81.986</v>
      </c>
      <c r="F2441" s="38" t="n">
        <f aca="false">Sens!$F$2358</f>
        <v>100.632414204623</v>
      </c>
      <c r="G2441" s="38" t="n">
        <f aca="false">Sens!$G$2358</f>
        <v>182.618414204623</v>
      </c>
      <c r="H2441" s="38" t="n">
        <f aca="false">Sens!$H$2358</f>
        <v>202.201346530158</v>
      </c>
      <c r="I2441" s="38" t="n">
        <f aca="false">Sens!$I$2358</f>
        <v>221.137876668296</v>
      </c>
      <c r="J2441" s="38" t="n">
        <f aca="false">Sens!$J$2358</f>
        <v>238.711898661958</v>
      </c>
      <c r="K2441" s="38" t="n">
        <f aca="false">Sens!$K$2358</f>
        <v>254.174923708144</v>
      </c>
      <c r="L2441" s="38" t="n">
        <f aca="false">Sens!$L$2358</f>
        <v>270.720216732733</v>
      </c>
      <c r="M2441" s="38" t="n">
        <f aca="false">Sens!$M$2358</f>
        <v>288.429331137484</v>
      </c>
      <c r="N2441" s="38" t="n">
        <f aca="false">Sens!$N$2358</f>
        <v>70.274</v>
      </c>
      <c r="O2441" s="38" t="n">
        <f aca="false">Sens!$O$2358</f>
        <v>91.62</v>
      </c>
    </row>
    <row r="2442" customFormat="false" ht="15" hidden="false" customHeight="false" outlineLevel="0" collapsed="false">
      <c r="A2442" s="1" t="s">
        <v>476</v>
      </c>
      <c r="B2442" s="8" t="s">
        <v>73</v>
      </c>
      <c r="C2442" s="38" t="n">
        <f aca="false">Sens!$C$2420</f>
        <v>107.556</v>
      </c>
      <c r="D2442" s="38" t="n">
        <f aca="false">Sens!$D$2420</f>
        <v>128.725</v>
      </c>
      <c r="E2442" s="38" t="n">
        <f aca="false">Sens!$E$2420</f>
        <v>79.819</v>
      </c>
      <c r="F2442" s="38" t="n">
        <f aca="false">Sens!$F$2420</f>
        <v>93.5584440633857</v>
      </c>
      <c r="G2442" s="38" t="n">
        <f aca="false">Sens!$G$2420</f>
        <v>173.377444063386</v>
      </c>
      <c r="H2442" s="38" t="n">
        <f aca="false">Sens!$H$2420</f>
        <v>241.059451517916</v>
      </c>
      <c r="I2442" s="38" t="n">
        <f aca="false">Sens!$I$2420</f>
        <v>312.152096351442</v>
      </c>
      <c r="J2442" s="38" t="n">
        <f aca="false">Sens!$J$2420</f>
        <v>379.424316597773</v>
      </c>
      <c r="K2442" s="38" t="n">
        <f aca="false">Sens!$K$2420</f>
        <v>439.919237244402</v>
      </c>
      <c r="L2442" s="38" t="n">
        <f aca="false">Sens!$L$2420</f>
        <v>501.954974491517</v>
      </c>
      <c r="M2442" s="38" t="n">
        <f aca="false">Sens!$M$2420</f>
        <v>565.639704466895</v>
      </c>
      <c r="N2442" s="38" t="n">
        <f aca="false">Sens!$N$2420</f>
        <v>60.14</v>
      </c>
      <c r="O2442" s="38" t="n">
        <f aca="false">Sens!$O$2420</f>
        <v>68.585</v>
      </c>
    </row>
    <row r="2443" customFormat="false" ht="17.15" hidden="false" customHeight="false" outlineLevel="0" collapsed="false">
      <c r="A2443" s="0" t="s">
        <v>643</v>
      </c>
      <c r="B2443" s="0" t="s">
        <v>73</v>
      </c>
      <c r="C2443" s="38" t="n">
        <f aca="false">Sens!$C$2418</f>
        <v>2.32100535697364</v>
      </c>
      <c r="D2443" s="38" t="n">
        <f aca="false">Sens!$D$2418</f>
        <v>8.70377008865116</v>
      </c>
      <c r="E2443" s="38" t="n">
        <f aca="false">Sens!$E$2418</f>
        <v>8.51035297557002</v>
      </c>
      <c r="F2443" s="38" t="n">
        <f aca="false">Sens!$F$2418</f>
        <v>14.9634336447205</v>
      </c>
      <c r="G2443" s="38" t="n">
        <f aca="false">Sens!$G$2418</f>
        <v>23.4737866202905</v>
      </c>
      <c r="H2443" s="38" t="n">
        <f aca="false">Sens!$H$2418</f>
        <v>60.1658907497746</v>
      </c>
      <c r="I2443" s="38" t="n">
        <f aca="false">Sens!$I$2418</f>
        <v>101.503699136432</v>
      </c>
      <c r="J2443" s="38" t="n">
        <f aca="false">Sens!$J$2418</f>
        <v>143.025407151278</v>
      </c>
      <c r="K2443" s="38" t="n">
        <f aca="false">Sens!$K$2418</f>
        <v>184.608415042187</v>
      </c>
      <c r="L2443" s="38" t="n">
        <f aca="false">Sens!$L$2418</f>
        <v>226.219286513125</v>
      </c>
      <c r="M2443" s="38" t="n">
        <f aca="false">Sens!$M$2418</f>
        <v>267.845161450232</v>
      </c>
      <c r="N2443" s="38" t="n">
        <f aca="false">Sens!$N$2418</f>
        <v>3.04631953102791</v>
      </c>
      <c r="O2443" s="38" t="n">
        <f aca="false">Sens!$O$2418</f>
        <v>5.65745055762326</v>
      </c>
    </row>
    <row r="2444" customFormat="false" ht="17.15" hidden="false" customHeight="false" outlineLevel="0" collapsed="false">
      <c r="A2444" s="0" t="s">
        <v>645</v>
      </c>
      <c r="B2444" s="0" t="s">
        <v>73</v>
      </c>
      <c r="C2444" s="38" t="n">
        <f aca="false">Sens!$C$2419</f>
        <v>105.234994643026</v>
      </c>
      <c r="D2444" s="38" t="n">
        <f aca="false">Sens!$D$2419</f>
        <v>120.021229911349</v>
      </c>
      <c r="E2444" s="38" t="n">
        <f aca="false">Sens!$E$2419</f>
        <v>71.30864702443</v>
      </c>
      <c r="F2444" s="38" t="n">
        <f aca="false">Sens!$F$2419</f>
        <v>78.5950104186653</v>
      </c>
      <c r="G2444" s="38" t="n">
        <f aca="false">Sens!$G$2419</f>
        <v>149.903657443095</v>
      </c>
      <c r="H2444" s="38" t="n">
        <f aca="false">Sens!$H$2419</f>
        <v>180.893560768142</v>
      </c>
      <c r="I2444" s="38" t="n">
        <f aca="false">Sens!$I$2419</f>
        <v>210.64839721501</v>
      </c>
      <c r="J2444" s="38" t="n">
        <f aca="false">Sens!$J$2419</f>
        <v>236.398909446495</v>
      </c>
      <c r="K2444" s="38" t="n">
        <f aca="false">Sens!$K$2419</f>
        <v>255.310822202215</v>
      </c>
      <c r="L2444" s="38" t="n">
        <f aca="false">Sens!$L$2419</f>
        <v>275.735687978392</v>
      </c>
      <c r="M2444" s="38" t="n">
        <f aca="false">Sens!$M$2419</f>
        <v>297.794543016663</v>
      </c>
      <c r="N2444" s="38" t="n">
        <f aca="false">Sens!$N$2419</f>
        <v>57.0936804689721</v>
      </c>
      <c r="O2444" s="38" t="n">
        <f aca="false">Sens!$O$2419</f>
        <v>62.9275494423768</v>
      </c>
    </row>
    <row r="2445" customFormat="false" ht="15" hidden="false" customHeight="false" outlineLevel="0" collapsed="false">
      <c r="A2445" s="3" t="s">
        <v>477</v>
      </c>
      <c r="B2445" s="8" t="s">
        <v>73</v>
      </c>
      <c r="C2445" s="38" t="n">
        <f aca="false">Sens!$C$2421</f>
        <v>637.959</v>
      </c>
      <c r="D2445" s="38" t="n">
        <f aca="false">Sens!$D$2421</f>
        <v>716.924</v>
      </c>
      <c r="E2445" s="38" t="n">
        <f aca="false">Sens!$E$2421</f>
        <v>382.125</v>
      </c>
      <c r="F2445" s="38" t="n">
        <f aca="false">Sens!$F$2421</f>
        <v>450.494873271816</v>
      </c>
      <c r="G2445" s="38" t="n">
        <f aca="false">Sens!$G$2421</f>
        <v>832.619873271816</v>
      </c>
      <c r="H2445" s="38" t="n">
        <f aca="false">Sens!$H$2421</f>
        <v>970.995189139617</v>
      </c>
      <c r="I2445" s="38" t="n">
        <f aca="false">Sens!$I$2421</f>
        <v>1110.44766604932</v>
      </c>
      <c r="J2445" s="38" t="n">
        <f aca="false">Sens!$J$2421</f>
        <v>1241.16113892356</v>
      </c>
      <c r="K2445" s="38" t="n">
        <f aca="false">Sens!$K$2421</f>
        <v>1357.47672934633</v>
      </c>
      <c r="L2445" s="38" t="n">
        <f aca="false">Sens!$L$2421</f>
        <v>1479.24006423468</v>
      </c>
      <c r="M2445" s="38" t="n">
        <f aca="false">Sens!$M$2421</f>
        <v>1606.8537230104</v>
      </c>
      <c r="N2445" s="38" t="n">
        <f aca="false">Sens!$N$2421</f>
        <v>323.369</v>
      </c>
      <c r="O2445" s="38" t="n">
        <f aca="false">Sens!$O$2421</f>
        <v>393.555</v>
      </c>
    </row>
    <row r="2446" customFormat="false" ht="17.15" hidden="false" customHeight="false" outlineLevel="0" collapsed="false">
      <c r="A2446" s="24" t="s">
        <v>655</v>
      </c>
      <c r="B2446" s="25" t="s">
        <v>73</v>
      </c>
      <c r="C2446" s="39" t="n">
        <f aca="false">Sens!$C$2433+Sens!$C$2434+Sens!$C$2435+Sens!$C$2436+Sens!$C$2437+Sens!$C$2438-(Sens!$C$2440+Sens!$C$2441)</f>
        <v>0</v>
      </c>
      <c r="D2446" s="39" t="n">
        <f aca="false">Sens!$D$2433+Sens!$D$2434+Sens!$D$2435+Sens!$D$2436+Sens!$D$2437+Sens!$D$2438-(Sens!$D$2440+Sens!$D$2441)</f>
        <v>0</v>
      </c>
      <c r="E2446" s="39" t="n">
        <f aca="false">Sens!$E$2433+Sens!$E$2434+Sens!$E$2435+Sens!$E$2436+Sens!$E$2437+Sens!$E$2438-(Sens!$E$2440+Sens!$E$2441)</f>
        <v>0</v>
      </c>
      <c r="F2446" s="39" t="n">
        <f aca="false">Sens!$F$2433+Sens!$F$2434+Sens!$F$2435+Sens!$F$2436+Sens!$F$2437+Sens!$F$2438-(Sens!$F$2440+Sens!$F$2441)</f>
        <v>0</v>
      </c>
      <c r="G2446" s="39" t="n">
        <f aca="false">Sens!$G$2433+Sens!$G$2434+Sens!$G$2435+Sens!$G$2436+Sens!$G$2437+Sens!$G$2438-(Sens!$G$2440+Sens!$G$2441)</f>
        <v>0</v>
      </c>
      <c r="H2446" s="39" t="n">
        <f aca="false">Sens!$H$2433+Sens!$H$2434+Sens!$H$2435+Sens!$H$2436+Sens!$H$2437+Sens!$H$2438-(Sens!$H$2440+Sens!$H$2441)</f>
        <v>0</v>
      </c>
      <c r="I2446" s="39" t="n">
        <f aca="false">Sens!$I$2433+Sens!$I$2434+Sens!$I$2435+Sens!$I$2436+Sens!$I$2437+Sens!$I$2438-(Sens!$I$2440+Sens!$I$2441)</f>
        <v>0</v>
      </c>
      <c r="J2446" s="39" t="n">
        <f aca="false">Sens!$J$2433+Sens!$J$2434+Sens!$J$2435+Sens!$J$2436+Sens!$J$2437+Sens!$J$2438-(Sens!$J$2440+Sens!$J$2441)</f>
        <v>0</v>
      </c>
      <c r="K2446" s="39" t="n">
        <f aca="false">Sens!$K$2433+Sens!$K$2434+Sens!$K$2435+Sens!$K$2436+Sens!$K$2437+Sens!$K$2438-(Sens!$K$2440+Sens!$K$2441)</f>
        <v>0</v>
      </c>
      <c r="L2446" s="39" t="n">
        <f aca="false">Sens!$L$2433+Sens!$L$2434+Sens!$L$2435+Sens!$L$2436+Sens!$L$2437+Sens!$L$2438-(Sens!$L$2440+Sens!$L$2441)</f>
        <v>0</v>
      </c>
      <c r="M2446" s="39" t="n">
        <f aca="false">Sens!$M$2433+Sens!$M$2434+Sens!$M$2435+Sens!$M$2436+Sens!$M$2437+Sens!$M$2438-(Sens!$M$2440+Sens!$M$2441)</f>
        <v>0</v>
      </c>
      <c r="N2446" s="39" t="n">
        <f aca="false">Sens!$N$2433+Sens!$N$2434+Sens!$N$2435+Sens!$N$2436+Sens!$N$2437+Sens!$N$2438-(Sens!$N$2440+Sens!$N$2441)</f>
        <v>0</v>
      </c>
      <c r="O2446" s="39" t="n">
        <f aca="false">Sens!$O$2433+Sens!$O$2434+Sens!$O$2435+Sens!$O$2436+Sens!$O$2437+Sens!$O$2438-(Sens!$O$2440+Sens!$O$2441)</f>
        <v>0</v>
      </c>
    </row>
    <row r="2447" customFormat="false" ht="17.15" hidden="false" customHeight="false" outlineLevel="0" collapsed="false">
      <c r="A2447" s="24" t="s">
        <v>656</v>
      </c>
      <c r="B2447" s="25" t="s">
        <v>73</v>
      </c>
      <c r="C2447" s="39" t="n">
        <f aca="false">Sens!$C$2443+Sens!$C$2444-Sens!$C$2442</f>
        <v>0</v>
      </c>
      <c r="D2447" s="39" t="n">
        <f aca="false">Sens!$D$2443+Sens!$D$2444-Sens!$D$2442</f>
        <v>0</v>
      </c>
      <c r="E2447" s="39" t="n">
        <f aca="false">Sens!$E$2443+Sens!$E$2444-Sens!$E$2442</f>
        <v>0</v>
      </c>
      <c r="F2447" s="39" t="n">
        <f aca="false">Sens!$F$2443+Sens!$F$2444-Sens!$F$2442</f>
        <v>0</v>
      </c>
      <c r="G2447" s="39" t="n">
        <f aca="false">Sens!$G$2443+Sens!$G$2444-Sens!$G$2442</f>
        <v>0</v>
      </c>
      <c r="H2447" s="39" t="n">
        <f aca="false">Sens!$H$2443+Sens!$H$2444-Sens!$H$2442</f>
        <v>0</v>
      </c>
      <c r="I2447" s="39" t="n">
        <f aca="false">Sens!$I$2443+Sens!$I$2444-Sens!$I$2442</f>
        <v>0</v>
      </c>
      <c r="J2447" s="39" t="n">
        <f aca="false">Sens!$J$2443+Sens!$J$2444-Sens!$J$2442</f>
        <v>0</v>
      </c>
      <c r="K2447" s="39" t="n">
        <f aca="false">Sens!$K$2443+Sens!$K$2444-Sens!$K$2442</f>
        <v>0</v>
      </c>
      <c r="L2447" s="39" t="n">
        <f aca="false">Sens!$L$2443+Sens!$L$2444-Sens!$L$2442</f>
        <v>0</v>
      </c>
      <c r="M2447" s="39" t="n">
        <f aca="false">Sens!$M$2443+Sens!$M$2444-Sens!$M$2442</f>
        <v>0</v>
      </c>
      <c r="N2447" s="39" t="n">
        <f aca="false">Sens!$N$2443+Sens!$N$2444-Sens!$N$2442</f>
        <v>0</v>
      </c>
      <c r="O2447" s="39" t="n">
        <f aca="false">Sens!$O$2443+Sens!$O$2444-Sens!$O$2442</f>
        <v>0</v>
      </c>
    </row>
    <row r="2448" customFormat="false" ht="17.15" hidden="false" customHeight="false" outlineLevel="0" collapsed="false">
      <c r="A2448" s="24" t="s">
        <v>710</v>
      </c>
      <c r="B2448" s="25" t="s">
        <v>73</v>
      </c>
      <c r="C2448" s="39" t="n">
        <f aca="false">Sens!$C$2433+Sens!$C$2434+Sens!$C$2435+Sens!$C$2436+Sens!$C$2437+Sens!$C$2438+Sens!$C$2439-Sens!$C$2445</f>
        <v>0</v>
      </c>
      <c r="D2448" s="39" t="n">
        <f aca="false">Sens!$D$2433+Sens!$D$2434+Sens!$D$2435+Sens!$D$2436+Sens!$D$2437+Sens!$D$2438+Sens!$D$2439-Sens!$D$2445</f>
        <v>0</v>
      </c>
      <c r="E2448" s="39" t="n">
        <f aca="false">Sens!$E$2433+Sens!$E$2434+Sens!$E$2435+Sens!$E$2436+Sens!$E$2437+Sens!$E$2438+Sens!$E$2439-Sens!$E$2445</f>
        <v>0</v>
      </c>
      <c r="F2448" s="39" t="n">
        <f aca="false">Sens!$F$2433+Sens!$F$2434+Sens!$F$2435+Sens!$F$2436+Sens!$F$2437+Sens!$F$2438+Sens!$F$2439-Sens!$F$2445</f>
        <v>0</v>
      </c>
      <c r="G2448" s="39" t="n">
        <f aca="false">Sens!$G$2433+Sens!$G$2434+Sens!$G$2435+Sens!$G$2436+Sens!$G$2437+Sens!$G$2438+Sens!$G$2439-Sens!$G$2445</f>
        <v>0</v>
      </c>
      <c r="H2448" s="39" t="n">
        <f aca="false">Sens!$H$2433+Sens!$H$2434+Sens!$H$2435+Sens!$H$2436+Sens!$H$2437+Sens!$H$2438+Sens!$H$2439-Sens!$H$2445</f>
        <v>0</v>
      </c>
      <c r="I2448" s="39" t="n">
        <f aca="false">Sens!$I$2433+Sens!$I$2434+Sens!$I$2435+Sens!$I$2436+Sens!$I$2437+Sens!$I$2438+Sens!$I$2439-Sens!$I$2445</f>
        <v>0</v>
      </c>
      <c r="J2448" s="39" t="n">
        <f aca="false">Sens!$J$2433+Sens!$J$2434+Sens!$J$2435+Sens!$J$2436+Sens!$J$2437+Sens!$J$2438+Sens!$J$2439-Sens!$J$2445</f>
        <v>0</v>
      </c>
      <c r="K2448" s="39" t="n">
        <f aca="false">Sens!$K$2433+Sens!$K$2434+Sens!$K$2435+Sens!$K$2436+Sens!$K$2437+Sens!$K$2438+Sens!$K$2439-Sens!$K$2445</f>
        <v>0</v>
      </c>
      <c r="L2448" s="39" t="n">
        <f aca="false">Sens!$L$2433+Sens!$L$2434+Sens!$L$2435+Sens!$L$2436+Sens!$L$2437+Sens!$L$2438+Sens!$L$2439-Sens!$L$2445</f>
        <v>0</v>
      </c>
      <c r="M2448" s="39" t="n">
        <f aca="false">Sens!$M$2433+Sens!$M$2434+Sens!$M$2435+Sens!$M$2436+Sens!$M$2437+Sens!$M$2438+Sens!$M$2439-Sens!$M$2445</f>
        <v>0</v>
      </c>
      <c r="N2448" s="39" t="n">
        <f aca="false">Sens!$N$2433+Sens!$N$2434+Sens!$N$2435+Sens!$N$2436+Sens!$N$2437+Sens!$N$2438+Sens!$N$2439-Sens!$N$2445</f>
        <v>0</v>
      </c>
      <c r="O2448" s="39" t="n">
        <f aca="false">Sens!$O$2433+Sens!$O$2434+Sens!$O$2435+Sens!$O$2436+Sens!$O$2437+Sens!$O$2438+Sens!$O$2439-Sens!$O$2445</f>
        <v>0</v>
      </c>
    </row>
    <row r="2449" customFormat="false" ht="17.15" hidden="false" customHeight="false" outlineLevel="0" collapsed="false">
      <c r="A2449" s="24" t="s">
        <v>657</v>
      </c>
      <c r="B2449" s="25" t="s">
        <v>73</v>
      </c>
      <c r="C2449" s="39" t="n">
        <f aca="false">Sens!$C$2440+Sens!$C$2441+Sens!$C$2442-Sens!$C$2445</f>
        <v>0</v>
      </c>
      <c r="D2449" s="39" t="n">
        <f aca="false">Sens!$D$2440+Sens!$D$2441+Sens!$D$2442-Sens!$D$2445</f>
        <v>0</v>
      </c>
      <c r="E2449" s="39" t="n">
        <f aca="false">Sens!$E$2440+Sens!$E$2441+Sens!$E$2442-Sens!$E$2445</f>
        <v>0</v>
      </c>
      <c r="F2449" s="39" t="n">
        <f aca="false">Sens!$F$2440+Sens!$F$2441+Sens!$F$2442-Sens!$F$2445</f>
        <v>0</v>
      </c>
      <c r="G2449" s="39" t="n">
        <f aca="false">Sens!$G$2440+Sens!$G$2441+Sens!$G$2442-Sens!$G$2445</f>
        <v>0</v>
      </c>
      <c r="H2449" s="39" t="n">
        <f aca="false">Sens!$H$2440+Sens!$H$2441+Sens!$H$2442-Sens!$H$2445</f>
        <v>0</v>
      </c>
      <c r="I2449" s="39" t="n">
        <f aca="false">Sens!$I$2440+Sens!$I$2441+Sens!$I$2442-Sens!$I$2445</f>
        <v>0</v>
      </c>
      <c r="J2449" s="39" t="n">
        <f aca="false">Sens!$J$2440+Sens!$J$2441+Sens!$J$2442-Sens!$J$2445</f>
        <v>0</v>
      </c>
      <c r="K2449" s="39" t="n">
        <f aca="false">Sens!$K$2440+Sens!$K$2441+Sens!$K$2442-Sens!$K$2445</f>
        <v>0</v>
      </c>
      <c r="L2449" s="39" t="n">
        <f aca="false">Sens!$L$2440+Sens!$L$2441+Sens!$L$2442-Sens!$L$2445</f>
        <v>0</v>
      </c>
      <c r="M2449" s="39" t="n">
        <f aca="false">Sens!$M$2440+Sens!$M$2441+Sens!$M$2442-Sens!$M$2445</f>
        <v>0</v>
      </c>
      <c r="N2449" s="39" t="n">
        <f aca="false">Sens!$N$2440+Sens!$N$2441+Sens!$N$2442-Sens!$N$2445</f>
        <v>0</v>
      </c>
      <c r="O2449" s="39" t="n">
        <f aca="false">Sens!$O$2440+Sens!$O$2441+Sens!$O$2442-Sens!$O$2445</f>
        <v>0</v>
      </c>
    </row>
    <row r="2450" customFormat="false" ht="17.15" hidden="false" customHeight="false" outlineLevel="0" collapsed="false">
      <c r="A2450" s="1" t="s">
        <v>671</v>
      </c>
    </row>
    <row r="2451" customFormat="false" ht="17.15" hidden="false" customHeight="false" outlineLevel="0" collapsed="false">
      <c r="A2451" s="0" t="s">
        <v>672</v>
      </c>
      <c r="B2451" s="0" t="s">
        <v>73</v>
      </c>
      <c r="C2451" s="38" t="n">
        <f aca="false">Sens!$C$2359*m_ad</f>
        <v>20.5341564414228</v>
      </c>
      <c r="D2451" s="38" t="n">
        <f aca="false">Sens!$D$2359*m_ad</f>
        <v>24.8720617299587</v>
      </c>
      <c r="E2451" s="38" t="n">
        <f aca="false">Sens!$E$2359*m_ad</f>
        <v>13.5017112462207</v>
      </c>
      <c r="F2451" s="38" t="n">
        <f aca="false">Sens!$F$2359*m_ad</f>
        <v>17.2886442824599</v>
      </c>
      <c r="G2451" s="38" t="n">
        <f aca="false">Sens!$G$2359*m_ad</f>
        <v>30.8011958765886</v>
      </c>
      <c r="H2451" s="38" t="n">
        <f aca="false">Sens!$H$2359*m_ad</f>
        <v>36.978409366026</v>
      </c>
      <c r="I2451" s="38" t="n">
        <f aca="false">Sens!$I$2359*m_ad</f>
        <v>43.155063281273</v>
      </c>
      <c r="J2451" s="38" t="n">
        <f aca="false">Sens!$J$2359*m_ad</f>
        <v>48.9169991988532</v>
      </c>
      <c r="K2451" s="38" t="n">
        <f aca="false">Sens!$K$2359*m_ad</f>
        <v>53.8086991187386</v>
      </c>
      <c r="L2451" s="38" t="n">
        <f aca="false">Sens!$L$2359*m_ad</f>
        <v>59.1895690306124</v>
      </c>
      <c r="M2451" s="38" t="n">
        <f aca="false">Sens!$M$2359*m_ad</f>
        <v>65.1085259336737</v>
      </c>
      <c r="N2451" s="38" t="n">
        <f aca="false">Sens!$N$2359*m_ad</f>
        <v>10.8543555706248</v>
      </c>
      <c r="O2451" s="38" t="n">
        <f aca="false">Sens!$O$2359*m_ad</f>
        <v>14.0094731821399</v>
      </c>
    </row>
    <row r="2452" customFormat="false" ht="17.15" hidden="false" customHeight="false" outlineLevel="0" collapsed="false">
      <c r="A2452" s="0" t="s">
        <v>673</v>
      </c>
      <c r="B2452" s="0" t="s">
        <v>73</v>
      </c>
      <c r="C2452" s="38" t="n">
        <f aca="false">Sens!$C$2357-Sens!$C$2359</f>
        <v>346.428687117154</v>
      </c>
      <c r="D2452" s="38" t="n">
        <f aca="false">Sens!$D$2357-Sens!$D$2359</f>
        <v>376.560876540083</v>
      </c>
      <c r="E2452" s="38" t="n">
        <f aca="false">Sens!$E$2357-Sens!$E$2359</f>
        <v>193.316577507559</v>
      </c>
      <c r="F2452" s="38" t="n">
        <f aca="false">Sens!$F$2357-Sens!$F$2359</f>
        <v>221.726726438887</v>
      </c>
      <c r="G2452" s="38" t="n">
        <f aca="false">Sens!$G$2357-Sens!$G$2359</f>
        <v>415.02162325063</v>
      </c>
      <c r="H2452" s="38" t="n">
        <f aca="false">Sens!$H$2357-Sens!$H$2359</f>
        <v>453.777572359491</v>
      </c>
      <c r="I2452" s="38" t="n">
        <f aca="false">Sens!$I$2357-Sens!$I$2359</f>
        <v>490.847566467031</v>
      </c>
      <c r="J2452" s="38" t="n">
        <f aca="false">Sens!$J$2357-Sens!$J$2359</f>
        <v>525.190925266121</v>
      </c>
      <c r="K2452" s="38" t="n">
        <f aca="false">Sens!$K$2357-Sens!$K$2359</f>
        <v>555.765170156304</v>
      </c>
      <c r="L2452" s="38" t="n">
        <f aca="false">Sens!$L$2357-Sens!$L$2359</f>
        <v>588.185734949207</v>
      </c>
      <c r="M2452" s="38" t="n">
        <f aca="false">Sens!$M$2357-Sens!$M$2359</f>
        <v>622.567635538672</v>
      </c>
      <c r="N2452" s="38" t="n">
        <f aca="false">Sens!$N$2357-Sens!$N$2359</f>
        <v>171.24628885875</v>
      </c>
      <c r="O2452" s="38" t="n">
        <f aca="false">Sens!$O$2357-Sens!$O$2359</f>
        <v>205.33105363572</v>
      </c>
    </row>
    <row r="2453" customFormat="false" ht="17.15" hidden="false" customHeight="false" outlineLevel="0" collapsed="false">
      <c r="A2453" s="0" t="s">
        <v>674</v>
      </c>
      <c r="B2453" s="0" t="s">
        <v>73</v>
      </c>
      <c r="C2453" s="38" t="n">
        <f aca="false">Sens!$C$2404*Sens!$C$2356</f>
        <v>-0.303737939367967</v>
      </c>
      <c r="D2453" s="38" t="n">
        <f aca="false">Sens!$D$2404*Sens!$D$2356</f>
        <v>-0.715476019586163</v>
      </c>
      <c r="E2453" s="38" t="n">
        <f aca="false">Sens!$E$2404*Sens!$E$2356</f>
        <v>-0.269978741635022</v>
      </c>
      <c r="F2453" s="38" t="n">
        <f aca="false">Sens!$F$2404*Sens!$F$2356</f>
        <v>-1.18996603224077</v>
      </c>
      <c r="G2453" s="38" t="n">
        <f aca="false">Sens!$G$2404*Sens!$G$2356</f>
        <v>-1.46594760470351</v>
      </c>
      <c r="H2453" s="38" t="n">
        <f aca="false">Sens!$H$2404*Sens!$H$2356</f>
        <v>-3.57339188733178</v>
      </c>
      <c r="I2453" s="38" t="n">
        <f aca="false">Sens!$I$2404*Sens!$I$2356</f>
        <v>-5.59663744751211</v>
      </c>
      <c r="J2453" s="38" t="n">
        <f aca="false">Sens!$J$2404*Sens!$J$2356</f>
        <v>-7.50421036433836</v>
      </c>
      <c r="K2453" s="38" t="n">
        <f aca="false">Sens!$K$2404*Sens!$K$2356</f>
        <v>-9.32231641603855</v>
      </c>
      <c r="L2453" s="38" t="n">
        <f aca="false">Sens!$L$2404*Sens!$L$2356</f>
        <v>-11.4375540519299</v>
      </c>
      <c r="M2453" s="38" t="n">
        <f aca="false">Sens!$M$2404*Sens!$M$2356</f>
        <v>-13.4518688645266</v>
      </c>
      <c r="N2453" s="38" t="n">
        <f aca="false">Sens!$N$2404*Sens!$N$2356</f>
        <v>-0.173612144972678</v>
      </c>
      <c r="O2453" s="38" t="n">
        <f aca="false">Sens!$O$2404*Sens!$O$2356</f>
        <v>-0.53879700565081</v>
      </c>
    </row>
    <row r="2454" customFormat="false" ht="17.15" hidden="false" customHeight="false" outlineLevel="0" collapsed="false">
      <c r="A2454" s="0" t="s">
        <v>675</v>
      </c>
      <c r="B2454" s="0" t="s">
        <v>52</v>
      </c>
      <c r="C2454" s="28" t="n">
        <f aca="false">(Sens!$C$2455-Sens!$C$2451+Sens!$C$2453)/Sens!$C$2452</f>
        <v>0.0119190637864607</v>
      </c>
      <c r="D2454" s="28" t="n">
        <f aca="false">(Sens!$D$2455-Sens!$D$2451+Sens!$D$2453)/Sens!$D$2452</f>
        <v>0.0107060039999295</v>
      </c>
      <c r="E2454" s="28" t="n">
        <f aca="false">(Sens!$E$2455-Sens!$E$2451+Sens!$E$2453)/Sens!$E$2452</f>
        <v>0.0187170187823276</v>
      </c>
      <c r="F2454" s="28" t="n">
        <f aca="false">Sens!$O$2454+(Sens!$E$2454-Sens!$N$2454)</f>
        <v>0.0134520052096294</v>
      </c>
      <c r="G2454" s="28" t="n">
        <f aca="false">(Sens!$G$2455-Sens!$G$2451+Sens!$G$2453)/Sens!$G$2452</f>
        <v>0.0158645611305953</v>
      </c>
      <c r="H2454" s="28" t="n">
        <f aca="false">Sens!$G$2454+step_na</f>
        <v>0.0188645611305953</v>
      </c>
      <c r="I2454" s="28" t="n">
        <f aca="false">Sens!$H$2454+step_na</f>
        <v>0.0218645611305953</v>
      </c>
      <c r="J2454" s="28" t="n">
        <f aca="false">Sens!$I$2454+step_na</f>
        <v>0.0248645611305953</v>
      </c>
      <c r="K2454" s="28" t="n">
        <f aca="false">Sens!$J$2454+step_na</f>
        <v>0.0278645611305953</v>
      </c>
      <c r="L2454" s="28" t="n">
        <f aca="false">Sens!$K$2454</f>
        <v>0.0278645611305953</v>
      </c>
      <c r="M2454" s="28" t="n">
        <f aca="false">Sens!$L$2454</f>
        <v>0.0278645611305953</v>
      </c>
      <c r="N2454" s="28" t="n">
        <f aca="false">(Sens!$N$2455-Sens!$N$2451+Sens!$N$2453)/Sens!$N$2452</f>
        <v>0.0136063227993477</v>
      </c>
      <c r="O2454" s="28" t="n">
        <f aca="false">(Sens!$O$2455-Sens!$O$2451+Sens!$O$2453)/Sens!$O$2452</f>
        <v>0.00834130922664953</v>
      </c>
      <c r="P2454" s="8" t="s">
        <v>676</v>
      </c>
    </row>
    <row r="2455" customFormat="false" ht="17.15" hidden="false" customHeight="false" outlineLevel="0" collapsed="false">
      <c r="A2455" s="1" t="s">
        <v>677</v>
      </c>
      <c r="B2455" s="8" t="s">
        <v>73</v>
      </c>
      <c r="C2455" s="38" t="n">
        <f aca="false">Q!$D$22</f>
        <v>24.967</v>
      </c>
      <c r="D2455" s="38" t="n">
        <f aca="false">Q!$E$22</f>
        <v>29.619</v>
      </c>
      <c r="E2455" s="38" t="n">
        <f aca="false">Q!$P$22</f>
        <v>17.39</v>
      </c>
      <c r="F2455" s="38" t="n">
        <f aca="false">Sens!$F$2451+Sens!$F$2452*Sens!$F$2454-Sens!$F$2453</f>
        <v>21.4612793938706</v>
      </c>
      <c r="G2455" s="38" t="n">
        <f aca="false">Sens!$E$2455+Sens!$F$2455</f>
        <v>38.8512793938706</v>
      </c>
      <c r="H2455" s="38" t="n">
        <f aca="false">Sens!$H$2451+Sens!$H$2452*Sens!$H$2454-Sens!$H$2453</f>
        <v>49.1121160068265</v>
      </c>
      <c r="I2455" s="38" t="n">
        <f aca="false">Sens!$I$2451+Sens!$I$2452*Sens!$I$2454-Sens!$I$2453</f>
        <v>59.4838673516075</v>
      </c>
      <c r="J2455" s="38" t="n">
        <f aca="false">Sens!$J$2451+Sens!$J$2452*Sens!$J$2454-Sens!$J$2453</f>
        <v>69.479851429705</v>
      </c>
      <c r="K2455" s="38" t="n">
        <f aca="false">Sens!$K$2451+Sens!$K$2452*Sens!$K$2454-Sens!$K$2453</f>
        <v>78.6171680928532</v>
      </c>
      <c r="L2455" s="38" t="n">
        <f aca="false">Sens!$L$2451+Sens!$L$2452*Sens!$L$2454-Sens!$L$2453</f>
        <v>87.0166604501787</v>
      </c>
      <c r="M2455" s="38" t="n">
        <f aca="false">Sens!$M$2451+Sens!$M$2452*Sens!$M$2454-Sens!$M$2453</f>
        <v>95.9079687365978</v>
      </c>
      <c r="N2455" s="38" t="n">
        <f aca="false">Q!$N$22</f>
        <v>13.358</v>
      </c>
      <c r="O2455" s="38" t="n">
        <f aca="false">Q!$O$22</f>
        <v>16.261</v>
      </c>
    </row>
    <row r="2456" customFormat="false" ht="17.15" hidden="false" customHeight="false" outlineLevel="0" collapsed="false">
      <c r="A2456" s="0" t="s">
        <v>678</v>
      </c>
      <c r="B2456" s="0" t="s">
        <v>73</v>
      </c>
      <c r="C2456" s="38" t="n">
        <f aca="false">Sens!$C$2360*m_ad</f>
        <v>7.57284355857716</v>
      </c>
      <c r="D2456" s="38" t="n">
        <f aca="false">Sens!$D$2360*m_ad</f>
        <v>9.44543827004127</v>
      </c>
      <c r="E2456" s="38" t="n">
        <f aca="false">Sens!$E$2360*m_ad</f>
        <v>5.02428875377928</v>
      </c>
      <c r="F2456" s="38" t="n">
        <f aca="false">Sens!$F$2360*m_ad</f>
        <v>6.78802480890925</v>
      </c>
      <c r="G2456" s="38" t="n">
        <f aca="false">Sens!$G$2360*m_ad</f>
        <v>11.8014732147805</v>
      </c>
      <c r="H2456" s="38" t="n">
        <f aca="false">Sens!$H$2360*m_ad</f>
        <v>14.1682715634442</v>
      </c>
      <c r="I2456" s="38" t="n">
        <f aca="false">Sens!$I$2360*m_ad</f>
        <v>16.5348555113474</v>
      </c>
      <c r="J2456" s="38" t="n">
        <f aca="false">Sens!$J$2360*m_ad</f>
        <v>18.7425403255689</v>
      </c>
      <c r="K2456" s="38" t="n">
        <f aca="false">Sens!$K$2360*m_ad</f>
        <v>20.6167943581258</v>
      </c>
      <c r="L2456" s="38" t="n">
        <f aca="false">Sens!$L$2360*m_ad</f>
        <v>22.6784737939383</v>
      </c>
      <c r="M2456" s="38" t="n">
        <f aca="false">Sens!$M$2360*m_ad</f>
        <v>24.9463211733322</v>
      </c>
      <c r="N2456" s="38" t="n">
        <f aca="false">Sens!$N$2360*m_ad</f>
        <v>3.95314442937518</v>
      </c>
      <c r="O2456" s="38" t="n">
        <f aca="false">Sens!$O$2360*m_ad</f>
        <v>5.50052681786011</v>
      </c>
    </row>
    <row r="2457" customFormat="false" ht="17.15" hidden="false" customHeight="false" outlineLevel="0" collapsed="false">
      <c r="A2457" s="0" t="s">
        <v>679</v>
      </c>
      <c r="B2457" s="0" t="s">
        <v>73</v>
      </c>
      <c r="C2457" s="38" t="n">
        <f aca="false">Sens!$C$2358-Sens!$C$2360</f>
        <v>127.760312882846</v>
      </c>
      <c r="D2457" s="38" t="n">
        <f aca="false">Sens!$D$2358-Sens!$D$2360</f>
        <v>143.003123459917</v>
      </c>
      <c r="E2457" s="38" t="n">
        <f aca="false">Sens!$E$2358-Sens!$E$2360</f>
        <v>71.9374224924414</v>
      </c>
      <c r="F2457" s="38" t="n">
        <f aca="false">Sens!$F$2358-Sens!$F$2360</f>
        <v>87.0563645868046</v>
      </c>
      <c r="G2457" s="38" t="n">
        <f aca="false">Sens!$G$2358-Sens!$G$2360</f>
        <v>159.015467775062</v>
      </c>
      <c r="H2457" s="38" t="n">
        <f aca="false">Sens!$H$2358-Sens!$H$2360</f>
        <v>173.864803403269</v>
      </c>
      <c r="I2457" s="38" t="n">
        <f aca="false">Sens!$I$2358-Sens!$I$2360</f>
        <v>188.068165645601</v>
      </c>
      <c r="J2457" s="38" t="n">
        <f aca="false">Sens!$J$2358-Sens!$J$2360</f>
        <v>201.22681801082</v>
      </c>
      <c r="K2457" s="38" t="n">
        <f aca="false">Sens!$K$2358-Sens!$K$2360</f>
        <v>212.941334991893</v>
      </c>
      <c r="L2457" s="38" t="n">
        <f aca="false">Sens!$L$2358-Sens!$L$2360</f>
        <v>225.363269144856</v>
      </c>
      <c r="M2457" s="38" t="n">
        <f aca="false">Sens!$M$2358-Sens!$M$2360</f>
        <v>238.536688790819</v>
      </c>
      <c r="N2457" s="38" t="n">
        <f aca="false">Sens!$N$2358-Sens!$N$2360</f>
        <v>62.3677111412496</v>
      </c>
      <c r="O2457" s="38" t="n">
        <f aca="false">Sens!$O$2358-Sens!$O$2360</f>
        <v>80.6189463642798</v>
      </c>
    </row>
    <row r="2458" customFormat="false" ht="17.15" hidden="false" customHeight="false" outlineLevel="0" collapsed="false">
      <c r="A2458" s="0" t="s">
        <v>680</v>
      </c>
      <c r="B2458" s="0" t="s">
        <v>73</v>
      </c>
      <c r="C2458" s="38" t="n">
        <f aca="false">Sens!$C$2404*(1-Sens!$C$2356)</f>
        <v>-0.112016283902375</v>
      </c>
      <c r="D2458" s="38" t="n">
        <f aca="false">Sens!$D$2404*(1-Sens!$D$2356)</f>
        <v>-0.271709866679683</v>
      </c>
      <c r="E2458" s="38" t="n">
        <f aca="false">Sens!$E$2404*(1-Sens!$E$2356)</f>
        <v>-0.100465128502582</v>
      </c>
      <c r="F2458" s="38" t="n">
        <f aca="false">Sens!$F$2404*(1-Sens!$F$2356)</f>
        <v>-0.467215289796012</v>
      </c>
      <c r="G2458" s="38" t="n">
        <f aca="false">Sens!$G$2404*(1-Sens!$G$2356)</f>
        <v>-0.561677587470875</v>
      </c>
      <c r="H2458" s="38" t="n">
        <f aca="false">Sens!$H$2404*(1-Sens!$H$2356)</f>
        <v>-1.36914452325904</v>
      </c>
      <c r="I2458" s="38" t="n">
        <f aca="false">Sens!$I$2404*(1-Sens!$I$2356)</f>
        <v>-2.14435073216927</v>
      </c>
      <c r="J2458" s="38" t="n">
        <f aca="false">Sens!$J$2404*(1-Sens!$J$2356)</f>
        <v>-2.87523698650061</v>
      </c>
      <c r="K2458" s="38" t="n">
        <f aca="false">Sens!$K$2404*(1-Sens!$K$2356)</f>
        <v>-3.57184402593958</v>
      </c>
      <c r="L2458" s="38" t="n">
        <f aca="false">Sens!$L$2404*(1-Sens!$L$2356)</f>
        <v>-4.38229698376909</v>
      </c>
      <c r="M2458" s="38" t="n">
        <f aca="false">Sens!$M$2404*(1-Sens!$M$2356)</f>
        <v>-5.15408137818814</v>
      </c>
      <c r="N2458" s="38" t="n">
        <f aca="false">Sens!$N$2404*(1-Sens!$N$2356)</f>
        <v>-0.063229353350833</v>
      </c>
      <c r="O2458" s="38" t="n">
        <f aca="false">Sens!$O$2404*(1-Sens!$O$2356)</f>
        <v>-0.211547382291525</v>
      </c>
    </row>
    <row r="2459" customFormat="false" ht="17.15" hidden="false" customHeight="false" outlineLevel="0" collapsed="false">
      <c r="A2459" s="0" t="s">
        <v>681</v>
      </c>
      <c r="B2459" s="0" t="s">
        <v>52</v>
      </c>
      <c r="C2459" s="28" t="n">
        <f aca="false">(Sens!$C$2460-Sens!$C$2456+Sens!$C$2458)/Sens!$C$2457</f>
        <v>-0.0304700243341547</v>
      </c>
      <c r="D2459" s="28" t="n">
        <f aca="false">(Sens!$D$2460-Sens!$D$2456+Sens!$D$2458)/Sens!$D$2457</f>
        <v>-0.0347345429704072</v>
      </c>
      <c r="E2459" s="28" t="n">
        <f aca="false">(Sens!$E$2460-Sens!$E$2456+Sens!$E$2458)/Sens!$E$2457</f>
        <v>-0.0275761045301602</v>
      </c>
      <c r="F2459" s="28" t="n">
        <f aca="false">Sens!$O$2459+(Sens!$E$2459-Sens!$N$2459)</f>
        <v>-0.0465191588862894</v>
      </c>
      <c r="G2459" s="28" t="n">
        <f aca="false">(Sens!$G$2460-Sens!$G$2456+Sens!$G$2458)/Sens!$G$2457</f>
        <v>-0.0378371968715237</v>
      </c>
      <c r="H2459" s="28" t="n">
        <f aca="false">Sens!$G$2459+step_in</f>
        <v>-0.0378371968715237</v>
      </c>
      <c r="I2459" s="28" t="n">
        <f aca="false">Sens!$H$2459+step_in</f>
        <v>-0.0378371968715237</v>
      </c>
      <c r="J2459" s="28" t="n">
        <f aca="false">Sens!$I$2459+step_in</f>
        <v>-0.0378371968715237</v>
      </c>
      <c r="K2459" s="28" t="n">
        <f aca="false">Sens!$J$2459+step_in</f>
        <v>-0.0378371968715237</v>
      </c>
      <c r="L2459" s="28" t="n">
        <f aca="false">Sens!$K$2459</f>
        <v>-0.0378371968715237</v>
      </c>
      <c r="M2459" s="28" t="n">
        <f aca="false">Sens!$L$2459</f>
        <v>-0.0378371968715237</v>
      </c>
      <c r="N2459" s="28" t="n">
        <f aca="false">(Sens!$N$2460-Sens!$N$2456+Sens!$N$2458)/Sens!$N$2457</f>
        <v>-0.0241370695698077</v>
      </c>
      <c r="O2459" s="28" t="n">
        <f aca="false">(Sens!$O$2460-Sens!$O$2456+Sens!$O$2458)/Sens!$O$2457</f>
        <v>-0.0430801239259369</v>
      </c>
      <c r="P2459" s="8" t="s">
        <v>676</v>
      </c>
    </row>
    <row r="2460" customFormat="false" ht="17.15" hidden="false" customHeight="false" outlineLevel="0" collapsed="false">
      <c r="A2460" s="1" t="s">
        <v>682</v>
      </c>
      <c r="B2460" s="8" t="s">
        <v>73</v>
      </c>
      <c r="C2460" s="38" t="n">
        <f aca="false">Q!$D$23</f>
        <v>3.792</v>
      </c>
      <c r="D2460" s="38" t="n">
        <f aca="false">Q!$E$23</f>
        <v>4.75</v>
      </c>
      <c r="E2460" s="38" t="n">
        <f aca="false">Q!$P$23</f>
        <v>3.141</v>
      </c>
      <c r="F2460" s="38" t="n">
        <f aca="false">Sens!$F$2456+Sens!$F$2457*Sens!$F$2459-Sens!$F$2458</f>
        <v>3.20545124242896</v>
      </c>
      <c r="G2460" s="38" t="n">
        <f aca="false">Sens!$E$2460+Sens!$F$2460</f>
        <v>6.34645124242896</v>
      </c>
      <c r="H2460" s="38" t="n">
        <f aca="false">Sens!$H$2456+Sens!$H$2457*Sens!$H$2459-Sens!$H$2458</f>
        <v>8.95885929130498</v>
      </c>
      <c r="I2460" s="38" t="n">
        <f aca="false">Sens!$I$2456+Sens!$I$2457*Sens!$I$2459-Sens!$I$2458</f>
        <v>11.5632340347178</v>
      </c>
      <c r="J2460" s="38" t="n">
        <f aca="false">Sens!$J$2456+Sens!$J$2457*Sens!$J$2459-Sens!$J$2458</f>
        <v>14.0039185831638</v>
      </c>
      <c r="K2460" s="38" t="n">
        <f aca="false">Sens!$K$2456+Sens!$K$2457*Sens!$K$2459-Sens!$K$2458</f>
        <v>16.131535169892</v>
      </c>
      <c r="L2460" s="38" t="n">
        <f aca="false">Sens!$L$2456+Sens!$L$2457*Sens!$L$2459-Sens!$L$2458</f>
        <v>18.5336563954633</v>
      </c>
      <c r="M2460" s="38" t="n">
        <f aca="false">Sens!$M$2456+Sens!$M$2457*Sens!$M$2459-Sens!$M$2458</f>
        <v>21.0748428966607</v>
      </c>
      <c r="N2460" s="38" t="n">
        <f aca="false">Q!$N$23</f>
        <v>2.511</v>
      </c>
      <c r="O2460" s="38" t="n">
        <f aca="false">Q!$O$23</f>
        <v>2.239</v>
      </c>
    </row>
    <row r="2461" customFormat="false" ht="17.15" hidden="false" customHeight="false" outlineLevel="0" collapsed="false">
      <c r="A2461" s="0" t="s">
        <v>683</v>
      </c>
      <c r="B2461" s="0" t="s">
        <v>73</v>
      </c>
      <c r="C2461" s="38" t="n">
        <f aca="false">Sens!$C$2401</f>
        <v>1.64417882953695</v>
      </c>
      <c r="D2461" s="38" t="n">
        <f aca="false">Sens!$D$2401</f>
        <v>3.8781008067718</v>
      </c>
      <c r="E2461" s="38" t="n">
        <f aca="false">Sens!$E$2401</f>
        <v>1.41270258088753</v>
      </c>
      <c r="F2461" s="38" t="n">
        <f aca="false">Sens!$F$2401</f>
        <v>6.50727700583486</v>
      </c>
      <c r="G2461" s="38" t="n">
        <f aca="false">Sens!$G$2401</f>
        <v>7.9199795867224</v>
      </c>
      <c r="H2461" s="38" t="n">
        <f aca="false">Sens!$H$2401</f>
        <v>19.2818189481807</v>
      </c>
      <c r="I2461" s="38" t="n">
        <f aca="false">Sens!$I$2401</f>
        <v>30.140114407202</v>
      </c>
      <c r="J2461" s="38" t="n">
        <f aca="false">Sens!$J$2401</f>
        <v>40.3569468829854</v>
      </c>
      <c r="K2461" s="38" t="n">
        <f aca="false">Sens!$K$2401</f>
        <v>50.0782975081929</v>
      </c>
      <c r="L2461" s="38" t="n">
        <f aca="false">Sens!$L$2401</f>
        <v>61.443331993499</v>
      </c>
      <c r="M2461" s="38" t="n">
        <f aca="false">Sens!$M$2401</f>
        <v>72.2498791587849</v>
      </c>
      <c r="N2461" s="38" t="n">
        <f aca="false">Sens!$N$2401</f>
        <v>0.92264103489199</v>
      </c>
      <c r="O2461" s="38" t="n">
        <f aca="false">Sens!$O$2401</f>
        <v>2.95545977187981</v>
      </c>
    </row>
    <row r="2462" customFormat="false" ht="17.15" hidden="false" customHeight="false" outlineLevel="0" collapsed="false">
      <c r="A2462" s="0" t="s">
        <v>603</v>
      </c>
      <c r="B2462" s="0" t="s">
        <v>73</v>
      </c>
      <c r="C2462" s="38" t="n">
        <f aca="false">Sens!$C$2406</f>
        <v>38.1898211704631</v>
      </c>
      <c r="D2462" s="38" t="n">
        <f aca="false">Sens!$D$2406</f>
        <v>41.7278991932282</v>
      </c>
      <c r="E2462" s="38" t="n">
        <f aca="false">Sens!$E$2406</f>
        <v>29.3692974191125</v>
      </c>
      <c r="F2462" s="38" t="n">
        <f aca="false">Sens!$F$2406</f>
        <v>29.458060516894</v>
      </c>
      <c r="G2462" s="38" t="n">
        <f aca="false">Sens!$G$2406</f>
        <v>58.8273579360065</v>
      </c>
      <c r="H2462" s="38" t="n">
        <f aca="false">Sens!$H$2406</f>
        <v>67.8004040185081</v>
      </c>
      <c r="I2462" s="38" t="n">
        <f aca="false">Sens!$I$2406</f>
        <v>78.9527630302702</v>
      </c>
      <c r="J2462" s="38" t="n">
        <f aca="false">Sens!$J$2406</f>
        <v>88.6042681781841</v>
      </c>
      <c r="K2462" s="38" t="n">
        <f aca="false">Sens!$K$2406</f>
        <v>95.6926096324389</v>
      </c>
      <c r="L2462" s="38" t="n">
        <f aca="false">Sens!$L$2406</f>
        <v>103.348018403034</v>
      </c>
      <c r="M2462" s="38" t="n">
        <f aca="false">Sens!$M$2406</f>
        <v>111.615859875277</v>
      </c>
      <c r="N2462" s="38" t="n">
        <f aca="false">Sens!$N$2406</f>
        <v>20.784358965108</v>
      </c>
      <c r="O2462" s="38" t="n">
        <f aca="false">Sens!$O$2406</f>
        <v>20.9435402281202</v>
      </c>
    </row>
    <row r="2463" customFormat="false" ht="17.15" hidden="false" customHeight="false" outlineLevel="0" collapsed="false">
      <c r="A2463" s="1" t="s">
        <v>684</v>
      </c>
      <c r="B2463" s="8" t="s">
        <v>73</v>
      </c>
      <c r="C2463" s="38" t="n">
        <f aca="false">Q!$D$24</f>
        <v>39.834</v>
      </c>
      <c r="D2463" s="38" t="n">
        <f aca="false">Q!$E$24</f>
        <v>45.606</v>
      </c>
      <c r="E2463" s="38" t="n">
        <f aca="false">Q!$P$24</f>
        <v>30.782</v>
      </c>
      <c r="F2463" s="38" t="n">
        <f aca="false">Sens!$F$2461+Sens!$F$2462</f>
        <v>35.9653375227289</v>
      </c>
      <c r="G2463" s="38" t="n">
        <f aca="false">Sens!$G$2461+Sens!$G$2462</f>
        <v>66.7473375227289</v>
      </c>
      <c r="H2463" s="38" t="n">
        <f aca="false">Sens!$H$2461+Sens!$H$2462</f>
        <v>87.0822229666888</v>
      </c>
      <c r="I2463" s="38" t="n">
        <f aca="false">Sens!$I$2461+Sens!$I$2462</f>
        <v>109.092877437472</v>
      </c>
      <c r="J2463" s="38" t="n">
        <f aca="false">Sens!$J$2461+Sens!$J$2462</f>
        <v>128.96121506117</v>
      </c>
      <c r="K2463" s="38" t="n">
        <f aca="false">Sens!$K$2461+Sens!$K$2462</f>
        <v>145.770907140632</v>
      </c>
      <c r="L2463" s="38" t="n">
        <f aca="false">Sens!$L$2461+Sens!$L$2462</f>
        <v>164.791350396533</v>
      </c>
      <c r="M2463" s="38" t="n">
        <f aca="false">Sens!$M$2461+Sens!$M$2462</f>
        <v>183.865739034062</v>
      </c>
      <c r="N2463" s="38" t="n">
        <f aca="false">Q!$N$24</f>
        <v>21.707</v>
      </c>
      <c r="O2463" s="38" t="n">
        <f aca="false">Q!$O$24</f>
        <v>23.899</v>
      </c>
    </row>
    <row r="2464" customFormat="false" ht="17.15" hidden="false" customHeight="false" outlineLevel="0" collapsed="false">
      <c r="A2464" s="5" t="s">
        <v>685</v>
      </c>
      <c r="B2464" s="0" t="s">
        <v>73</v>
      </c>
      <c r="C2464" s="38" t="n">
        <f aca="false">Q!$D$26</f>
        <v>0</v>
      </c>
      <c r="D2464" s="38" t="n">
        <f aca="false">Q!$E$26</f>
        <v>0</v>
      </c>
      <c r="E2464" s="38" t="n">
        <f aca="false">Q!$P$26</f>
        <v>0</v>
      </c>
      <c r="F2464" s="41" t="n">
        <v>0</v>
      </c>
      <c r="G2464" s="38" t="n">
        <f aca="false">Sens!$E$2464+Sens!$F$2464</f>
        <v>0</v>
      </c>
      <c r="H2464" s="41" t="n">
        <v>0</v>
      </c>
      <c r="I2464" s="41" t="n">
        <v>0</v>
      </c>
      <c r="J2464" s="41" t="n">
        <v>0</v>
      </c>
      <c r="K2464" s="41" t="n">
        <v>0</v>
      </c>
      <c r="L2464" s="41" t="n">
        <v>0</v>
      </c>
      <c r="M2464" s="41" t="n">
        <v>0</v>
      </c>
      <c r="N2464" s="38" t="n">
        <f aca="false">Q!$N$26</f>
        <v>0</v>
      </c>
      <c r="O2464" s="38" t="n">
        <f aca="false">Q!$O$26</f>
        <v>0</v>
      </c>
    </row>
    <row r="2465" customFormat="false" ht="15" hidden="false" customHeight="false" outlineLevel="0" collapsed="false">
      <c r="A2465" s="3" t="s">
        <v>494</v>
      </c>
      <c r="B2465" s="8" t="s">
        <v>73</v>
      </c>
      <c r="C2465" s="38" t="n">
        <f aca="false">Q!$D$25</f>
        <v>68.593</v>
      </c>
      <c r="D2465" s="38" t="n">
        <f aca="false">Q!$E$25</f>
        <v>79.975</v>
      </c>
      <c r="E2465" s="38" t="n">
        <f aca="false">Q!$P$25</f>
        <v>51.313</v>
      </c>
      <c r="F2465" s="38" t="n">
        <f aca="false">Sens!$F$2455+Sens!$F$2460+Sens!$F$2463+Sens!$F$2464</f>
        <v>60.6320681590284</v>
      </c>
      <c r="G2465" s="38" t="n">
        <f aca="false">Sens!$G$2455+Sens!$G$2460+Sens!$G$2463+Sens!$G$2464</f>
        <v>111.945068159028</v>
      </c>
      <c r="H2465" s="38" t="n">
        <f aca="false">Sens!$H$2455+Sens!$H$2460+Sens!$H$2463+Sens!$H$2464</f>
        <v>145.15319826482</v>
      </c>
      <c r="I2465" s="38" t="n">
        <f aca="false">Sens!$I$2455+Sens!$I$2460+Sens!$I$2463+Sens!$I$2464</f>
        <v>180.139978823798</v>
      </c>
      <c r="J2465" s="38" t="n">
        <f aca="false">Sens!$J$2455+Sens!$J$2460+Sens!$J$2463+Sens!$J$2464</f>
        <v>212.444985074038</v>
      </c>
      <c r="K2465" s="38" t="n">
        <f aca="false">Sens!$K$2455+Sens!$K$2460+Sens!$K$2463+Sens!$K$2464</f>
        <v>240.519610403377</v>
      </c>
      <c r="L2465" s="38" t="n">
        <f aca="false">Sens!$L$2455+Sens!$L$2460+Sens!$L$2463+Sens!$L$2464</f>
        <v>270.341667242175</v>
      </c>
      <c r="M2465" s="38" t="n">
        <f aca="false">Sens!$M$2455+Sens!$M$2460+Sens!$M$2463+Sens!$M$2464</f>
        <v>300.84855066732</v>
      </c>
      <c r="N2465" s="38" t="n">
        <f aca="false">Q!$N$25</f>
        <v>37.576</v>
      </c>
      <c r="O2465" s="38" t="n">
        <f aca="false">Q!$O$25</f>
        <v>42.399</v>
      </c>
    </row>
    <row r="2466" customFormat="false" ht="17.15" hidden="false" customHeight="false" outlineLevel="0" collapsed="false">
      <c r="A2466" s="24" t="s">
        <v>711</v>
      </c>
      <c r="B2466" s="25" t="s">
        <v>73</v>
      </c>
      <c r="C2466" s="39" t="n">
        <f aca="false">Sens!$C$2455+Sens!$C$2460+Sens!$C$2463+Sens!$C$2464-Sens!$C$2465</f>
        <v>0</v>
      </c>
      <c r="D2466" s="39" t="n">
        <f aca="false">Sens!$D$2455+Sens!$D$2460+Sens!$D$2463+Sens!$D$2464-Sens!$D$2465</f>
        <v>0</v>
      </c>
      <c r="E2466" s="39" t="n">
        <f aca="false">Sens!$E$2455+Sens!$E$2460+Sens!$E$2463+Sens!$E$2464-Sens!$E$2465</f>
        <v>0</v>
      </c>
      <c r="F2466" s="39" t="n">
        <f aca="false">Sens!$F$2455+Sens!$F$2460+Sens!$F$2463+Sens!$F$2464-Sens!$F$2465</f>
        <v>0</v>
      </c>
      <c r="G2466" s="39" t="n">
        <f aca="false">Sens!$G$2455+Sens!$G$2460+Sens!$G$2463+Sens!$G$2464-Sens!$G$2465</f>
        <v>0</v>
      </c>
      <c r="H2466" s="39" t="n">
        <f aca="false">Sens!$H$2455+Sens!$H$2460+Sens!$H$2463+Sens!$H$2464-Sens!$H$2465</f>
        <v>0</v>
      </c>
      <c r="I2466" s="39" t="n">
        <f aca="false">Sens!$I$2455+Sens!$I$2460+Sens!$I$2463+Sens!$I$2464-Sens!$I$2465</f>
        <v>0</v>
      </c>
      <c r="J2466" s="39" t="n">
        <f aca="false">Sens!$J$2455+Sens!$J$2460+Sens!$J$2463+Sens!$J$2464-Sens!$J$2465</f>
        <v>0</v>
      </c>
      <c r="K2466" s="39" t="n">
        <f aca="false">Sens!$K$2455+Sens!$K$2460+Sens!$K$2463+Sens!$K$2464-Sens!$K$2465</f>
        <v>0</v>
      </c>
      <c r="L2466" s="39" t="n">
        <f aca="false">Sens!$L$2455+Sens!$L$2460+Sens!$L$2463+Sens!$L$2464-Sens!$L$2465</f>
        <v>0</v>
      </c>
      <c r="M2466" s="39" t="n">
        <f aca="false">Sens!$M$2455+Sens!$M$2460+Sens!$M$2463+Sens!$M$2464-Sens!$M$2465</f>
        <v>0</v>
      </c>
      <c r="N2466" s="39" t="n">
        <f aca="false">Sens!$N$2455+Sens!$N$2460+Sens!$N$2463+Sens!$N$2464-Sens!$N$2465</f>
        <v>0</v>
      </c>
      <c r="O2466" s="39" t="n">
        <f aca="false">Sens!$O$2455+Sens!$O$2460+Sens!$O$2463+Sens!$O$2464-Sens!$O$2465</f>
        <v>0</v>
      </c>
    </row>
    <row r="2467" customFormat="false" ht="17.15" hidden="false" customHeight="false" outlineLevel="0" collapsed="false">
      <c r="A2467" s="0" t="s">
        <v>687</v>
      </c>
      <c r="B2467" s="0" t="s">
        <v>52</v>
      </c>
      <c r="C2467" s="12" t="n">
        <f aca="false">Sens!$C$2455/Sens!$C$2440</f>
        <v>0.0644314665661928</v>
      </c>
      <c r="D2467" s="12" t="n">
        <f aca="false">Sens!$D$2455/Sens!$D$2440</f>
        <v>0.0694784250712518</v>
      </c>
      <c r="E2467" s="12" t="n">
        <f aca="false">Sens!$E$2455/Sens!$E$2440</f>
        <v>0.0789306463326071</v>
      </c>
      <c r="F2467" s="12" t="n">
        <f aca="false">Sens!$F$2455/Sens!$F$2440</f>
        <v>0.083733683975071</v>
      </c>
      <c r="G2467" s="12" t="n">
        <f aca="false">Sens!$G$2455/Sens!$G$2440</f>
        <v>0.0815134742918069</v>
      </c>
      <c r="H2467" s="12" t="n">
        <f aca="false">Sens!$H$2455/Sens!$H$2440</f>
        <v>0.093062185894774</v>
      </c>
      <c r="I2467" s="12" t="n">
        <f aca="false">Sens!$I$2455/Sens!$I$2440</f>
        <v>0.103063457474454</v>
      </c>
      <c r="J2467" s="12" t="n">
        <f aca="false">Sens!$J$2455/Sens!$J$2440</f>
        <v>0.111520179676143</v>
      </c>
      <c r="K2467" s="12" t="n">
        <f aca="false">Sens!$K$2455/Sens!$K$2440</f>
        <v>0.118509547640369</v>
      </c>
      <c r="L2467" s="12" t="n">
        <f aca="false">Sens!$L$2455/Sens!$L$2440</f>
        <v>0.123154523772786</v>
      </c>
      <c r="M2467" s="12" t="n">
        <f aca="false">Sens!$M$2455/Sens!$M$2440</f>
        <v>0.127404250300417</v>
      </c>
      <c r="N2467" s="12" t="n">
        <f aca="false">Sens!$N$2455/Sens!$N$2440</f>
        <v>0.069228576611127</v>
      </c>
      <c r="O2467" s="12" t="n">
        <f aca="false">Sens!$O$2455/Sens!$O$2440</f>
        <v>0.069685022498393</v>
      </c>
    </row>
    <row r="2468" customFormat="false" ht="17.15" hidden="false" customHeight="false" outlineLevel="0" collapsed="false">
      <c r="A2468" s="0" t="s">
        <v>688</v>
      </c>
      <c r="B2468" s="0" t="s">
        <v>52</v>
      </c>
      <c r="C2468" s="12" t="n">
        <f aca="false">Sens!$C$2460/Sens!$C$2441</f>
        <v>0.026534925055631</v>
      </c>
      <c r="D2468" s="12" t="n">
        <f aca="false">Sens!$D$2460/Sens!$D$2441</f>
        <v>0.0293401855535103</v>
      </c>
      <c r="E2468" s="12" t="n">
        <f aca="false">Sens!$E$2460/Sens!$E$2441</f>
        <v>0.03831141902276</v>
      </c>
      <c r="F2468" s="12" t="n">
        <f aca="false">Sens!$F$2460/Sens!$F$2441</f>
        <v>0.0318530690907513</v>
      </c>
      <c r="G2468" s="12" t="n">
        <f aca="false">Sens!$G$2460/Sens!$G$2441</f>
        <v>0.0347525262995537</v>
      </c>
      <c r="H2468" s="12" t="n">
        <f aca="false">Sens!$H$2460/Sens!$H$2441</f>
        <v>0.0443066252774375</v>
      </c>
      <c r="I2468" s="12" t="n">
        <f aca="false">Sens!$I$2460/Sens!$I$2441</f>
        <v>0.052289703640695</v>
      </c>
      <c r="J2468" s="12" t="n">
        <f aca="false">Sens!$J$2460/Sens!$J$2441</f>
        <v>0.0586645184494757</v>
      </c>
      <c r="K2468" s="12" t="n">
        <f aca="false">Sens!$K$2460/Sens!$K$2441</f>
        <v>0.0634662732835715</v>
      </c>
      <c r="L2468" s="12" t="n">
        <f aca="false">Sens!$L$2460/Sens!$L$2441</f>
        <v>0.0684605553997491</v>
      </c>
      <c r="M2468" s="12" t="n">
        <f aca="false">Sens!$M$2460/Sens!$M$2441</f>
        <v>0.0730676135244203</v>
      </c>
      <c r="N2468" s="12" t="n">
        <f aca="false">Sens!$N$2460/Sens!$N$2441</f>
        <v>0.0357315650169337</v>
      </c>
      <c r="O2468" s="12" t="n">
        <f aca="false">Sens!$O$2460/Sens!$O$2441</f>
        <v>0.0244378956559703</v>
      </c>
    </row>
    <row r="2469" customFormat="false" ht="17.15" hidden="false" customHeight="false" outlineLevel="0" collapsed="false">
      <c r="A2469" s="13" t="s">
        <v>689</v>
      </c>
      <c r="B2469" s="13" t="s">
        <v>52</v>
      </c>
      <c r="C2469" s="16" t="n">
        <f aca="false">Sens!$C$2463/Sens!$C$2442</f>
        <v>0.370355907620217</v>
      </c>
      <c r="D2469" s="16" t="n">
        <f aca="false">Sens!$D$2463/Sens!$D$2442</f>
        <v>0.35429015342785</v>
      </c>
      <c r="E2469" s="16" t="n">
        <f aca="false">Sens!$E$2463/Sens!$E$2442</f>
        <v>0.385647527531039</v>
      </c>
      <c r="F2469" s="16" t="n">
        <f aca="false">Sens!$F$2463/Sens!$F$2442</f>
        <v>0.384415729470259</v>
      </c>
      <c r="G2469" s="16" t="n">
        <f aca="false">Sens!$G$2463/Sens!$G$2442</f>
        <v>0.38498282105443</v>
      </c>
      <c r="H2469" s="16" t="n">
        <f aca="false">Sens!$H$2463/Sens!$H$2442</f>
        <v>0.361247909668527</v>
      </c>
      <c r="I2469" s="16" t="n">
        <f aca="false">Sens!$I$2463/Sens!$I$2442</f>
        <v>0.349486287974975</v>
      </c>
      <c r="J2469" s="16" t="n">
        <f aca="false">Sens!$J$2463/Sens!$J$2442</f>
        <v>0.339886531832068</v>
      </c>
      <c r="K2469" s="16" t="n">
        <f aca="false">Sens!$K$2463/Sens!$K$2442</f>
        <v>0.33135833762061</v>
      </c>
      <c r="L2469" s="16" t="n">
        <f aca="false">Sens!$L$2463/Sens!$L$2442</f>
        <v>0.328299068185284</v>
      </c>
      <c r="M2469" s="16" t="n">
        <f aca="false">Sens!$M$2463/Sens!$M$2442</f>
        <v>0.325058049465166</v>
      </c>
      <c r="N2469" s="16" t="n">
        <f aca="false">Sens!$N$2463/Sens!$N$2442</f>
        <v>0.360941137346192</v>
      </c>
      <c r="O2469" s="16" t="n">
        <f aca="false">Sens!$O$2463/Sens!$O$2442</f>
        <v>0.348458117664212</v>
      </c>
    </row>
    <row r="2470" customFormat="false" ht="17.15" hidden="false" customHeight="false" outlineLevel="0" collapsed="false">
      <c r="A2470" s="0" t="s">
        <v>690</v>
      </c>
      <c r="B2470" s="0" t="s">
        <v>52</v>
      </c>
      <c r="C2470" s="12" t="n">
        <f aca="false">Sens!$C$2461/Sens!$C$2443</f>
        <v>0.708390794789371</v>
      </c>
      <c r="D2470" s="12" t="n">
        <f aca="false">Sens!$D$2461/Sens!$D$2443</f>
        <v>0.445565630441968</v>
      </c>
      <c r="E2470" s="12" t="n">
        <f aca="false">Sens!$E$2461/Sens!$E$2443</f>
        <v>0.165998118402711</v>
      </c>
      <c r="F2470" s="12" t="n">
        <f aca="false">Sens!$F$2461/Sens!$F$2443</f>
        <v>0.434878595403858</v>
      </c>
      <c r="G2470" s="12" t="n">
        <f aca="false">Sens!$G$2461/Sens!$G$2443</f>
        <v>0.3373967615381</v>
      </c>
      <c r="H2470" s="12" t="n">
        <f aca="false">Sens!$H$2461/Sens!$H$2443</f>
        <v>0.320477578041224</v>
      </c>
      <c r="I2470" s="12" t="n">
        <f aca="false">Sens!$I$2461/Sens!$I$2443</f>
        <v>0.296936118226494</v>
      </c>
      <c r="J2470" s="12" t="n">
        <f aca="false">Sens!$J$2461/Sens!$J$2443</f>
        <v>0.282166278613001</v>
      </c>
      <c r="K2470" s="12" t="n">
        <f aca="false">Sens!$K$2461/Sens!$K$2443</f>
        <v>0.271267685694333</v>
      </c>
      <c r="L2470" s="12" t="n">
        <f aca="false">Sens!$L$2461/Sens!$L$2443</f>
        <v>0.27160960915653</v>
      </c>
      <c r="M2470" s="12" t="n">
        <f aca="false">Sens!$M$2461/Sens!$M$2443</f>
        <v>0.26974494804234</v>
      </c>
      <c r="N2470" s="12" t="n">
        <f aca="false">Sens!$N$2461/Sens!$N$2443</f>
        <v>0.302870734830849</v>
      </c>
      <c r="O2470" s="12" t="n">
        <f aca="false">Sens!$O$2461/Sens!$O$2443</f>
        <v>0.52240134346334</v>
      </c>
    </row>
    <row r="2471" customFormat="false" ht="15" hidden="false" customHeight="false" outlineLevel="0" collapsed="false">
      <c r="A2471" s="5" t="s">
        <v>691</v>
      </c>
      <c r="B2471" s="0" t="s">
        <v>52</v>
      </c>
      <c r="C2471" s="12" t="n">
        <f aca="false">Sens!$C$2465/Sens!$C$2445</f>
        <v>0.107519448742004</v>
      </c>
      <c r="D2471" s="12" t="n">
        <f aca="false">Sens!$D$2465/Sens!$D$2445</f>
        <v>0.111552967957552</v>
      </c>
      <c r="E2471" s="12" t="n">
        <f aca="false">Sens!$E$2465/Sens!$E$2445</f>
        <v>0.13428328426562</v>
      </c>
      <c r="F2471" s="12" t="n">
        <f aca="false">Sens!$F$2465/Sens!$F$2445</f>
        <v>0.134589918235196</v>
      </c>
      <c r="G2471" s="12" t="n">
        <f aca="false">Sens!$G$2465/Sens!$G$2445</f>
        <v>0.134449190744313</v>
      </c>
      <c r="H2471" s="12" t="n">
        <f aca="false">Sens!$H$2465/Sens!$H$2445</f>
        <v>0.149489101375917</v>
      </c>
      <c r="I2471" s="12" t="n">
        <f aca="false">Sens!$I$2465/Sens!$I$2445</f>
        <v>0.162222844291878</v>
      </c>
      <c r="J2471" s="12" t="n">
        <f aca="false">Sens!$J$2465/Sens!$J$2445</f>
        <v>0.171166320320252</v>
      </c>
      <c r="K2471" s="12" t="n">
        <f aca="false">Sens!$K$2465/Sens!$K$2445</f>
        <v>0.17718138749914</v>
      </c>
      <c r="L2471" s="12" t="n">
        <f aca="false">Sens!$L$2465/Sens!$L$2445</f>
        <v>0.182757129000587</v>
      </c>
      <c r="M2471" s="12" t="n">
        <f aca="false">Sens!$M$2465/Sens!$M$2445</f>
        <v>0.187228337190325</v>
      </c>
      <c r="N2471" s="12" t="n">
        <f aca="false">Sens!$N$2465/Sens!$N$2445</f>
        <v>0.116201614873411</v>
      </c>
      <c r="O2471" s="12" t="n">
        <f aca="false">Sens!$O$2465/Sens!$O$2445</f>
        <v>0.107733353660861</v>
      </c>
    </row>
    <row r="2472" customFormat="false" ht="17.15" hidden="false" customHeight="false" outlineLevel="0" collapsed="false">
      <c r="A2472" s="1" t="s">
        <v>692</v>
      </c>
    </row>
    <row r="2473" customFormat="false" ht="17.15" hidden="false" customHeight="false" outlineLevel="0" collapsed="false">
      <c r="A2473" s="5" t="s">
        <v>693</v>
      </c>
      <c r="B2473" s="0" t="s">
        <v>52</v>
      </c>
      <c r="D2473" s="28" t="n">
        <f aca="false">(Q!$E$29+Q!$E$30-(1-ext_sh)*Sens!$D$2397)/Sens!$D$2355</f>
        <v>0.0334674312393194</v>
      </c>
    </row>
    <row r="2474" customFormat="false" ht="17.15" hidden="false" customHeight="false" outlineLevel="0" collapsed="false">
      <c r="A2474" s="0" t="s">
        <v>498</v>
      </c>
      <c r="B2474" s="0" t="s">
        <v>73</v>
      </c>
      <c r="C2474" s="38" t="n">
        <f aca="false">Q!$D$29</f>
        <v>14.285</v>
      </c>
      <c r="D2474" s="38" t="n">
        <f aca="false">Q!$E$29</f>
        <v>15.503</v>
      </c>
      <c r="E2474" s="38" t="n">
        <f aca="false">Q!$P$29</f>
        <v>8.78</v>
      </c>
      <c r="F2474" s="38" t="n">
        <f aca="false">(Sens!$D$2473*Sens!$F$2355+(1-ext_sh)*Sens!$F$2397)*Sens!$F$2356</f>
        <v>9.51361751569285</v>
      </c>
      <c r="G2474" s="38" t="n">
        <f aca="false">Sens!$E$2474+Sens!$F$2474</f>
        <v>18.2936175156929</v>
      </c>
      <c r="H2474" s="38" t="n">
        <f aca="false">(Sens!$D$2473*Sens!$H$2355+(1-ext_sh)*Sens!$H$2397)*Sens!$H$2356</f>
        <v>22.7653661801943</v>
      </c>
      <c r="I2474" s="38" t="n">
        <f aca="false">(Sens!$D$2473*Sens!$I$2355+(1-ext_sh)*Sens!$I$2397)*Sens!$I$2356</f>
        <v>28.4281317305062</v>
      </c>
      <c r="J2474" s="38" t="n">
        <f aca="false">(Sens!$D$2473*Sens!$J$2355+(1-ext_sh)*Sens!$J$2397)*Sens!$J$2356</f>
        <v>34.1182922009732</v>
      </c>
      <c r="K2474" s="38" t="n">
        <f aca="false">(Sens!$D$2473*Sens!$K$2355+(1-ext_sh)*Sens!$K$2397)*Sens!$K$2356</f>
        <v>39.7237727987046</v>
      </c>
      <c r="L2474" s="38" t="n">
        <f aca="false">(Sens!$D$2473*Sens!$L$2355+(1-ext_sh)*Sens!$L$2397)*Sens!$L$2356</f>
        <v>45.1313127180263</v>
      </c>
      <c r="M2474" s="38" t="n">
        <f aca="false">(Sens!$D$2473*Sens!$M$2355+(1-ext_sh)*Sens!$M$2397)*Sens!$M$2356</f>
        <v>50.743940615442</v>
      </c>
      <c r="N2474" s="38" t="n">
        <f aca="false">Q!$N$29</f>
        <v>7.272</v>
      </c>
      <c r="O2474" s="38" t="n">
        <f aca="false">Q!$O$29</f>
        <v>8.231</v>
      </c>
    </row>
    <row r="2475" customFormat="false" ht="17.15" hidden="false" customHeight="false" outlineLevel="0" collapsed="false">
      <c r="A2475" s="0" t="s">
        <v>500</v>
      </c>
      <c r="B2475" s="0" t="s">
        <v>73</v>
      </c>
      <c r="C2475" s="38" t="n">
        <f aca="false">Q!$D$30</f>
        <v>4.462</v>
      </c>
      <c r="D2475" s="38" t="n">
        <f aca="false">Q!$E$30</f>
        <v>4.907</v>
      </c>
      <c r="E2475" s="38" t="n">
        <f aca="false">Q!$P$30</f>
        <v>2.57</v>
      </c>
      <c r="F2475" s="38" t="n">
        <f aca="false">(Sens!$D$2473*Sens!$F$2355+(1-ext_sh)*Sens!$F$2397)*(1-Sens!$F$2356)</f>
        <v>3.7353230631574</v>
      </c>
      <c r="G2475" s="38" t="n">
        <f aca="false">Sens!$E$2475+Sens!$F$2475</f>
        <v>6.3053230631574</v>
      </c>
      <c r="H2475" s="38" t="n">
        <f aca="false">(Sens!$D$2473*Sens!$H$2355+(1-ext_sh)*Sens!$H$2397)*(1-Sens!$H$2356)</f>
        <v>8.72254636724805</v>
      </c>
      <c r="I2475" s="38" t="n">
        <f aca="false">(Sens!$D$2473*Sens!$I$2355+(1-ext_sh)*Sens!$I$2397)*(1-Sens!$I$2356)</f>
        <v>10.8922340713019</v>
      </c>
      <c r="J2475" s="38" t="n">
        <f aca="false">(Sens!$D$2473*Sens!$J$2355+(1-ext_sh)*Sens!$J$2397)*(1-Sens!$J$2356)</f>
        <v>13.0724181345791</v>
      </c>
      <c r="K2475" s="38" t="n">
        <f aca="false">(Sens!$D$2473*Sens!$K$2355+(1-ext_sh)*Sens!$K$2397)*(1-Sens!$K$2356)</f>
        <v>15.2201571183236</v>
      </c>
      <c r="L2475" s="38" t="n">
        <f aca="false">(Sens!$D$2473*Sens!$L$2355+(1-ext_sh)*Sens!$L$2397)*(1-Sens!$L$2356)</f>
        <v>17.2920551631732</v>
      </c>
      <c r="M2475" s="38" t="n">
        <f aca="false">(Sens!$D$2473*Sens!$M$2355+(1-ext_sh)*Sens!$M$2397)*(1-Sens!$M$2356)</f>
        <v>19.4425326336348</v>
      </c>
      <c r="N2475" s="38" t="n">
        <f aca="false">Q!$N$30</f>
        <v>2.316</v>
      </c>
      <c r="O2475" s="38" t="n">
        <f aca="false">Q!$O$30</f>
        <v>2.591</v>
      </c>
    </row>
    <row r="2476" customFormat="false" ht="17.15" hidden="false" customHeight="false" outlineLevel="0" collapsed="false">
      <c r="A2476" s="0" t="s">
        <v>501</v>
      </c>
      <c r="B2476" s="0" t="s">
        <v>73</v>
      </c>
      <c r="C2476" s="38" t="n">
        <f aca="false">Sens!$C$2409</f>
        <v>13.32</v>
      </c>
      <c r="D2476" s="38" t="n">
        <f aca="false">Sens!$D$2409</f>
        <v>21.45</v>
      </c>
      <c r="E2476" s="38" t="n">
        <f aca="false">Sens!$E$2409</f>
        <v>15.353</v>
      </c>
      <c r="F2476" s="38" t="n">
        <f aca="false">Sens!$F$2409</f>
        <v>17.3614451462707</v>
      </c>
      <c r="G2476" s="38" t="n">
        <f aca="false">Sens!$G$2409</f>
        <v>32.7144451462707</v>
      </c>
      <c r="H2476" s="38" t="n">
        <f aca="false">Sens!$H$2409</f>
        <v>56.1966092719415</v>
      </c>
      <c r="I2476" s="38" t="n">
        <f aca="false">Sens!$I$2409</f>
        <v>82.9744039068297</v>
      </c>
      <c r="J2476" s="38" t="n">
        <f aca="false">Sens!$J$2409</f>
        <v>109.943252237669</v>
      </c>
      <c r="K2476" s="38" t="n">
        <f aca="false">Sens!$K$2409</f>
        <v>136.406703436571</v>
      </c>
      <c r="L2476" s="38" t="n">
        <f aca="false">Sens!$L$2409</f>
        <v>161.485870454155</v>
      </c>
      <c r="M2476" s="38" t="n">
        <f aca="false">Sens!$M$2409</f>
        <v>187.389846618199</v>
      </c>
      <c r="N2476" s="38" t="n">
        <f aca="false">Sens!$N$2409</f>
        <v>9.234</v>
      </c>
      <c r="O2476" s="38" t="n">
        <f aca="false">Sens!$O$2409</f>
        <v>12.216</v>
      </c>
    </row>
    <row r="2477" customFormat="false" ht="17.15" hidden="false" customHeight="false" outlineLevel="0" collapsed="false">
      <c r="A2477" s="5" t="s">
        <v>694</v>
      </c>
      <c r="B2477" s="0" t="s">
        <v>73</v>
      </c>
      <c r="C2477" s="38" t="n">
        <f aca="false">Sens!$C$2474+Sens!$C$2475+Sens!$C$2476</f>
        <v>32.067</v>
      </c>
      <c r="D2477" s="38" t="n">
        <f aca="false">Sens!$D$2474+Sens!$D$2475+Sens!$D$2476</f>
        <v>41.86</v>
      </c>
      <c r="E2477" s="38" t="n">
        <f aca="false">Sens!$E$2474+Sens!$E$2475+Sens!$E$2476</f>
        <v>26.703</v>
      </c>
      <c r="F2477" s="38" t="n">
        <f aca="false">Sens!$F$2474+Sens!$F$2475+Sens!$F$2476</f>
        <v>30.6103857251209</v>
      </c>
      <c r="G2477" s="38" t="n">
        <f aca="false">Sens!$G$2474+Sens!$G$2475+Sens!$G$2476</f>
        <v>57.3133857251209</v>
      </c>
      <c r="H2477" s="38" t="n">
        <f aca="false">Sens!$H$2474+Sens!$H$2475+Sens!$H$2476</f>
        <v>87.6845218193838</v>
      </c>
      <c r="I2477" s="38" t="n">
        <f aca="false">Sens!$I$2474+Sens!$I$2475+Sens!$I$2476</f>
        <v>122.294769708638</v>
      </c>
      <c r="J2477" s="38" t="n">
        <f aca="false">Sens!$J$2474+Sens!$J$2475+Sens!$J$2476</f>
        <v>157.133962573221</v>
      </c>
      <c r="K2477" s="38" t="n">
        <f aca="false">Sens!$K$2474+Sens!$K$2475+Sens!$K$2476</f>
        <v>191.350633353599</v>
      </c>
      <c r="L2477" s="38" t="n">
        <f aca="false">Sens!$L$2474+Sens!$L$2475+Sens!$L$2476</f>
        <v>223.909238335354</v>
      </c>
      <c r="M2477" s="38" t="n">
        <f aca="false">Sens!$M$2474+Sens!$M$2475+Sens!$M$2476</f>
        <v>257.576319867276</v>
      </c>
      <c r="N2477" s="38" t="n">
        <f aca="false">Sens!$N$2474+Sens!$N$2475+Sens!$N$2476</f>
        <v>18.822</v>
      </c>
      <c r="O2477" s="38" t="n">
        <f aca="false">Sens!$O$2474+Sens!$O$2475+Sens!$O$2476</f>
        <v>23.038</v>
      </c>
    </row>
    <row r="2478" customFormat="false" ht="17.15" hidden="false" customHeight="false" outlineLevel="0" collapsed="false">
      <c r="A2478" s="0" t="s">
        <v>695</v>
      </c>
      <c r="B2478" s="0" t="s">
        <v>73</v>
      </c>
      <c r="C2478" s="38" t="n">
        <f aca="false">Sens!$C$2451+Sens!$C$2456</f>
        <v>28.107</v>
      </c>
      <c r="D2478" s="38" t="n">
        <f aca="false">Sens!$D$2451+Sens!$D$2456</f>
        <v>34.3175</v>
      </c>
      <c r="E2478" s="38" t="n">
        <f aca="false">Sens!$E$2451+Sens!$E$2456</f>
        <v>18.526</v>
      </c>
      <c r="F2478" s="38" t="n">
        <f aca="false">Sens!$F$2451+Sens!$F$2456</f>
        <v>24.0766690913691</v>
      </c>
      <c r="G2478" s="38" t="n">
        <f aca="false">Sens!$G$2451+Sens!$G$2456</f>
        <v>42.6026690913691</v>
      </c>
      <c r="H2478" s="38" t="n">
        <f aca="false">Sens!$H$2451+Sens!$H$2456</f>
        <v>51.1466809294702</v>
      </c>
      <c r="I2478" s="38" t="n">
        <f aca="false">Sens!$I$2451+Sens!$I$2456</f>
        <v>59.6899187926205</v>
      </c>
      <c r="J2478" s="38" t="n">
        <f aca="false">Sens!$J$2451+Sens!$J$2456</f>
        <v>67.6595395244221</v>
      </c>
      <c r="K2478" s="38" t="n">
        <f aca="false">Sens!$K$2451+Sens!$K$2456</f>
        <v>74.4254934768643</v>
      </c>
      <c r="L2478" s="38" t="n">
        <f aca="false">Sens!$L$2451+Sens!$L$2456</f>
        <v>81.8680428245508</v>
      </c>
      <c r="M2478" s="38" t="n">
        <f aca="false">Sens!$M$2451+Sens!$M$2456</f>
        <v>90.0548471070059</v>
      </c>
      <c r="N2478" s="38" t="n">
        <f aca="false">Sens!$N$2451+Sens!$N$2456</f>
        <v>14.8075</v>
      </c>
      <c r="O2478" s="38" t="n">
        <f aca="false">Sens!$O$2451+Sens!$O$2456</f>
        <v>19.51</v>
      </c>
    </row>
    <row r="2479" customFormat="false" ht="17.15" hidden="false" customHeight="false" outlineLevel="0" collapsed="false">
      <c r="A2479" s="0" t="s">
        <v>696</v>
      </c>
      <c r="B2479" s="0" t="s">
        <v>73</v>
      </c>
      <c r="C2479" s="38" t="n">
        <f aca="false">Sens!$C$2455+Sens!$C$2460+Sens!$C$2474+Sens!$C$2475-Sens!$C$2478</f>
        <v>19.399</v>
      </c>
      <c r="D2479" s="38" t="n">
        <f aca="false">Sens!$D$2455+Sens!$D$2460+Sens!$D$2474+Sens!$D$2475-Sens!$D$2478</f>
        <v>20.4615</v>
      </c>
      <c r="E2479" s="38" t="n">
        <f aca="false">Sens!$E$2455+Sens!$E$2460+Sens!$E$2474+Sens!$E$2475-Sens!$E$2478</f>
        <v>13.355</v>
      </c>
      <c r="F2479" s="38" t="n">
        <f aca="false">Sens!$F$2455+Sens!$F$2460+Sens!$F$2474+Sens!$F$2475-Sens!$F$2478</f>
        <v>13.8390021237807</v>
      </c>
      <c r="G2479" s="38" t="n">
        <f aca="false">Sens!$G$2455+Sens!$G$2460+Sens!$G$2474+Sens!$G$2475-Sens!$G$2478</f>
        <v>27.1940021237807</v>
      </c>
      <c r="H2479" s="38" t="n">
        <f aca="false">Sens!$H$2455+Sens!$H$2460+Sens!$H$2474+Sens!$H$2475-Sens!$H$2478</f>
        <v>38.4122069161036</v>
      </c>
      <c r="I2479" s="38" t="n">
        <f aca="false">Sens!$I$2455+Sens!$I$2460+Sens!$I$2474+Sens!$I$2475-Sens!$I$2478</f>
        <v>50.6775483955128</v>
      </c>
      <c r="J2479" s="38" t="n">
        <f aca="false">Sens!$J$2455+Sens!$J$2460+Sens!$J$2474+Sens!$J$2475-Sens!$J$2478</f>
        <v>63.014940823999</v>
      </c>
      <c r="K2479" s="38" t="n">
        <f aca="false">Sens!$K$2455+Sens!$K$2460+Sens!$K$2474+Sens!$K$2475-Sens!$K$2478</f>
        <v>75.2671397029091</v>
      </c>
      <c r="L2479" s="38" t="n">
        <f aca="false">Sens!$L$2455+Sens!$L$2460+Sens!$L$2474+Sens!$L$2475-Sens!$L$2478</f>
        <v>86.1056419022907</v>
      </c>
      <c r="M2479" s="38" t="n">
        <f aca="false">Sens!$M$2455+Sens!$M$2460+Sens!$M$2474+Sens!$M$2475-Sens!$M$2478</f>
        <v>97.1144377753294</v>
      </c>
      <c r="N2479" s="38" t="n">
        <f aca="false">Sens!$N$2455+Sens!$N$2460+Sens!$N$2474+Sens!$N$2475-Sens!$N$2478</f>
        <v>10.6495</v>
      </c>
      <c r="O2479" s="38" t="n">
        <f aca="false">Sens!$O$2455+Sens!$O$2460+Sens!$O$2474+Sens!$O$2475-Sens!$O$2478</f>
        <v>9.81200000000001</v>
      </c>
    </row>
    <row r="2480" customFormat="false" ht="17.15" hidden="false" customHeight="false" outlineLevel="0" collapsed="false">
      <c r="A2480" s="0" t="s">
        <v>697</v>
      </c>
      <c r="B2480" s="0" t="s">
        <v>73</v>
      </c>
      <c r="C2480" s="38" t="n">
        <f aca="false">Sens!$C$2462+Sens!$C$2476-ext_sh*Sens!$C$2397</f>
        <v>51.3470500115664</v>
      </c>
      <c r="D2480" s="38" t="n">
        <f aca="false">Sens!$D$2462+Sens!$D$2476-ext_sh*Sens!$D$2397</f>
        <v>60.2799375433739</v>
      </c>
      <c r="E2480" s="38" t="n">
        <f aca="false">Sens!$E$2462+Sens!$E$2476-ext_sh*Sens!$E$2397</f>
        <v>39.5095167090767</v>
      </c>
      <c r="F2480" s="38" t="n">
        <f aca="false">Sens!$F$2462+Sens!$F$2476-ext_sh*Sens!$F$2397</f>
        <v>41.606724953129</v>
      </c>
      <c r="G2480" s="38" t="n">
        <f aca="false">Sens!$G$2462+Sens!$G$2476-ext_sh*Sens!$G$2397</f>
        <v>81.1162416622057</v>
      </c>
      <c r="H2480" s="38" t="n">
        <f aca="false">Sens!$H$2462+Sens!$H$2476-ext_sh*Sens!$H$2397</f>
        <v>95.7616595325849</v>
      </c>
      <c r="I2480" s="38" t="n">
        <f aca="false">Sens!$I$2462+Sens!$I$2476-ext_sh*Sens!$I$2397</f>
        <v>111.513312079935</v>
      </c>
      <c r="J2480" s="38" t="n">
        <f aca="false">Sens!$J$2462+Sens!$J$2476-ext_sh*Sens!$J$2397</f>
        <v>125.145150463955</v>
      </c>
      <c r="K2480" s="38" t="n">
        <f aca="false">Sens!$K$2462+Sens!$K$2476-ext_sh*Sens!$K$2397</f>
        <v>135.156762501071</v>
      </c>
      <c r="L2480" s="38" t="n">
        <f aca="false">Sens!$L$2462+Sens!$L$2476-ext_sh*Sens!$L$2397</f>
        <v>145.969303501157</v>
      </c>
      <c r="M2480" s="38" t="n">
        <f aca="false">Sens!$M$2462+Sens!$M$2476-ext_sh*Sens!$M$2397</f>
        <v>157.646847781249</v>
      </c>
      <c r="N2480" s="38" t="n">
        <f aca="false">Sens!$N$2462+Sens!$N$2476-ext_sh*Sens!$N$2397</f>
        <v>28.5693781401809</v>
      </c>
      <c r="O2480" s="38" t="n">
        <f aca="false">Sens!$O$2462+Sens!$O$2476-ext_sh*Sens!$O$2397</f>
        <v>31.7105594031931</v>
      </c>
    </row>
    <row r="2481" customFormat="false" ht="17.15" hidden="false" customHeight="false" outlineLevel="0" collapsed="false">
      <c r="A2481" s="0" t="s">
        <v>698</v>
      </c>
      <c r="B2481" s="0" t="s">
        <v>73</v>
      </c>
      <c r="C2481" s="38" t="n">
        <f aca="false">Sens!$C$2400</f>
        <v>1.80694998843362</v>
      </c>
      <c r="D2481" s="38" t="n">
        <f aca="false">Sens!$D$2400</f>
        <v>6.77606245662607</v>
      </c>
      <c r="E2481" s="38" t="n">
        <f aca="false">Sens!$E$2400</f>
        <v>6.62548329092326</v>
      </c>
      <c r="F2481" s="38" t="n">
        <f aca="false">Sens!$F$2400</f>
        <v>11.7200577158706</v>
      </c>
      <c r="G2481" s="38" t="n">
        <f aca="false">Sens!$G$2400</f>
        <v>18.3455410067939</v>
      </c>
      <c r="H2481" s="38" t="n">
        <f aca="false">Sens!$H$2400</f>
        <v>47.5171727060453</v>
      </c>
      <c r="I2481" s="38" t="n">
        <f aca="false">Sens!$I$2400</f>
        <v>80.5539692643667</v>
      </c>
      <c r="J2481" s="38" t="n">
        <f aca="false">Sens!$J$2400</f>
        <v>113.759316834883</v>
      </c>
      <c r="K2481" s="38" t="n">
        <f aca="false">Sens!$K$2400</f>
        <v>147.020848076132</v>
      </c>
      <c r="L2481" s="38" t="n">
        <f aca="false">Sens!$L$2400</f>
        <v>180.307917349531</v>
      </c>
      <c r="M2481" s="38" t="n">
        <f aca="false">Sens!$M$2400</f>
        <v>213.608737871012</v>
      </c>
      <c r="N2481" s="38" t="n">
        <f aca="false">Sens!$N$2400</f>
        <v>2.37162185981912</v>
      </c>
      <c r="O2481" s="38" t="n">
        <f aca="false">Sens!$O$2400</f>
        <v>4.40444059680694</v>
      </c>
    </row>
    <row r="2482" customFormat="false" ht="17.15" hidden="false" customHeight="false" outlineLevel="0" collapsed="false">
      <c r="A2482" s="0" t="s">
        <v>699</v>
      </c>
      <c r="B2482" s="0" t="s">
        <v>73</v>
      </c>
      <c r="C2482" s="38" t="n">
        <f aca="false">Sens!$C$2465+Sens!$C$2477</f>
        <v>100.66</v>
      </c>
      <c r="D2482" s="38" t="n">
        <f aca="false">Sens!$D$2465+Sens!$D$2477</f>
        <v>121.835</v>
      </c>
      <c r="E2482" s="38" t="n">
        <f aca="false">Sens!$E$2465+Sens!$E$2477</f>
        <v>78.016</v>
      </c>
      <c r="F2482" s="38" t="n">
        <f aca="false">Sens!$F$2465+Sens!$F$2477</f>
        <v>91.2424538841494</v>
      </c>
      <c r="G2482" s="38" t="n">
        <f aca="false">Sens!$G$2465+Sens!$G$2477</f>
        <v>169.258453884149</v>
      </c>
      <c r="H2482" s="38" t="n">
        <f aca="false">Sens!$H$2465+Sens!$H$2477</f>
        <v>232.837720084204</v>
      </c>
      <c r="I2482" s="38" t="n">
        <f aca="false">Sens!$I$2465+Sens!$I$2477</f>
        <v>302.434748532435</v>
      </c>
      <c r="J2482" s="38" t="n">
        <f aca="false">Sens!$J$2465+Sens!$J$2477</f>
        <v>369.578947647259</v>
      </c>
      <c r="K2482" s="38" t="n">
        <f aca="false">Sens!$K$2465+Sens!$K$2477</f>
        <v>431.870243756976</v>
      </c>
      <c r="L2482" s="38" t="n">
        <f aca="false">Sens!$L$2465+Sens!$L$2477</f>
        <v>494.250905577529</v>
      </c>
      <c r="M2482" s="38" t="n">
        <f aca="false">Sens!$M$2465+Sens!$M$2477</f>
        <v>558.424870534596</v>
      </c>
      <c r="N2482" s="38" t="n">
        <f aca="false">Sens!$N$2465+Sens!$N$2477</f>
        <v>56.398</v>
      </c>
      <c r="O2482" s="38" t="n">
        <f aca="false">Sens!$O$2465+Sens!$O$2477</f>
        <v>65.437</v>
      </c>
    </row>
    <row r="2483" customFormat="false" ht="17.15" hidden="false" customHeight="false" outlineLevel="0" collapsed="false">
      <c r="A2483" s="1" t="s">
        <v>700</v>
      </c>
    </row>
    <row r="2484" customFormat="false" ht="15" hidden="false" customHeight="false" outlineLevel="0" collapsed="false">
      <c r="A2484" s="5" t="s">
        <v>504</v>
      </c>
      <c r="B2484" s="0" t="s">
        <v>73</v>
      </c>
      <c r="C2484" s="38" t="n">
        <f aca="false">Q!$D$34</f>
        <v>2.406</v>
      </c>
      <c r="D2484" s="38" t="n">
        <f aca="false">Q!$E$34</f>
        <v>2.274</v>
      </c>
      <c r="E2484" s="38" t="n">
        <f aca="false">Q!$P$34</f>
        <v>2.114</v>
      </c>
      <c r="F2484" s="38" t="n">
        <f aca="false">Sens!$F$2520</f>
        <v>3.24888964316061</v>
      </c>
      <c r="G2484" s="38" t="n">
        <f aca="false">Sens!$E$2484+Sens!$F$2484</f>
        <v>5.36288964316061</v>
      </c>
      <c r="H2484" s="38" t="n">
        <f aca="false">Sens!$H$2520</f>
        <v>7.42354178632123</v>
      </c>
      <c r="I2484" s="38" t="n">
        <f aca="false">Sens!$I$2520</f>
        <v>7.42354178632123</v>
      </c>
      <c r="J2484" s="38" t="n">
        <f aca="false">Sens!$J$2520</f>
        <v>7.42354178632123</v>
      </c>
      <c r="K2484" s="38" t="n">
        <f aca="false">Sens!$K$2520</f>
        <v>7.42354178632123</v>
      </c>
      <c r="L2484" s="38" t="n">
        <f aca="false">Sens!$L$2520</f>
        <v>7.42354178632123</v>
      </c>
      <c r="M2484" s="38" t="n">
        <f aca="false">Sens!$M$2520</f>
        <v>7.42354178632123</v>
      </c>
      <c r="N2484" s="38" t="n">
        <f aca="false">Q!$N$34</f>
        <v>1.057</v>
      </c>
      <c r="O2484" s="38" t="n">
        <f aca="false">Q!$O$34</f>
        <v>1.217</v>
      </c>
    </row>
    <row r="2485" customFormat="false" ht="15" hidden="false" customHeight="false" outlineLevel="0" collapsed="false">
      <c r="A2485" s="5" t="s">
        <v>701</v>
      </c>
      <c r="B2485" s="0" t="s">
        <v>73</v>
      </c>
      <c r="F2485" s="38" t="n">
        <f aca="false">Sens!$F$2521</f>
        <v>2.59</v>
      </c>
      <c r="H2485" s="38" t="n">
        <f aca="false">Sens!$H$2521</f>
        <v>4.03580349385239</v>
      </c>
      <c r="I2485" s="38" t="n">
        <f aca="false">Sens!$I$2521</f>
        <v>2.40102893617073</v>
      </c>
      <c r="J2485" s="38" t="n">
        <f aca="false">Sens!$J$2521</f>
        <v>2.92488616726666</v>
      </c>
      <c r="K2485" s="38" t="n">
        <f aca="false">Sens!$K$2521</f>
        <v>5.66651056465182</v>
      </c>
      <c r="L2485" s="38" t="n">
        <f aca="false">Sens!$L$2521</f>
        <v>10.5838291482247</v>
      </c>
      <c r="M2485" s="38" t="n">
        <f aca="false">Sens!$M$2521</f>
        <v>16.4061862511383</v>
      </c>
    </row>
    <row r="2486" customFormat="false" ht="17.15" hidden="false" customHeight="false" outlineLevel="0" collapsed="false">
      <c r="A2486" s="5" t="s">
        <v>702</v>
      </c>
      <c r="B2486" s="0" t="s">
        <v>73</v>
      </c>
      <c r="C2486" s="38" t="n">
        <f aca="false">Q!$D$39</f>
        <v>2.427</v>
      </c>
      <c r="D2486" s="38" t="n">
        <f aca="false">Q!$E$39</f>
        <v>19.61</v>
      </c>
      <c r="E2486" s="38" t="n">
        <f aca="false">Q!$P$39</f>
        <v>71.492</v>
      </c>
      <c r="F2486" s="41" t="n">
        <v>0</v>
      </c>
      <c r="G2486" s="38" t="n">
        <f aca="false">Sens!$E$2486+Sens!$F$2486</f>
        <v>71.492</v>
      </c>
      <c r="H2486" s="41" t="n">
        <v>0</v>
      </c>
      <c r="I2486" s="41" t="n">
        <v>0</v>
      </c>
      <c r="J2486" s="41" t="n">
        <v>0</v>
      </c>
      <c r="K2486" s="41" t="n">
        <v>0</v>
      </c>
      <c r="L2486" s="41" t="n">
        <v>0</v>
      </c>
      <c r="M2486" s="41" t="n">
        <v>0</v>
      </c>
      <c r="N2486" s="38" t="n">
        <f aca="false">Q!$N$39</f>
        <v>6.017</v>
      </c>
      <c r="O2486" s="38" t="n">
        <f aca="false">Q!$O$39</f>
        <v>13.593</v>
      </c>
      <c r="P2486" s="5" t="s">
        <v>703</v>
      </c>
    </row>
    <row r="2487" customFormat="false" ht="15" hidden="false" customHeight="false" outlineLevel="0" collapsed="false">
      <c r="A2487" s="5" t="s">
        <v>507</v>
      </c>
      <c r="B2487" s="0" t="s">
        <v>73</v>
      </c>
      <c r="C2487" s="38" t="n">
        <f aca="false">Q!$D$36</f>
        <v>68.614</v>
      </c>
      <c r="D2487" s="38" t="n">
        <f aca="false">Q!$E$36</f>
        <v>97.311</v>
      </c>
      <c r="E2487" s="38" t="n">
        <f aca="false">Q!$P$36</f>
        <v>120.691</v>
      </c>
      <c r="F2487" s="38" t="n">
        <f aca="false">Sens!$F$2465-Sens!$F$2484+Sens!$F$2485+Sens!$F$2486</f>
        <v>59.9731785158678</v>
      </c>
      <c r="G2487" s="38" t="n">
        <f aca="false">Sens!$E$2487+Sens!$F$2487</f>
        <v>180.664178515868</v>
      </c>
      <c r="H2487" s="38" t="n">
        <f aca="false">Sens!$H$2465-Sens!$H$2484+Sens!$H$2485+Sens!$H$2486</f>
        <v>141.765459972351</v>
      </c>
      <c r="I2487" s="38" t="n">
        <f aca="false">Sens!$I$2465-Sens!$I$2484+Sens!$I$2485+Sens!$I$2486</f>
        <v>175.117465973647</v>
      </c>
      <c r="J2487" s="38" t="n">
        <f aca="false">Sens!$J$2465-Sens!$J$2484+Sens!$J$2485+Sens!$J$2486</f>
        <v>207.946329454984</v>
      </c>
      <c r="K2487" s="38" t="n">
        <f aca="false">Sens!$K$2465-Sens!$K$2484+Sens!$K$2485+Sens!$K$2486</f>
        <v>238.762579181708</v>
      </c>
      <c r="L2487" s="38" t="n">
        <f aca="false">Sens!$L$2465-Sens!$L$2484+Sens!$L$2485+Sens!$L$2486</f>
        <v>273.501954604078</v>
      </c>
      <c r="M2487" s="38" t="n">
        <f aca="false">Sens!$M$2465-Sens!$M$2484+Sens!$M$2485+Sens!$M$2486</f>
        <v>309.831195132137</v>
      </c>
      <c r="N2487" s="38" t="n">
        <f aca="false">Q!$N$36</f>
        <v>42.536</v>
      </c>
      <c r="O2487" s="38" t="n">
        <f aca="false">Q!$O$36</f>
        <v>54.775</v>
      </c>
    </row>
    <row r="2488" customFormat="false" ht="15" hidden="false" customHeight="false" outlineLevel="0" collapsed="false">
      <c r="A2488" s="5" t="s">
        <v>508</v>
      </c>
      <c r="B2488" s="0" t="s">
        <v>73</v>
      </c>
      <c r="C2488" s="38" t="n">
        <f aca="false">Q!$D$37</f>
        <v>9.265</v>
      </c>
      <c r="D2488" s="38" t="n">
        <f aca="false">Q!$E$37</f>
        <v>19.087</v>
      </c>
      <c r="E2488" s="38" t="n">
        <f aca="false">Q!$P$37</f>
        <v>27.759</v>
      </c>
      <c r="F2488" s="38" t="n">
        <f aca="false">Sens!$F$2487*tax</f>
        <v>10.4104158026352</v>
      </c>
      <c r="G2488" s="38" t="n">
        <f aca="false">Sens!$E$2488+Sens!$F$2488</f>
        <v>38.1694158026352</v>
      </c>
      <c r="H2488" s="38" t="n">
        <f aca="false">Sens!$H$2487*tax</f>
        <v>24.6082902605126</v>
      </c>
      <c r="I2488" s="38" t="n">
        <f aca="false">Sens!$I$2487*tax</f>
        <v>30.3976824341091</v>
      </c>
      <c r="J2488" s="38" t="n">
        <f aca="false">Sens!$J$2487*tax</f>
        <v>36.0962651610232</v>
      </c>
      <c r="K2488" s="38" t="n">
        <f aca="false">Sens!$K$2487*tax</f>
        <v>41.4454892820719</v>
      </c>
      <c r="L2488" s="38" t="n">
        <f aca="false">Sens!$L$2487*tax</f>
        <v>47.4757073198743</v>
      </c>
      <c r="M2488" s="38" t="n">
        <f aca="false">Sens!$M$2487*tax</f>
        <v>53.7819013394387</v>
      </c>
      <c r="N2488" s="38" t="n">
        <f aca="false">Q!$N$37</f>
        <v>7.231</v>
      </c>
      <c r="O2488" s="38" t="n">
        <f aca="false">Q!$O$37</f>
        <v>11.856</v>
      </c>
    </row>
    <row r="2489" customFormat="false" ht="15" hidden="false" customHeight="false" outlineLevel="0" collapsed="false">
      <c r="A2489" s="3" t="s">
        <v>509</v>
      </c>
      <c r="B2489" s="8" t="s">
        <v>73</v>
      </c>
      <c r="C2489" s="38" t="n">
        <f aca="false">Q!$D$38</f>
        <v>59.248</v>
      </c>
      <c r="D2489" s="38" t="n">
        <f aca="false">Q!$E$38</f>
        <v>77.67</v>
      </c>
      <c r="E2489" s="38" t="n">
        <f aca="false">Q!$P$38</f>
        <v>92.902</v>
      </c>
      <c r="F2489" s="38" t="n">
        <f aca="false">Sens!$F$2487-Sens!$F$2488</f>
        <v>49.5627627132326</v>
      </c>
      <c r="G2489" s="38" t="n">
        <f aca="false">Sens!$E$2489+Sens!$F$2489</f>
        <v>142.464762713233</v>
      </c>
      <c r="H2489" s="38" t="n">
        <f aca="false">Sens!$H$2487-Sens!$H$2488</f>
        <v>117.157169711839</v>
      </c>
      <c r="I2489" s="38" t="n">
        <f aca="false">Sens!$I$2487-Sens!$I$2488</f>
        <v>144.719783539538</v>
      </c>
      <c r="J2489" s="38" t="n">
        <f aca="false">Sens!$J$2487-Sens!$J$2488</f>
        <v>171.850064293961</v>
      </c>
      <c r="K2489" s="38" t="n">
        <f aca="false">Sens!$K$2487-Sens!$K$2488</f>
        <v>197.317089899636</v>
      </c>
      <c r="L2489" s="38" t="n">
        <f aca="false">Sens!$L$2487-Sens!$L$2488</f>
        <v>226.026247284204</v>
      </c>
      <c r="M2489" s="38" t="n">
        <f aca="false">Sens!$M$2487-Sens!$M$2488</f>
        <v>256.049293792698</v>
      </c>
      <c r="N2489" s="38" t="n">
        <f aca="false">Q!$N$38</f>
        <v>35.291</v>
      </c>
      <c r="O2489" s="38" t="n">
        <f aca="false">Q!$O$38</f>
        <v>42.379</v>
      </c>
    </row>
    <row r="2490" customFormat="false" ht="17.15" hidden="false" customHeight="false" outlineLevel="0" collapsed="false">
      <c r="A2490" s="5" t="s">
        <v>512</v>
      </c>
      <c r="B2490" s="5" t="s">
        <v>33</v>
      </c>
      <c r="C2490" s="22" t="n">
        <f aca="false">Q!$D$41</f>
        <v>10.721</v>
      </c>
      <c r="D2490" s="22" t="n">
        <f aca="false">Q!$E$41</f>
        <v>10.827</v>
      </c>
      <c r="E2490" s="22" t="n">
        <f aca="false">(Q!$L$41+Q!$M$41)/2</f>
        <v>10.8885</v>
      </c>
      <c r="F2490" s="22" t="n">
        <f aca="false">Sens!$G$2490</f>
        <v>10.924806</v>
      </c>
      <c r="G2490" s="22" t="n">
        <f aca="false">Q!$M$41*(1+sh_g*0.25)</f>
        <v>10.924806</v>
      </c>
      <c r="H2490" s="22" t="n">
        <f aca="false">Sens!$G$2490*(1+sh_g)</f>
        <v>11.012204448</v>
      </c>
      <c r="I2490" s="22" t="n">
        <f aca="false">Sens!$H$2490*(1+sh_g)</f>
        <v>11.100302083584</v>
      </c>
      <c r="J2490" s="22" t="n">
        <f aca="false">Sens!$I$2490*(1+sh_g)</f>
        <v>11.1891045002527</v>
      </c>
      <c r="K2490" s="22" t="n">
        <f aca="false">Sens!$J$2490*(1+sh_g)</f>
        <v>11.2786173362547</v>
      </c>
      <c r="L2490" s="22" t="n">
        <f aca="false">Sens!$K$2490*(1+sh_g)</f>
        <v>11.3688462749447</v>
      </c>
      <c r="M2490" s="22" t="n">
        <f aca="false">Sens!$L$2490*(1+sh_g)</f>
        <v>11.4597970451443</v>
      </c>
      <c r="P2490" s="5" t="s">
        <v>704</v>
      </c>
    </row>
    <row r="2491" customFormat="false" ht="17.15" hidden="false" customHeight="false" outlineLevel="0" collapsed="false">
      <c r="A2491" s="42" t="s">
        <v>705</v>
      </c>
      <c r="B2491" s="13" t="s">
        <v>27</v>
      </c>
      <c r="C2491" s="43" t="n">
        <f aca="false">Sens!$C$2489/Sens!$C$2490</f>
        <v>5.52635015390355</v>
      </c>
      <c r="D2491" s="43" t="n">
        <f aca="false">Sens!$D$2489/Sens!$D$2490</f>
        <v>7.1737323358271</v>
      </c>
      <c r="E2491" s="43" t="n">
        <f aca="false">Sens!$E$2489/Sens!$E$2490</f>
        <v>8.53212104513937</v>
      </c>
      <c r="F2491" s="13"/>
      <c r="G2491" s="43" t="n">
        <f aca="false">Sens!$G$2489/Sens!$G$2490</f>
        <v>13.0404844455117</v>
      </c>
      <c r="H2491" s="43" t="n">
        <f aca="false">Sens!$H$2489/Sens!$H$2490</f>
        <v>10.6388480403773</v>
      </c>
      <c r="I2491" s="43" t="n">
        <f aca="false">Sens!$I$2489/Sens!$I$2490</f>
        <v>13.0374635257504</v>
      </c>
      <c r="J2491" s="43" t="n">
        <f aca="false">Sens!$J$2489/Sens!$J$2490</f>
        <v>15.358696872487</v>
      </c>
      <c r="K2491" s="43" t="n">
        <f aca="false">Sens!$K$2489/Sens!$K$2490</f>
        <v>17.4947942657268</v>
      </c>
      <c r="L2491" s="43" t="n">
        <f aca="false">Sens!$L$2489/Sens!$L$2490</f>
        <v>19.8811947859945</v>
      </c>
      <c r="M2491" s="43" t="n">
        <f aca="false">Sens!$M$2489/Sens!$M$2490</f>
        <v>22.3432660093392</v>
      </c>
      <c r="N2491" s="13"/>
      <c r="O2491" s="13"/>
    </row>
    <row r="2492" customFormat="false" ht="17.15" hidden="false" customHeight="false" outlineLevel="0" collapsed="false">
      <c r="A2492" s="0" t="s">
        <v>706</v>
      </c>
      <c r="B2492" s="0" t="s">
        <v>27</v>
      </c>
      <c r="C2492" s="30" t="n">
        <f aca="false">(Sens!$C$2489-Sens!$C$2486*(1-tax))/Sens!$C$2490</f>
        <v>5.33926775917445</v>
      </c>
      <c r="D2492" s="30" t="n">
        <f aca="false">(Sens!$D$2489-Sens!$D$2486*(1-tax))/Sens!$D$2490</f>
        <v>5.67691812755503</v>
      </c>
      <c r="E2492" s="30" t="n">
        <f aca="false">(Sens!$E$2489-Sens!$E$2486*(1-tax))/Sens!$E$2490</f>
        <v>3.10602057006846</v>
      </c>
      <c r="G2492" s="30" t="n">
        <f aca="false">(Sens!$G$2489-Sens!$G$2486*(1-tax))/Sens!$G$2490</f>
        <v>7.6324163276147</v>
      </c>
      <c r="H2492" s="30" t="n">
        <f aca="false">(Sens!$H$2489-Sens!$H$2486*(1-tax))/Sens!$H$2490</f>
        <v>10.6388480403773</v>
      </c>
      <c r="I2492" s="30" t="n">
        <f aca="false">(Sens!$I$2489-Sens!$I$2486*(1-tax))/Sens!$I$2490</f>
        <v>13.0374635257504</v>
      </c>
      <c r="J2492" s="30" t="n">
        <f aca="false">(Sens!$J$2489-Sens!$J$2486*(1-tax))/Sens!$J$2490</f>
        <v>15.358696872487</v>
      </c>
      <c r="K2492" s="30" t="n">
        <f aca="false">(Sens!$K$2489-Sens!$K$2486*(1-tax))/Sens!$K$2490</f>
        <v>17.4947942657268</v>
      </c>
      <c r="L2492" s="30" t="n">
        <f aca="false">(Sens!$L$2489-Sens!$L$2486*(1-tax))/Sens!$L$2490</f>
        <v>19.8811947859945</v>
      </c>
      <c r="M2492" s="30" t="n">
        <f aca="false">(Sens!$M$2489-Sens!$M$2486*(1-tax))/Sens!$M$2490</f>
        <v>22.3432660093392</v>
      </c>
      <c r="P2492" s="5" t="s">
        <v>707</v>
      </c>
    </row>
    <row r="2493" customFormat="false" ht="17.15" hidden="false" customHeight="false" outlineLevel="0" collapsed="false">
      <c r="A2493" s="0" t="s">
        <v>708</v>
      </c>
      <c r="B2493" s="0" t="s">
        <v>52</v>
      </c>
      <c r="H2493" s="12" t="n">
        <f aca="false">Sens!$H$2491/Sens!$G$2491-1</f>
        <v>-0.184167728980421</v>
      </c>
      <c r="I2493" s="12" t="n">
        <f aca="false">Sens!$I$2491/Sens!$H$2491-1</f>
        <v>0.225458195875132</v>
      </c>
      <c r="J2493" s="12" t="n">
        <f aca="false">Sens!$J$2491/Sens!$I$2491-1</f>
        <v>0.178043324313187</v>
      </c>
      <c r="K2493" s="12" t="n">
        <f aca="false">Sens!$K$2491/Sens!$J$2491-1</f>
        <v>0.139080640172435</v>
      </c>
      <c r="L2493" s="12" t="n">
        <f aca="false">Sens!$L$2491/Sens!$K$2491-1</f>
        <v>0.136406320875848</v>
      </c>
      <c r="M2493" s="12" t="n">
        <f aca="false">Sens!$M$2491/Sens!$L$2491-1</f>
        <v>0.123839198289992</v>
      </c>
    </row>
    <row r="2496" customFormat="false" ht="19.4" hidden="false" customHeight="false" outlineLevel="0" collapsed="false">
      <c r="A2496" s="31" t="s">
        <v>1096</v>
      </c>
    </row>
    <row r="2497" customFormat="false" ht="17.15" hidden="false" customHeight="false" outlineLevel="0" collapsed="false">
      <c r="A2497" s="6" t="s">
        <v>16</v>
      </c>
      <c r="B2497" s="6" t="s">
        <v>17</v>
      </c>
      <c r="C2497" s="20" t="s">
        <v>457</v>
      </c>
      <c r="D2497" s="20" t="s">
        <v>458</v>
      </c>
      <c r="E2497" s="20" t="s">
        <v>540</v>
      </c>
      <c r="F2497" s="20" t="s">
        <v>541</v>
      </c>
      <c r="G2497" s="20" t="s">
        <v>542</v>
      </c>
      <c r="H2497" s="20" t="s">
        <v>543</v>
      </c>
      <c r="I2497" s="20" t="s">
        <v>544</v>
      </c>
      <c r="J2497" s="20" t="s">
        <v>545</v>
      </c>
      <c r="K2497" s="20" t="s">
        <v>546</v>
      </c>
      <c r="L2497" s="20" t="s">
        <v>547</v>
      </c>
      <c r="M2497" s="20" t="s">
        <v>548</v>
      </c>
      <c r="N2497" s="20" t="s">
        <v>549</v>
      </c>
      <c r="O2497" s="20" t="s">
        <v>550</v>
      </c>
      <c r="P2497" s="6" t="s">
        <v>23</v>
      </c>
      <c r="R2497" s="20" t="n">
        <v>2023</v>
      </c>
      <c r="S2497" s="20" t="n">
        <v>2024</v>
      </c>
      <c r="T2497" s="20" t="n">
        <v>2025</v>
      </c>
      <c r="U2497" s="20" t="n">
        <v>2026</v>
      </c>
      <c r="V2497" s="20" t="n">
        <v>2027</v>
      </c>
      <c r="W2497" s="20" t="n">
        <v>2028</v>
      </c>
      <c r="X2497" s="20" t="n">
        <v>2029</v>
      </c>
      <c r="Y2497" s="20" t="n">
        <v>2030</v>
      </c>
      <c r="Z2497" s="20" t="n">
        <v>2031</v>
      </c>
      <c r="AA2497" s="20" t="n">
        <v>2032</v>
      </c>
    </row>
    <row r="2498" customFormat="false" ht="15" hidden="false" customHeight="false" outlineLevel="0" collapsed="false">
      <c r="A2498" s="5" t="s">
        <v>509</v>
      </c>
      <c r="B2498" s="0" t="s">
        <v>73</v>
      </c>
      <c r="C2498" s="38" t="n">
        <f aca="false">Sens!$C$2489</f>
        <v>59.248</v>
      </c>
      <c r="D2498" s="38" t="n">
        <f aca="false">Sens!$D$2489</f>
        <v>77.67</v>
      </c>
      <c r="E2498" s="38" t="n">
        <f aca="false">Sens!$E$2489</f>
        <v>92.902</v>
      </c>
      <c r="F2498" s="38" t="n">
        <f aca="false">Sens!$F$2489</f>
        <v>49.5627627132326</v>
      </c>
      <c r="G2498" s="38" t="n">
        <f aca="false">Sens!$G$2489</f>
        <v>142.464762713233</v>
      </c>
      <c r="H2498" s="38" t="n">
        <f aca="false">Sens!$H$2489</f>
        <v>117.157169711839</v>
      </c>
      <c r="I2498" s="38" t="n">
        <f aca="false">Sens!$I$2489</f>
        <v>144.719783539538</v>
      </c>
      <c r="J2498" s="38" t="n">
        <f aca="false">Sens!$J$2489</f>
        <v>171.850064293961</v>
      </c>
      <c r="K2498" s="38" t="n">
        <f aca="false">Sens!$K$2489</f>
        <v>197.317089899636</v>
      </c>
      <c r="L2498" s="38" t="n">
        <f aca="false">Sens!$L$2489</f>
        <v>226.026247284204</v>
      </c>
      <c r="M2498" s="38" t="n">
        <f aca="false">Sens!$M$2489</f>
        <v>256.049293792698</v>
      </c>
    </row>
    <row r="2499" customFormat="false" ht="17.15" hidden="false" customHeight="false" outlineLevel="0" collapsed="false">
      <c r="A2499" s="5" t="s">
        <v>730</v>
      </c>
      <c r="B2499" s="0" t="s">
        <v>73</v>
      </c>
      <c r="C2499" s="38" t="n">
        <f aca="false">Sens!$C$2477</f>
        <v>32.067</v>
      </c>
      <c r="D2499" s="38" t="n">
        <f aca="false">Sens!$D$2477</f>
        <v>41.86</v>
      </c>
      <c r="E2499" s="38" t="n">
        <f aca="false">Sens!$E$2477</f>
        <v>26.703</v>
      </c>
      <c r="F2499" s="38" t="n">
        <f aca="false">Sens!$F$2477</f>
        <v>30.6103857251209</v>
      </c>
      <c r="G2499" s="38" t="n">
        <f aca="false">Sens!$G$2477</f>
        <v>57.3133857251209</v>
      </c>
      <c r="H2499" s="38" t="n">
        <f aca="false">Sens!$H$2477</f>
        <v>87.6845218193838</v>
      </c>
      <c r="I2499" s="38" t="n">
        <f aca="false">Sens!$I$2477</f>
        <v>122.294769708638</v>
      </c>
      <c r="J2499" s="38" t="n">
        <f aca="false">Sens!$J$2477</f>
        <v>157.133962573221</v>
      </c>
      <c r="K2499" s="38" t="n">
        <f aca="false">Sens!$K$2477</f>
        <v>191.350633353599</v>
      </c>
      <c r="L2499" s="38" t="n">
        <f aca="false">Sens!$L$2477</f>
        <v>223.909238335354</v>
      </c>
      <c r="M2499" s="38" t="n">
        <f aca="false">Sens!$M$2477</f>
        <v>257.576319867276</v>
      </c>
    </row>
    <row r="2500" customFormat="false" ht="15" hidden="false" customHeight="false" outlineLevel="0" collapsed="false">
      <c r="A2500" s="5" t="s">
        <v>731</v>
      </c>
      <c r="B2500" s="0" t="s">
        <v>73</v>
      </c>
      <c r="C2500" s="38" t="n">
        <f aca="false">Q!$D$48</f>
        <v>22.011</v>
      </c>
      <c r="D2500" s="38" t="n">
        <f aca="false">Q!$E$48</f>
        <v>19.467</v>
      </c>
      <c r="E2500" s="38" t="n">
        <f aca="false">Q!$P$48</f>
        <v>10.07</v>
      </c>
      <c r="F2500" s="38" t="n">
        <f aca="false">sbc_r*Sens!$F$2421</f>
        <v>11.2170714500462</v>
      </c>
      <c r="G2500" s="38" t="n">
        <f aca="false">Sens!$E$2500+Sens!$F$2500</f>
        <v>21.2870714500462</v>
      </c>
      <c r="H2500" s="38" t="n">
        <f aca="false">sbc_r*Sens!$H$2421</f>
        <v>24.1772394325528</v>
      </c>
      <c r="I2500" s="38" t="n">
        <f aca="false">sbc_r*Sens!$I$2421</f>
        <v>27.6495284422397</v>
      </c>
      <c r="J2500" s="38" t="n">
        <f aca="false">sbc_r*Sens!$J$2421</f>
        <v>30.9042211184633</v>
      </c>
      <c r="K2500" s="38" t="n">
        <f aca="false">sbc_r*Sens!$K$2421</f>
        <v>33.8004145402678</v>
      </c>
      <c r="L2500" s="38" t="n">
        <f aca="false">sbc_r*Sens!$L$2421</f>
        <v>36.8322537652494</v>
      </c>
      <c r="M2500" s="38" t="n">
        <f aca="false">sbc_r*Sens!$M$2421</f>
        <v>40.0097627968013</v>
      </c>
    </row>
    <row r="2501" customFormat="false" ht="17.15" hidden="false" customHeight="false" outlineLevel="0" collapsed="false">
      <c r="A2501" s="5" t="s">
        <v>732</v>
      </c>
      <c r="B2501" s="0" t="s">
        <v>73</v>
      </c>
      <c r="C2501" s="38" t="n">
        <f aca="false">Q!$D$44-Sens!$C$2498-Sens!$C$2499-Sens!$C$2500</f>
        <v>2.551</v>
      </c>
      <c r="D2501" s="38" t="n">
        <f aca="false">Q!$E$44-Sens!$D$2498-Sens!$D$2499-Sens!$D$2500</f>
        <v>0.51700000000001</v>
      </c>
      <c r="E2501" s="38" t="n">
        <f aca="false">Q!$P$44-Sens!$E$2498-Sens!$E$2499-Sens!$E$2500</f>
        <v>-58.256</v>
      </c>
      <c r="F2501" s="38" t="n">
        <f aca="false">wc_2h26+oth_r*Sens!$F$2421</f>
        <v>7.34599241893378</v>
      </c>
      <c r="G2501" s="38" t="n">
        <f aca="false">Sens!$E$2501+Sens!$F$2501</f>
        <v>-50.9100075810662</v>
      </c>
      <c r="H2501" s="38" t="n">
        <f aca="false">oth_r*Sens!$H$2421</f>
        <v>11.6369707537667</v>
      </c>
      <c r="I2501" s="38" t="n">
        <f aca="false">oth_r*Sens!$I$2421</f>
        <v>13.3082502961262</v>
      </c>
      <c r="J2501" s="38" t="n">
        <f aca="false">oth_r*Sens!$J$2421</f>
        <v>14.8747965344332</v>
      </c>
      <c r="K2501" s="38" t="n">
        <f aca="false">oth_r*Sens!$K$2421</f>
        <v>16.2687901804328</v>
      </c>
      <c r="L2501" s="38" t="n">
        <f aca="false">oth_r*Sens!$L$2421</f>
        <v>17.7280727627002</v>
      </c>
      <c r="M2501" s="38" t="n">
        <f aca="false">oth_r*Sens!$M$2421</f>
        <v>19.2574690270319</v>
      </c>
      <c r="P2501" s="8" t="s">
        <v>733</v>
      </c>
    </row>
    <row r="2502" customFormat="false" ht="15" hidden="false" customHeight="false" outlineLevel="0" collapsed="false">
      <c r="A2502" s="3" t="s">
        <v>515</v>
      </c>
      <c r="B2502" s="8" t="s">
        <v>73</v>
      </c>
      <c r="C2502" s="38" t="n">
        <f aca="false">Q!$D$44</f>
        <v>115.877</v>
      </c>
      <c r="D2502" s="38" t="n">
        <f aca="false">Q!$E$44</f>
        <v>139.514</v>
      </c>
      <c r="E2502" s="38" t="n">
        <f aca="false">Q!$P$44</f>
        <v>71.419</v>
      </c>
      <c r="F2502" s="38" t="n">
        <f aca="false">Sens!$F$2498+Sens!$F$2499+Sens!$F$2500+Sens!$F$2501</f>
        <v>98.7362123073336</v>
      </c>
      <c r="G2502" s="38" t="n">
        <f aca="false">Sens!$E$2502+Sens!$F$2502</f>
        <v>170.155212307334</v>
      </c>
      <c r="H2502" s="38" t="n">
        <f aca="false">Sens!$H$2498+Sens!$H$2499+Sens!$H$2500+Sens!$H$2501</f>
        <v>240.655901717542</v>
      </c>
      <c r="I2502" s="38" t="n">
        <f aca="false">Sens!$I$2498+Sens!$I$2499+Sens!$I$2500+Sens!$I$2501</f>
        <v>307.972331986542</v>
      </c>
      <c r="J2502" s="38" t="n">
        <f aca="false">Sens!$J$2498+Sens!$J$2499+Sens!$J$2500+Sens!$J$2501</f>
        <v>374.763044520078</v>
      </c>
      <c r="K2502" s="38" t="n">
        <f aca="false">Sens!$K$2498+Sens!$K$2499+Sens!$K$2500+Sens!$K$2501</f>
        <v>438.736927973936</v>
      </c>
      <c r="L2502" s="38" t="n">
        <f aca="false">Sens!$L$2498+Sens!$L$2499+Sens!$L$2500+Sens!$L$2501</f>
        <v>504.495812147508</v>
      </c>
      <c r="M2502" s="38" t="n">
        <f aca="false">Sens!$M$2498+Sens!$M$2499+Sens!$M$2500+Sens!$M$2501</f>
        <v>572.892845483808</v>
      </c>
    </row>
    <row r="2503" customFormat="false" ht="17.15" hidden="false" customHeight="false" outlineLevel="0" collapsed="false">
      <c r="A2503" s="5" t="s">
        <v>734</v>
      </c>
      <c r="B2503" s="0" t="s">
        <v>73</v>
      </c>
      <c r="C2503" s="38" t="n">
        <f aca="false">Sens!$C$2391</f>
        <v>25.2781053077374</v>
      </c>
      <c r="D2503" s="38" t="n">
        <f aca="false">Sens!$D$2391</f>
        <v>69.5686316310026</v>
      </c>
      <c r="E2503" s="38" t="n">
        <f aca="false">Sens!$E$2391</f>
        <v>64.1899206485108</v>
      </c>
      <c r="F2503" s="38" t="n">
        <f aca="false">Sens!$F$2391</f>
        <v>96.2481299895</v>
      </c>
      <c r="G2503" s="38" t="n">
        <f aca="false">Sens!$G$2391</f>
        <v>160.438050638011</v>
      </c>
      <c r="H2503" s="38" t="n">
        <f aca="false">Sens!$H$2391</f>
        <v>198.57136494475</v>
      </c>
      <c r="I2503" s="38" t="n">
        <f aca="false">Sens!$I$2391</f>
        <v>204.6464699105</v>
      </c>
      <c r="J2503" s="38" t="n">
        <f aca="false">Sens!$J$2391</f>
        <v>209.8832381105</v>
      </c>
      <c r="K2503" s="38" t="n">
        <f aca="false">Sens!$K$2391</f>
        <v>215.1200063105</v>
      </c>
      <c r="L2503" s="38" t="n">
        <f aca="false">Sens!$L$2391</f>
        <v>251.7773837105</v>
      </c>
      <c r="M2503" s="38" t="n">
        <f aca="false">Sens!$M$2391</f>
        <v>311.87584476575</v>
      </c>
    </row>
    <row r="2504" customFormat="false" ht="17.15" hidden="false" customHeight="false" outlineLevel="0" collapsed="false">
      <c r="A2504" s="5" t="s">
        <v>735</v>
      </c>
      <c r="B2504" s="0" t="s">
        <v>73</v>
      </c>
      <c r="C2504" s="38" t="n">
        <f aca="false">cx_awso*Sens!$C$2419</f>
        <v>21.0469989286053</v>
      </c>
      <c r="D2504" s="38" t="n">
        <f aca="false">cx_awso*Sens!$D$2419</f>
        <v>24.0042459822698</v>
      </c>
      <c r="E2504" s="38" t="n">
        <f aca="false">cx_awso*Sens!$E$2419</f>
        <v>14.261729404886</v>
      </c>
      <c r="F2504" s="38" t="n">
        <f aca="false">cx_awso*Sens!$F$2419</f>
        <v>15.7190020837331</v>
      </c>
      <c r="G2504" s="38" t="n">
        <f aca="false">Sens!$E$2504+Sens!$F$2504</f>
        <v>29.9807314886191</v>
      </c>
      <c r="H2504" s="38" t="n">
        <f aca="false">cx_awso*Sens!$H$2419</f>
        <v>36.1787121536283</v>
      </c>
      <c r="I2504" s="38" t="n">
        <f aca="false">cx_awso*Sens!$I$2419</f>
        <v>42.1296794430021</v>
      </c>
      <c r="J2504" s="38" t="n">
        <f aca="false">cx_awso*Sens!$J$2419</f>
        <v>47.279781889299</v>
      </c>
      <c r="K2504" s="38" t="n">
        <f aca="false">cx_awso*Sens!$K$2419</f>
        <v>51.0621644404429</v>
      </c>
      <c r="L2504" s="38" t="n">
        <f aca="false">cx_awso*Sens!$L$2419</f>
        <v>55.1471375956783</v>
      </c>
      <c r="M2504" s="38" t="n">
        <f aca="false">cx_awso*Sens!$M$2419</f>
        <v>59.5589086033326</v>
      </c>
    </row>
    <row r="2505" customFormat="false" ht="17.15" hidden="false" customHeight="false" outlineLevel="0" collapsed="false">
      <c r="A2505" s="5" t="s">
        <v>736</v>
      </c>
      <c r="B2505" s="0" t="s">
        <v>73</v>
      </c>
      <c r="C2505" s="38" t="n">
        <f aca="false">Q!$D$46-Sens!$C$2503-Sens!$C$2504</f>
        <v>31.3328957636573</v>
      </c>
      <c r="D2505" s="38" t="n">
        <f aca="false">Q!$E$46-Sens!$D$2503-Sens!$D$2504</f>
        <v>34.7471223867276</v>
      </c>
      <c r="E2505" s="38" t="n">
        <f aca="false">Q!$P$46-Sens!$E$2503-Sens!$E$2504</f>
        <v>17.8583499466032</v>
      </c>
      <c r="F2505" s="38" t="n">
        <f aca="false">cx_rt*Sens!$F$2355</f>
        <v>21.0855744229195</v>
      </c>
      <c r="G2505" s="38" t="n">
        <f aca="false">Sens!$E$2505+Sens!$F$2505</f>
        <v>38.9439243695228</v>
      </c>
      <c r="H2505" s="38" t="n">
        <f aca="false">cx_rt*Sens!$H$2355</f>
        <v>43.1200434029767</v>
      </c>
      <c r="I2505" s="38" t="n">
        <f aca="false">cx_rt*Sens!$I$2355</f>
        <v>47.1583152318763</v>
      </c>
      <c r="J2505" s="38" t="n">
        <f aca="false">cx_rt*Sens!$J$2355</f>
        <v>50.9060281137911</v>
      </c>
      <c r="K2505" s="38" t="n">
        <f aca="false">cx_rt*Sens!$K$2355</f>
        <v>54.2035645673053</v>
      </c>
      <c r="L2505" s="38" t="n">
        <f aca="false">cx_rt*Sens!$L$2355</f>
        <v>57.7318979121519</v>
      </c>
      <c r="M2505" s="38" t="n">
        <f aca="false">cx_rt*Sens!$M$2355</f>
        <v>61.5084196557756</v>
      </c>
    </row>
    <row r="2506" customFormat="false" ht="15" hidden="false" customHeight="false" outlineLevel="0" collapsed="false">
      <c r="A2506" s="3" t="s">
        <v>737</v>
      </c>
      <c r="B2506" s="8" t="s">
        <v>73</v>
      </c>
      <c r="C2506" s="38" t="n">
        <f aca="false">Q!$D$46</f>
        <v>77.658</v>
      </c>
      <c r="D2506" s="38" t="n">
        <f aca="false">Q!$E$46</f>
        <v>128.32</v>
      </c>
      <c r="E2506" s="38" t="n">
        <f aca="false">Q!$P$46</f>
        <v>96.31</v>
      </c>
      <c r="F2506" s="38" t="n">
        <f aca="false">Sens!$F$2503+Sens!$F$2504+Sens!$F$2505</f>
        <v>133.052706496153</v>
      </c>
      <c r="G2506" s="38" t="n">
        <f aca="false">Sens!$E$2506+Sens!$F$2506</f>
        <v>229.362706496153</v>
      </c>
      <c r="H2506" s="38" t="n">
        <f aca="false">Sens!$H$2503+Sens!$H$2504+Sens!$H$2505</f>
        <v>277.870120501355</v>
      </c>
      <c r="I2506" s="38" t="n">
        <f aca="false">Sens!$I$2503+Sens!$I$2504+Sens!$I$2505</f>
        <v>293.934464585378</v>
      </c>
      <c r="J2506" s="38" t="n">
        <f aca="false">Sens!$J$2503+Sens!$J$2504+Sens!$J$2505</f>
        <v>308.06904811359</v>
      </c>
      <c r="K2506" s="38" t="n">
        <f aca="false">Sens!$K$2503+Sens!$K$2504+Sens!$K$2505</f>
        <v>320.385735318248</v>
      </c>
      <c r="L2506" s="38" t="n">
        <f aca="false">Sens!$L$2503+Sens!$L$2504+Sens!$L$2505</f>
        <v>364.65641921833</v>
      </c>
      <c r="M2506" s="38" t="n">
        <f aca="false">Sens!$M$2503+Sens!$M$2504+Sens!$M$2505</f>
        <v>432.943173024858</v>
      </c>
    </row>
    <row r="2507" customFormat="false" ht="17.15" hidden="false" customHeight="false" outlineLevel="0" collapsed="false">
      <c r="A2507" s="5" t="s">
        <v>523</v>
      </c>
      <c r="B2507" s="0" t="s">
        <v>73</v>
      </c>
      <c r="C2507" s="38" t="n">
        <f aca="false">Q!$D$50</f>
        <v>2.043</v>
      </c>
      <c r="D2507" s="38" t="n">
        <f aca="false">Q!$E$50</f>
        <v>1.557</v>
      </c>
      <c r="E2507" s="38" t="n">
        <f aca="false">lease_pr/2</f>
        <v>0.8</v>
      </c>
      <c r="F2507" s="38" t="n">
        <f aca="false">lease_pr/2</f>
        <v>0.8</v>
      </c>
      <c r="G2507" s="38" t="n">
        <f aca="false">Sens!$E$2507+Sens!$F$2507</f>
        <v>1.6</v>
      </c>
      <c r="H2507" s="38" t="n">
        <f aca="false">lease_pr</f>
        <v>1.6</v>
      </c>
      <c r="I2507" s="38" t="n">
        <f aca="false">lease_pr</f>
        <v>1.6</v>
      </c>
      <c r="J2507" s="38" t="n">
        <f aca="false">lease_pr</f>
        <v>1.6</v>
      </c>
      <c r="K2507" s="38" t="n">
        <f aca="false">lease_pr</f>
        <v>1.6</v>
      </c>
      <c r="L2507" s="38" t="n">
        <f aca="false">lease_pr</f>
        <v>1.6</v>
      </c>
      <c r="M2507" s="38" t="n">
        <f aca="false">lease_pr</f>
        <v>1.6</v>
      </c>
      <c r="P2507" s="8" t="s">
        <v>738</v>
      </c>
    </row>
    <row r="2508" customFormat="false" ht="15" hidden="false" customHeight="false" outlineLevel="0" collapsed="false">
      <c r="A2508" s="46" t="s">
        <v>739</v>
      </c>
      <c r="B2508" s="13" t="s">
        <v>73</v>
      </c>
      <c r="C2508" s="47" t="n">
        <f aca="false">Sens!$C$2502-Sens!$C$2506-Sens!$C$2507</f>
        <v>36.176</v>
      </c>
      <c r="D2508" s="47" t="n">
        <f aca="false">Sens!$D$2502-Sens!$D$2506-Sens!$D$2507</f>
        <v>9.63700000000002</v>
      </c>
      <c r="E2508" s="47" t="n">
        <f aca="false">Sens!$E$2502-Sens!$E$2506-Sens!$E$2507</f>
        <v>-25.691</v>
      </c>
      <c r="F2508" s="47" t="n">
        <f aca="false">Sens!$F$2502-Sens!$F$2506-Sens!$F$2507</f>
        <v>-35.116494188819</v>
      </c>
      <c r="G2508" s="47" t="n">
        <f aca="false">Sens!$G$2502-Sens!$G$2506-Sens!$G$2507</f>
        <v>-60.807494188819</v>
      </c>
      <c r="H2508" s="47" t="n">
        <f aca="false">Sens!$H$2502-Sens!$H$2506-Sens!$H$2507</f>
        <v>-38.814218783813</v>
      </c>
      <c r="I2508" s="47" t="n">
        <f aca="false">Sens!$I$2502-Sens!$I$2506-Sens!$I$2507</f>
        <v>12.4378674011632</v>
      </c>
      <c r="J2508" s="47" t="n">
        <f aca="false">Sens!$J$2502-Sens!$J$2506-Sens!$J$2507</f>
        <v>65.0939964064878</v>
      </c>
      <c r="K2508" s="47" t="n">
        <f aca="false">Sens!$K$2502-Sens!$K$2506-Sens!$K$2507</f>
        <v>116.751192655688</v>
      </c>
      <c r="L2508" s="47" t="n">
        <f aca="false">Sens!$L$2502-Sens!$L$2506-Sens!$L$2507</f>
        <v>138.239392929178</v>
      </c>
      <c r="M2508" s="47" t="n">
        <f aca="false">Sens!$M$2502-Sens!$M$2506-Sens!$M$2507</f>
        <v>138.34967245895</v>
      </c>
      <c r="N2508" s="13"/>
      <c r="O2508" s="13"/>
    </row>
    <row r="2509" customFormat="false" ht="17.15" hidden="false" customHeight="false" outlineLevel="0" collapsed="false">
      <c r="A2509" s="5" t="s">
        <v>740</v>
      </c>
      <c r="B2509" s="0" t="s">
        <v>73</v>
      </c>
      <c r="C2509" s="38" t="n">
        <f aca="false">dps*Sens!$C$2490</f>
        <v>0</v>
      </c>
      <c r="D2509" s="38" t="n">
        <f aca="false">dps*Sens!$D$2490</f>
        <v>0</v>
      </c>
      <c r="E2509" s="38" t="n">
        <f aca="false">dps*Sens!$E$2490</f>
        <v>0</v>
      </c>
      <c r="F2509" s="38" t="n">
        <f aca="false">0</f>
        <v>0</v>
      </c>
      <c r="G2509" s="38" t="n">
        <f aca="false">dps*Sens!$G$2490</f>
        <v>0</v>
      </c>
      <c r="H2509" s="38" t="n">
        <f aca="false">dps*Sens!$H$2490</f>
        <v>0</v>
      </c>
      <c r="I2509" s="38" t="n">
        <f aca="false">dps*Sens!$I$2490</f>
        <v>0</v>
      </c>
      <c r="J2509" s="38" t="n">
        <f aca="false">dps*Sens!$J$2490</f>
        <v>0</v>
      </c>
      <c r="K2509" s="38" t="n">
        <f aca="false">dps*Sens!$K$2490</f>
        <v>0</v>
      </c>
      <c r="L2509" s="38" t="n">
        <f aca="false">dps*Sens!$L$2490</f>
        <v>0</v>
      </c>
      <c r="M2509" s="38" t="n">
        <f aca="false">dps*Sens!$M$2490</f>
        <v>0</v>
      </c>
      <c r="P2509" s="8" t="s">
        <v>741</v>
      </c>
    </row>
    <row r="2510" customFormat="false" ht="17.15" hidden="false" customHeight="false" outlineLevel="0" collapsed="false">
      <c r="A2510" s="5" t="s">
        <v>742</v>
      </c>
      <c r="B2510" s="0" t="s">
        <v>73</v>
      </c>
      <c r="C2510" s="38" t="n">
        <f aca="false">0</f>
        <v>0</v>
      </c>
      <c r="D2510" s="38" t="n">
        <f aca="false">0</f>
        <v>0</v>
      </c>
      <c r="E2510" s="38" t="n">
        <f aca="false">0</f>
        <v>0</v>
      </c>
      <c r="F2510" s="38" t="n">
        <f aca="false">0</f>
        <v>0</v>
      </c>
      <c r="G2510" s="38" t="n">
        <f aca="false">0</f>
        <v>0</v>
      </c>
      <c r="H2510" s="38" t="n">
        <f aca="false">0</f>
        <v>0</v>
      </c>
      <c r="I2510" s="38" t="n">
        <f aca="false">0</f>
        <v>0</v>
      </c>
      <c r="J2510" s="38" t="n">
        <f aca="false">0</f>
        <v>0</v>
      </c>
      <c r="K2510" s="38" t="n">
        <f aca="false">0</f>
        <v>0</v>
      </c>
      <c r="L2510" s="38" t="n">
        <f aca="false">0</f>
        <v>0</v>
      </c>
      <c r="M2510" s="38" t="n">
        <f aca="false">0</f>
        <v>0</v>
      </c>
      <c r="P2510" s="8" t="s">
        <v>743</v>
      </c>
    </row>
    <row r="2511" customFormat="false" ht="15" hidden="false" customHeight="false" outlineLevel="0" collapsed="false">
      <c r="A2511" s="3" t="s">
        <v>744</v>
      </c>
      <c r="B2511" s="8" t="s">
        <v>73</v>
      </c>
      <c r="C2511" s="38" t="n">
        <f aca="false">Sens!$C$2508-Sens!$C$2509</f>
        <v>36.176</v>
      </c>
      <c r="D2511" s="38" t="n">
        <f aca="false">Sens!$D$2508-Sens!$D$2509</f>
        <v>9.63700000000002</v>
      </c>
      <c r="E2511" s="38" t="n">
        <f aca="false">Sens!$E$2508-Sens!$E$2509</f>
        <v>-25.691</v>
      </c>
      <c r="F2511" s="38" t="n">
        <f aca="false">Sens!$F$2508-Sens!$F$2509</f>
        <v>-35.116494188819</v>
      </c>
      <c r="G2511" s="38" t="n">
        <f aca="false">Sens!$G$2508-Sens!$G$2509</f>
        <v>-60.807494188819</v>
      </c>
      <c r="H2511" s="38" t="n">
        <f aca="false">Sens!$H$2508-Sens!$H$2509</f>
        <v>-38.814218783813</v>
      </c>
      <c r="I2511" s="38" t="n">
        <f aca="false">Sens!$I$2508-Sens!$I$2509</f>
        <v>12.4378674011632</v>
      </c>
      <c r="J2511" s="38" t="n">
        <f aca="false">Sens!$J$2508-Sens!$J$2509</f>
        <v>65.0939964064878</v>
      </c>
      <c r="K2511" s="38" t="n">
        <f aca="false">Sens!$K$2508-Sens!$K$2509</f>
        <v>116.751192655688</v>
      </c>
      <c r="L2511" s="38" t="n">
        <f aca="false">Sens!$L$2508-Sens!$L$2509</f>
        <v>138.239392929178</v>
      </c>
      <c r="M2511" s="38" t="n">
        <f aca="false">Sens!$M$2508-Sens!$M$2509</f>
        <v>138.34967245895</v>
      </c>
    </row>
    <row r="2512" customFormat="false" ht="17.15" hidden="false" customHeight="false" outlineLevel="0" collapsed="false">
      <c r="A2512" s="5" t="s">
        <v>745</v>
      </c>
      <c r="B2512" s="0" t="s">
        <v>73</v>
      </c>
      <c r="E2512" s="38" t="n">
        <f aca="false">Q!$P$53</f>
        <v>39.767</v>
      </c>
      <c r="F2512" s="38" t="n">
        <f aca="false">inv_2h26</f>
        <v>21.3</v>
      </c>
      <c r="G2512" s="38" t="n">
        <f aca="false">Sens!$E$2512+Sens!$F$2512</f>
        <v>61.067</v>
      </c>
      <c r="H2512" s="41" t="n">
        <v>0</v>
      </c>
      <c r="I2512" s="41" t="n">
        <v>0</v>
      </c>
      <c r="J2512" s="41" t="n">
        <v>0</v>
      </c>
      <c r="K2512" s="41" t="n">
        <v>0</v>
      </c>
      <c r="L2512" s="41" t="n">
        <v>0</v>
      </c>
      <c r="M2512" s="41" t="n">
        <v>0</v>
      </c>
    </row>
    <row r="2513" customFormat="false" ht="17.15" hidden="false" customHeight="false" outlineLevel="0" collapsed="false">
      <c r="A2513" s="5" t="s">
        <v>746</v>
      </c>
      <c r="B2513" s="0" t="s">
        <v>73</v>
      </c>
      <c r="F2513" s="38" t="n">
        <f aca="false">iss_2h26</f>
        <v>29.25</v>
      </c>
      <c r="G2513" s="38" t="n">
        <f aca="false">Sens!$F$2513</f>
        <v>29.25</v>
      </c>
      <c r="H2513" s="41" t="n">
        <v>0</v>
      </c>
      <c r="I2513" s="41" t="n">
        <v>0</v>
      </c>
      <c r="J2513" s="41" t="n">
        <v>0</v>
      </c>
      <c r="K2513" s="41" t="n">
        <v>0</v>
      </c>
      <c r="L2513" s="41" t="n">
        <v>0</v>
      </c>
      <c r="M2513" s="41" t="n">
        <v>0</v>
      </c>
    </row>
    <row r="2514" customFormat="false" ht="17.15" hidden="false" customHeight="false" outlineLevel="0" collapsed="false">
      <c r="A2514" s="5" t="s">
        <v>747</v>
      </c>
      <c r="B2514" s="0" t="s">
        <v>73</v>
      </c>
      <c r="F2514" s="38" t="n">
        <f aca="false">cash_q2</f>
        <v>122.988</v>
      </c>
      <c r="G2514" s="38" t="n">
        <f aca="false">cash_q2</f>
        <v>122.988</v>
      </c>
      <c r="H2514" s="38" t="n">
        <f aca="false">Sens!$G$2517</f>
        <v>95.821505811181</v>
      </c>
      <c r="I2514" s="38" t="n">
        <f aca="false">Sens!$H$2517</f>
        <v>57.007287027368</v>
      </c>
      <c r="J2514" s="38" t="n">
        <f aca="false">Sens!$I$2517</f>
        <v>69.4451544285312</v>
      </c>
      <c r="K2514" s="38" t="n">
        <f aca="false">Sens!$J$2517</f>
        <v>134.539150835019</v>
      </c>
      <c r="L2514" s="38" t="n">
        <f aca="false">Sens!$K$2517</f>
        <v>251.290343490706</v>
      </c>
      <c r="M2514" s="38" t="n">
        <f aca="false">Sens!$L$2517</f>
        <v>389.529736419885</v>
      </c>
    </row>
    <row r="2515" customFormat="false" ht="15" hidden="false" customHeight="false" outlineLevel="0" collapsed="false">
      <c r="A2515" s="5" t="s">
        <v>748</v>
      </c>
      <c r="B2515" s="0" t="s">
        <v>73</v>
      </c>
      <c r="F2515" s="38" t="n">
        <f aca="false">Sens!$F$2514+Sens!$F$2511-Sens!$F$2510-Sens!$F$2512+Sens!$F$2513</f>
        <v>95.821505811181</v>
      </c>
      <c r="H2515" s="38" t="n">
        <f aca="false">Sens!$H$2514+Sens!$H$2511-Sens!$H$2510-Sens!$H$2512+Sens!$H$2513</f>
        <v>57.007287027368</v>
      </c>
      <c r="I2515" s="38" t="n">
        <f aca="false">Sens!$I$2514+Sens!$I$2511-Sens!$I$2510-Sens!$I$2512+Sens!$I$2513</f>
        <v>69.4451544285312</v>
      </c>
      <c r="J2515" s="38" t="n">
        <f aca="false">Sens!$J$2514+Sens!$J$2511-Sens!$J$2510-Sens!$J$2512+Sens!$J$2513</f>
        <v>134.539150835019</v>
      </c>
      <c r="K2515" s="38" t="n">
        <f aca="false">Sens!$K$2514+Sens!$K$2511-Sens!$K$2510-Sens!$K$2512+Sens!$K$2513</f>
        <v>251.290343490706</v>
      </c>
      <c r="L2515" s="38" t="n">
        <f aca="false">Sens!$L$2514+Sens!$L$2511-Sens!$L$2510-Sens!$L$2512+Sens!$L$2513</f>
        <v>389.529736419885</v>
      </c>
      <c r="M2515" s="38" t="n">
        <f aca="false">Sens!$M$2514+Sens!$M$2511-Sens!$M$2510-Sens!$M$2512+Sens!$M$2513</f>
        <v>527.879408878834</v>
      </c>
    </row>
    <row r="2516" customFormat="false" ht="17.15" hidden="false" customHeight="false" outlineLevel="0" collapsed="false">
      <c r="A2516" s="5" t="s">
        <v>749</v>
      </c>
      <c r="B2516" s="0" t="s">
        <v>73</v>
      </c>
      <c r="F2516" s="38" t="n">
        <f aca="false">MAX(0,min_cash-Sens!$F$2515)</f>
        <v>0</v>
      </c>
      <c r="G2516" s="38" t="n">
        <f aca="false">Sens!$F$2516</f>
        <v>0</v>
      </c>
      <c r="H2516" s="38" t="n">
        <f aca="false">MAX(0,min_cash-Sens!$H$2515)</f>
        <v>0</v>
      </c>
      <c r="I2516" s="38" t="n">
        <f aca="false">MAX(0,min_cash-Sens!$I$2515)</f>
        <v>0</v>
      </c>
      <c r="J2516" s="38" t="n">
        <f aca="false">MAX(0,min_cash-Sens!$J$2515)</f>
        <v>0</v>
      </c>
      <c r="K2516" s="38" t="n">
        <f aca="false">MAX(0,min_cash-Sens!$K$2515)</f>
        <v>0</v>
      </c>
      <c r="L2516" s="38" t="n">
        <f aca="false">MAX(0,min_cash-Sens!$L$2515)</f>
        <v>0</v>
      </c>
      <c r="M2516" s="38" t="n">
        <f aca="false">MAX(0,min_cash-Sens!$M$2515)</f>
        <v>0</v>
      </c>
      <c r="P2516" s="5" t="s">
        <v>750</v>
      </c>
    </row>
    <row r="2517" customFormat="false" ht="15" hidden="false" customHeight="false" outlineLevel="0" collapsed="false">
      <c r="A2517" s="5" t="s">
        <v>751</v>
      </c>
      <c r="B2517" s="0" t="s">
        <v>73</v>
      </c>
      <c r="D2517" s="38" t="n">
        <f aca="false">Q!$E$61</f>
        <v>123.029</v>
      </c>
      <c r="E2517" s="38" t="n">
        <f aca="false">Q!$M$61</f>
        <v>122.988</v>
      </c>
      <c r="F2517" s="38" t="n">
        <f aca="false">Sens!$F$2515+Sens!$F$2516</f>
        <v>95.821505811181</v>
      </c>
      <c r="G2517" s="38" t="n">
        <f aca="false">Sens!$F$2517</f>
        <v>95.821505811181</v>
      </c>
      <c r="H2517" s="38" t="n">
        <f aca="false">Sens!$H$2515+Sens!$H$2516</f>
        <v>57.007287027368</v>
      </c>
      <c r="I2517" s="38" t="n">
        <f aca="false">Sens!$I$2515+Sens!$I$2516</f>
        <v>69.4451544285312</v>
      </c>
      <c r="J2517" s="38" t="n">
        <f aca="false">Sens!$J$2515+Sens!$J$2516</f>
        <v>134.539150835019</v>
      </c>
      <c r="K2517" s="38" t="n">
        <f aca="false">Sens!$K$2515+Sens!$K$2516</f>
        <v>251.290343490706</v>
      </c>
      <c r="L2517" s="38" t="n">
        <f aca="false">Sens!$L$2515+Sens!$L$2516</f>
        <v>389.529736419885</v>
      </c>
      <c r="M2517" s="38" t="n">
        <f aca="false">Sens!$M$2515+Sens!$M$2516</f>
        <v>527.879408878834</v>
      </c>
    </row>
    <row r="2518" customFormat="false" ht="15" hidden="false" customHeight="false" outlineLevel="0" collapsed="false">
      <c r="A2518" s="5" t="s">
        <v>752</v>
      </c>
      <c r="B2518" s="0" t="s">
        <v>73</v>
      </c>
      <c r="D2518" s="38" t="n">
        <f aca="false">Q!$E$62</f>
        <v>68.836</v>
      </c>
      <c r="E2518" s="38" t="n">
        <f aca="false">Q!$M$62</f>
        <v>132.995</v>
      </c>
      <c r="F2518" s="38" t="n">
        <f aca="false">debt_q2+Sens!$F$2513+Sens!$F$2516</f>
        <v>162.245</v>
      </c>
      <c r="G2518" s="38" t="n">
        <f aca="false">Sens!$F$2518</f>
        <v>162.245</v>
      </c>
      <c r="H2518" s="38" t="n">
        <f aca="false">Sens!$G$2518+Sens!$H$2516</f>
        <v>162.245</v>
      </c>
      <c r="I2518" s="38" t="n">
        <f aca="false">Sens!$H$2518+Sens!$I$2516</f>
        <v>162.245</v>
      </c>
      <c r="J2518" s="38" t="n">
        <f aca="false">Sens!$I$2518+Sens!$J$2516</f>
        <v>162.245</v>
      </c>
      <c r="K2518" s="38" t="n">
        <f aca="false">Sens!$J$2518+Sens!$K$2516</f>
        <v>162.245</v>
      </c>
      <c r="L2518" s="38" t="n">
        <f aca="false">Sens!$K$2518+Sens!$L$2516</f>
        <v>162.245</v>
      </c>
      <c r="M2518" s="38" t="n">
        <f aca="false">Sens!$L$2518+Sens!$M$2516</f>
        <v>162.245</v>
      </c>
    </row>
    <row r="2519" customFormat="false" ht="15" hidden="false" customHeight="false" outlineLevel="0" collapsed="false">
      <c r="A2519" s="5" t="s">
        <v>753</v>
      </c>
      <c r="B2519" s="0" t="s">
        <v>73</v>
      </c>
      <c r="D2519" s="38" t="n">
        <f aca="false">Sens!$D$2518-Sens!$D$2517</f>
        <v>-54.193</v>
      </c>
      <c r="E2519" s="38" t="n">
        <f aca="false">Sens!$E$2518-Sens!$E$2517</f>
        <v>10.007</v>
      </c>
      <c r="F2519" s="38" t="n">
        <f aca="false">Sens!$F$2518-Sens!$F$2517</f>
        <v>66.423494188819</v>
      </c>
      <c r="G2519" s="38" t="n">
        <f aca="false">Sens!$G$2518-Sens!$G$2517</f>
        <v>66.423494188819</v>
      </c>
      <c r="H2519" s="38" t="n">
        <f aca="false">Sens!$H$2518-Sens!$H$2517</f>
        <v>105.237712972632</v>
      </c>
      <c r="I2519" s="38" t="n">
        <f aca="false">Sens!$I$2518-Sens!$I$2517</f>
        <v>92.7998455714689</v>
      </c>
      <c r="J2519" s="38" t="n">
        <f aca="false">Sens!$J$2518-Sens!$J$2517</f>
        <v>27.7058491649811</v>
      </c>
      <c r="K2519" s="38" t="n">
        <f aca="false">Sens!$K$2518-Sens!$K$2517</f>
        <v>-89.0453434907065</v>
      </c>
      <c r="L2519" s="38" t="n">
        <f aca="false">Sens!$L$2518-Sens!$L$2517</f>
        <v>-227.284736419885</v>
      </c>
      <c r="M2519" s="38" t="n">
        <f aca="false">Sens!$M$2518-Sens!$M$2517</f>
        <v>-365.634408878834</v>
      </c>
    </row>
    <row r="2520" customFormat="false" ht="17.15" hidden="false" customHeight="false" outlineLevel="0" collapsed="false">
      <c r="A2520" s="5" t="s">
        <v>754</v>
      </c>
      <c r="B2520" s="0" t="s">
        <v>73</v>
      </c>
      <c r="F2520" s="38" t="n">
        <f aca="false">debt_q2*kd_book*0.5+iss_2h26*kd_new*0.25</f>
        <v>3.24888964316061</v>
      </c>
      <c r="H2520" s="38" t="n">
        <f aca="false">debt_q2*kd_book+(Sens!$G$2518-debt_q2)*kd_new</f>
        <v>7.42354178632123</v>
      </c>
      <c r="I2520" s="38" t="n">
        <f aca="false">debt_q2*kd_book+(Sens!$H$2518-debt_q2)*kd_new</f>
        <v>7.42354178632123</v>
      </c>
      <c r="J2520" s="38" t="n">
        <f aca="false">debt_q2*kd_book+(Sens!$I$2518-debt_q2)*kd_new</f>
        <v>7.42354178632123</v>
      </c>
      <c r="K2520" s="38" t="n">
        <f aca="false">debt_q2*kd_book+(Sens!$J$2518-debt_q2)*kd_new</f>
        <v>7.42354178632123</v>
      </c>
      <c r="L2520" s="38" t="n">
        <f aca="false">debt_q2*kd_book+(Sens!$K$2518-debt_q2)*kd_new</f>
        <v>7.42354178632123</v>
      </c>
      <c r="M2520" s="38" t="n">
        <f aca="false">debt_q2*kd_book+(Sens!$L$2518-debt_q2)*kd_new</f>
        <v>7.42354178632123</v>
      </c>
    </row>
    <row r="2521" customFormat="false" ht="17.15" hidden="false" customHeight="false" outlineLevel="0" collapsed="false">
      <c r="A2521" s="5" t="s">
        <v>755</v>
      </c>
      <c r="B2521" s="0" t="s">
        <v>73</v>
      </c>
      <c r="F2521" s="38" t="n">
        <f aca="false">cash_q2*y_cash*0.5</f>
        <v>2.59</v>
      </c>
      <c r="H2521" s="38" t="n">
        <f aca="false">Sens!$G$2517*y_cash</f>
        <v>4.03580349385239</v>
      </c>
      <c r="I2521" s="38" t="n">
        <f aca="false">Sens!$H$2517*y_cash</f>
        <v>2.40102893617073</v>
      </c>
      <c r="J2521" s="38" t="n">
        <f aca="false">Sens!$I$2517*y_cash</f>
        <v>2.92488616726666</v>
      </c>
      <c r="K2521" s="38" t="n">
        <f aca="false">Sens!$J$2517*y_cash</f>
        <v>5.66651056465182</v>
      </c>
      <c r="L2521" s="38" t="n">
        <f aca="false">Sens!$K$2517*y_cash</f>
        <v>10.5838291482247</v>
      </c>
      <c r="M2521" s="38" t="n">
        <f aca="false">Sens!$L$2517*y_cash</f>
        <v>16.4061862511383</v>
      </c>
    </row>
    <row r="2522" customFormat="false" ht="17.15" hidden="false" customHeight="false" outlineLevel="0" collapsed="false">
      <c r="A2522" s="46" t="s">
        <v>756</v>
      </c>
      <c r="B2522" s="13" t="s">
        <v>73</v>
      </c>
      <c r="C2522" s="13"/>
      <c r="D2522" s="13"/>
      <c r="E2522" s="13"/>
      <c r="F2522" s="13"/>
      <c r="G2522" s="47" t="n">
        <f aca="false">SUM(Sens!$G$2511:$K$2511)</f>
        <v>94.6613434907065</v>
      </c>
      <c r="H2522" s="13"/>
      <c r="I2522" s="13"/>
      <c r="J2522" s="13"/>
      <c r="K2522" s="13"/>
      <c r="L2522" s="13"/>
      <c r="M2522" s="13"/>
      <c r="N2522" s="13"/>
      <c r="O2522" s="13"/>
    </row>
    <row r="2523" customFormat="false" ht="17.15" hidden="false" customHeight="false" outlineLevel="0" collapsed="false">
      <c r="A2523" s="0" t="s">
        <v>723</v>
      </c>
      <c r="B2523" s="0" t="s">
        <v>73</v>
      </c>
      <c r="G2523" s="38" t="n">
        <f aca="false">SUM(Sens!$G$2516:$K$2516)</f>
        <v>0</v>
      </c>
    </row>
    <row r="2526" customFormat="false" ht="19.4" hidden="false" customHeight="false" outlineLevel="0" collapsed="false">
      <c r="A2526" s="31" t="s">
        <v>1097</v>
      </c>
    </row>
    <row r="2527" customFormat="false" ht="17.15" hidden="false" customHeight="false" outlineLevel="0" collapsed="false">
      <c r="A2527" s="6" t="s">
        <v>16</v>
      </c>
      <c r="B2527" s="6" t="s">
        <v>17</v>
      </c>
      <c r="C2527" s="20" t="s">
        <v>457</v>
      </c>
      <c r="D2527" s="20" t="s">
        <v>458</v>
      </c>
      <c r="E2527" s="20" t="s">
        <v>540</v>
      </c>
      <c r="F2527" s="20" t="s">
        <v>541</v>
      </c>
      <c r="G2527" s="20" t="s">
        <v>542</v>
      </c>
      <c r="H2527" s="20" t="s">
        <v>543</v>
      </c>
      <c r="I2527" s="20" t="s">
        <v>544</v>
      </c>
      <c r="J2527" s="20" t="s">
        <v>545</v>
      </c>
      <c r="K2527" s="20" t="s">
        <v>546</v>
      </c>
      <c r="L2527" s="20" t="s">
        <v>547</v>
      </c>
      <c r="M2527" s="20" t="s">
        <v>548</v>
      </c>
      <c r="N2527" s="20" t="s">
        <v>549</v>
      </c>
      <c r="O2527" s="20" t="s">
        <v>550</v>
      </c>
      <c r="P2527" s="6" t="s">
        <v>23</v>
      </c>
      <c r="R2527" s="20" t="n">
        <v>2023</v>
      </c>
      <c r="S2527" s="20" t="n">
        <v>2024</v>
      </c>
      <c r="T2527" s="20" t="n">
        <v>2025</v>
      </c>
      <c r="U2527" s="20" t="n">
        <v>2026</v>
      </c>
      <c r="V2527" s="20" t="n">
        <v>2027</v>
      </c>
      <c r="W2527" s="20" t="n">
        <v>2028</v>
      </c>
      <c r="X2527" s="20" t="n">
        <v>2029</v>
      </c>
      <c r="Y2527" s="20" t="n">
        <v>2030</v>
      </c>
      <c r="Z2527" s="20" t="n">
        <v>2031</v>
      </c>
      <c r="AA2527" s="20" t="n">
        <v>2032</v>
      </c>
    </row>
    <row r="2528" customFormat="false" ht="17.15" hidden="false" customHeight="false" outlineLevel="0" collapsed="false">
      <c r="A2528" s="1" t="s">
        <v>851</v>
      </c>
    </row>
    <row r="2529" customFormat="false" ht="17.15" hidden="false" customHeight="false" outlineLevel="0" collapsed="false">
      <c r="A2529" s="0" t="s">
        <v>852</v>
      </c>
      <c r="B2529" s="0" t="s">
        <v>73</v>
      </c>
      <c r="H2529" s="38" t="n">
        <f aca="false">Sens!$H$2465*(1-tax)</f>
        <v>119.956849056494</v>
      </c>
      <c r="I2529" s="38" t="n">
        <f aca="false">Sens!$I$2465*(1-tax)</f>
        <v>148.870465874147</v>
      </c>
      <c r="J2529" s="38" t="n">
        <f aca="false">Sens!$J$2465*(1-tax)</f>
        <v>175.56782290695</v>
      </c>
      <c r="K2529" s="38" t="n">
        <f aca="false">Sens!$K$2465*(1-tax)</f>
        <v>198.769127688433</v>
      </c>
      <c r="L2529" s="38" t="n">
        <f aca="false">Sens!$L$2465*(1-tax)</f>
        <v>223.414536908003</v>
      </c>
      <c r="M2529" s="38" t="n">
        <f aca="false">Sens!$M$2465*(1-tax)</f>
        <v>248.625897415112</v>
      </c>
    </row>
    <row r="2530" customFormat="false" ht="15" hidden="false" customHeight="false" outlineLevel="0" collapsed="false">
      <c r="A2530" s="5" t="s">
        <v>853</v>
      </c>
      <c r="B2530" s="0" t="s">
        <v>73</v>
      </c>
      <c r="H2530" s="38" t="n">
        <f aca="false">Sens!$H$2477</f>
        <v>87.6845218193838</v>
      </c>
      <c r="I2530" s="38" t="n">
        <f aca="false">Sens!$I$2477</f>
        <v>122.294769708638</v>
      </c>
      <c r="J2530" s="38" t="n">
        <f aca="false">Sens!$J$2477</f>
        <v>157.133962573221</v>
      </c>
      <c r="K2530" s="38" t="n">
        <f aca="false">Sens!$K$2477</f>
        <v>191.350633353599</v>
      </c>
      <c r="L2530" s="38" t="n">
        <f aca="false">Sens!$L$2477</f>
        <v>223.909238335354</v>
      </c>
      <c r="M2530" s="38" t="n">
        <f aca="false">Sens!$M$2477</f>
        <v>257.576319867276</v>
      </c>
    </row>
    <row r="2531" customFormat="false" ht="15" hidden="false" customHeight="false" outlineLevel="0" collapsed="false">
      <c r="A2531" s="5" t="s">
        <v>854</v>
      </c>
      <c r="B2531" s="0" t="s">
        <v>73</v>
      </c>
      <c r="H2531" s="38" t="n">
        <f aca="false">Sens!$H$2506</f>
        <v>277.870120501355</v>
      </c>
      <c r="I2531" s="38" t="n">
        <f aca="false">Sens!$I$2506</f>
        <v>293.934464585378</v>
      </c>
      <c r="J2531" s="38" t="n">
        <f aca="false">Sens!$J$2506</f>
        <v>308.06904811359</v>
      </c>
      <c r="K2531" s="38" t="n">
        <f aca="false">Sens!$K$2506</f>
        <v>320.385735318248</v>
      </c>
      <c r="L2531" s="38" t="n">
        <f aca="false">Sens!$L$2506</f>
        <v>364.65641921833</v>
      </c>
      <c r="M2531" s="38" t="n">
        <f aca="false">Sens!$M$2506</f>
        <v>432.943173024858</v>
      </c>
    </row>
    <row r="2532" customFormat="false" ht="15" hidden="false" customHeight="false" outlineLevel="0" collapsed="false">
      <c r="A2532" s="5" t="s">
        <v>855</v>
      </c>
      <c r="B2532" s="0" t="s">
        <v>73</v>
      </c>
      <c r="H2532" s="38" t="n">
        <f aca="false">Sens!$H$2507</f>
        <v>1.6</v>
      </c>
      <c r="I2532" s="38" t="n">
        <f aca="false">Sens!$I$2507</f>
        <v>1.6</v>
      </c>
      <c r="J2532" s="38" t="n">
        <f aca="false">Sens!$J$2507</f>
        <v>1.6</v>
      </c>
      <c r="K2532" s="38" t="n">
        <f aca="false">Sens!$K$2507</f>
        <v>1.6</v>
      </c>
      <c r="L2532" s="38" t="n">
        <f aca="false">Sens!$L$2507</f>
        <v>1.6</v>
      </c>
      <c r="M2532" s="38" t="n">
        <f aca="false">Sens!$M$2507</f>
        <v>1.6</v>
      </c>
    </row>
    <row r="2533" customFormat="false" ht="15" hidden="false" customHeight="false" outlineLevel="0" collapsed="false">
      <c r="A2533" s="5" t="s">
        <v>856</v>
      </c>
      <c r="B2533" s="0" t="s">
        <v>73</v>
      </c>
      <c r="H2533" s="38" t="n">
        <f aca="false">Sens!$H$2501</f>
        <v>11.6369707537667</v>
      </c>
      <c r="I2533" s="38" t="n">
        <f aca="false">Sens!$I$2501</f>
        <v>13.3082502961262</v>
      </c>
      <c r="J2533" s="38" t="n">
        <f aca="false">Sens!$J$2501</f>
        <v>14.8747965344332</v>
      </c>
      <c r="K2533" s="38" t="n">
        <f aca="false">Sens!$K$2501</f>
        <v>16.2687901804328</v>
      </c>
      <c r="L2533" s="38" t="n">
        <f aca="false">Sens!$L$2501</f>
        <v>17.7280727627002</v>
      </c>
      <c r="M2533" s="38" t="n">
        <f aca="false">Sens!$M$2501</f>
        <v>19.2574690270319</v>
      </c>
    </row>
    <row r="2534" customFormat="false" ht="17.15" hidden="false" customHeight="false" outlineLevel="0" collapsed="false">
      <c r="A2534" s="1" t="s">
        <v>857</v>
      </c>
      <c r="B2534" s="8" t="s">
        <v>73</v>
      </c>
      <c r="H2534" s="38" t="n">
        <f aca="false">Sens!$H$2529+Sens!$H$2530-Sens!$H$2531-Sens!$H$2532+Sens!$H$2533</f>
        <v>-60.1917788717111</v>
      </c>
      <c r="I2534" s="38" t="n">
        <f aca="false">Sens!$I$2529+Sens!$I$2530-Sens!$I$2531-Sens!$I$2532+Sens!$I$2533</f>
        <v>-11.0609787064674</v>
      </c>
      <c r="J2534" s="38" t="n">
        <f aca="false">Sens!$J$2529+Sens!$J$2530-Sens!$J$2531-Sens!$J$2532+Sens!$J$2533</f>
        <v>37.9075339010145</v>
      </c>
      <c r="K2534" s="38" t="n">
        <f aca="false">Sens!$K$2529+Sens!$K$2530-Sens!$K$2531-Sens!$K$2532+Sens!$K$2533</f>
        <v>84.4028159042172</v>
      </c>
      <c r="L2534" s="38" t="n">
        <f aca="false">Sens!$L$2529+Sens!$L$2530-Sens!$L$2531-Sens!$L$2532+Sens!$L$2533</f>
        <v>98.7954287877275</v>
      </c>
      <c r="M2534" s="38" t="n">
        <f aca="false">Sens!$M$2529+Sens!$M$2530-Sens!$M$2531-Sens!$M$2532+Sens!$M$2533</f>
        <v>90.9165132845615</v>
      </c>
    </row>
    <row r="2535" customFormat="false" ht="15" hidden="false" customHeight="false" outlineLevel="0" collapsed="false">
      <c r="A2535" s="5" t="s">
        <v>858</v>
      </c>
      <c r="B2535" s="0" t="s">
        <v>57</v>
      </c>
      <c r="H2535" s="51" t="n">
        <f aca="false">1/(1+wacc)^(2027-2026-0.5)</f>
        <v>0.942858177653364</v>
      </c>
      <c r="I2535" s="51" t="n">
        <f aca="false">1/(1+wacc)^(2028-2026-0.5)</f>
        <v>0.838183517758688</v>
      </c>
      <c r="J2535" s="51" t="n">
        <f aca="false">1/(1+wacc)^(2029-2026-0.5)</f>
        <v>0.745129677074952</v>
      </c>
      <c r="K2535" s="51" t="n">
        <f aca="false">1/(1+wacc)^(2030-2026-0.5)</f>
        <v>0.662406530186232</v>
      </c>
      <c r="L2535" s="51" t="n">
        <f aca="false">1/(1+wacc)^(2031-2026-0.5)</f>
        <v>0.588867179409399</v>
      </c>
      <c r="M2535" s="51" t="n">
        <f aca="false">1/(1+wacc)^(2032-2026-0.5)</f>
        <v>0.52349205387225</v>
      </c>
    </row>
    <row r="2536" customFormat="false" ht="15" hidden="false" customHeight="false" outlineLevel="0" collapsed="false">
      <c r="A2536" s="5" t="s">
        <v>859</v>
      </c>
      <c r="B2536" s="0" t="s">
        <v>73</v>
      </c>
      <c r="H2536" s="38" t="n">
        <f aca="false">Sens!$H$2534*Sens!$H$2535</f>
        <v>-56.7523109366957</v>
      </c>
      <c r="I2536" s="38" t="n">
        <f aca="false">Sens!$I$2534*Sens!$I$2535</f>
        <v>-9.2711300420408</v>
      </c>
      <c r="J2536" s="38" t="n">
        <f aca="false">Sens!$J$2534*Sens!$J$2535</f>
        <v>28.2460284943707</v>
      </c>
      <c r="K2536" s="38" t="n">
        <f aca="false">Sens!$K$2534*Sens!$K$2535</f>
        <v>55.9089764210598</v>
      </c>
      <c r="L2536" s="38" t="n">
        <f aca="false">Sens!$L$2534*Sens!$L$2535</f>
        <v>58.1773854887713</v>
      </c>
      <c r="M2536" s="38" t="n">
        <f aca="false">Sens!$M$2534*Sens!$M$2535</f>
        <v>47.5940722702389</v>
      </c>
    </row>
    <row r="2537" customFormat="false" ht="15" hidden="false" customHeight="false" outlineLevel="0" collapsed="false">
      <c r="A2537" s="5" t="s">
        <v>860</v>
      </c>
      <c r="B2537" s="0" t="s">
        <v>73</v>
      </c>
      <c r="C2537" s="38" t="n">
        <f aca="false">SUM(Sens!$H$2536:$M$2536)</f>
        <v>123.903021695704</v>
      </c>
    </row>
    <row r="2538" customFormat="false" ht="17.15" hidden="false" customHeight="false" outlineLevel="0" collapsed="false">
      <c r="A2538" s="5" t="s">
        <v>861</v>
      </c>
      <c r="B2538" s="0" t="s">
        <v>73</v>
      </c>
      <c r="C2538" s="38" t="n">
        <f aca="false">Sens!$M$2529*(1+tg)*(1-tg/ronic)/(wacc-tg)</f>
        <v>2050.60091330916</v>
      </c>
    </row>
    <row r="2539" customFormat="false" ht="15" hidden="false" customHeight="false" outlineLevel="0" collapsed="false">
      <c r="A2539" s="5" t="s">
        <v>862</v>
      </c>
      <c r="B2539" s="0" t="s">
        <v>73</v>
      </c>
      <c r="C2539" s="38" t="n">
        <f aca="false">Sens!$C$2538/(1+wacc)^6</f>
        <v>1012.13306410488</v>
      </c>
    </row>
    <row r="2540" customFormat="false" ht="17.15" hidden="false" customHeight="false" outlineLevel="0" collapsed="false">
      <c r="A2540" s="5" t="s">
        <v>863</v>
      </c>
      <c r="B2540" s="0" t="s">
        <v>73</v>
      </c>
      <c r="C2540" s="38" t="n">
        <f aca="false">Sens!$C$2537+Sens!$C$2539</f>
        <v>1136.03608580058</v>
      </c>
    </row>
    <row r="2541" customFormat="false" ht="17.15" hidden="false" customHeight="false" outlineLevel="0" collapsed="false">
      <c r="A2541" s="5" t="s">
        <v>864</v>
      </c>
      <c r="B2541" s="0" t="s">
        <v>52</v>
      </c>
      <c r="C2541" s="12" t="n">
        <f aca="false">Sens!$C$2539/Sens!$C$2540</f>
        <v>0.890933903205735</v>
      </c>
    </row>
    <row r="2542" customFormat="false" ht="17.15" hidden="false" customHeight="false" outlineLevel="0" collapsed="false">
      <c r="A2542" s="5" t="s">
        <v>865</v>
      </c>
      <c r="B2542" s="0" t="s">
        <v>73</v>
      </c>
      <c r="C2542" s="38" t="n">
        <f aca="false">Sens!$G$2519</f>
        <v>66.423494188819</v>
      </c>
    </row>
    <row r="2543" customFormat="false" ht="17.15" hidden="false" customHeight="false" outlineLevel="0" collapsed="false">
      <c r="A2543" s="5" t="s">
        <v>866</v>
      </c>
      <c r="B2543" s="0" t="s">
        <v>73</v>
      </c>
      <c r="C2543" s="38" t="n">
        <f aca="false">(ant_val*ant_sh+oai_val*oai_sh)*(1-liq_disc)</f>
        <v>178.944</v>
      </c>
    </row>
    <row r="2544" customFormat="false" ht="15" hidden="false" customHeight="false" outlineLevel="0" collapsed="false">
      <c r="A2544" s="5" t="s">
        <v>867</v>
      </c>
      <c r="B2544" s="0" t="s">
        <v>73</v>
      </c>
      <c r="C2544" s="38" t="n">
        <f aca="false">Sens!$C$2540-Sens!$C$2542+Sens!$C$2543</f>
        <v>1248.55659161176</v>
      </c>
    </row>
    <row r="2545" customFormat="false" ht="17.15" hidden="false" customHeight="false" outlineLevel="0" collapsed="false">
      <c r="A2545" s="5" t="s">
        <v>868</v>
      </c>
      <c r="B2545" s="0" t="s">
        <v>27</v>
      </c>
      <c r="C2545" s="30" t="n">
        <f aca="false">Sens!$C$2544/sh_val</f>
        <v>113.193204800132</v>
      </c>
    </row>
    <row r="2546" customFormat="false" ht="17.15" hidden="false" customHeight="false" outlineLevel="0" collapsed="false">
      <c r="A2546" s="1" t="s">
        <v>869</v>
      </c>
      <c r="B2546" s="8" t="s">
        <v>27</v>
      </c>
      <c r="C2546" s="30" t="n">
        <f aca="false">Sens!$C$2545*(1+ke)^tp_yf</f>
        <v>125.015660067822</v>
      </c>
    </row>
    <row r="2547" customFormat="false" ht="17.15" hidden="false" customHeight="false" outlineLevel="0" collapsed="false">
      <c r="A2547" s="3" t="s">
        <v>870</v>
      </c>
    </row>
    <row r="2548" customFormat="false" ht="17.15" hidden="false" customHeight="false" outlineLevel="0" collapsed="false">
      <c r="A2548" s="5" t="s">
        <v>871</v>
      </c>
      <c r="B2548" s="0" t="s">
        <v>73</v>
      </c>
      <c r="C2548" s="38" t="n">
        <f aca="false">0.25*Sens!$H$2478+0.75*Sens!$I$2478</f>
        <v>57.5541093268329</v>
      </c>
    </row>
    <row r="2549" customFormat="false" ht="15" hidden="false" customHeight="false" outlineLevel="0" collapsed="false">
      <c r="A2549" s="5" t="s">
        <v>872</v>
      </c>
      <c r="B2549" s="0" t="s">
        <v>57</v>
      </c>
      <c r="C2549" s="30" t="n">
        <f aca="false">m_ads*m_x</f>
        <v>9.11</v>
      </c>
    </row>
    <row r="2550" customFormat="false" ht="17.15" hidden="false" customHeight="false" outlineLevel="0" collapsed="false">
      <c r="A2550" s="5" t="s">
        <v>873</v>
      </c>
      <c r="B2550" s="0" t="s">
        <v>73</v>
      </c>
      <c r="C2550" s="38" t="n">
        <f aca="false">Sens!$C$2548*Sens!$C$2549</f>
        <v>524.317935967448</v>
      </c>
    </row>
    <row r="2551" customFormat="false" ht="17.15" hidden="false" customHeight="false" outlineLevel="0" collapsed="false">
      <c r="A2551" s="5" t="s">
        <v>874</v>
      </c>
      <c r="B2551" s="0" t="s">
        <v>73</v>
      </c>
      <c r="C2551" s="38" t="n">
        <f aca="false">0.25*Sens!$H$2479+0.75*Sens!$I$2479</f>
        <v>47.6112130256605</v>
      </c>
    </row>
    <row r="2552" customFormat="false" ht="15" hidden="false" customHeight="false" outlineLevel="0" collapsed="false">
      <c r="A2552" s="5" t="s">
        <v>875</v>
      </c>
      <c r="B2552" s="0" t="s">
        <v>57</v>
      </c>
      <c r="C2552" s="30" t="n">
        <f aca="false">m_retail*m_x</f>
        <v>17.72</v>
      </c>
    </row>
    <row r="2553" customFormat="false" ht="17.15" hidden="false" customHeight="false" outlineLevel="0" collapsed="false">
      <c r="A2553" s="5" t="s">
        <v>876</v>
      </c>
      <c r="B2553" s="0" t="s">
        <v>73</v>
      </c>
      <c r="C2553" s="38" t="n">
        <f aca="false">Sens!$C$2551*Sens!$C$2552</f>
        <v>843.670694814704</v>
      </c>
    </row>
    <row r="2554" customFormat="false" ht="17.15" hidden="false" customHeight="false" outlineLevel="0" collapsed="false">
      <c r="A2554" s="0" t="s">
        <v>877</v>
      </c>
      <c r="B2554" s="0" t="s">
        <v>73</v>
      </c>
      <c r="C2554" s="38" t="n">
        <f aca="false">0.25*Sens!$H$2480+0.75*Sens!$I$2480</f>
        <v>107.575398943098</v>
      </c>
    </row>
    <row r="2555" customFormat="false" ht="17.15" hidden="false" customHeight="false" outlineLevel="0" collapsed="false">
      <c r="A2555" s="0" t="s">
        <v>878</v>
      </c>
      <c r="B2555" s="0" t="s">
        <v>57</v>
      </c>
      <c r="C2555" s="30" t="n">
        <f aca="false">m_cloud*m_x</f>
        <v>13.82</v>
      </c>
    </row>
    <row r="2556" customFormat="false" ht="17.15" hidden="false" customHeight="false" outlineLevel="0" collapsed="false">
      <c r="A2556" s="0" t="s">
        <v>879</v>
      </c>
      <c r="B2556" s="0" t="s">
        <v>73</v>
      </c>
      <c r="C2556" s="38" t="n">
        <f aca="false">Sens!$C$2554*Sens!$C$2555</f>
        <v>1486.69201339361</v>
      </c>
    </row>
    <row r="2557" customFormat="false" ht="17.15" hidden="false" customHeight="false" outlineLevel="0" collapsed="false">
      <c r="A2557" s="0" t="s">
        <v>880</v>
      </c>
      <c r="B2557" s="0" t="s">
        <v>73</v>
      </c>
      <c r="C2557" s="38" t="n">
        <f aca="false">0.25*Sens!$H$2481+0.75*Sens!$I$2481</f>
        <v>72.2947701247864</v>
      </c>
    </row>
    <row r="2558" customFormat="false" ht="17.15" hidden="false" customHeight="false" outlineLevel="0" collapsed="false">
      <c r="A2558" s="0" t="s">
        <v>881</v>
      </c>
      <c r="B2558" s="0" t="s">
        <v>57</v>
      </c>
      <c r="C2558" s="30" t="n">
        <f aca="false">m_ai</f>
        <v>6</v>
      </c>
    </row>
    <row r="2559" customFormat="false" ht="17.15" hidden="false" customHeight="false" outlineLevel="0" collapsed="false">
      <c r="A2559" s="0" t="s">
        <v>882</v>
      </c>
      <c r="B2559" s="0" t="s">
        <v>73</v>
      </c>
      <c r="C2559" s="38" t="n">
        <f aca="false">Sens!$C$2557*Sens!$C$2558</f>
        <v>433.768620748718</v>
      </c>
    </row>
    <row r="2560" customFormat="false" ht="17.15" hidden="false" customHeight="false" outlineLevel="0" collapsed="false">
      <c r="A2560" s="5" t="s">
        <v>883</v>
      </c>
      <c r="B2560" s="0" t="s">
        <v>73</v>
      </c>
      <c r="C2560" s="38" t="n">
        <f aca="false">Sens!$C$2550+Sens!$C$2553+Sens!$C$2556+Sens!$C$2559</f>
        <v>3288.44926492448</v>
      </c>
    </row>
    <row r="2561" customFormat="false" ht="17.15" hidden="false" customHeight="false" outlineLevel="0" collapsed="false">
      <c r="A2561" s="5" t="s">
        <v>884</v>
      </c>
      <c r="B2561" s="0" t="s">
        <v>73</v>
      </c>
      <c r="C2561" s="38" t="n">
        <f aca="false">Sens!$H$2519</f>
        <v>105.237712972632</v>
      </c>
    </row>
    <row r="2562" customFormat="false" ht="15" hidden="false" customHeight="false" outlineLevel="0" collapsed="false">
      <c r="A2562" s="5" t="s">
        <v>885</v>
      </c>
      <c r="B2562" s="0" t="s">
        <v>73</v>
      </c>
      <c r="C2562" s="38" t="n">
        <f aca="false">Sens!$C$2560-Sens!$C$2561+Sens!$C$2543</f>
        <v>3362.15555195185</v>
      </c>
    </row>
    <row r="2563" customFormat="false" ht="15" hidden="false" customHeight="false" outlineLevel="0" collapsed="false">
      <c r="A2563" s="3" t="s">
        <v>886</v>
      </c>
      <c r="B2563" s="8" t="s">
        <v>27</v>
      </c>
      <c r="C2563" s="30" t="n">
        <f aca="false">Sens!$C$2562/sh_val</f>
        <v>304.810502398377</v>
      </c>
    </row>
    <row r="2564" customFormat="false" ht="17.15" hidden="false" customHeight="false" outlineLevel="0" collapsed="false">
      <c r="A2564" s="46" t="s">
        <v>887</v>
      </c>
      <c r="B2564" s="13" t="s">
        <v>27</v>
      </c>
      <c r="C2564" s="43" t="n">
        <f aca="false">w_dcf*Sens!$C$2546+(1-w_dcf)*Sens!$C$2563</f>
        <v>214.913081233099</v>
      </c>
      <c r="D2564" s="13"/>
      <c r="E2564" s="13"/>
      <c r="F2564" s="13"/>
      <c r="G2564" s="13"/>
      <c r="H2564" s="13"/>
      <c r="I2564" s="13"/>
      <c r="J2564" s="13"/>
      <c r="K2564" s="13"/>
      <c r="L2564" s="13"/>
      <c r="M2564" s="13"/>
      <c r="N2564" s="13"/>
      <c r="O2564" s="13"/>
    </row>
    <row r="2565" customFormat="false" ht="17.15" hidden="false" customHeight="false" outlineLevel="0" collapsed="false">
      <c r="A2565" s="5" t="s">
        <v>888</v>
      </c>
      <c r="B2565" s="0" t="s">
        <v>27</v>
      </c>
      <c r="C2565" s="30" t="n">
        <f aca="false">0.45*Sens!$C$2546+0.55*Sens!$C$2563</f>
        <v>223.902823349627</v>
      </c>
    </row>
    <row r="2568" customFormat="false" ht="19.4" hidden="false" customHeight="false" outlineLevel="0" collapsed="false">
      <c r="A2568" s="31" t="s">
        <v>1098</v>
      </c>
    </row>
    <row r="2569" customFormat="false" ht="17.15" hidden="false" customHeight="false" outlineLevel="0" collapsed="false">
      <c r="A2569" s="6" t="s">
        <v>16</v>
      </c>
      <c r="B2569" s="6" t="s">
        <v>17</v>
      </c>
      <c r="C2569" s="20" t="s">
        <v>457</v>
      </c>
      <c r="D2569" s="20" t="s">
        <v>458</v>
      </c>
      <c r="E2569" s="20" t="s">
        <v>540</v>
      </c>
      <c r="F2569" s="20" t="s">
        <v>541</v>
      </c>
      <c r="G2569" s="20" t="s">
        <v>542</v>
      </c>
      <c r="H2569" s="20" t="s">
        <v>543</v>
      </c>
      <c r="I2569" s="20" t="s">
        <v>544</v>
      </c>
      <c r="J2569" s="20" t="s">
        <v>545</v>
      </c>
      <c r="K2569" s="20" t="s">
        <v>546</v>
      </c>
      <c r="L2569" s="20" t="s">
        <v>547</v>
      </c>
      <c r="M2569" s="20" t="s">
        <v>548</v>
      </c>
      <c r="N2569" s="20" t="s">
        <v>549</v>
      </c>
      <c r="O2569" s="20" t="s">
        <v>550</v>
      </c>
      <c r="P2569" s="6" t="s">
        <v>23</v>
      </c>
      <c r="R2569" s="20" t="n">
        <v>2023</v>
      </c>
      <c r="S2569" s="20" t="n">
        <v>2024</v>
      </c>
      <c r="T2569" s="20" t="n">
        <v>2025</v>
      </c>
      <c r="U2569" s="20" t="n">
        <v>2026</v>
      </c>
      <c r="V2569" s="20" t="n">
        <v>2027</v>
      </c>
      <c r="W2569" s="20" t="n">
        <v>2028</v>
      </c>
      <c r="X2569" s="20" t="n">
        <v>2029</v>
      </c>
      <c r="Y2569" s="20" t="n">
        <v>2030</v>
      </c>
      <c r="Z2569" s="20" t="n">
        <v>2031</v>
      </c>
      <c r="AA2569" s="20" t="n">
        <v>2032</v>
      </c>
    </row>
    <row r="2570" customFormat="false" ht="17.15" hidden="false" customHeight="false" outlineLevel="0" collapsed="false">
      <c r="A2570" s="1" t="s">
        <v>620</v>
      </c>
    </row>
    <row r="2571" customFormat="false" ht="17.15" hidden="false" customHeight="false" outlineLevel="0" collapsed="false">
      <c r="A2571" s="0" t="s">
        <v>479</v>
      </c>
      <c r="B2571" s="0" t="s">
        <v>73</v>
      </c>
      <c r="C2571" s="38" t="n">
        <f aca="false">Q!$D$10</f>
        <v>247.029</v>
      </c>
      <c r="D2571" s="38" t="n">
        <f aca="false">Q!$E$10</f>
        <v>269.287</v>
      </c>
      <c r="E2571" s="38" t="n">
        <f aca="false">Q!$P$10</f>
        <v>134.686</v>
      </c>
      <c r="F2571" s="38" t="n">
        <f aca="false">Sens!$O$2571*(1+Sens!$F$2572)-pd_amt*Q!$O$10/(Q!$O$10+Q!$O$12)</f>
        <v>160.728085930082</v>
      </c>
      <c r="G2571" s="38" t="n">
        <f aca="false">Sens!$E$2571+Sens!$F$2571</f>
        <v>295.414085930082</v>
      </c>
      <c r="H2571" s="38" t="n">
        <f aca="false">Sens!$G$2571*(1+Sens!$H$2572)</f>
        <v>320.828163943375</v>
      </c>
      <c r="I2571" s="38" t="n">
        <f aca="false">Sens!$H$2571*(1+Sens!$I$2572)</f>
        <v>344.575578072228</v>
      </c>
      <c r="J2571" s="38" t="n">
        <f aca="false">Sens!$I$2571*(1+Sens!$J$2572)</f>
        <v>365.942555779681</v>
      </c>
      <c r="K2571" s="38" t="n">
        <f aca="false">Sens!$J$2571*(1+Sens!$K$2572)</f>
        <v>384.239683568665</v>
      </c>
      <c r="L2571" s="38" t="n">
        <f aca="false">Sens!$K$2571*(1+Sens!$L$2572)</f>
        <v>403.451667747098</v>
      </c>
      <c r="M2571" s="38" t="n">
        <f aca="false">Sens!$L$2571*(1+Sens!$M$2572)</f>
        <v>423.624251134453</v>
      </c>
      <c r="N2571" s="38" t="n">
        <f aca="false">Q!$N$10</f>
        <v>118.892</v>
      </c>
      <c r="O2571" s="38" t="n">
        <f aca="false">Q!$O$10</f>
        <v>150.395</v>
      </c>
      <c r="P2571" s="8" t="s">
        <v>621</v>
      </c>
    </row>
    <row r="2572" customFormat="false" ht="17.15" hidden="false" customHeight="false" outlineLevel="0" collapsed="false">
      <c r="A2572" s="0" t="s">
        <v>622</v>
      </c>
      <c r="B2572" s="0" t="s">
        <v>52</v>
      </c>
      <c r="E2572" s="12" t="n">
        <f aca="false">Sens!$E$2571/Sens!$N$2571-1</f>
        <v>0.132843252699929</v>
      </c>
      <c r="F2572" s="12" t="n">
        <f aca="false">Sens!$O$2571/(Q!$F$10+Q!$G$10)-1</f>
        <v>0.0980382135842941</v>
      </c>
      <c r="G2572" s="12" t="n">
        <f aca="false">Sens!$G$2571/Sens!$D$2571-1</f>
        <v>0.0970231980380869</v>
      </c>
      <c r="H2572" s="12" t="n">
        <f aca="false">Sens!$F$2572+(g_os-Sens!$F$2572)*1/4</f>
        <v>0.0860286601882206</v>
      </c>
      <c r="I2572" s="12" t="n">
        <f aca="false">Sens!$F$2572+(g_os-Sens!$F$2572)*2/4</f>
        <v>0.074019106792147</v>
      </c>
      <c r="J2572" s="12" t="n">
        <f aca="false">Sens!$F$2572+(g_os-Sens!$F$2572)*3/4</f>
        <v>0.0620095533960735</v>
      </c>
      <c r="K2572" s="12" t="n">
        <f aca="false">Sens!$F$2572+(g_os-Sens!$F$2572)*4/4</f>
        <v>0.05</v>
      </c>
      <c r="L2572" s="12" t="n">
        <f aca="false">g_os</f>
        <v>0.05</v>
      </c>
      <c r="M2572" s="12" t="n">
        <f aca="false">g_os</f>
        <v>0.05</v>
      </c>
      <c r="P2572" s="8" t="s">
        <v>623</v>
      </c>
    </row>
    <row r="2573" customFormat="false" ht="17.15" hidden="false" customHeight="false" outlineLevel="0" collapsed="false">
      <c r="A2573" s="0" t="s">
        <v>480</v>
      </c>
      <c r="B2573" s="0" t="s">
        <v>73</v>
      </c>
      <c r="C2573" s="38" t="n">
        <f aca="false">Q!$D$11</f>
        <v>21.215</v>
      </c>
      <c r="D2573" s="38" t="n">
        <f aca="false">Q!$E$11</f>
        <v>22.561</v>
      </c>
      <c r="E2573" s="38" t="n">
        <f aca="false">Q!$P$11</f>
        <v>11.579</v>
      </c>
      <c r="F2573" s="38" t="n">
        <f aca="false">Sens!$O$2573*(1+Sens!$F$2574)</f>
        <v>12.0952613121125</v>
      </c>
      <c r="G2573" s="38" t="n">
        <f aca="false">Sens!$E$2573+Sens!$F$2573</f>
        <v>23.6742613121125</v>
      </c>
      <c r="H2573" s="38" t="n">
        <f aca="false">Sens!$G$2573*(1+Sens!$H$2574)</f>
        <v>24.8803243963206</v>
      </c>
      <c r="I2573" s="38" t="n">
        <f aca="false">Sens!$H$2573*(1+Sens!$I$2574)</f>
        <v>25.9741308664154</v>
      </c>
      <c r="J2573" s="38" t="n">
        <f aca="false">Sens!$I$2573*(1+Sens!$J$2574)</f>
        <v>26.9346894124267</v>
      </c>
      <c r="K2573" s="38" t="n">
        <f aca="false">Sens!$J$2573*(1+Sens!$K$2574)</f>
        <v>27.7427300947995</v>
      </c>
      <c r="L2573" s="38" t="n">
        <f aca="false">Sens!$K$2573*(1+Sens!$L$2574)</f>
        <v>28.5750119976435</v>
      </c>
      <c r="M2573" s="38" t="n">
        <f aca="false">Sens!$L$2573*(1+Sens!$M$2574)</f>
        <v>29.4322623575728</v>
      </c>
      <c r="N2573" s="38" t="n">
        <f aca="false">Q!$N$11</f>
        <v>11.128</v>
      </c>
      <c r="O2573" s="38" t="n">
        <f aca="false">Q!$O$11</f>
        <v>11.433</v>
      </c>
      <c r="P2573" s="8" t="s">
        <v>621</v>
      </c>
    </row>
    <row r="2574" customFormat="false" ht="17.15" hidden="false" customHeight="false" outlineLevel="0" collapsed="false">
      <c r="A2574" s="0" t="s">
        <v>624</v>
      </c>
      <c r="B2574" s="0" t="s">
        <v>52</v>
      </c>
      <c r="E2574" s="12" t="n">
        <f aca="false">Sens!$E$2573/Sens!$N$2573-1</f>
        <v>0.0405283968368082</v>
      </c>
      <c r="F2574" s="12" t="n">
        <f aca="false">Sens!$O$2573/(Q!$F$11+Q!$G$11)-1</f>
        <v>0.0579254187100955</v>
      </c>
      <c r="G2574" s="12" t="n">
        <f aca="false">Sens!$G$2573/Sens!$D$2573-1</f>
        <v>0.0493445021103904</v>
      </c>
      <c r="H2574" s="12" t="n">
        <f aca="false">Sens!$F$2574+(g_ps-Sens!$F$2574)*1/4</f>
        <v>0.0509440640325716</v>
      </c>
      <c r="I2574" s="12" t="n">
        <f aca="false">Sens!$F$2574+(g_ps-Sens!$F$2574)*2/4</f>
        <v>0.0439627093550477</v>
      </c>
      <c r="J2574" s="12" t="n">
        <f aca="false">Sens!$F$2574+(g_ps-Sens!$F$2574)*3/4</f>
        <v>0.0369813546775239</v>
      </c>
      <c r="K2574" s="12" t="n">
        <f aca="false">Sens!$F$2574+(g_ps-Sens!$F$2574)*4/4</f>
        <v>0.03</v>
      </c>
      <c r="L2574" s="12" t="n">
        <f aca="false">g_ps</f>
        <v>0.03</v>
      </c>
      <c r="M2574" s="12" t="n">
        <f aca="false">g_ps</f>
        <v>0.03</v>
      </c>
      <c r="P2574" s="8" t="s">
        <v>625</v>
      </c>
    </row>
    <row r="2575" customFormat="false" ht="17.15" hidden="false" customHeight="false" outlineLevel="0" collapsed="false">
      <c r="A2575" s="0" t="s">
        <v>481</v>
      </c>
      <c r="B2575" s="0" t="s">
        <v>73</v>
      </c>
      <c r="C2575" s="38" t="n">
        <f aca="false">Q!$D$12</f>
        <v>156.146</v>
      </c>
      <c r="D2575" s="38" t="n">
        <f aca="false">Q!$E$12</f>
        <v>172.162</v>
      </c>
      <c r="E2575" s="38" t="n">
        <f aca="false">Q!$P$12</f>
        <v>88.358</v>
      </c>
      <c r="F2575" s="38" t="n">
        <f aca="false">Sens!$O$2575*(1+Sens!$F$2576)-pd_amt*Q!$O$12/(Q!$O$10+Q!$O$12)</f>
        <v>103.62028337149</v>
      </c>
      <c r="G2575" s="38" t="n">
        <f aca="false">Sens!$E$2575+Sens!$F$2575</f>
        <v>191.97828337149</v>
      </c>
      <c r="H2575" s="38" t="n">
        <f aca="false">Sens!$G$2575*(1+Sens!$H$2576)</f>
        <v>212.128608444755</v>
      </c>
      <c r="I2575" s="38" t="n">
        <f aca="false">Sens!$H$2575*(1+Sens!$I$2576)</f>
        <v>231.92183134134</v>
      </c>
      <c r="J2575" s="38" t="n">
        <f aca="false">Sens!$I$2575*(1+Sens!$J$2576)</f>
        <v>250.859136487863</v>
      </c>
      <c r="K2575" s="38" t="n">
        <f aca="false">Sens!$J$2575*(1+Sens!$K$2576)</f>
        <v>268.419276042014</v>
      </c>
      <c r="L2575" s="38" t="n">
        <f aca="false">Sens!$K$2575*(1+Sens!$L$2576)</f>
        <v>287.208625364954</v>
      </c>
      <c r="M2575" s="38" t="n">
        <f aca="false">Sens!$L$2575*(1+Sens!$M$2576)</f>
        <v>307.313229140501</v>
      </c>
      <c r="N2575" s="38" t="n">
        <f aca="false">Q!$N$12</f>
        <v>76.86</v>
      </c>
      <c r="O2575" s="38" t="n">
        <f aca="false">Q!$O$12</f>
        <v>95.302</v>
      </c>
      <c r="P2575" s="8" t="s">
        <v>621</v>
      </c>
    </row>
    <row r="2576" customFormat="false" ht="17.15" hidden="false" customHeight="false" outlineLevel="0" collapsed="false">
      <c r="A2576" s="0" t="s">
        <v>626</v>
      </c>
      <c r="B2576" s="0" t="s">
        <v>52</v>
      </c>
      <c r="E2576" s="12" t="n">
        <f aca="false">Sens!$E$2575/Sens!$N$2575-1</f>
        <v>0.1495966692688</v>
      </c>
      <c r="F2576" s="12" t="n">
        <f aca="false">Sens!$O$2575/(Q!$F$12+Q!$G$12)-1</f>
        <v>0.11661530890813</v>
      </c>
      <c r="G2576" s="12" t="n">
        <f aca="false">Sens!$G$2575/Sens!$D$2575-1</f>
        <v>0.115102539303041</v>
      </c>
      <c r="H2576" s="12" t="n">
        <f aca="false">Sens!$F$2576+(g_sp-Sens!$F$2576)*1/4</f>
        <v>0.104961481681098</v>
      </c>
      <c r="I2576" s="12" t="n">
        <f aca="false">Sens!$F$2576+(g_sp-Sens!$F$2576)*2/4</f>
        <v>0.0933076544540651</v>
      </c>
      <c r="J2576" s="12" t="n">
        <f aca="false">Sens!$F$2576+(g_sp-Sens!$F$2576)*3/4</f>
        <v>0.0816538272270325</v>
      </c>
      <c r="K2576" s="12" t="n">
        <f aca="false">Sens!$F$2576+(g_sp-Sens!$F$2576)*4/4</f>
        <v>0.07</v>
      </c>
      <c r="L2576" s="12" t="n">
        <f aca="false">g_sp</f>
        <v>0.07</v>
      </c>
      <c r="M2576" s="12" t="n">
        <f aca="false">g_sp</f>
        <v>0.07</v>
      </c>
      <c r="P2576" s="8" t="s">
        <v>627</v>
      </c>
    </row>
    <row r="2577" customFormat="false" ht="17.15" hidden="false" customHeight="false" outlineLevel="0" collapsed="false">
      <c r="A2577" s="0" t="s">
        <v>482</v>
      </c>
      <c r="B2577" s="0" t="s">
        <v>73</v>
      </c>
      <c r="C2577" s="38" t="n">
        <f aca="false">Q!$D$13</f>
        <v>56.214</v>
      </c>
      <c r="D2577" s="38" t="n">
        <f aca="false">Q!$E$13</f>
        <v>68.635</v>
      </c>
      <c r="E2577" s="38" t="n">
        <f aca="false">Q!$P$13</f>
        <v>37.052</v>
      </c>
      <c r="F2577" s="38" t="n">
        <f aca="false">Sens!$O$2577*(1+Sens!$F$2578)</f>
        <v>48.1533381827382</v>
      </c>
      <c r="G2577" s="38" t="n">
        <f aca="false">Sens!$E$2577+Sens!$F$2577</f>
        <v>85.2053381827382</v>
      </c>
      <c r="H2577" s="38" t="n">
        <f aca="false">Sens!$G$2577*(1+Sens!$H$2578)</f>
        <v>102.29336185894</v>
      </c>
      <c r="I2577" s="38" t="n">
        <f aca="false">Sens!$H$2577*(1+Sens!$I$2578)</f>
        <v>119.379837585241</v>
      </c>
      <c r="J2577" s="38" t="n">
        <f aca="false">Sens!$I$2577*(1+Sens!$J$2578)</f>
        <v>135.319079048844</v>
      </c>
      <c r="K2577" s="38" t="n">
        <f aca="false">Sens!$J$2577*(1+Sens!$K$2578)</f>
        <v>148.850986953729</v>
      </c>
      <c r="L2577" s="38" t="n">
        <f aca="false">Sens!$K$2577*(1+Sens!$L$2578)</f>
        <v>163.736085649102</v>
      </c>
      <c r="M2577" s="38" t="n">
        <f aca="false">Sens!$L$2577*(1+Sens!$M$2578)</f>
        <v>180.109694214012</v>
      </c>
      <c r="N2577" s="38" t="n">
        <f aca="false">Q!$N$13</f>
        <v>29.615</v>
      </c>
      <c r="O2577" s="38" t="n">
        <f aca="false">Q!$O$13</f>
        <v>39.02</v>
      </c>
      <c r="P2577" s="8" t="s">
        <v>621</v>
      </c>
    </row>
    <row r="2578" customFormat="false" ht="17.15" hidden="false" customHeight="false" outlineLevel="0" collapsed="false">
      <c r="A2578" s="0" t="s">
        <v>628</v>
      </c>
      <c r="B2578" s="0" t="s">
        <v>52</v>
      </c>
      <c r="E2578" s="12" t="n">
        <f aca="false">Sens!$E$2577/Sens!$N$2577-1</f>
        <v>0.25112274185379</v>
      </c>
      <c r="F2578" s="12" t="n">
        <f aca="false">Sens!$O$2577/(Q!$F$13+Q!$G$13)-1</f>
        <v>0.234068123596572</v>
      </c>
      <c r="G2578" s="12" t="n">
        <f aca="false">Sens!$G$2577/Sens!$D$2577-1</f>
        <v>0.241426942270536</v>
      </c>
      <c r="H2578" s="12" t="n">
        <f aca="false">Sens!$F$2578+(g_ad-Sens!$F$2578)*1/4</f>
        <v>0.200551092697429</v>
      </c>
      <c r="I2578" s="12" t="n">
        <f aca="false">Sens!$F$2578+(g_ad-Sens!$F$2578)*2/4</f>
        <v>0.167034061798286</v>
      </c>
      <c r="J2578" s="12" t="n">
        <f aca="false">Sens!$F$2578+(g_ad-Sens!$F$2578)*3/4</f>
        <v>0.133517030899143</v>
      </c>
      <c r="K2578" s="12" t="n">
        <f aca="false">Sens!$F$2578+(g_ad-Sens!$F$2578)*4/4</f>
        <v>0.1</v>
      </c>
      <c r="L2578" s="12" t="n">
        <f aca="false">g_ad</f>
        <v>0.1</v>
      </c>
      <c r="M2578" s="12" t="n">
        <f aca="false">g_ad</f>
        <v>0.1</v>
      </c>
      <c r="P2578" s="8" t="s">
        <v>629</v>
      </c>
    </row>
    <row r="2579" customFormat="false" ht="17.15" hidden="false" customHeight="false" outlineLevel="0" collapsed="false">
      <c r="A2579" s="0" t="s">
        <v>483</v>
      </c>
      <c r="B2579" s="0" t="s">
        <v>73</v>
      </c>
      <c r="C2579" s="38" t="n">
        <f aca="false">Q!$D$14</f>
        <v>44.374</v>
      </c>
      <c r="D2579" s="38" t="n">
        <f aca="false">Q!$E$14</f>
        <v>49.619</v>
      </c>
      <c r="E2579" s="38" t="n">
        <f aca="false">Q!$P$14</f>
        <v>27.157</v>
      </c>
      <c r="F2579" s="38" t="n">
        <f aca="false">Sens!$O$2579*(1+Sens!$F$2580)</f>
        <v>28.9776360923374</v>
      </c>
      <c r="G2579" s="38" t="n">
        <f aca="false">Sens!$E$2579+Sens!$F$2579</f>
        <v>56.1346360923374</v>
      </c>
      <c r="H2579" s="38" t="n">
        <f aca="false">Sens!$G$2579*(1+Sens!$H$2580)</f>
        <v>62.4937078946075</v>
      </c>
      <c r="I2579" s="38" t="n">
        <f aca="false">Sens!$H$2579*(1+Sens!$I$2580)</f>
        <v>68.6715233062498</v>
      </c>
      <c r="J2579" s="38" t="n">
        <f aca="false">Sens!$I$2579*(1+Sens!$J$2580)</f>
        <v>74.4692882949818</v>
      </c>
      <c r="K2579" s="38" t="n">
        <f aca="false">Sens!$J$2579*(1+Sens!$K$2580)</f>
        <v>79.6821384756306</v>
      </c>
      <c r="L2579" s="38" t="n">
        <f aca="false">Sens!$K$2579*(1+Sens!$L$2580)</f>
        <v>85.2598881689247</v>
      </c>
      <c r="M2579" s="38" t="n">
        <f aca="false">Sens!$L$2579*(1+Sens!$M$2580)</f>
        <v>91.2280803407494</v>
      </c>
      <c r="N2579" s="38" t="n">
        <f aca="false">Q!$N$14</f>
        <v>23.923</v>
      </c>
      <c r="O2579" s="38" t="n">
        <f aca="false">Q!$O$14</f>
        <v>25.696</v>
      </c>
      <c r="P2579" s="8" t="s">
        <v>621</v>
      </c>
    </row>
    <row r="2580" customFormat="false" ht="17.15" hidden="false" customHeight="false" outlineLevel="0" collapsed="false">
      <c r="A2580" s="0" t="s">
        <v>630</v>
      </c>
      <c r="B2580" s="0" t="s">
        <v>52</v>
      </c>
      <c r="E2580" s="12" t="n">
        <f aca="false">Sens!$E$2579/Sens!$N$2579-1</f>
        <v>0.135183714417088</v>
      </c>
      <c r="F2580" s="12" t="n">
        <f aca="false">Sens!$O$2579/(Q!$F$14+Q!$G$14)-1</f>
        <v>0.127709997366804</v>
      </c>
      <c r="G2580" s="12" t="n">
        <f aca="false">Sens!$G$2579/Sens!$D$2579-1</f>
        <v>0.131313329416905</v>
      </c>
      <c r="H2580" s="12" t="n">
        <f aca="false">Sens!$F$2580+(g_sub-Sens!$F$2580)*1/4</f>
        <v>0.113282498025103</v>
      </c>
      <c r="I2580" s="12" t="n">
        <f aca="false">Sens!$F$2580+(g_sub-Sens!$F$2580)*2/4</f>
        <v>0.0988549986834021</v>
      </c>
      <c r="J2580" s="12" t="n">
        <f aca="false">Sens!$F$2580+(g_sub-Sens!$F$2580)*3/4</f>
        <v>0.084427499341701</v>
      </c>
      <c r="K2580" s="12" t="n">
        <f aca="false">Sens!$F$2580+(g_sub-Sens!$F$2580)*4/4</f>
        <v>0.07</v>
      </c>
      <c r="L2580" s="12" t="n">
        <f aca="false">g_sub</f>
        <v>0.07</v>
      </c>
      <c r="M2580" s="12" t="n">
        <f aca="false">g_sub</f>
        <v>0.07</v>
      </c>
      <c r="P2580" s="8" t="s">
        <v>631</v>
      </c>
    </row>
    <row r="2581" customFormat="false" ht="17.15" hidden="false" customHeight="false" outlineLevel="0" collapsed="false">
      <c r="A2581" s="0" t="s">
        <v>484</v>
      </c>
      <c r="B2581" s="0" t="s">
        <v>73</v>
      </c>
      <c r="C2581" s="38" t="n">
        <f aca="false">Q!$D$15</f>
        <v>5.425</v>
      </c>
      <c r="D2581" s="38" t="n">
        <f aca="false">Q!$E$15</f>
        <v>5.935</v>
      </c>
      <c r="E2581" s="38" t="n">
        <f aca="false">Q!$P$15</f>
        <v>3.474</v>
      </c>
      <c r="F2581" s="38" t="n">
        <f aca="false">Sens!$O$2581*(1+Sens!$F$2582)</f>
        <v>3.36182431966931</v>
      </c>
      <c r="G2581" s="38" t="n">
        <f aca="false">Sens!$E$2581+Sens!$F$2581</f>
        <v>6.83582431966931</v>
      </c>
      <c r="H2581" s="38" t="n">
        <f aca="false">Sens!$G$2581*(1+Sens!$H$2582)</f>
        <v>7.31157108370141</v>
      </c>
      <c r="I2581" s="38" t="n">
        <f aca="false">Sens!$H$2581*(1+Sens!$I$2582)</f>
        <v>7.77266852639815</v>
      </c>
      <c r="J2581" s="38" t="n">
        <f aca="false">Sens!$I$2581*(1+Sens!$J$2582)</f>
        <v>8.2120733019884</v>
      </c>
      <c r="K2581" s="38" t="n">
        <f aca="false">Sens!$J$2581*(1+Sens!$K$2582)</f>
        <v>8.62267696708783</v>
      </c>
      <c r="L2581" s="38" t="n">
        <f aca="false">Sens!$K$2581*(1+Sens!$L$2582)</f>
        <v>9.05381081544222</v>
      </c>
      <c r="M2581" s="38" t="n">
        <f aca="false">Sens!$L$2581*(1+Sens!$M$2582)</f>
        <v>9.50650135621433</v>
      </c>
      <c r="N2581" s="38" t="n">
        <f aca="false">Q!$N$15</f>
        <v>2.811</v>
      </c>
      <c r="O2581" s="38" t="n">
        <f aca="false">Q!$O$15</f>
        <v>3.124</v>
      </c>
      <c r="P2581" s="8" t="s">
        <v>621</v>
      </c>
    </row>
    <row r="2582" customFormat="false" ht="17.15" hidden="false" customHeight="false" outlineLevel="0" collapsed="false">
      <c r="A2582" s="0" t="s">
        <v>632</v>
      </c>
      <c r="B2582" s="0" t="s">
        <v>52</v>
      </c>
      <c r="E2582" s="12" t="n">
        <f aca="false">Sens!$E$2581/Sens!$N$2581-1</f>
        <v>0.235859124866596</v>
      </c>
      <c r="F2582" s="12" t="n">
        <f aca="false">Sens!$O$2581/(Q!$F$15+Q!$G$15)-1</f>
        <v>0.0761281433000345</v>
      </c>
      <c r="G2582" s="12" t="n">
        <f aca="false">Sens!$G$2581/Sens!$D$2581-1</f>
        <v>0.151781688234087</v>
      </c>
      <c r="H2582" s="12" t="n">
        <f aca="false">Sens!$F$2582+(g_ot-Sens!$F$2582)*1/4</f>
        <v>0.0695961074750259</v>
      </c>
      <c r="I2582" s="12" t="n">
        <f aca="false">Sens!$F$2582+(g_ot-Sens!$F$2582)*2/4</f>
        <v>0.0630640716500172</v>
      </c>
      <c r="J2582" s="12" t="n">
        <f aca="false">Sens!$F$2582+(g_ot-Sens!$F$2582)*3/4</f>
        <v>0.0565320358250086</v>
      </c>
      <c r="K2582" s="12" t="n">
        <f aca="false">Sens!$F$2582+(g_ot-Sens!$F$2582)*4/4</f>
        <v>0.05</v>
      </c>
      <c r="L2582" s="12" t="n">
        <f aca="false">g_ot</f>
        <v>0.05</v>
      </c>
      <c r="M2582" s="12" t="n">
        <f aca="false">g_ot</f>
        <v>0.05</v>
      </c>
      <c r="P2582" s="8" t="s">
        <v>633</v>
      </c>
    </row>
    <row r="2583" customFormat="false" ht="17.15" hidden="false" customHeight="false" outlineLevel="0" collapsed="false">
      <c r="A2583" s="3" t="s">
        <v>634</v>
      </c>
      <c r="B2583" s="8" t="s">
        <v>73</v>
      </c>
      <c r="C2583" s="38" t="n">
        <f aca="false">Sens!$C$2571+Sens!$C$2573+Sens!$C$2575+Sens!$C$2577+Sens!$C$2579+Sens!$C$2581</f>
        <v>530.403</v>
      </c>
      <c r="D2583" s="38" t="n">
        <f aca="false">Sens!$D$2571+Sens!$D$2573+Sens!$D$2575+Sens!$D$2577+Sens!$D$2579+Sens!$D$2581</f>
        <v>588.199</v>
      </c>
      <c r="E2583" s="38" t="n">
        <f aca="false">Sens!$E$2571+Sens!$E$2573+Sens!$E$2575+Sens!$E$2577+Sens!$E$2579+Sens!$E$2581</f>
        <v>302.306</v>
      </c>
      <c r="F2583" s="38" t="n">
        <f aca="false">Sens!$F$2571+Sens!$F$2573+Sens!$F$2575+Sens!$F$2577+Sens!$F$2579+Sens!$F$2581</f>
        <v>356.93642920843</v>
      </c>
      <c r="G2583" s="38" t="n">
        <f aca="false">Sens!$G$2571+Sens!$G$2573+Sens!$G$2575+Sens!$G$2577+Sens!$G$2579+Sens!$G$2581</f>
        <v>659.24242920843</v>
      </c>
      <c r="H2583" s="38" t="n">
        <f aca="false">Sens!$H$2571+Sens!$H$2573+Sens!$H$2575+Sens!$H$2577+Sens!$H$2579+Sens!$H$2581</f>
        <v>729.935737621701</v>
      </c>
      <c r="I2583" s="38" t="n">
        <f aca="false">Sens!$I$2571+Sens!$I$2573+Sens!$I$2575+Sens!$I$2577+Sens!$I$2579+Sens!$I$2581</f>
        <v>798.295569697873</v>
      </c>
      <c r="J2583" s="38" t="n">
        <f aca="false">Sens!$J$2571+Sens!$J$2573+Sens!$J$2575+Sens!$J$2577+Sens!$J$2579+Sens!$J$2581</f>
        <v>861.736822325785</v>
      </c>
      <c r="K2583" s="38" t="n">
        <f aca="false">Sens!$K$2571+Sens!$K$2573+Sens!$K$2575+Sens!$K$2577+Sens!$K$2579+Sens!$K$2581</f>
        <v>917.557492101925</v>
      </c>
      <c r="L2583" s="38" t="n">
        <f aca="false">Sens!$L$2571+Sens!$L$2573+Sens!$L$2575+Sens!$L$2577+Sens!$L$2579+Sens!$L$2581</f>
        <v>977.285089743165</v>
      </c>
      <c r="M2583" s="38" t="n">
        <f aca="false">Sens!$M$2571+Sens!$M$2573+Sens!$M$2575+Sens!$M$2577+Sens!$M$2579+Sens!$M$2581</f>
        <v>1041.2140185435</v>
      </c>
      <c r="N2583" s="38" t="n">
        <f aca="false">Sens!$N$2571+Sens!$N$2573+Sens!$N$2575+Sens!$N$2577+Sens!$N$2579+Sens!$N$2581</f>
        <v>263.229</v>
      </c>
      <c r="O2583" s="38" t="n">
        <f aca="false">Sens!$O$2571+Sens!$O$2573+Sens!$O$2575+Sens!$O$2577+Sens!$O$2579+Sens!$O$2581</f>
        <v>324.97</v>
      </c>
    </row>
    <row r="2584" customFormat="false" ht="17.15" hidden="false" customHeight="false" outlineLevel="0" collapsed="false">
      <c r="A2584" s="5" t="s">
        <v>635</v>
      </c>
      <c r="B2584" s="0" t="s">
        <v>52</v>
      </c>
      <c r="C2584" s="12" t="n">
        <f aca="false">Q!$D$5/(Q!$D$5+Q!$D$6)</f>
        <v>0.730570905519011</v>
      </c>
      <c r="D2584" s="12" t="n">
        <f aca="false">Q!$E$5/(Q!$E$5+Q!$E$6)</f>
        <v>0.724763217890544</v>
      </c>
      <c r="E2584" s="12" t="n">
        <f aca="false">Q!$P$5/(Q!$P$5+Q!$P$6)</f>
        <v>0.728797972914861</v>
      </c>
      <c r="F2584" s="12" t="n">
        <f aca="false">Sens!$O$2584</f>
        <v>0.718066283041511</v>
      </c>
      <c r="G2584" s="12" t="n">
        <f aca="false">Sens!$G$2585/Sens!$G$2583</f>
        <v>0.722987468473627</v>
      </c>
      <c r="H2584" s="12" t="n">
        <f aca="false">Sens!$G$2584</f>
        <v>0.722987468473627</v>
      </c>
      <c r="I2584" s="12" t="n">
        <f aca="false">Sens!$G$2584</f>
        <v>0.722987468473627</v>
      </c>
      <c r="J2584" s="12" t="n">
        <f aca="false">Sens!$G$2584</f>
        <v>0.722987468473627</v>
      </c>
      <c r="K2584" s="12" t="n">
        <f aca="false">Sens!$G$2584</f>
        <v>0.722987468473627</v>
      </c>
      <c r="L2584" s="12" t="n">
        <f aca="false">Sens!$G$2584</f>
        <v>0.722987468473627</v>
      </c>
      <c r="M2584" s="12" t="n">
        <f aca="false">Sens!$G$2584</f>
        <v>0.722987468473627</v>
      </c>
      <c r="N2584" s="12" t="n">
        <f aca="false">Q!$N$5/(Q!$N$5+Q!$N$6)</f>
        <v>0.733030935041352</v>
      </c>
      <c r="O2584" s="12" t="n">
        <f aca="false">Q!$O$5/(Q!$O$5+Q!$O$6)</f>
        <v>0.718066283041511</v>
      </c>
      <c r="P2584" s="8" t="s">
        <v>636</v>
      </c>
    </row>
    <row r="2585" customFormat="false" ht="17.15" hidden="false" customHeight="false" outlineLevel="0" collapsed="false">
      <c r="A2585" s="1" t="s">
        <v>472</v>
      </c>
      <c r="B2585" s="8" t="s">
        <v>73</v>
      </c>
      <c r="C2585" s="38" t="n">
        <f aca="false">Q!$D$5</f>
        <v>387.497</v>
      </c>
      <c r="D2585" s="38" t="n">
        <f aca="false">Q!$E$5</f>
        <v>426.305</v>
      </c>
      <c r="E2585" s="38" t="n">
        <f aca="false">Q!$P$5</f>
        <v>220.32</v>
      </c>
      <c r="F2585" s="38" t="n">
        <f aca="false">Sens!$F$2583*Sens!$F$2584</f>
        <v>256.304015003807</v>
      </c>
      <c r="G2585" s="38" t="n">
        <f aca="false">Sens!$E$2585+Sens!$F$2585</f>
        <v>476.624015003807</v>
      </c>
      <c r="H2585" s="38" t="n">
        <f aca="false">Sens!$H$2583*Sens!$H$2584</f>
        <v>527.734391091543</v>
      </c>
      <c r="I2585" s="38" t="n">
        <f aca="false">Sens!$I$2583*Sens!$I$2584</f>
        <v>577.157693029577</v>
      </c>
      <c r="J2585" s="38" t="n">
        <f aca="false">Sens!$J$2583*Sens!$J$2584</f>
        <v>623.024923663827</v>
      </c>
      <c r="K2585" s="38" t="n">
        <f aca="false">Sens!$K$2583*Sens!$K$2584</f>
        <v>663.382568393781</v>
      </c>
      <c r="L2585" s="38" t="n">
        <f aca="false">Sens!$L$2583*Sens!$L$2584</f>
        <v>706.564873010432</v>
      </c>
      <c r="M2585" s="38" t="n">
        <f aca="false">Sens!$M$2583*Sens!$M$2584</f>
        <v>752.784687406019</v>
      </c>
      <c r="N2585" s="38" t="n">
        <f aca="false">Q!$N$5</f>
        <v>192.955</v>
      </c>
      <c r="O2585" s="38" t="n">
        <f aca="false">Q!$O$5</f>
        <v>233.35</v>
      </c>
      <c r="P2585" s="5" t="s">
        <v>637</v>
      </c>
    </row>
    <row r="2586" customFormat="false" ht="17.15" hidden="false" customHeight="false" outlineLevel="0" collapsed="false">
      <c r="A2586" s="1" t="s">
        <v>475</v>
      </c>
      <c r="B2586" s="8" t="s">
        <v>73</v>
      </c>
      <c r="C2586" s="38" t="n">
        <f aca="false">Q!$D$6</f>
        <v>142.906</v>
      </c>
      <c r="D2586" s="38" t="n">
        <f aca="false">Q!$E$6</f>
        <v>161.894</v>
      </c>
      <c r="E2586" s="38" t="n">
        <f aca="false">Q!$P$6</f>
        <v>81.986</v>
      </c>
      <c r="F2586" s="38" t="n">
        <f aca="false">Sens!$F$2583*(1-Sens!$F$2584)</f>
        <v>100.632414204623</v>
      </c>
      <c r="G2586" s="38" t="n">
        <f aca="false">Sens!$E$2586+Sens!$F$2586</f>
        <v>182.618414204623</v>
      </c>
      <c r="H2586" s="38" t="n">
        <f aca="false">Sens!$H$2583*(1-Sens!$H$2584)</f>
        <v>202.201346530158</v>
      </c>
      <c r="I2586" s="38" t="n">
        <f aca="false">Sens!$I$2583*(1-Sens!$I$2584)</f>
        <v>221.137876668296</v>
      </c>
      <c r="J2586" s="38" t="n">
        <f aca="false">Sens!$J$2583*(1-Sens!$J$2584)</f>
        <v>238.711898661958</v>
      </c>
      <c r="K2586" s="38" t="n">
        <f aca="false">Sens!$K$2583*(1-Sens!$K$2584)</f>
        <v>254.174923708144</v>
      </c>
      <c r="L2586" s="38" t="n">
        <f aca="false">Sens!$L$2583*(1-Sens!$L$2584)</f>
        <v>270.720216732733</v>
      </c>
      <c r="M2586" s="38" t="n">
        <f aca="false">Sens!$M$2583*(1-Sens!$M$2584)</f>
        <v>288.429331137484</v>
      </c>
      <c r="N2586" s="38" t="n">
        <f aca="false">Q!$N$6</f>
        <v>70.274</v>
      </c>
      <c r="O2586" s="38" t="n">
        <f aca="false">Q!$O$6</f>
        <v>91.62</v>
      </c>
      <c r="P2586" s="5" t="s">
        <v>638</v>
      </c>
    </row>
    <row r="2587" customFormat="false" ht="17.15" hidden="false" customHeight="false" outlineLevel="0" collapsed="false">
      <c r="A2587" s="5" t="s">
        <v>639</v>
      </c>
      <c r="B2587" s="0" t="s">
        <v>73</v>
      </c>
      <c r="C2587" s="38" t="n">
        <f aca="false">Sens!$C$2577*Sens!$C$2584</f>
        <v>41.0683128828457</v>
      </c>
      <c r="D2587" s="38" t="n">
        <f aca="false">Sens!$D$2577*Sens!$D$2584</f>
        <v>49.7441234599175</v>
      </c>
      <c r="E2587" s="38" t="n">
        <f aca="false">Sens!$E$2577*Sens!$E$2584</f>
        <v>27.0034224924414</v>
      </c>
      <c r="F2587" s="38" t="n">
        <f aca="false">Sens!$F$2577*Sens!$F$2584</f>
        <v>34.5772885649197</v>
      </c>
      <c r="G2587" s="38" t="n">
        <f aca="false">Sens!$G$2577*Sens!$G$2584</f>
        <v>61.6023917531772</v>
      </c>
      <c r="H2587" s="38" t="n">
        <f aca="false">Sens!$H$2577*Sens!$H$2584</f>
        <v>73.9568187320519</v>
      </c>
      <c r="I2587" s="38" t="n">
        <f aca="false">Sens!$I$2577*Sens!$I$2584</f>
        <v>86.3101265625461</v>
      </c>
      <c r="J2587" s="38" t="n">
        <f aca="false">Sens!$J$2577*Sens!$J$2584</f>
        <v>97.8339983977065</v>
      </c>
      <c r="K2587" s="38" t="n">
        <f aca="false">Sens!$K$2577*Sens!$K$2584</f>
        <v>107.617398237477</v>
      </c>
      <c r="L2587" s="38" t="n">
        <f aca="false">Sens!$L$2577*Sens!$L$2584</f>
        <v>118.379138061225</v>
      </c>
      <c r="M2587" s="38" t="n">
        <f aca="false">Sens!$M$2577*Sens!$M$2584</f>
        <v>130.217051867347</v>
      </c>
      <c r="N2587" s="38" t="n">
        <f aca="false">Sens!$N$2577*Sens!$N$2584</f>
        <v>21.7087111412496</v>
      </c>
      <c r="O2587" s="38" t="n">
        <f aca="false">Sens!$O$2577*Sens!$O$2584</f>
        <v>28.0189463642798</v>
      </c>
      <c r="P2587" s="5" t="s">
        <v>640</v>
      </c>
    </row>
    <row r="2588" customFormat="false" ht="15" hidden="false" customHeight="false" outlineLevel="0" collapsed="false">
      <c r="A2588" s="5" t="s">
        <v>641</v>
      </c>
      <c r="B2588" s="0" t="s">
        <v>73</v>
      </c>
      <c r="C2588" s="38" t="n">
        <f aca="false">Sens!$C$2577-Sens!$C$2587</f>
        <v>15.1456871171543</v>
      </c>
      <c r="D2588" s="38" t="n">
        <f aca="false">Sens!$D$2577-Sens!$D$2587</f>
        <v>18.8908765400825</v>
      </c>
      <c r="E2588" s="38" t="n">
        <f aca="false">Sens!$E$2577-Sens!$E$2587</f>
        <v>10.0485775075586</v>
      </c>
      <c r="F2588" s="38" t="n">
        <f aca="false">Sens!$F$2577-Sens!$F$2587</f>
        <v>13.5760496178185</v>
      </c>
      <c r="G2588" s="38" t="n">
        <f aca="false">Sens!$G$2577-Sens!$G$2587</f>
        <v>23.6029464295611</v>
      </c>
      <c r="H2588" s="38" t="n">
        <f aca="false">Sens!$H$2577-Sens!$H$2587</f>
        <v>28.3365431268884</v>
      </c>
      <c r="I2588" s="38" t="n">
        <f aca="false">Sens!$I$2577-Sens!$I$2587</f>
        <v>33.0697110226949</v>
      </c>
      <c r="J2588" s="38" t="n">
        <f aca="false">Sens!$J$2577-Sens!$J$2587</f>
        <v>37.4850806511378</v>
      </c>
      <c r="K2588" s="38" t="n">
        <f aca="false">Sens!$K$2577-Sens!$K$2587</f>
        <v>41.2335887162515</v>
      </c>
      <c r="L2588" s="38" t="n">
        <f aca="false">Sens!$L$2577-Sens!$L$2587</f>
        <v>45.3569475878767</v>
      </c>
      <c r="M2588" s="38" t="n">
        <f aca="false">Sens!$M$2577-Sens!$M$2587</f>
        <v>49.8926423466644</v>
      </c>
      <c r="N2588" s="38" t="n">
        <f aca="false">Sens!$N$2577-Sens!$N$2587</f>
        <v>7.90628885875037</v>
      </c>
      <c r="O2588" s="38" t="n">
        <f aca="false">Sens!$O$2577-Sens!$O$2587</f>
        <v>11.0010536357202</v>
      </c>
    </row>
    <row r="2589" customFormat="false" ht="19.4" hidden="false" customHeight="false" outlineLevel="0" collapsed="false">
      <c r="A2589" s="31" t="s">
        <v>1099</v>
      </c>
    </row>
    <row r="2590" customFormat="false" ht="17.15" hidden="false" customHeight="false" outlineLevel="0" collapsed="false">
      <c r="A2590" s="6" t="s">
        <v>16</v>
      </c>
      <c r="B2590" s="6" t="s">
        <v>17</v>
      </c>
      <c r="C2590" s="20" t="s">
        <v>457</v>
      </c>
      <c r="D2590" s="20" t="s">
        <v>458</v>
      </c>
      <c r="E2590" s="20" t="s">
        <v>540</v>
      </c>
      <c r="F2590" s="20" t="s">
        <v>541</v>
      </c>
      <c r="G2590" s="20" t="s">
        <v>542</v>
      </c>
      <c r="H2590" s="20" t="s">
        <v>543</v>
      </c>
      <c r="I2590" s="20" t="s">
        <v>544</v>
      </c>
      <c r="J2590" s="20" t="s">
        <v>545</v>
      </c>
      <c r="K2590" s="20" t="s">
        <v>546</v>
      </c>
      <c r="L2590" s="20" t="s">
        <v>547</v>
      </c>
      <c r="M2590" s="20" t="s">
        <v>548</v>
      </c>
      <c r="N2590" s="20" t="s">
        <v>549</v>
      </c>
      <c r="O2590" s="20" t="s">
        <v>550</v>
      </c>
      <c r="P2590" s="6" t="s">
        <v>23</v>
      </c>
      <c r="R2590" s="20" t="n">
        <v>2023</v>
      </c>
      <c r="S2590" s="20" t="n">
        <v>2024</v>
      </c>
      <c r="T2590" s="20" t="n">
        <v>2025</v>
      </c>
      <c r="U2590" s="20" t="n">
        <v>2026</v>
      </c>
      <c r="V2590" s="20" t="n">
        <v>2027</v>
      </c>
      <c r="W2590" s="20" t="n">
        <v>2028</v>
      </c>
      <c r="X2590" s="20" t="n">
        <v>2029</v>
      </c>
      <c r="Y2590" s="20" t="n">
        <v>2030</v>
      </c>
      <c r="Z2590" s="20" t="n">
        <v>2031</v>
      </c>
      <c r="AA2590" s="20" t="n">
        <v>2032</v>
      </c>
    </row>
    <row r="2591" customFormat="false" ht="17.15" hidden="false" customHeight="false" outlineLevel="0" collapsed="false">
      <c r="A2591" s="1" t="s">
        <v>551</v>
      </c>
    </row>
    <row r="2592" customFormat="false" ht="17.15" hidden="false" customHeight="false" outlineLevel="0" collapsed="false">
      <c r="A2592" s="14" t="s">
        <v>552</v>
      </c>
      <c r="B2592" s="13" t="s">
        <v>108</v>
      </c>
      <c r="C2592" s="32" t="n">
        <f aca="false">mw_ye24</f>
        <v>360</v>
      </c>
      <c r="D2592" s="32" t="n">
        <f aca="false">mw_ye25</f>
        <v>1440</v>
      </c>
      <c r="E2592" s="32" t="n">
        <f aca="false">mw_open</f>
        <v>2080</v>
      </c>
      <c r="F2592" s="32" t="n">
        <f aca="false">Sens!$E$2592+pace_B*0.5</f>
        <v>3897.15</v>
      </c>
      <c r="G2592" s="32" t="n">
        <f aca="false">Sens!$F$2592</f>
        <v>3897.15</v>
      </c>
      <c r="H2592" s="32" t="n">
        <f aca="false">Sens!$G$2592+pace_B</f>
        <v>7531.45</v>
      </c>
      <c r="I2592" s="32" t="n">
        <f aca="false">Sens!$H$2592+pace_B</f>
        <v>11165.75</v>
      </c>
      <c r="J2592" s="32" t="n">
        <f aca="false">Sens!$I$2592+pace_B</f>
        <v>14800.05</v>
      </c>
      <c r="K2592" s="32" t="n">
        <f aca="false">Sens!$J$2592+pace_B</f>
        <v>18434.35</v>
      </c>
      <c r="L2592" s="32" t="n">
        <f aca="false">Sens!$K$2592+pace_B</f>
        <v>22068.65</v>
      </c>
      <c r="M2592" s="32" t="n">
        <f aca="false">Sens!$L$2592+pace_B</f>
        <v>25702.95</v>
      </c>
      <c r="N2592" s="32" t="n">
        <f aca="false">(mw_ye24+mw_ye25)/2</f>
        <v>900</v>
      </c>
      <c r="O2592" s="32" t="n">
        <f aca="false">mw_ye25</f>
        <v>1440</v>
      </c>
      <c r="P2592" s="5" t="s">
        <v>553</v>
      </c>
    </row>
    <row r="2593" customFormat="false" ht="17.15" hidden="false" customHeight="false" outlineLevel="0" collapsed="false">
      <c r="A2593" s="5" t="s">
        <v>554</v>
      </c>
      <c r="B2593" s="0" t="s">
        <v>108</v>
      </c>
      <c r="C2593" s="33" t="n">
        <f aca="false">(mw_ye23+mw_ye24)/2</f>
        <v>240</v>
      </c>
      <c r="D2593" s="33" t="n">
        <f aca="false">(Sens!$C$2592+Sens!$D$2592)/2</f>
        <v>900</v>
      </c>
      <c r="E2593" s="33" t="n">
        <f aca="false">(Sens!$D$2592+Sens!$E$2592)/2</f>
        <v>1760</v>
      </c>
      <c r="F2593" s="33" t="n">
        <f aca="false">(Sens!$E$2592+Sens!$F$2592)/2</f>
        <v>2988.575</v>
      </c>
      <c r="G2593" s="33" t="n">
        <f aca="false">(Sens!$E$2593+Sens!$F$2593)/2</f>
        <v>2374.2875</v>
      </c>
      <c r="H2593" s="33" t="n">
        <f aca="false">(Sens!$G$2592+Sens!$H$2592)/2</f>
        <v>5714.3</v>
      </c>
      <c r="I2593" s="33" t="n">
        <f aca="false">(Sens!$H$2592+Sens!$I$2592)/2</f>
        <v>9348.6</v>
      </c>
      <c r="J2593" s="33" t="n">
        <f aca="false">(Sens!$I$2592+Sens!$J$2592)/2</f>
        <v>12982.9</v>
      </c>
      <c r="K2593" s="33" t="n">
        <f aca="false">(Sens!$J$2592+Sens!$K$2592)/2</f>
        <v>16617.2</v>
      </c>
      <c r="L2593" s="33" t="n">
        <f aca="false">(Sens!$K$2592+Sens!$L$2592)/2</f>
        <v>20251.5</v>
      </c>
      <c r="M2593" s="33" t="n">
        <f aca="false">(Sens!$L$2592+Sens!$M$2592)/2</f>
        <v>23885.8</v>
      </c>
      <c r="N2593" s="33" t="n">
        <f aca="false">(Sens!$C$2592+Sens!$N$2592)/2</f>
        <v>630</v>
      </c>
      <c r="O2593" s="33" t="n">
        <f aca="false">(Sens!$N$2592+Sens!$O$2592)/2</f>
        <v>1170</v>
      </c>
    </row>
    <row r="2594" customFormat="false" ht="15" hidden="false" customHeight="false" outlineLevel="0" collapsed="false">
      <c r="A2594" s="5" t="s">
        <v>555</v>
      </c>
      <c r="B2594" s="5" t="s">
        <v>102</v>
      </c>
      <c r="C2594" s="34" t="n">
        <v>1</v>
      </c>
      <c r="D2594" s="34" t="n">
        <v>1</v>
      </c>
      <c r="E2594" s="34" t="n">
        <v>0.5</v>
      </c>
      <c r="F2594" s="34" t="n">
        <v>0.5</v>
      </c>
      <c r="G2594" s="34" t="n">
        <v>1</v>
      </c>
      <c r="H2594" s="34" t="n">
        <v>1</v>
      </c>
      <c r="I2594" s="34" t="n">
        <v>1</v>
      </c>
      <c r="J2594" s="34" t="n">
        <v>1</v>
      </c>
      <c r="K2594" s="34" t="n">
        <v>1</v>
      </c>
      <c r="L2594" s="34" t="n">
        <v>1</v>
      </c>
      <c r="M2594" s="34" t="n">
        <v>1</v>
      </c>
      <c r="N2594" s="34" t="n">
        <v>0.5</v>
      </c>
      <c r="O2594" s="34" t="n">
        <v>0.5</v>
      </c>
    </row>
    <row r="2595" customFormat="false" ht="17.15" hidden="false" customHeight="false" outlineLevel="0" collapsed="false">
      <c r="A2595" s="5" t="s">
        <v>556</v>
      </c>
      <c r="B2595" s="0" t="s">
        <v>108</v>
      </c>
      <c r="C2595" s="33" t="n">
        <f aca="false">Sens!$C$2592-mw_ye23</f>
        <v>240</v>
      </c>
      <c r="D2595" s="33" t="n">
        <f aca="false">Sens!$D$2592-Sens!$C$2592</f>
        <v>1080</v>
      </c>
      <c r="E2595" s="33" t="n">
        <f aca="false">Sens!$E$2592-Sens!$D$2592</f>
        <v>640</v>
      </c>
      <c r="F2595" s="33" t="n">
        <f aca="false">Sens!$F$2592-Sens!$E$2592</f>
        <v>1817.15</v>
      </c>
      <c r="G2595" s="33" t="n">
        <f aca="false">Sens!$E$2595+Sens!$F$2595</f>
        <v>2457.15</v>
      </c>
      <c r="H2595" s="33" t="n">
        <f aca="false">Sens!$H$2592-Sens!$G$2592</f>
        <v>3634.3</v>
      </c>
      <c r="I2595" s="33" t="n">
        <f aca="false">Sens!$I$2592-Sens!$H$2592</f>
        <v>3634.3</v>
      </c>
      <c r="J2595" s="33" t="n">
        <f aca="false">Sens!$J$2592-Sens!$I$2592</f>
        <v>3634.3</v>
      </c>
      <c r="K2595" s="33" t="n">
        <f aca="false">Sens!$K$2592-Sens!$J$2592</f>
        <v>3634.3</v>
      </c>
      <c r="L2595" s="33" t="n">
        <f aca="false">Sens!$L$2592-Sens!$K$2592</f>
        <v>3634.3</v>
      </c>
      <c r="M2595" s="33" t="n">
        <f aca="false">Sens!$M$2592-Sens!$L$2592</f>
        <v>3634.3</v>
      </c>
      <c r="N2595" s="33" t="n">
        <f aca="false">Sens!$N$2592-Sens!$C$2592</f>
        <v>540</v>
      </c>
      <c r="O2595" s="33" t="n">
        <f aca="false">Sens!$O$2592-Sens!$N$2592</f>
        <v>540</v>
      </c>
    </row>
    <row r="2596" customFormat="false" ht="17.15" hidden="false" customHeight="false" outlineLevel="0" collapsed="false">
      <c r="A2596" s="5" t="s">
        <v>557</v>
      </c>
      <c r="B2596" s="0" t="s">
        <v>108</v>
      </c>
      <c r="C2596" s="33" t="n">
        <f aca="false">Sens!$C$2595/ext_sh</f>
        <v>300</v>
      </c>
      <c r="D2596" s="33" t="n">
        <f aca="false">Sens!$D$2595/ext_sh</f>
        <v>1350</v>
      </c>
      <c r="E2596" s="33" t="n">
        <f aca="false">Sens!$E$2595/ext_sh</f>
        <v>800</v>
      </c>
      <c r="F2596" s="33" t="n">
        <f aca="false">Sens!$F$2595/ext_sh</f>
        <v>2271.4375</v>
      </c>
      <c r="G2596" s="33" t="n">
        <f aca="false">Sens!$G$2595/ext_sh</f>
        <v>3071.4375</v>
      </c>
      <c r="H2596" s="33" t="n">
        <f aca="false">Sens!$H$2595/ext_sh</f>
        <v>4542.875</v>
      </c>
      <c r="I2596" s="33" t="n">
        <f aca="false">Sens!$I$2595/ext_sh</f>
        <v>4542.875</v>
      </c>
      <c r="J2596" s="33" t="n">
        <f aca="false">Sens!$J$2595/ext_sh</f>
        <v>4542.875</v>
      </c>
      <c r="K2596" s="33" t="n">
        <f aca="false">Sens!$K$2595/ext_sh</f>
        <v>4542.875</v>
      </c>
      <c r="L2596" s="33" t="n">
        <f aca="false">Sens!$L$2595/ext_sh</f>
        <v>4542.875</v>
      </c>
      <c r="M2596" s="33" t="n">
        <f aca="false">Sens!$M$2595/ext_sh</f>
        <v>4542.875</v>
      </c>
      <c r="N2596" s="33" t="n">
        <f aca="false">Sens!$N$2595/ext_sh</f>
        <v>675</v>
      </c>
      <c r="O2596" s="33" t="n">
        <f aca="false">Sens!$O$2595/ext_sh</f>
        <v>675</v>
      </c>
      <c r="P2596" s="8" t="s">
        <v>558</v>
      </c>
      <c r="R2596" s="33" t="n">
        <f aca="false">mw_ye23/ext_sh</f>
        <v>150</v>
      </c>
      <c r="S2596" s="33" t="n">
        <f aca="false">Sens!$C$2596</f>
        <v>300</v>
      </c>
      <c r="T2596" s="33" t="n">
        <f aca="false">Sens!$D$2596</f>
        <v>1350</v>
      </c>
      <c r="U2596" s="33" t="n">
        <f aca="false">Sens!$G$2596</f>
        <v>3071.4375</v>
      </c>
      <c r="V2596" s="33" t="n">
        <f aca="false">Sens!$H$2596</f>
        <v>4542.875</v>
      </c>
      <c r="W2596" s="33" t="n">
        <f aca="false">Sens!$I$2596</f>
        <v>4542.875</v>
      </c>
      <c r="X2596" s="33" t="n">
        <f aca="false">Sens!$J$2596</f>
        <v>4542.875</v>
      </c>
      <c r="Y2596" s="33" t="n">
        <f aca="false">Sens!$K$2596</f>
        <v>4542.875</v>
      </c>
      <c r="Z2596" s="33" t="n">
        <f aca="false">Sens!$L$2596</f>
        <v>4542.875</v>
      </c>
      <c r="AA2596" s="33" t="n">
        <f aca="false">Sens!$M$2596</f>
        <v>4542.875</v>
      </c>
    </row>
    <row r="2597" customFormat="false" ht="17.15" hidden="false" customHeight="false" outlineLevel="0" collapsed="false">
      <c r="A2597" s="1" t="s">
        <v>559</v>
      </c>
    </row>
    <row r="2598" customFormat="false" ht="17.15" hidden="false" customHeight="false" outlineLevel="0" collapsed="false">
      <c r="A2598" s="0" t="s">
        <v>560</v>
      </c>
      <c r="B2598" s="0" t="s">
        <v>52</v>
      </c>
      <c r="F2598" s="35" t="n">
        <f aca="false">na_vr26</f>
        <v>0</v>
      </c>
      <c r="G2598" s="35" t="n">
        <f aca="false">na_vr26</f>
        <v>0</v>
      </c>
      <c r="H2598" s="35" t="n">
        <f aca="false">na_vr27</f>
        <v>0.5</v>
      </c>
      <c r="I2598" s="35" t="n">
        <f aca="false">na_vr28</f>
        <v>1</v>
      </c>
      <c r="J2598" s="35" t="n">
        <f aca="false">na_vr28</f>
        <v>1</v>
      </c>
      <c r="K2598" s="35" t="n">
        <f aca="false">na_vr28</f>
        <v>1</v>
      </c>
      <c r="L2598" s="35" t="n">
        <f aca="false">na_vr28</f>
        <v>1</v>
      </c>
      <c r="M2598" s="35" t="n">
        <f aca="false">na_vr28</f>
        <v>1</v>
      </c>
    </row>
    <row r="2599" customFormat="false" ht="17.15" hidden="false" customHeight="false" outlineLevel="0" collapsed="false">
      <c r="A2599" s="5" t="s">
        <v>561</v>
      </c>
      <c r="B2599" s="0" t="s">
        <v>151</v>
      </c>
      <c r="F2599" s="36" t="n">
        <f aca="false">cust_sh*tk_he_gb300*cf_chip+(1-cust_sh)*((1-Sens!$F$2598)*tk_he_gb300+Sens!$F$2598*tk_he_vr200)</f>
        <v>10.8864110021101</v>
      </c>
      <c r="G2599" s="36" t="n">
        <f aca="false">cust_sh*tk_he_gb300*cf_chip+(1-cust_sh)*((1-Sens!$G$2598)*tk_he_gb300+Sens!$G$2598*tk_he_vr200)</f>
        <v>10.8864110021101</v>
      </c>
      <c r="H2599" s="36" t="n">
        <f aca="false">cust_sh*tk_he_gb300*cf_chip+(1-cust_sh)*((1-Sens!$H$2598)*tk_he_gb300+Sens!$H$2598*tk_he_vr200)</f>
        <v>11.2211760027286</v>
      </c>
      <c r="I2599" s="36" t="n">
        <f aca="false">cust_sh*tk_he_gb300*cf_chip+(1-cust_sh)*((1-Sens!$I$2598)*tk_he_gb300+Sens!$I$2598*tk_he_vr200)</f>
        <v>11.5559410033471</v>
      </c>
      <c r="J2599" s="36" t="n">
        <f aca="false">cust_sh*tk_he_gb300*cf_chip+(1-cust_sh)*((1-Sens!$J$2598)*tk_he_gb300+Sens!$J$2598*tk_he_vr200)</f>
        <v>11.5559410033471</v>
      </c>
      <c r="K2599" s="36" t="n">
        <f aca="false">cust_sh*tk_he_gb300*cf_chip+(1-cust_sh)*((1-Sens!$K$2598)*tk_he_gb300+Sens!$K$2598*tk_he_vr200)</f>
        <v>11.5559410033471</v>
      </c>
      <c r="L2599" s="36" t="n">
        <f aca="false">cust_sh*tk_he_gb300*cf_chip+(1-cust_sh)*((1-Sens!$L$2598)*tk_he_gb300+Sens!$L$2598*tk_he_vr200)</f>
        <v>11.5559410033471</v>
      </c>
      <c r="M2599" s="36" t="n">
        <f aca="false">cust_sh*tk_he_gb300*cf_chip+(1-cust_sh)*((1-Sens!$M$2598)*tk_he_gb300+Sens!$M$2598*tk_he_vr200)</f>
        <v>11.5559410033471</v>
      </c>
    </row>
    <row r="2600" customFormat="false" ht="17.15" hidden="false" customHeight="false" outlineLevel="0" collapsed="false">
      <c r="A2600" s="5" t="s">
        <v>562</v>
      </c>
      <c r="B2600" s="0" t="s">
        <v>151</v>
      </c>
      <c r="F2600" s="36" t="n">
        <f aca="false">cust_sh*tk_ox_gb300+(1-cust_sh)*((1-Sens!$F$2598)*tk_ox_gb300+Sens!$F$2598*tk_ox_vr200)</f>
        <v>1.98263481314457</v>
      </c>
      <c r="G2600" s="36" t="n">
        <f aca="false">cust_sh*tk_ox_gb300+(1-cust_sh)*((1-Sens!$G$2598)*tk_ox_gb300+Sens!$G$2598*tk_ox_vr200)</f>
        <v>1.98263481314457</v>
      </c>
      <c r="H2600" s="36" t="n">
        <f aca="false">cust_sh*tk_ox_gb300+(1-cust_sh)*((1-Sens!$H$2598)*tk_ox_gb300+Sens!$H$2598*tk_ox_vr200)</f>
        <v>2.01034999693694</v>
      </c>
      <c r="I2600" s="36" t="n">
        <f aca="false">cust_sh*tk_ox_gb300+(1-cust_sh)*((1-Sens!$I$2598)*tk_ox_gb300+Sens!$I$2598*tk_ox_vr200)</f>
        <v>2.0380651807293</v>
      </c>
      <c r="J2600" s="36" t="n">
        <f aca="false">cust_sh*tk_ox_gb300+(1-cust_sh)*((1-Sens!$J$2598)*tk_ox_gb300+Sens!$J$2598*tk_ox_vr200)</f>
        <v>2.0380651807293</v>
      </c>
      <c r="K2600" s="36" t="n">
        <f aca="false">cust_sh*tk_ox_gb300+(1-cust_sh)*((1-Sens!$K$2598)*tk_ox_gb300+Sens!$K$2598*tk_ox_vr200)</f>
        <v>2.0380651807293</v>
      </c>
      <c r="L2600" s="36" t="n">
        <f aca="false">cust_sh*tk_ox_gb300+(1-cust_sh)*((1-Sens!$L$2598)*tk_ox_gb300+Sens!$L$2598*tk_ox_vr200)</f>
        <v>2.0380651807293</v>
      </c>
      <c r="M2600" s="36" t="n">
        <f aca="false">cust_sh*tk_ox_gb300+(1-cust_sh)*((1-Sens!$M$2598)*tk_ox_gb300+Sens!$M$2598*tk_ox_vr200)</f>
        <v>2.0380651807293</v>
      </c>
    </row>
    <row r="2601" customFormat="false" ht="17.15" hidden="false" customHeight="false" outlineLevel="0" collapsed="false">
      <c r="A2601" s="5" t="s">
        <v>563</v>
      </c>
      <c r="B2601" s="0" t="s">
        <v>170</v>
      </c>
      <c r="F2601" s="36" t="n">
        <f aca="false">cust_sh*tk_cx_gb300*cf_cx+(1-cust_sh)*((1-Sens!$F$2598)*tk_cx_gb300+Sens!$F$2598*tk_cx_vr200)</f>
        <v>32.237224</v>
      </c>
      <c r="G2601" s="36" t="n">
        <f aca="false">cust_sh*tk_cx_gb300*cf_cx+(1-cust_sh)*((1-Sens!$G$2598)*tk_cx_gb300+Sens!$G$2598*tk_cx_vr200)</f>
        <v>32.237224</v>
      </c>
      <c r="H2601" s="36" t="n">
        <f aca="false">cust_sh*tk_cx_gb300*cf_cx+(1-cust_sh)*((1-Sens!$H$2598)*tk_cx_gb300+Sens!$H$2598*tk_cx_vr200)</f>
        <v>33.574506</v>
      </c>
      <c r="I2601" s="36" t="n">
        <f aca="false">cust_sh*tk_cx_gb300*cf_cx+(1-cust_sh)*((1-Sens!$I$2598)*tk_cx_gb300+Sens!$I$2598*tk_cx_vr200)</f>
        <v>34.911788</v>
      </c>
      <c r="J2601" s="36" t="n">
        <f aca="false">cust_sh*tk_cx_gb300*cf_cx+(1-cust_sh)*((1-Sens!$J$2598)*tk_cx_gb300+Sens!$J$2598*tk_cx_vr200)</f>
        <v>34.911788</v>
      </c>
      <c r="K2601" s="36" t="n">
        <f aca="false">cust_sh*tk_cx_gb300*cf_cx+(1-cust_sh)*((1-Sens!$K$2598)*tk_cx_gb300+Sens!$K$2598*tk_cx_vr200)</f>
        <v>34.911788</v>
      </c>
      <c r="L2601" s="36" t="n">
        <f aca="false">cust_sh*tk_cx_gb300*cf_cx+(1-cust_sh)*((1-Sens!$L$2598)*tk_cx_gb300+Sens!$L$2598*tk_cx_vr200)</f>
        <v>34.911788</v>
      </c>
      <c r="M2601" s="36" t="n">
        <f aca="false">cust_sh*tk_cx_gb300*cf_cx+(1-cust_sh)*((1-Sens!$M$2598)*tk_cx_gb300+Sens!$M$2598*tk_cx_vr200)</f>
        <v>34.911788</v>
      </c>
    </row>
    <row r="2602" customFormat="false" ht="17.15" hidden="false" customHeight="false" outlineLevel="0" collapsed="false">
      <c r="A2602" s="5" t="s">
        <v>564</v>
      </c>
      <c r="B2602" s="0" t="s">
        <v>108</v>
      </c>
      <c r="F2602" s="33" t="n">
        <f aca="false">Sens!$F$2592-mw_open</f>
        <v>1817.15</v>
      </c>
      <c r="G2602" s="33" t="n">
        <f aca="false">Sens!$F$2602</f>
        <v>1817.15</v>
      </c>
      <c r="H2602" s="33" t="n">
        <f aca="false">Sens!$H$2592-mw_open</f>
        <v>5451.45</v>
      </c>
      <c r="I2602" s="33" t="n">
        <f aca="false">Sens!$I$2592-mw_open</f>
        <v>9085.75</v>
      </c>
      <c r="J2602" s="33" t="n">
        <f aca="false">Sens!$J$2592-mw_open</f>
        <v>12720.05</v>
      </c>
      <c r="K2602" s="33" t="n">
        <f aca="false">Sens!$K$2592-mw_open</f>
        <v>16354.35</v>
      </c>
      <c r="L2602" s="33" t="n">
        <f aca="false">Sens!$L$2592-mw_open</f>
        <v>19988.65</v>
      </c>
      <c r="M2602" s="33" t="n">
        <f aca="false">Sens!$M$2592-mw_open</f>
        <v>23622.95</v>
      </c>
    </row>
    <row r="2603" customFormat="false" ht="17.15" hidden="false" customHeight="false" outlineLevel="0" collapsed="false">
      <c r="A2603" s="0" t="s">
        <v>565</v>
      </c>
      <c r="B2603" s="0" t="s">
        <v>566</v>
      </c>
      <c r="F2603" s="33" t="n">
        <f aca="false">Sens!$F$2595*Sens!$F$2599</f>
        <v>19782.2417524844</v>
      </c>
      <c r="G2603" s="33" t="n">
        <f aca="false">Sens!$F$2603</f>
        <v>19782.2417524844</v>
      </c>
      <c r="H2603" s="33" t="n">
        <f aca="false">Sens!$G$2603+Sens!$H$2595*Sens!$H$2599</f>
        <v>60563.3616992009</v>
      </c>
      <c r="I2603" s="33" t="n">
        <f aca="false">Sens!$H$2603+Sens!$I$2595*Sens!$I$2599</f>
        <v>102561.118087665</v>
      </c>
      <c r="J2603" s="33" t="n">
        <f aca="false">Sens!$I$2603+Sens!$J$2595*Sens!$J$2599</f>
        <v>144558.87447613</v>
      </c>
      <c r="K2603" s="33" t="n">
        <f aca="false">Sens!$J$2603+Sens!$K$2595*Sens!$K$2599</f>
        <v>186556.630864594</v>
      </c>
      <c r="L2603" s="33" t="n">
        <f aca="false">Sens!$K$2603+Sens!$L$2595*Sens!$L$2599</f>
        <v>228554.387253058</v>
      </c>
      <c r="M2603" s="33" t="n">
        <f aca="false">Sens!$L$2603+Sens!$M$2595*Sens!$M$2599</f>
        <v>270552.143641523</v>
      </c>
    </row>
    <row r="2604" customFormat="false" ht="17.15" hidden="false" customHeight="false" outlineLevel="0" collapsed="false">
      <c r="A2604" s="0" t="s">
        <v>567</v>
      </c>
      <c r="B2604" s="0" t="s">
        <v>566</v>
      </c>
      <c r="F2604" s="33" t="n">
        <f aca="false">Sens!$F$2595*Sens!$F$2600</f>
        <v>3602.74485070566</v>
      </c>
      <c r="G2604" s="33" t="n">
        <f aca="false">Sens!$F$2604</f>
        <v>3602.74485070566</v>
      </c>
      <c r="H2604" s="33" t="n">
        <f aca="false">Sens!$G$2604+Sens!$H$2595*Sens!$H$2600</f>
        <v>10908.9598445736</v>
      </c>
      <c r="I2604" s="33" t="n">
        <f aca="false">Sens!$H$2604+Sens!$I$2595*Sens!$I$2600</f>
        <v>18315.9001308981</v>
      </c>
      <c r="J2604" s="33" t="n">
        <f aca="false">Sens!$I$2604+Sens!$J$2595*Sens!$J$2600</f>
        <v>25722.8404172225</v>
      </c>
      <c r="K2604" s="33" t="n">
        <f aca="false">Sens!$J$2604+Sens!$K$2595*Sens!$K$2600</f>
        <v>33129.780703547</v>
      </c>
      <c r="L2604" s="33" t="n">
        <f aca="false">Sens!$K$2604+Sens!$L$2595*Sens!$L$2600</f>
        <v>40536.7209898715</v>
      </c>
      <c r="M2604" s="33" t="n">
        <f aca="false">Sens!$L$2604+Sens!$M$2595*Sens!$M$2600</f>
        <v>47943.661276196</v>
      </c>
    </row>
    <row r="2605" customFormat="false" ht="17.15" hidden="false" customHeight="false" outlineLevel="0" collapsed="false">
      <c r="A2605" s="5" t="s">
        <v>568</v>
      </c>
      <c r="B2605" s="0" t="s">
        <v>151</v>
      </c>
      <c r="F2605" s="36" t="n">
        <f aca="false">IF(Sens!$F$2602&gt;0,Sens!$F$2603/Sens!$F$2602,Sens!$F$2599)</f>
        <v>10.8864110021101</v>
      </c>
      <c r="G2605" s="36" t="n">
        <f aca="false">IF(Sens!$G$2602&gt;0,Sens!$G$2603/Sens!$G$2602,Sens!$G$2599)</f>
        <v>10.8864110021101</v>
      </c>
      <c r="H2605" s="36" t="n">
        <f aca="false">IF(Sens!$H$2602&gt;0,Sens!$H$2603/Sens!$H$2602,Sens!$H$2599)</f>
        <v>11.1095876691891</v>
      </c>
      <c r="I2605" s="36" t="n">
        <f aca="false">IF(Sens!$I$2602&gt;0,Sens!$I$2603/Sens!$I$2602,Sens!$I$2599)</f>
        <v>11.2881290028523</v>
      </c>
      <c r="J2605" s="36" t="n">
        <f aca="false">IF(Sens!$J$2602&gt;0,Sens!$J$2603/Sens!$J$2602,Sens!$J$2599)</f>
        <v>11.3646467172794</v>
      </c>
      <c r="K2605" s="36" t="n">
        <f aca="false">IF(Sens!$K$2602&gt;0,Sens!$K$2603/Sens!$K$2602,Sens!$K$2599)</f>
        <v>11.4071565586278</v>
      </c>
      <c r="L2605" s="36" t="n">
        <f aca="false">IF(Sens!$L$2602&gt;0,Sens!$L$2603/Sens!$L$2602,Sens!$L$2599)</f>
        <v>11.4342082758495</v>
      </c>
      <c r="M2605" s="36" t="n">
        <f aca="false">IF(Sens!$M$2602&gt;0,Sens!$M$2603/Sens!$M$2602,Sens!$M$2599)</f>
        <v>11.4529363877722</v>
      </c>
    </row>
    <row r="2606" customFormat="false" ht="17.15" hidden="false" customHeight="false" outlineLevel="0" collapsed="false">
      <c r="A2606" s="5" t="s">
        <v>569</v>
      </c>
      <c r="B2606" s="0" t="s">
        <v>151</v>
      </c>
      <c r="F2606" s="36" t="n">
        <f aca="false">IF(Sens!$F$2602&gt;0,Sens!$F$2604/Sens!$F$2602,Sens!$F$2600)</f>
        <v>1.98263481314457</v>
      </c>
      <c r="G2606" s="36" t="n">
        <f aca="false">IF(Sens!$G$2602&gt;0,Sens!$G$2604/Sens!$G$2602,Sens!$G$2600)</f>
        <v>1.98263481314457</v>
      </c>
      <c r="H2606" s="36" t="n">
        <f aca="false">IF(Sens!$H$2602&gt;0,Sens!$H$2604/Sens!$H$2602,Sens!$H$2600)</f>
        <v>2.00111160233948</v>
      </c>
      <c r="I2606" s="36" t="n">
        <f aca="false">IF(Sens!$I$2602&gt;0,Sens!$I$2604/Sens!$I$2602,Sens!$I$2600)</f>
        <v>2.01589303369541</v>
      </c>
      <c r="J2606" s="36" t="n">
        <f aca="false">IF(Sens!$J$2602&gt;0,Sens!$J$2604/Sens!$J$2602,Sens!$J$2600)</f>
        <v>2.02222793284795</v>
      </c>
      <c r="K2606" s="36" t="n">
        <f aca="false">IF(Sens!$K$2602&gt;0,Sens!$K$2604/Sens!$K$2602,Sens!$K$2600)</f>
        <v>2.02574732126603</v>
      </c>
      <c r="L2606" s="36" t="n">
        <f aca="false">IF(Sens!$L$2602&gt;0,Sens!$L$2604/Sens!$L$2602,Sens!$L$2600)</f>
        <v>2.02798693207753</v>
      </c>
      <c r="M2606" s="36" t="n">
        <f aca="false">IF(Sens!$M$2602&gt;0,Sens!$M$2604/Sens!$M$2602,Sens!$M$2600)</f>
        <v>2.02953743187011</v>
      </c>
    </row>
    <row r="2607" customFormat="false" ht="17.15" hidden="false" customHeight="false" outlineLevel="0" collapsed="false">
      <c r="A2607" s="14" t="s">
        <v>570</v>
      </c>
      <c r="B2607" s="13" t="s">
        <v>151</v>
      </c>
      <c r="C2607" s="13"/>
      <c r="D2607" s="13"/>
      <c r="E2607" s="13"/>
      <c r="F2607" s="37" t="n">
        <f aca="false">Sens!$F$2605*k_B</f>
        <v>10.7987645808025</v>
      </c>
      <c r="G2607" s="37" t="n">
        <f aca="false">Sens!$G$2605*k_B</f>
        <v>10.7987645808025</v>
      </c>
      <c r="H2607" s="37" t="n">
        <f aca="false">Sens!$H$2605*k_B</f>
        <v>11.0201444540452</v>
      </c>
      <c r="I2607" s="37" t="n">
        <f aca="false">Sens!$I$2605*k_B</f>
        <v>11.1972483526393</v>
      </c>
      <c r="J2607" s="37" t="n">
        <f aca="false">Sens!$J$2605*k_B</f>
        <v>11.2731500234653</v>
      </c>
      <c r="K2607" s="37" t="n">
        <f aca="false">Sens!$K$2605*k_B</f>
        <v>11.3153176183687</v>
      </c>
      <c r="L2607" s="37" t="n">
        <f aca="false">Sens!$L$2605*k_B</f>
        <v>11.3421515423981</v>
      </c>
      <c r="M2607" s="37" t="n">
        <f aca="false">Sens!$M$2605*k_B</f>
        <v>11.3607288744184</v>
      </c>
      <c r="N2607" s="13"/>
      <c r="O2607" s="13"/>
      <c r="P2607" s="5" t="s">
        <v>571</v>
      </c>
    </row>
    <row r="2608" customFormat="false" ht="17.15" hidden="false" customHeight="false" outlineLevel="0" collapsed="false">
      <c r="A2608" s="5" t="s">
        <v>572</v>
      </c>
      <c r="B2608" s="0" t="s">
        <v>108</v>
      </c>
      <c r="F2608" s="33" t="n">
        <f aca="false">Sens!$F$2602/2</f>
        <v>908.575</v>
      </c>
      <c r="H2608" s="33" t="n">
        <f aca="false">(Sens!$G$2602+Sens!$H$2602)/2</f>
        <v>3634.3</v>
      </c>
      <c r="I2608" s="33" t="n">
        <f aca="false">(Sens!$H$2602+Sens!$I$2602)/2</f>
        <v>7268.6</v>
      </c>
      <c r="J2608" s="33" t="n">
        <f aca="false">(Sens!$I$2602+Sens!$J$2602)/2</f>
        <v>10902.9</v>
      </c>
      <c r="K2608" s="33" t="n">
        <f aca="false">(Sens!$J$2602+Sens!$K$2602)/2</f>
        <v>14537.2</v>
      </c>
      <c r="L2608" s="33" t="n">
        <f aca="false">(Sens!$K$2602+Sens!$L$2602)/2</f>
        <v>18171.5</v>
      </c>
      <c r="M2608" s="33" t="n">
        <f aca="false">(Sens!$L$2602+Sens!$M$2602)/2</f>
        <v>21805.8</v>
      </c>
    </row>
    <row r="2609" customFormat="false" ht="17.15" hidden="false" customHeight="false" outlineLevel="0" collapsed="false">
      <c r="A2609" s="1" t="s">
        <v>573</v>
      </c>
    </row>
    <row r="2610" customFormat="false" ht="17.15" hidden="false" customHeight="false" outlineLevel="0" collapsed="false">
      <c r="A2610" s="1" t="s">
        <v>574</v>
      </c>
      <c r="B2610" s="8" t="s">
        <v>73</v>
      </c>
      <c r="C2610" s="38" t="n">
        <f aca="false">Sens!$C$2593*rpm_open*Sens!$C$2594/1000</f>
        <v>2.32100535697364</v>
      </c>
      <c r="D2610" s="38" t="n">
        <f aca="false">Sens!$D$2593*rpm_open*Sens!$D$2594/1000</f>
        <v>8.70377008865116</v>
      </c>
      <c r="E2610" s="38" t="n">
        <f aca="false">Sens!$E$2593*rpm_open*Sens!$E$2594/1000</f>
        <v>8.51035297557002</v>
      </c>
      <c r="F2610" s="38" t="n">
        <f aca="false">(mw_open*rpm_open+Sens!$F$2608*Sens!$F$2607)*Sens!$F$2594/1000</f>
        <v>14.9634336447205</v>
      </c>
      <c r="G2610" s="38" t="n">
        <f aca="false">Sens!$E$2610+Sens!$F$2610</f>
        <v>23.4737866202905</v>
      </c>
      <c r="H2610" s="38" t="n">
        <f aca="false">(mw_open*rpm_open+Sens!$H$2608*Sens!$H$2607)/1000</f>
        <v>60.1658907497746</v>
      </c>
      <c r="I2610" s="38" t="n">
        <f aca="false">(mw_open*rpm_open+Sens!$I$2608*Sens!$I$2607)/1000</f>
        <v>101.503699136432</v>
      </c>
      <c r="J2610" s="38" t="n">
        <f aca="false">(mw_open*rpm_open+Sens!$J$2608*Sens!$J$2607)/1000</f>
        <v>143.025407151278</v>
      </c>
      <c r="K2610" s="38" t="n">
        <f aca="false">(mw_open*rpm_open+Sens!$K$2608*Sens!$K$2607)/1000</f>
        <v>184.608415042187</v>
      </c>
      <c r="L2610" s="38" t="n">
        <f aca="false">(mw_open*rpm_open+Sens!$L$2608*Sens!$L$2607)/1000</f>
        <v>226.219286513125</v>
      </c>
      <c r="M2610" s="38" t="n">
        <f aca="false">(mw_open*rpm_open+Sens!$M$2608*Sens!$M$2607)/1000</f>
        <v>267.845161450232</v>
      </c>
      <c r="N2610" s="38" t="n">
        <f aca="false">Sens!$N$2593*rpm_open*Sens!$N$2594/1000</f>
        <v>3.04631953102791</v>
      </c>
      <c r="O2610" s="38" t="n">
        <f aca="false">Sens!$O$2593*rpm_open*Sens!$O$2594/1000</f>
        <v>5.65745055762326</v>
      </c>
      <c r="P2610" s="5" t="s">
        <v>575</v>
      </c>
    </row>
    <row r="2611" customFormat="false" ht="17.15" hidden="false" customHeight="false" outlineLevel="0" collapsed="false">
      <c r="A2611" s="5" t="s">
        <v>576</v>
      </c>
      <c r="B2611" s="0" t="s">
        <v>151</v>
      </c>
      <c r="C2611" s="36" t="n">
        <f aca="false">Sens!$C$2610*1000/(Sens!$C$2593*Sens!$C$2594)</f>
        <v>9.67085565405685</v>
      </c>
      <c r="D2611" s="36" t="n">
        <f aca="false">Sens!$D$2610*1000/(Sens!$D$2593*Sens!$D$2594)</f>
        <v>9.67085565405685</v>
      </c>
      <c r="E2611" s="36" t="n">
        <f aca="false">Sens!$E$2610*1000/(Sens!$E$2593*Sens!$E$2594)</f>
        <v>9.67085565405685</v>
      </c>
      <c r="F2611" s="36" t="n">
        <f aca="false">Sens!$F$2610*1000/(Sens!$F$2593*Sens!$F$2594)</f>
        <v>10.0137581588017</v>
      </c>
      <c r="G2611" s="36" t="n">
        <f aca="false">Sens!$G$2610*1000/(Sens!$G$2593*Sens!$G$2594)</f>
        <v>9.88666562928478</v>
      </c>
      <c r="H2611" s="36" t="n">
        <f aca="false">Sens!$H$2610*1000/(Sens!$H$2593*Sens!$H$2594)</f>
        <v>10.5290045586992</v>
      </c>
      <c r="I2611" s="36" t="n">
        <f aca="false">Sens!$I$2610*1000/(Sens!$I$2593*Sens!$I$2594)</f>
        <v>10.8576363451674</v>
      </c>
      <c r="J2611" s="36" t="n">
        <f aca="false">Sens!$J$2610*1000/(Sens!$J$2593*Sens!$J$2594)</f>
        <v>11.0164452588619</v>
      </c>
      <c r="K2611" s="36" t="n">
        <f aca="false">Sens!$K$2610*1000/(Sens!$K$2593*Sens!$K$2594)</f>
        <v>11.1094778327388</v>
      </c>
      <c r="L2611" s="36" t="n">
        <f aca="false">Sens!$L$2610*1000/(Sens!$L$2593*Sens!$L$2594)</f>
        <v>11.1704953466718</v>
      </c>
      <c r="M2611" s="36" t="n">
        <f aca="false">Sens!$M$2610*1000/(Sens!$M$2593*Sens!$M$2594)</f>
        <v>11.2135729785158</v>
      </c>
      <c r="N2611" s="36" t="n">
        <f aca="false">Sens!$N$2610*1000/(Sens!$N$2593*Sens!$N$2594)</f>
        <v>9.67085565405685</v>
      </c>
      <c r="O2611" s="36" t="n">
        <f aca="false">Sens!$O$2610*1000/(Sens!$O$2593*Sens!$O$2594)</f>
        <v>9.67085565405685</v>
      </c>
    </row>
    <row r="2612" customFormat="false" ht="17.15" hidden="false" customHeight="false" outlineLevel="0" collapsed="false">
      <c r="A2612" s="0" t="s">
        <v>577</v>
      </c>
      <c r="B2612" s="0" t="s">
        <v>73</v>
      </c>
      <c r="C2612" s="38" t="n">
        <f aca="false">Sens!$C$2593/ext_sh*(ox_open+rent_mw)*Sens!$C$2594/1000</f>
        <v>0.642569210675032</v>
      </c>
      <c r="D2612" s="38" t="n">
        <f aca="false">Sens!$D$2593/ext_sh*(ox_open+rent_mw)*Sens!$D$2594/1000</f>
        <v>2.40963454003137</v>
      </c>
      <c r="E2612" s="38" t="n">
        <f aca="false">Sens!$E$2593/ext_sh*(ox_open+rent_mw)*Sens!$E$2594/1000</f>
        <v>2.35608710580845</v>
      </c>
      <c r="F2612" s="38" t="n">
        <f aca="false">((mw_open*ox_open+Sens!$F$2608*Sens!$F$2606)/ext_sh+Sens!$F$2593/ext_sh*rent_mw)*Sens!$F$2594/1000</f>
        <v>4.05421991106232</v>
      </c>
      <c r="G2612" s="38" t="n">
        <f aca="false">Sens!$E$2612+Sens!$F$2612</f>
        <v>6.41030701687077</v>
      </c>
      <c r="H2612" s="38" t="n">
        <f aca="false">((mw_open*ox_open+Sens!$H$2608*Sens!$H$2606)/ext_sh+Sens!$H$2593/ext_sh*rent_mw)*Sens!$H$2594/1000</f>
        <v>15.8108975546616</v>
      </c>
      <c r="I2612" s="38" t="n">
        <f aca="false">((mw_open*ox_open+Sens!$I$2608*Sens!$I$2606)/ext_sh+Sens!$I$2593/ext_sh*rent_mw)*Sens!$I$2594/1000</f>
        <v>26.1871623400817</v>
      </c>
      <c r="J2612" s="38" t="n">
        <f aca="false">((mw_open*ox_open+Sens!$J$2608*Sens!$J$2606)/ext_sh+Sens!$J$2593/ext_sh*rent_mw)*Sens!$J$2594/1000</f>
        <v>36.5826128954935</v>
      </c>
      <c r="K2612" s="38" t="n">
        <f aca="false">((mw_open*ox_open+Sens!$K$2608*Sens!$K$2606)/ext_sh+Sens!$K$2593/ext_sh*rent_mw)*Sens!$K$2594/1000</f>
        <v>46.9844587075692</v>
      </c>
      <c r="L2612" s="38" t="n">
        <f aca="false">((mw_open*ox_open+Sens!$L$2608*Sens!$L$2606)/ext_sh+Sens!$L$2593/ext_sh*rent_mw)*Sens!$L$2594/1000</f>
        <v>57.3892114544922</v>
      </c>
      <c r="M2612" s="38" t="n">
        <f aca="false">((mw_open*ox_open+Sens!$M$2608*Sens!$M$2606)/ext_sh+Sens!$M$2593/ext_sh*rent_mw)*Sens!$M$2594/1000</f>
        <v>67.7955294740252</v>
      </c>
      <c r="N2612" s="38" t="n">
        <f aca="false">Sens!$N$2593/ext_sh*(ox_open+rent_mw)*Sens!$N$2594/1000</f>
        <v>0.84337208901098</v>
      </c>
      <c r="O2612" s="38" t="n">
        <f aca="false">Sens!$O$2593/ext_sh*(ox_open+rent_mw)*Sens!$O$2594/1000</f>
        <v>1.56626245102039</v>
      </c>
    </row>
    <row r="2613" customFormat="false" ht="17.15" hidden="false" customHeight="false" outlineLevel="0" collapsed="false">
      <c r="A2613" s="0" t="s">
        <v>578</v>
      </c>
      <c r="B2613" s="0" t="s">
        <v>73</v>
      </c>
      <c r="C2613" s="38" t="n">
        <f aca="false">Q!$D$7</f>
        <v>107.556</v>
      </c>
      <c r="D2613" s="38" t="n">
        <f aca="false">Q!$E$7</f>
        <v>128.725</v>
      </c>
      <c r="E2613" s="38" t="n">
        <f aca="false">Q!$P$7</f>
        <v>79.819</v>
      </c>
      <c r="N2613" s="38" t="n">
        <f aca="false">Q!$N$7</f>
        <v>60.14</v>
      </c>
      <c r="O2613" s="38" t="n">
        <f aca="false">Q!$O$7</f>
        <v>68.585</v>
      </c>
    </row>
    <row r="2614" customFormat="false" ht="17.15" hidden="false" customHeight="false" outlineLevel="0" collapsed="false">
      <c r="A2614" s="1" t="s">
        <v>579</v>
      </c>
      <c r="B2614" s="8" t="s">
        <v>73</v>
      </c>
      <c r="C2614" s="38" t="n">
        <f aca="false">Sens!$C$2613-Sens!$C$2610</f>
        <v>105.234994643026</v>
      </c>
      <c r="D2614" s="38" t="n">
        <f aca="false">Sens!$D$2613-Sens!$D$2610</f>
        <v>120.021229911349</v>
      </c>
      <c r="E2614" s="38" t="n">
        <f aca="false">Sens!$E$2613-Sens!$E$2610</f>
        <v>71.30864702443</v>
      </c>
      <c r="F2614" s="38" t="n">
        <f aca="false">Sens!$O$2614*(1+Sens!$F$2615)</f>
        <v>78.5950104186653</v>
      </c>
      <c r="G2614" s="38" t="n">
        <f aca="false">Sens!$E$2614+Sens!$F$2614</f>
        <v>149.903657443095</v>
      </c>
      <c r="H2614" s="38" t="n">
        <f aca="false">Sens!$G$2614*(1+Sens!$H$2615)</f>
        <v>179.769283337318</v>
      </c>
      <c r="I2614" s="38" t="n">
        <f aca="false">Sens!$H$2614*(1+Sens!$I$2615)</f>
        <v>206.642650286014</v>
      </c>
      <c r="J2614" s="38" t="n">
        <f aca="false">Sens!$I$2614*(1+Sens!$J$2615)</f>
        <v>227.254024176635</v>
      </c>
      <c r="K2614" s="38" t="n">
        <f aca="false">Sens!$J$2614*(1+Sens!$K$2615)</f>
        <v>238.616725385466</v>
      </c>
      <c r="L2614" s="38" t="n">
        <f aca="false">Sens!$K$2614*(1+Sens!$L$2615)</f>
        <v>250.54756165474</v>
      </c>
      <c r="M2614" s="38" t="n">
        <f aca="false">Sens!$L$2614*(1+Sens!$M$2615)</f>
        <v>263.074939737477</v>
      </c>
      <c r="N2614" s="38" t="n">
        <f aca="false">Sens!$N$2613-Sens!$N$2610</f>
        <v>57.0936804689721</v>
      </c>
      <c r="O2614" s="38" t="n">
        <f aca="false">Sens!$O$2613-Sens!$O$2610</f>
        <v>62.9275494423768</v>
      </c>
      <c r="P2614" s="5" t="s">
        <v>580</v>
      </c>
    </row>
    <row r="2615" customFormat="false" ht="17.15" hidden="false" customHeight="false" outlineLevel="0" collapsed="false">
      <c r="A2615" s="0" t="s">
        <v>581</v>
      </c>
      <c r="B2615" s="0" t="s">
        <v>52</v>
      </c>
      <c r="E2615" s="12" t="n">
        <f aca="false">Sens!$E$2614/Sens!$N$2614-1</f>
        <v>0.248976181579029</v>
      </c>
      <c r="F2615" s="12" t="n">
        <f aca="false">Sens!$E$2615</f>
        <v>0.248976181579029</v>
      </c>
      <c r="G2615" s="12" t="n">
        <f aca="false">Sens!$G$2614/Sens!$D$2614-1</f>
        <v>0.248976181579029</v>
      </c>
      <c r="H2615" s="12" t="n">
        <f aca="false">Sens!$E$2615+(g_awso_lt_lo-Sens!$E$2615)*1/4</f>
        <v>0.199232136184272</v>
      </c>
      <c r="I2615" s="12" t="n">
        <f aca="false">Sens!$E$2615+(g_awso_lt_lo-Sens!$E$2615)*2/4</f>
        <v>0.149488090789515</v>
      </c>
      <c r="J2615" s="12" t="n">
        <f aca="false">Sens!$E$2615+(g_awso_lt_lo-Sens!$E$2615)*3/4</f>
        <v>0.0997440453947573</v>
      </c>
      <c r="K2615" s="12" t="n">
        <f aca="false">Sens!$E$2615+(g_awso_lt_lo-Sens!$E$2615)*4/4</f>
        <v>0.05</v>
      </c>
      <c r="L2615" s="12" t="n">
        <f aca="false">g_awso_lt_lo</f>
        <v>0.05</v>
      </c>
      <c r="M2615" s="12" t="n">
        <f aca="false">g_awso_lt_lo</f>
        <v>0.05</v>
      </c>
      <c r="P2615" s="8" t="s">
        <v>582</v>
      </c>
    </row>
    <row r="2616" customFormat="false" ht="17.15" hidden="false" customHeight="false" outlineLevel="0" collapsed="false">
      <c r="A2616" s="1" t="s">
        <v>583</v>
      </c>
    </row>
    <row r="2617" customFormat="false" ht="17.15" hidden="false" customHeight="false" outlineLevel="0" collapsed="false">
      <c r="A2617" s="0" t="s">
        <v>584</v>
      </c>
      <c r="B2617" s="0" t="s">
        <v>73</v>
      </c>
      <c r="F2617" s="38" t="n">
        <f aca="false">cx_rt*Sens!$F$2583+cx_awso*Sens!$F$2614</f>
        <v>36.8045765066526</v>
      </c>
    </row>
    <row r="2618" customFormat="false" ht="17.15" hidden="false" customHeight="false" outlineLevel="0" collapsed="false">
      <c r="A2618" s="0" t="s">
        <v>585</v>
      </c>
      <c r="B2618" s="0" t="s">
        <v>52</v>
      </c>
      <c r="C2618" s="12" t="n">
        <f aca="false">tk_cx_h100/(tk_cx_h100+tk_fac*(1-colo_sh))</f>
        <v>0.730756458006641</v>
      </c>
      <c r="D2618" s="12" t="n">
        <f aca="false">tk_cx_h100/(tk_cx_h100+tk_fac*(1-colo_sh))</f>
        <v>0.730756458006641</v>
      </c>
      <c r="E2618" s="12" t="n">
        <f aca="false">Sens!$F$2618</f>
        <v>0.760792334328868</v>
      </c>
      <c r="F2618" s="12" t="n">
        <f aca="false">Sens!$F$2601/(Sens!$F$2601+tk_fac*(1-colo_sh))</f>
        <v>0.760792334328868</v>
      </c>
      <c r="G2618" s="12" t="n">
        <f aca="false">Sens!$G$2601/(Sens!$G$2601+tk_fac*(1-colo_sh))</f>
        <v>0.760792334328868</v>
      </c>
      <c r="H2618" s="12" t="n">
        <f aca="false">Sens!$H$2601/(Sens!$H$2601+tk_fac*(1-colo_sh))</f>
        <v>0.768110668862996</v>
      </c>
      <c r="I2618" s="12" t="n">
        <f aca="false">Sens!$I$2601/(Sens!$I$2601+tk_fac*(1-colo_sh))</f>
        <v>0.77499450139483</v>
      </c>
      <c r="J2618" s="12" t="n">
        <f aca="false">Sens!$J$2601/(Sens!$J$2601+tk_fac*(1-colo_sh))</f>
        <v>0.77499450139483</v>
      </c>
      <c r="K2618" s="12" t="n">
        <f aca="false">Sens!$K$2601/(Sens!$K$2601+tk_fac*(1-colo_sh))</f>
        <v>0.77499450139483</v>
      </c>
      <c r="L2618" s="12" t="n">
        <f aca="false">Sens!$L$2601/(Sens!$L$2601+tk_fac*(1-colo_sh))</f>
        <v>0.77499450139483</v>
      </c>
      <c r="M2618" s="12" t="n">
        <f aca="false">Sens!$M$2601/(Sens!$M$2601+tk_fac*(1-colo_sh))</f>
        <v>0.77499450139483</v>
      </c>
    </row>
    <row r="2619" customFormat="false" ht="17.15" hidden="false" customHeight="false" outlineLevel="0" collapsed="false">
      <c r="A2619" s="1" t="s">
        <v>586</v>
      </c>
      <c r="B2619" s="8" t="s">
        <v>73</v>
      </c>
      <c r="C2619" s="38" t="n">
        <f aca="false">Q!$D$46-cx_rt*Q!$D$16-cx_awso*Sens!$C$2614</f>
        <v>25.2781053077374</v>
      </c>
      <c r="D2619" s="38" t="n">
        <f aca="false">Q!$E$46-cx_rt*Q!$E$16-cx_awso*Sens!$D$2614</f>
        <v>69.5686316310026</v>
      </c>
      <c r="E2619" s="38" t="n">
        <f aca="false">Q!$P$46-cx_rt*Q!$P$16-cx_awso*Sens!$E$2614</f>
        <v>64.1899206485108</v>
      </c>
      <c r="F2619" s="38" t="n">
        <f aca="false">MAX(Sens!$F$2596*(Sens!$F$2601+tk_fac*(1-colo_sh))/1000,capex_g26-Q!$P$46-Sens!$F$2617)</f>
        <v>96.2481299895</v>
      </c>
      <c r="G2619" s="38" t="n">
        <f aca="false">Sens!$E$2619+Sens!$F$2619</f>
        <v>160.438050638011</v>
      </c>
      <c r="H2619" s="38" t="n">
        <f aca="false">Sens!$H$2596*(Sens!$H$2601+tk_fac*(1-colo_sh))/1000+Sens!$H$2620</f>
        <v>198.57136494475</v>
      </c>
      <c r="I2619" s="38" t="n">
        <f aca="false">Sens!$I$2596*(Sens!$I$2601+tk_fac*(1-colo_sh))/1000+Sens!$I$2620</f>
        <v>204.6464699105</v>
      </c>
      <c r="J2619" s="38" t="n">
        <f aca="false">Sens!$J$2596*(Sens!$J$2601+tk_fac*(1-colo_sh))/1000+Sens!$J$2620</f>
        <v>209.8832381105</v>
      </c>
      <c r="K2619" s="38" t="n">
        <f aca="false">Sens!$K$2596*(Sens!$K$2601+tk_fac*(1-colo_sh))/1000+Sens!$K$2620</f>
        <v>215.1200063105</v>
      </c>
      <c r="L2619" s="38" t="n">
        <f aca="false">Sens!$L$2596*(Sens!$L$2601+tk_fac*(1-colo_sh))/1000+Sens!$L$2620</f>
        <v>251.7773837105</v>
      </c>
      <c r="M2619" s="38" t="n">
        <f aca="false">Sens!$M$2596*(Sens!$M$2601+tk_fac*(1-colo_sh))/1000+Sens!$M$2620</f>
        <v>311.87584476575</v>
      </c>
      <c r="P2619" s="5" t="s">
        <v>587</v>
      </c>
      <c r="R2619" s="38" t="n">
        <f aca="false">Q!$C$46-cx_rt*Q!$C$16-cx_awso*(Q!$C$7-mw_ye23/2*rpm_open/1000)</f>
        <v>1.50429979529945</v>
      </c>
      <c r="S2619" s="38" t="n">
        <f aca="false">Sens!$C$2619</f>
        <v>25.2781053077374</v>
      </c>
      <c r="T2619" s="38" t="n">
        <f aca="false">Sens!$D$2619</f>
        <v>69.5686316310026</v>
      </c>
      <c r="U2619" s="38" t="n">
        <f aca="false">Sens!$G$2619</f>
        <v>160.438050638011</v>
      </c>
      <c r="V2619" s="38" t="n">
        <f aca="false">Sens!$H$2619</f>
        <v>198.57136494475</v>
      </c>
      <c r="W2619" s="38" t="n">
        <f aca="false">Sens!$I$2619</f>
        <v>204.6464699105</v>
      </c>
      <c r="X2619" s="38" t="n">
        <f aca="false">Sens!$J$2619</f>
        <v>209.8832381105</v>
      </c>
      <c r="Y2619" s="38" t="n">
        <f aca="false">Sens!$K$2619</f>
        <v>215.1200063105</v>
      </c>
      <c r="Z2619" s="38" t="n">
        <f aca="false">Sens!$L$2619</f>
        <v>251.7773837105</v>
      </c>
      <c r="AA2619" s="38" t="n">
        <f aca="false">Sens!$M$2619</f>
        <v>311.87584476575</v>
      </c>
    </row>
    <row r="2620" customFormat="false" ht="17.15" hidden="false" customHeight="false" outlineLevel="0" collapsed="false">
      <c r="A2620" s="0" t="s">
        <v>588</v>
      </c>
      <c r="B2620" s="0" t="s">
        <v>73</v>
      </c>
      <c r="H2620" s="38" t="n">
        <f aca="false">SUMPRODUCT(--(Sens!$R$2590:$AA$2590=2027-tk_life),Sens!$R$2596:$AA$2596)*Sens!$H$2601/1000</f>
        <v>0</v>
      </c>
      <c r="I2620" s="38" t="n">
        <f aca="false">SUMPRODUCT(--(Sens!$R$2590:$AA$2590=2028-tk_life),Sens!$R$2596:$AA$2596)*Sens!$I$2601/1000</f>
        <v>0</v>
      </c>
      <c r="J2620" s="38" t="n">
        <f aca="false">SUMPRODUCT(--(Sens!$R$2590:$AA$2590=2029-tk_life),Sens!$R$2596:$AA$2596)*Sens!$J$2601/1000</f>
        <v>5.2367682</v>
      </c>
      <c r="K2620" s="38" t="n">
        <f aca="false">SUMPRODUCT(--(Sens!$R$2590:$AA$2590=2030-tk_life),Sens!$R$2596:$AA$2596)*Sens!$K$2601/1000</f>
        <v>10.4735364</v>
      </c>
      <c r="L2620" s="38" t="n">
        <f aca="false">SUMPRODUCT(--(Sens!$R$2590:$AA$2590=2031-tk_life),Sens!$R$2596:$AA$2596)*Sens!$L$2601/1000</f>
        <v>47.1309138</v>
      </c>
      <c r="M2620" s="38" t="n">
        <f aca="false">SUMPRODUCT(--(Sens!$R$2590:$AA$2590=2032-tk_life),Sens!$R$2596:$AA$2596)*Sens!$M$2601/1000</f>
        <v>107.22937485525</v>
      </c>
    </row>
    <row r="2621" customFormat="false" ht="17.15" hidden="false" customHeight="false" outlineLevel="0" collapsed="false">
      <c r="A2621" s="5" t="s">
        <v>589</v>
      </c>
      <c r="B2621" s="0" t="s">
        <v>73</v>
      </c>
      <c r="C2621" s="38" t="n">
        <f aca="false">Sens!$C$2619*Sens!$C$2618</f>
        <v>18.472138699801</v>
      </c>
      <c r="D2621" s="38" t="n">
        <f aca="false">Sens!$D$2619*Sens!$D$2618</f>
        <v>50.8377268390402</v>
      </c>
      <c r="E2621" s="38" t="n">
        <f aca="false">Sens!$E$2619*Sens!$E$2618</f>
        <v>48.8351995705653</v>
      </c>
      <c r="F2621" s="38" t="n">
        <f aca="false">Sens!$F$2619*Sens!$F$2618</f>
        <v>73.2248394895</v>
      </c>
      <c r="G2621" s="38" t="n">
        <f aca="false">Sens!$E$2621+Sens!$F$2621</f>
        <v>122.060039060065</v>
      </c>
      <c r="H2621" s="38" t="n">
        <f aca="false">(Sens!$H$2619-Sens!$H$2620)*Sens!$H$2618+Sens!$H$2620</f>
        <v>152.52478394475</v>
      </c>
      <c r="I2621" s="38" t="n">
        <f aca="false">(Sens!$I$2619-Sens!$I$2620)*Sens!$I$2618+Sens!$I$2620</f>
        <v>158.5998889105</v>
      </c>
      <c r="J2621" s="38" t="n">
        <f aca="false">(Sens!$J$2619-Sens!$J$2620)*Sens!$J$2618+Sens!$J$2620</f>
        <v>163.8366571105</v>
      </c>
      <c r="K2621" s="38" t="n">
        <f aca="false">(Sens!$K$2619-Sens!$K$2620)*Sens!$K$2618+Sens!$K$2620</f>
        <v>169.0734253105</v>
      </c>
      <c r="L2621" s="38" t="n">
        <f aca="false">(Sens!$L$2619-Sens!$L$2620)*Sens!$L$2618+Sens!$L$2620</f>
        <v>205.7308027105</v>
      </c>
      <c r="M2621" s="38" t="n">
        <f aca="false">(Sens!$M$2619-Sens!$M$2620)*Sens!$M$2618+Sens!$M$2620</f>
        <v>265.82926376575</v>
      </c>
      <c r="R2621" s="38" t="n">
        <f aca="false">Sens!$R$2619*Sens!$C$2618</f>
        <v>1.09927679019314</v>
      </c>
      <c r="S2621" s="38" t="n">
        <f aca="false">Sens!$C$2621</f>
        <v>18.472138699801</v>
      </c>
      <c r="T2621" s="38" t="n">
        <f aca="false">Sens!$D$2621</f>
        <v>50.8377268390402</v>
      </c>
      <c r="U2621" s="38" t="n">
        <f aca="false">Sens!$G$2621</f>
        <v>122.060039060065</v>
      </c>
      <c r="V2621" s="38" t="n">
        <f aca="false">Sens!$H$2621</f>
        <v>152.52478394475</v>
      </c>
      <c r="W2621" s="38" t="n">
        <f aca="false">Sens!$I$2621</f>
        <v>158.5998889105</v>
      </c>
      <c r="X2621" s="38" t="n">
        <f aca="false">Sens!$J$2621</f>
        <v>163.8366571105</v>
      </c>
      <c r="Y2621" s="38" t="n">
        <f aca="false">Sens!$K$2621</f>
        <v>169.0734253105</v>
      </c>
      <c r="Z2621" s="38" t="n">
        <f aca="false">Sens!$L$2621</f>
        <v>205.7308027105</v>
      </c>
      <c r="AA2621" s="38" t="n">
        <f aca="false">Sens!$M$2621</f>
        <v>265.82926376575</v>
      </c>
    </row>
    <row r="2622" customFormat="false" ht="15" hidden="false" customHeight="false" outlineLevel="0" collapsed="false">
      <c r="A2622" s="5" t="s">
        <v>590</v>
      </c>
      <c r="B2622" s="0" t="s">
        <v>73</v>
      </c>
      <c r="R2622" s="38" t="n">
        <f aca="false">Sens!$R$2619-Sens!$R$2621</f>
        <v>0.405023005106309</v>
      </c>
      <c r="S2622" s="38" t="n">
        <f aca="false">Sens!$S$2619-Sens!$S$2621</f>
        <v>6.80596660793636</v>
      </c>
      <c r="T2622" s="38" t="n">
        <f aca="false">Sens!$T$2619-Sens!$T$2621</f>
        <v>18.7309047919624</v>
      </c>
      <c r="U2622" s="38" t="n">
        <f aca="false">Sens!$U$2619-Sens!$U$2621</f>
        <v>38.3780115779455</v>
      </c>
      <c r="V2622" s="38" t="n">
        <f aca="false">Sens!$V$2619-Sens!$V$2621</f>
        <v>46.046581</v>
      </c>
      <c r="W2622" s="38" t="n">
        <f aca="false">Sens!$W$2619-Sens!$W$2621</f>
        <v>46.046581</v>
      </c>
      <c r="X2622" s="38" t="n">
        <f aca="false">Sens!$X$2619-Sens!$X$2621</f>
        <v>46.046581</v>
      </c>
      <c r="Y2622" s="38" t="n">
        <f aca="false">Sens!$Y$2619-Sens!$Y$2621</f>
        <v>46.046581</v>
      </c>
      <c r="Z2622" s="38" t="n">
        <f aca="false">Sens!$Z$2619-Sens!$Z$2621</f>
        <v>46.046581</v>
      </c>
      <c r="AA2622" s="38" t="n">
        <f aca="false">Sens!$AA$2619-Sens!$AA$2621</f>
        <v>46.046581</v>
      </c>
    </row>
    <row r="2623" customFormat="false" ht="17.15" hidden="false" customHeight="false" outlineLevel="0" collapsed="false">
      <c r="A2623" s="0" t="s">
        <v>591</v>
      </c>
      <c r="B2623" s="0" t="s">
        <v>73</v>
      </c>
      <c r="C2623" s="38" t="n">
        <f aca="false">Sens!$S$2623</f>
        <v>0.183212798365523</v>
      </c>
      <c r="D2623" s="38" t="n">
        <f aca="false">Sens!$T$2623</f>
        <v>3.2619025816657</v>
      </c>
      <c r="E2623" s="38" t="n">
        <f aca="false">Sens!$G$2623/2</f>
        <v>5.86742852741953</v>
      </c>
      <c r="F2623" s="38" t="n">
        <f aca="false">Sens!$G$2623/2</f>
        <v>5.86742852741953</v>
      </c>
      <c r="G2623" s="38" t="n">
        <f aca="false">Sens!$U$2623</f>
        <v>11.7348570548391</v>
      </c>
      <c r="H2623" s="38" t="n">
        <f aca="false">Sens!$V$2623</f>
        <v>32.0781968981833</v>
      </c>
      <c r="I2623" s="38" t="n">
        <f aca="false">Sens!$W$2623</f>
        <v>57.4989942223083</v>
      </c>
      <c r="J2623" s="38" t="n">
        <f aca="false">Sens!$X$2623</f>
        <v>83.932309040725</v>
      </c>
      <c r="K2623" s="38" t="n">
        <f aca="false">Sens!$Y$2623</f>
        <v>111.055205760776</v>
      </c>
      <c r="L2623" s="38" t="n">
        <f aca="false">Sens!$Z$2623</f>
        <v>136.155420195893</v>
      </c>
      <c r="M2623" s="38" t="n">
        <f aca="false">Sens!$AA$2623</f>
        <v>161.970932841136</v>
      </c>
      <c r="N2623" s="38" t="n">
        <f aca="false">Sens!$D$2623/2</f>
        <v>1.63095129083285</v>
      </c>
      <c r="O2623" s="38" t="n">
        <f aca="false">Sens!$D$2623/2</f>
        <v>1.63095129083285</v>
      </c>
      <c r="R2623" s="38" t="n">
        <f aca="false">SUMPRODUCT(--(Sens!$R$2590:$AA$2590&lt;Sens!R$2590),--(Sens!$R$2590:$AA$2590&gt;=Sens!R$2590-tk_life),Sens!$R$2621:$AA$2621)/tk_life</f>
        <v>0</v>
      </c>
      <c r="S2623" s="38" t="n">
        <f aca="false">SUMPRODUCT(--(Sens!$R$2590:$AA$2590&lt;Sens!S$2590),--(Sens!$R$2590:$AA$2590&gt;=Sens!S$2590-tk_life),Sens!$R$2621:$AA$2621)/tk_life</f>
        <v>0.183212798365523</v>
      </c>
      <c r="T2623" s="38" t="n">
        <f aca="false">SUMPRODUCT(--(Sens!$R$2590:$AA$2590&lt;Sens!T$2590),--(Sens!$R$2590:$AA$2590&gt;=Sens!T$2590-tk_life),Sens!$R$2621:$AA$2621)/tk_life</f>
        <v>3.2619025816657</v>
      </c>
      <c r="U2623" s="38" t="n">
        <f aca="false">SUMPRODUCT(--(Sens!$R$2590:$AA$2590&lt;Sens!U$2590),--(Sens!$R$2590:$AA$2590&gt;=Sens!U$2590-tk_life),Sens!$R$2621:$AA$2621)/tk_life</f>
        <v>11.7348570548391</v>
      </c>
      <c r="V2623" s="38" t="n">
        <f aca="false">SUMPRODUCT(--(Sens!$R$2590:$AA$2590&lt;Sens!V$2590),--(Sens!$R$2590:$AA$2590&gt;=Sens!V$2590-tk_life),Sens!$R$2621:$AA$2621)/tk_life</f>
        <v>32.0781968981833</v>
      </c>
      <c r="W2623" s="38" t="n">
        <f aca="false">SUMPRODUCT(--(Sens!$R$2590:$AA$2590&lt;Sens!W$2590),--(Sens!$R$2590:$AA$2590&gt;=Sens!W$2590-tk_life),Sens!$R$2621:$AA$2621)/tk_life</f>
        <v>57.4989942223083</v>
      </c>
      <c r="X2623" s="38" t="n">
        <f aca="false">SUMPRODUCT(--(Sens!$R$2590:$AA$2590&lt;Sens!X$2590),--(Sens!$R$2590:$AA$2590&gt;=Sens!X$2590-tk_life),Sens!$R$2621:$AA$2621)/tk_life</f>
        <v>83.932309040725</v>
      </c>
      <c r="Y2623" s="38" t="n">
        <f aca="false">SUMPRODUCT(--(Sens!$R$2590:$AA$2590&lt;Sens!Y$2590),--(Sens!$R$2590:$AA$2590&gt;=Sens!Y$2590-tk_life),Sens!$R$2621:$AA$2621)/tk_life</f>
        <v>111.055205760776</v>
      </c>
      <c r="Z2623" s="38" t="n">
        <f aca="false">SUMPRODUCT(--(Sens!$R$2590:$AA$2590&lt;Sens!Z$2590),--(Sens!$R$2590:$AA$2590&gt;=Sens!Z$2590-tk_life),Sens!$R$2621:$AA$2621)/tk_life</f>
        <v>136.155420195893</v>
      </c>
      <c r="AA2623" s="38" t="n">
        <f aca="false">SUMPRODUCT(--(Sens!$R$2590:$AA$2590&lt;Sens!AA$2590),--(Sens!$R$2590:$AA$2590&gt;=Sens!AA$2590-tk_life),Sens!$R$2621:$AA$2621)/tk_life</f>
        <v>161.970932841136</v>
      </c>
    </row>
    <row r="2624" customFormat="false" ht="17.15" hidden="false" customHeight="false" outlineLevel="0" collapsed="false">
      <c r="A2624" s="0" t="s">
        <v>592</v>
      </c>
      <c r="B2624" s="0" t="s">
        <v>73</v>
      </c>
      <c r="C2624" s="38" t="n">
        <f aca="false">Sens!$S$2624</f>
        <v>0.0202511502553155</v>
      </c>
      <c r="D2624" s="38" t="n">
        <f aca="false">Sens!$T$2624</f>
        <v>0.360549480652134</v>
      </c>
      <c r="E2624" s="38" t="n">
        <f aca="false">Sens!$G$2624/2</f>
        <v>0.648547360125127</v>
      </c>
      <c r="F2624" s="38" t="n">
        <f aca="false">Sens!$G$2624/2</f>
        <v>0.648547360125127</v>
      </c>
      <c r="G2624" s="38" t="n">
        <f aca="false">Sens!$U$2624</f>
        <v>1.29709472025025</v>
      </c>
      <c r="H2624" s="38" t="n">
        <f aca="false">Sens!$V$2624</f>
        <v>3.21599529914753</v>
      </c>
      <c r="I2624" s="38" t="n">
        <f aca="false">Sens!$W$2624</f>
        <v>5.51832434914753</v>
      </c>
      <c r="J2624" s="38" t="n">
        <f aca="false">Sens!$X$2624</f>
        <v>7.82065339914753</v>
      </c>
      <c r="K2624" s="38" t="n">
        <f aca="false">Sens!$Y$2624</f>
        <v>10.1229824491475</v>
      </c>
      <c r="L2624" s="38" t="n">
        <f aca="false">Sens!$Z$2624</f>
        <v>12.4253114991475</v>
      </c>
      <c r="M2624" s="38" t="n">
        <f aca="false">Sens!$AA$2624</f>
        <v>14.7276405491475</v>
      </c>
      <c r="N2624" s="38" t="n">
        <f aca="false">Sens!$D$2624/2</f>
        <v>0.180274740326067</v>
      </c>
      <c r="O2624" s="38" t="n">
        <f aca="false">Sens!$D$2624/2</f>
        <v>0.180274740326067</v>
      </c>
      <c r="R2624" s="38" t="n">
        <f aca="false">SUMPRODUCT(--(Sens!$R$2590:$AA$2590&lt;Sens!R$2590),Sens!$R$2622:$AA$2622)/fac_life</f>
        <v>0</v>
      </c>
      <c r="S2624" s="38" t="n">
        <f aca="false">SUMPRODUCT(--(Sens!$R$2590:$AA$2590&lt;Sens!S$2590),Sens!$R$2622:$AA$2622)/fac_life</f>
        <v>0.0202511502553155</v>
      </c>
      <c r="T2624" s="38" t="n">
        <f aca="false">SUMPRODUCT(--(Sens!$R$2590:$AA$2590&lt;Sens!T$2590),Sens!$R$2622:$AA$2622)/fac_life</f>
        <v>0.360549480652134</v>
      </c>
      <c r="U2624" s="38" t="n">
        <f aca="false">SUMPRODUCT(--(Sens!$R$2590:$AA$2590&lt;Sens!U$2590),Sens!$R$2622:$AA$2622)/fac_life</f>
        <v>1.29709472025025</v>
      </c>
      <c r="V2624" s="38" t="n">
        <f aca="false">SUMPRODUCT(--(Sens!$R$2590:$AA$2590&lt;Sens!V$2590),Sens!$R$2622:$AA$2622)/fac_life</f>
        <v>3.21599529914753</v>
      </c>
      <c r="W2624" s="38" t="n">
        <f aca="false">SUMPRODUCT(--(Sens!$R$2590:$AA$2590&lt;Sens!W$2590),Sens!$R$2622:$AA$2622)/fac_life</f>
        <v>5.51832434914753</v>
      </c>
      <c r="X2624" s="38" t="n">
        <f aca="false">SUMPRODUCT(--(Sens!$R$2590:$AA$2590&lt;Sens!X$2590),Sens!$R$2622:$AA$2622)/fac_life</f>
        <v>7.82065339914753</v>
      </c>
      <c r="Y2624" s="38" t="n">
        <f aca="false">SUMPRODUCT(--(Sens!$R$2590:$AA$2590&lt;Sens!Y$2590),Sens!$R$2622:$AA$2622)/fac_life</f>
        <v>10.1229824491475</v>
      </c>
      <c r="Z2624" s="38" t="n">
        <f aca="false">SUMPRODUCT(--(Sens!$R$2590:$AA$2590&lt;Sens!Z$2590),Sens!$R$2622:$AA$2622)/fac_life</f>
        <v>12.4253114991475</v>
      </c>
      <c r="AA2624" s="38" t="n">
        <f aca="false">SUMPRODUCT(--(Sens!$R$2590:$AA$2590&lt;Sens!AA$2590),Sens!$R$2622:$AA$2622)/fac_life</f>
        <v>14.7276405491475</v>
      </c>
    </row>
    <row r="2625" customFormat="false" ht="17.15" hidden="false" customHeight="false" outlineLevel="0" collapsed="false">
      <c r="A2625" s="1" t="s">
        <v>593</v>
      </c>
      <c r="B2625" s="8" t="s">
        <v>73</v>
      </c>
      <c r="C2625" s="38" t="n">
        <f aca="false">Sens!$C$2623+Sens!$C$2624</f>
        <v>0.203463948620839</v>
      </c>
      <c r="D2625" s="38" t="n">
        <f aca="false">Sens!$D$2623+Sens!$D$2624</f>
        <v>3.62245206231783</v>
      </c>
      <c r="E2625" s="38" t="n">
        <f aca="false">Sens!$E$2623+Sens!$E$2624</f>
        <v>6.51597588754466</v>
      </c>
      <c r="F2625" s="38" t="n">
        <f aca="false">Sens!$F$2623+Sens!$F$2624</f>
        <v>6.51597588754466</v>
      </c>
      <c r="G2625" s="38" t="n">
        <f aca="false">Sens!$G$2623+Sens!$G$2624</f>
        <v>13.0319517750893</v>
      </c>
      <c r="H2625" s="38" t="n">
        <f aca="false">Sens!$H$2623+Sens!$H$2624</f>
        <v>35.2941921973308</v>
      </c>
      <c r="I2625" s="38" t="n">
        <f aca="false">Sens!$I$2623+Sens!$I$2624</f>
        <v>63.0173185714558</v>
      </c>
      <c r="J2625" s="38" t="n">
        <f aca="false">Sens!$J$2623+Sens!$J$2624</f>
        <v>91.7529624398725</v>
      </c>
      <c r="K2625" s="38" t="n">
        <f aca="false">Sens!$K$2623+Sens!$K$2624</f>
        <v>121.178188209924</v>
      </c>
      <c r="L2625" s="38" t="n">
        <f aca="false">Sens!$L$2623+Sens!$L$2624</f>
        <v>148.58073169504</v>
      </c>
      <c r="M2625" s="38" t="n">
        <f aca="false">Sens!$M$2623+Sens!$M$2624</f>
        <v>176.698573390283</v>
      </c>
      <c r="N2625" s="38" t="n">
        <f aca="false">Sens!$N$2623+Sens!$N$2624</f>
        <v>1.81122603115892</v>
      </c>
      <c r="O2625" s="38" t="n">
        <f aca="false">Sens!$O$2623+Sens!$O$2624</f>
        <v>1.81122603115892</v>
      </c>
      <c r="R2625" s="38" t="n">
        <f aca="false">Sens!$R$2623+Sens!$R$2624</f>
        <v>0</v>
      </c>
      <c r="S2625" s="38" t="n">
        <f aca="false">Sens!$S$2623+Sens!$S$2624</f>
        <v>0.203463948620839</v>
      </c>
      <c r="T2625" s="38" t="n">
        <f aca="false">Sens!$T$2623+Sens!$T$2624</f>
        <v>3.62245206231783</v>
      </c>
      <c r="U2625" s="38" t="n">
        <f aca="false">Sens!$U$2623+Sens!$U$2624</f>
        <v>13.0319517750893</v>
      </c>
      <c r="V2625" s="38" t="n">
        <f aca="false">Sens!$V$2623+Sens!$V$2624</f>
        <v>35.2941921973308</v>
      </c>
      <c r="W2625" s="38" t="n">
        <f aca="false">Sens!$W$2623+Sens!$W$2624</f>
        <v>63.0173185714558</v>
      </c>
      <c r="X2625" s="38" t="n">
        <f aca="false">Sens!$X$2623+Sens!$X$2624</f>
        <v>91.7529624398725</v>
      </c>
      <c r="Y2625" s="38" t="n">
        <f aca="false">Sens!$Y$2623+Sens!$Y$2624</f>
        <v>121.178188209924</v>
      </c>
      <c r="Z2625" s="38" t="n">
        <f aca="false">Sens!$Z$2623+Sens!$Z$2624</f>
        <v>148.58073169504</v>
      </c>
      <c r="AA2625" s="38" t="n">
        <f aca="false">Sens!$AA$2623+Sens!$AA$2624</f>
        <v>176.698573390283</v>
      </c>
    </row>
    <row r="2626" customFormat="false" ht="17.15" hidden="false" customHeight="false" outlineLevel="0" collapsed="false">
      <c r="A2626" s="0" t="s">
        <v>594</v>
      </c>
      <c r="B2626" s="0" t="s">
        <v>73</v>
      </c>
      <c r="C2626" s="38" t="n">
        <f aca="false">Sens!$S$2626</f>
        <v>26.578941154416</v>
      </c>
      <c r="D2626" s="38" t="n">
        <f aca="false">Sens!$T$2626</f>
        <v>92.5251207231008</v>
      </c>
      <c r="G2626" s="38" t="n">
        <f aca="false">Sens!$U$2626</f>
        <v>239.931219586022</v>
      </c>
      <c r="H2626" s="38" t="n">
        <f aca="false">Sens!$V$2626</f>
        <v>403.208392333442</v>
      </c>
      <c r="I2626" s="38" t="n">
        <f aca="false">Sens!$W$2626</f>
        <v>544.837543672486</v>
      </c>
      <c r="J2626" s="38" t="n">
        <f aca="false">Sens!$X$2626</f>
        <v>662.967819343113</v>
      </c>
      <c r="K2626" s="38" t="n">
        <f aca="false">Sens!$Y$2626</f>
        <v>756.90963744369</v>
      </c>
      <c r="L2626" s="38" t="n">
        <f aca="false">Sens!$Z$2626</f>
        <v>860.10628945915</v>
      </c>
      <c r="M2626" s="38" t="n">
        <f aca="false">Sens!$AA$2626</f>
        <v>995.283560834616</v>
      </c>
      <c r="R2626" s="38" t="n">
        <f aca="false">SUM(Sens!$R$2619:$R$2619)-SUM(Sens!$R$2625:$R$2625)</f>
        <v>1.50429979529945</v>
      </c>
      <c r="S2626" s="38" t="n">
        <f aca="false">SUM(Sens!$R$2619:$S$2619)-SUM(Sens!$R$2625:$S$2625)</f>
        <v>26.578941154416</v>
      </c>
      <c r="T2626" s="38" t="n">
        <f aca="false">SUM(Sens!$R$2619:$T$2619)-SUM(Sens!$R$2625:$T$2625)</f>
        <v>92.5251207231008</v>
      </c>
      <c r="U2626" s="38" t="n">
        <f aca="false">SUM(Sens!$R$2619:$U$2619)-SUM(Sens!$R$2625:$U$2625)</f>
        <v>239.931219586022</v>
      </c>
      <c r="V2626" s="38" t="n">
        <f aca="false">SUM(Sens!$R$2619:$V$2619)-SUM(Sens!$R$2625:$V$2625)</f>
        <v>403.208392333442</v>
      </c>
      <c r="W2626" s="38" t="n">
        <f aca="false">SUM(Sens!$R$2619:$W$2619)-SUM(Sens!$R$2625:$W$2625)</f>
        <v>544.837543672486</v>
      </c>
      <c r="X2626" s="38" t="n">
        <f aca="false">SUM(Sens!$R$2619:$X$2619)-SUM(Sens!$R$2625:$X$2625)</f>
        <v>662.967819343113</v>
      </c>
      <c r="Y2626" s="38" t="n">
        <f aca="false">SUM(Sens!$R$2619:$Y$2619)-SUM(Sens!$R$2625:$Y$2625)</f>
        <v>756.90963744369</v>
      </c>
      <c r="Z2626" s="38" t="n">
        <f aca="false">SUM(Sens!$R$2619:$Z$2619)-SUM(Sens!$R$2625:$Z$2625)</f>
        <v>860.10628945915</v>
      </c>
      <c r="AA2626" s="38" t="n">
        <f aca="false">SUM(Sens!$R$2619:$AA$2619)-SUM(Sens!$R$2625:$AA$2625)</f>
        <v>995.283560834616</v>
      </c>
    </row>
    <row r="2627" customFormat="false" ht="17.15" hidden="false" customHeight="false" outlineLevel="0" collapsed="false">
      <c r="A2627" s="1" t="s">
        <v>595</v>
      </c>
    </row>
    <row r="2628" customFormat="false" ht="17.15" hidden="false" customHeight="false" outlineLevel="0" collapsed="false">
      <c r="A2628" s="0" t="s">
        <v>596</v>
      </c>
      <c r="B2628" s="0" t="s">
        <v>73</v>
      </c>
      <c r="C2628" s="38" t="n">
        <f aca="false">Sens!$C$2610-ext_sh*Sens!$C$2612</f>
        <v>1.80694998843362</v>
      </c>
      <c r="D2628" s="38" t="n">
        <f aca="false">Sens!$D$2610-ext_sh*Sens!$D$2612</f>
        <v>6.77606245662607</v>
      </c>
      <c r="E2628" s="38" t="n">
        <f aca="false">Sens!$E$2610-ext_sh*Sens!$E$2612</f>
        <v>6.62548329092326</v>
      </c>
      <c r="F2628" s="38" t="n">
        <f aca="false">Sens!$F$2610-ext_sh*Sens!$F$2612</f>
        <v>11.7200577158706</v>
      </c>
      <c r="G2628" s="38" t="n">
        <f aca="false">Sens!$G$2610-ext_sh*Sens!$G$2612</f>
        <v>18.3455410067939</v>
      </c>
      <c r="H2628" s="38" t="n">
        <f aca="false">Sens!$H$2610-ext_sh*Sens!$H$2612</f>
        <v>47.5171727060453</v>
      </c>
      <c r="I2628" s="38" t="n">
        <f aca="false">Sens!$I$2610-ext_sh*Sens!$I$2612</f>
        <v>80.5539692643667</v>
      </c>
      <c r="J2628" s="38" t="n">
        <f aca="false">Sens!$J$2610-ext_sh*Sens!$J$2612</f>
        <v>113.759316834883</v>
      </c>
      <c r="K2628" s="38" t="n">
        <f aca="false">Sens!$K$2610-ext_sh*Sens!$K$2612</f>
        <v>147.020848076132</v>
      </c>
      <c r="L2628" s="38" t="n">
        <f aca="false">Sens!$L$2610-ext_sh*Sens!$L$2612</f>
        <v>180.307917349531</v>
      </c>
      <c r="M2628" s="38" t="n">
        <f aca="false">Sens!$M$2610-ext_sh*Sens!$M$2612</f>
        <v>213.608737871012</v>
      </c>
      <c r="N2628" s="38" t="n">
        <f aca="false">Sens!$N$2610-ext_sh*Sens!$N$2612</f>
        <v>2.37162185981912</v>
      </c>
      <c r="O2628" s="38" t="n">
        <f aca="false">Sens!$O$2610-ext_sh*Sens!$O$2612</f>
        <v>4.40444059680694</v>
      </c>
    </row>
    <row r="2629" customFormat="false" ht="17.15" hidden="false" customHeight="false" outlineLevel="0" collapsed="false">
      <c r="A2629" s="1" t="s">
        <v>597</v>
      </c>
      <c r="B2629" s="8" t="s">
        <v>73</v>
      </c>
      <c r="C2629" s="38" t="n">
        <f aca="false">Sens!$C$2628-ext_sh*Sens!$C$2625</f>
        <v>1.64417882953695</v>
      </c>
      <c r="D2629" s="38" t="n">
        <f aca="false">Sens!$D$2628-ext_sh*Sens!$D$2625</f>
        <v>3.8781008067718</v>
      </c>
      <c r="E2629" s="38" t="n">
        <f aca="false">Sens!$E$2628-ext_sh*Sens!$E$2625</f>
        <v>1.41270258088753</v>
      </c>
      <c r="F2629" s="38" t="n">
        <f aca="false">Sens!$F$2628-ext_sh*Sens!$F$2625</f>
        <v>6.50727700583486</v>
      </c>
      <c r="G2629" s="38" t="n">
        <f aca="false">Sens!$G$2628-ext_sh*Sens!$G$2625</f>
        <v>7.9199795867224</v>
      </c>
      <c r="H2629" s="38" t="n">
        <f aca="false">Sens!$H$2628-ext_sh*Sens!$H$2625</f>
        <v>19.2818189481807</v>
      </c>
      <c r="I2629" s="38" t="n">
        <f aca="false">Sens!$I$2628-ext_sh*Sens!$I$2625</f>
        <v>30.140114407202</v>
      </c>
      <c r="J2629" s="38" t="n">
        <f aca="false">Sens!$J$2628-ext_sh*Sens!$J$2625</f>
        <v>40.3569468829854</v>
      </c>
      <c r="K2629" s="38" t="n">
        <f aca="false">Sens!$K$2628-ext_sh*Sens!$K$2625</f>
        <v>50.0782975081929</v>
      </c>
      <c r="L2629" s="38" t="n">
        <f aca="false">Sens!$L$2628-ext_sh*Sens!$L$2625</f>
        <v>61.443331993499</v>
      </c>
      <c r="M2629" s="38" t="n">
        <f aca="false">Sens!$M$2628-ext_sh*Sens!$M$2625</f>
        <v>72.2498791587849</v>
      </c>
      <c r="N2629" s="38" t="n">
        <f aca="false">Sens!$N$2628-ext_sh*Sens!$N$2625</f>
        <v>0.92264103489199</v>
      </c>
      <c r="O2629" s="38" t="n">
        <f aca="false">Sens!$O$2628-ext_sh*Sens!$O$2625</f>
        <v>2.95545977187981</v>
      </c>
    </row>
    <row r="2630" customFormat="false" ht="17.15" hidden="false" customHeight="false" outlineLevel="0" collapsed="false">
      <c r="A2630" s="0" t="s">
        <v>598</v>
      </c>
      <c r="B2630" s="0" t="s">
        <v>52</v>
      </c>
      <c r="C2630" s="12" t="n">
        <f aca="false">Sens!$C$2629/Sens!$C$2610</f>
        <v>0.708390794789371</v>
      </c>
      <c r="D2630" s="12" t="n">
        <f aca="false">Sens!$D$2629/Sens!$D$2610</f>
        <v>0.445565630441968</v>
      </c>
      <c r="E2630" s="12" t="n">
        <f aca="false">Sens!$E$2629/Sens!$E$2610</f>
        <v>0.165998118402711</v>
      </c>
      <c r="F2630" s="12" t="n">
        <f aca="false">Sens!$F$2629/Sens!$F$2610</f>
        <v>0.434878595403858</v>
      </c>
      <c r="G2630" s="12" t="n">
        <f aca="false">Sens!$G$2629/Sens!$G$2610</f>
        <v>0.3373967615381</v>
      </c>
      <c r="H2630" s="12" t="n">
        <f aca="false">Sens!$H$2629/Sens!$H$2610</f>
        <v>0.320477578041224</v>
      </c>
      <c r="I2630" s="12" t="n">
        <f aca="false">Sens!$I$2629/Sens!$I$2610</f>
        <v>0.296936118226494</v>
      </c>
      <c r="J2630" s="12" t="n">
        <f aca="false">Sens!$J$2629/Sens!$J$2610</f>
        <v>0.282166278613001</v>
      </c>
      <c r="K2630" s="12" t="n">
        <f aca="false">Sens!$K$2629/Sens!$K$2610</f>
        <v>0.271267685694333</v>
      </c>
      <c r="L2630" s="12" t="n">
        <f aca="false">Sens!$L$2629/Sens!$L$2610</f>
        <v>0.27160960915653</v>
      </c>
      <c r="M2630" s="12" t="n">
        <f aca="false">Sens!$M$2629/Sens!$M$2610</f>
        <v>0.26974494804234</v>
      </c>
      <c r="N2630" s="12" t="n">
        <f aca="false">Sens!$N$2629/Sens!$N$2610</f>
        <v>0.302870734830849</v>
      </c>
      <c r="O2630" s="12" t="n">
        <f aca="false">Sens!$O$2629/Sens!$O$2610</f>
        <v>0.52240134346334</v>
      </c>
    </row>
    <row r="2631" customFormat="false" ht="17.15" hidden="false" customHeight="false" outlineLevel="0" collapsed="false">
      <c r="A2631" s="5" t="s">
        <v>599</v>
      </c>
      <c r="B2631" s="0" t="s">
        <v>73</v>
      </c>
      <c r="C2631" s="38" t="n">
        <f aca="false">rd2*(1-ext_sh)/ext_sh*Sens!$C$2593*he_open*Sens!$C$2594/1000</f>
        <v>0</v>
      </c>
      <c r="D2631" s="38" t="n">
        <f aca="false">rd2*(1-ext_sh)/ext_sh*Sens!$D$2593*he_open*Sens!$D$2594/1000</f>
        <v>0</v>
      </c>
      <c r="E2631" s="38" t="n">
        <f aca="false">rd2*(1-ext_sh)/ext_sh*Sens!$E$2593*he_open*Sens!$E$2594/1000</f>
        <v>0</v>
      </c>
      <c r="F2631" s="38" t="n">
        <f aca="false">rd2*(1-ext_sh)/ext_sh*(mw_open*he_open+Sens!$F$2608*Sens!$F$2605)*Sens!$F$2594/1000</f>
        <v>0</v>
      </c>
      <c r="G2631" s="38" t="n">
        <f aca="false">Sens!$E$2631+Sens!$F$2631</f>
        <v>0</v>
      </c>
      <c r="H2631" s="38" t="n">
        <f aca="false">rd2*(1-ext_sh)/ext_sh*(mw_open*he_open+Sens!$H$2608*Sens!$H$2605)*Sens!$H$2594/1000</f>
        <v>0</v>
      </c>
      <c r="I2631" s="38" t="n">
        <f aca="false">rd2*(1-ext_sh)/ext_sh*(mw_open*he_open+Sens!$I$2608*Sens!$I$2605)*Sens!$I$2594/1000</f>
        <v>0</v>
      </c>
      <c r="J2631" s="38" t="n">
        <f aca="false">rd2*(1-ext_sh)/ext_sh*(mw_open*he_open+Sens!$J$2608*Sens!$J$2605)*Sens!$J$2594/1000</f>
        <v>0</v>
      </c>
      <c r="K2631" s="38" t="n">
        <f aca="false">rd2*(1-ext_sh)/ext_sh*(mw_open*he_open+Sens!$K$2608*Sens!$K$2605)*Sens!$K$2594/1000</f>
        <v>0</v>
      </c>
      <c r="L2631" s="38" t="n">
        <f aca="false">rd2*(1-ext_sh)/ext_sh*(mw_open*he_open+Sens!$L$2608*Sens!$L$2605)*Sens!$L$2594/1000</f>
        <v>0</v>
      </c>
      <c r="M2631" s="38" t="n">
        <f aca="false">rd2*(1-ext_sh)/ext_sh*(mw_open*he_open+Sens!$M$2608*Sens!$M$2605)*Sens!$M$2594/1000</f>
        <v>0</v>
      </c>
      <c r="N2631" s="38" t="n">
        <f aca="false">rd2*(1-ext_sh)/ext_sh*Sens!$N$2593*he_open*Sens!$N$2594/1000</f>
        <v>0</v>
      </c>
      <c r="O2631" s="38" t="n">
        <f aca="false">rd2*(1-ext_sh)/ext_sh*Sens!$O$2593*he_open*Sens!$O$2594/1000</f>
        <v>0</v>
      </c>
      <c r="P2631" s="8" t="s">
        <v>600</v>
      </c>
    </row>
    <row r="2632" customFormat="false" ht="17.15" hidden="false" customHeight="false" outlineLevel="0" collapsed="false">
      <c r="A2632" s="5" t="s">
        <v>601</v>
      </c>
      <c r="B2632" s="0" t="s">
        <v>73</v>
      </c>
      <c r="C2632" s="38" t="n">
        <f aca="false">(1-ext_sh)*(Sens!$C$2612+Sens!$C$2625)-Sens!$C$2631</f>
        <v>0.169206631859174</v>
      </c>
      <c r="D2632" s="38" t="n">
        <f aca="false">(1-ext_sh)*(Sens!$D$2612+Sens!$D$2625)-Sens!$D$2631</f>
        <v>1.20641732046984</v>
      </c>
      <c r="E2632" s="38" t="n">
        <f aca="false">(1-ext_sh)*(Sens!$E$2612+Sens!$E$2625)-Sens!$E$2631</f>
        <v>1.77441259867062</v>
      </c>
      <c r="F2632" s="38" t="n">
        <f aca="false">(1-ext_sh)*(Sens!$F$2612+Sens!$F$2625)-Sens!$F$2631</f>
        <v>2.1140391597214</v>
      </c>
      <c r="G2632" s="38" t="n">
        <f aca="false">(1-ext_sh)*(Sens!$G$2612+Sens!$G$2625)-Sens!$G$2631</f>
        <v>3.88845175839202</v>
      </c>
      <c r="H2632" s="38" t="n">
        <f aca="false">(1-ext_sh)*(Sens!$H$2612+Sens!$H$2625)-Sens!$H$2631</f>
        <v>10.2210179503985</v>
      </c>
      <c r="I2632" s="38" t="n">
        <f aca="false">(1-ext_sh)*(Sens!$I$2612+Sens!$I$2625)-Sens!$I$2631</f>
        <v>17.8408961823075</v>
      </c>
      <c r="J2632" s="38" t="n">
        <f aca="false">(1-ext_sh)*(Sens!$J$2612+Sens!$J$2625)-Sens!$J$2631</f>
        <v>25.6671150670732</v>
      </c>
      <c r="K2632" s="38" t="n">
        <f aca="false">(1-ext_sh)*(Sens!$K$2612+Sens!$K$2625)-Sens!$K$2631</f>
        <v>33.6325293834986</v>
      </c>
      <c r="L2632" s="38" t="n">
        <f aca="false">(1-ext_sh)*(Sens!$L$2612+Sens!$L$2625)-Sens!$L$2631</f>
        <v>41.1939886299065</v>
      </c>
      <c r="M2632" s="38" t="n">
        <f aca="false">(1-ext_sh)*(Sens!$M$2612+Sens!$M$2625)-Sens!$M$2631</f>
        <v>48.8988205728617</v>
      </c>
      <c r="N2632" s="38" t="n">
        <f aca="false">(1-ext_sh)*(Sens!$N$2612+Sens!$N$2625)-Sens!$N$2631</f>
        <v>0.530919624033979</v>
      </c>
      <c r="O2632" s="38" t="n">
        <f aca="false">(1-ext_sh)*(Sens!$O$2612+Sens!$O$2625)-Sens!$O$2631</f>
        <v>0.675497696435861</v>
      </c>
    </row>
    <row r="2633" customFormat="false" ht="17.15" hidden="false" customHeight="false" outlineLevel="0" collapsed="false">
      <c r="A2633" s="0" t="s">
        <v>602</v>
      </c>
      <c r="B2633" s="0" t="s">
        <v>73</v>
      </c>
      <c r="C2633" s="38" t="n">
        <f aca="false">Q!$D$24</f>
        <v>39.834</v>
      </c>
      <c r="D2633" s="38" t="n">
        <f aca="false">Q!$E$24</f>
        <v>45.606</v>
      </c>
      <c r="E2633" s="38" t="n">
        <f aca="false">Q!$P$24</f>
        <v>30.782</v>
      </c>
      <c r="N2633" s="38" t="n">
        <f aca="false">Q!$N$24</f>
        <v>21.707</v>
      </c>
      <c r="O2633" s="38" t="n">
        <f aca="false">Q!$O$24</f>
        <v>23.899</v>
      </c>
    </row>
    <row r="2634" customFormat="false" ht="17.15" hidden="false" customHeight="false" outlineLevel="0" collapsed="false">
      <c r="A2634" s="0" t="s">
        <v>603</v>
      </c>
      <c r="B2634" s="0" t="s">
        <v>73</v>
      </c>
      <c r="C2634" s="38" t="n">
        <f aca="false">Sens!$C$2633-Sens!$C$2629</f>
        <v>38.1898211704631</v>
      </c>
      <c r="D2634" s="38" t="n">
        <f aca="false">Sens!$D$2633-Sens!$D$2629</f>
        <v>41.7278991932282</v>
      </c>
      <c r="E2634" s="38" t="n">
        <f aca="false">Sens!$E$2633-Sens!$E$2629</f>
        <v>29.3692974191125</v>
      </c>
      <c r="F2634" s="38" t="n">
        <f aca="false">Sens!$F$2614*Sens!$F$2635</f>
        <v>29.458060516894</v>
      </c>
      <c r="G2634" s="38" t="n">
        <f aca="false">Sens!$E$2634+Sens!$F$2634</f>
        <v>58.8273579360065</v>
      </c>
      <c r="H2634" s="38" t="n">
        <f aca="false">Sens!$H$2614*Sens!$H$2635</f>
        <v>67.3790155306315</v>
      </c>
      <c r="I2634" s="38" t="n">
        <f aca="false">Sens!$I$2614*Sens!$I$2635</f>
        <v>77.4513759215826</v>
      </c>
      <c r="J2634" s="38" t="n">
        <f aca="false">Sens!$J$2614*Sens!$J$2635</f>
        <v>85.1766894773914</v>
      </c>
      <c r="K2634" s="38" t="n">
        <f aca="false">Sens!$K$2614*Sens!$K$2635</f>
        <v>89.435523951261</v>
      </c>
      <c r="L2634" s="38" t="n">
        <f aca="false">Sens!$L$2614*Sens!$L$2635</f>
        <v>93.907300148824</v>
      </c>
      <c r="M2634" s="38" t="n">
        <f aca="false">Sens!$M$2614*Sens!$M$2635</f>
        <v>98.6026651562652</v>
      </c>
      <c r="N2634" s="38" t="n">
        <f aca="false">Sens!$N$2633-Sens!$N$2629</f>
        <v>20.784358965108</v>
      </c>
      <c r="O2634" s="38" t="n">
        <f aca="false">Sens!$O$2633-Sens!$O$2629</f>
        <v>20.9435402281202</v>
      </c>
      <c r="P2634" s="5" t="s">
        <v>604</v>
      </c>
    </row>
    <row r="2635" customFormat="false" ht="17.15" hidden="false" customHeight="false" outlineLevel="0" collapsed="false">
      <c r="A2635" s="0" t="s">
        <v>605</v>
      </c>
      <c r="B2635" s="0" t="s">
        <v>52</v>
      </c>
      <c r="C2635" s="12" t="n">
        <f aca="false">Sens!$C$2634/Sens!$C$2614</f>
        <v>0.362900395443635</v>
      </c>
      <c r="D2635" s="12" t="n">
        <f aca="false">Sens!$D$2634/Sens!$D$2614</f>
        <v>0.34767098474203</v>
      </c>
      <c r="E2635" s="12" t="n">
        <f aca="false">Sens!$E$2634/Sens!$E$2614</f>
        <v>0.411861655558416</v>
      </c>
      <c r="F2635" s="12" t="n">
        <f aca="false">(Sens!$O$2634+Sens!$E$2634)/(Sens!$O$2614+Sens!$E$2614)</f>
        <v>0.37480827803158</v>
      </c>
      <c r="G2635" s="12" t="n">
        <f aca="false">Sens!$G$2634/Sens!$G$2614</f>
        <v>0.392434440489471</v>
      </c>
      <c r="H2635" s="12" t="n">
        <f aca="false">Sens!$F$2635</f>
        <v>0.37480827803158</v>
      </c>
      <c r="I2635" s="12" t="n">
        <f aca="false">Sens!$F$2635</f>
        <v>0.37480827803158</v>
      </c>
      <c r="J2635" s="12" t="n">
        <f aca="false">Sens!$F$2635</f>
        <v>0.37480827803158</v>
      </c>
      <c r="K2635" s="12" t="n">
        <f aca="false">Sens!$F$2635</f>
        <v>0.37480827803158</v>
      </c>
      <c r="L2635" s="12" t="n">
        <f aca="false">Sens!$F$2635</f>
        <v>0.37480827803158</v>
      </c>
      <c r="M2635" s="12" t="n">
        <f aca="false">Sens!$F$2635</f>
        <v>0.37480827803158</v>
      </c>
      <c r="N2635" s="12" t="n">
        <f aca="false">Sens!$N$2634/Sens!$N$2614</f>
        <v>0.364039571356823</v>
      </c>
      <c r="O2635" s="12" t="n">
        <f aca="false">Sens!$O$2634/Sens!$O$2614</f>
        <v>0.332819892300086</v>
      </c>
      <c r="P2635" s="8" t="s">
        <v>606</v>
      </c>
    </row>
    <row r="2636" customFormat="false" ht="17.15" hidden="false" customHeight="false" outlineLevel="0" collapsed="false">
      <c r="A2636" s="0" t="s">
        <v>607</v>
      </c>
      <c r="B2636" s="0" t="s">
        <v>52</v>
      </c>
      <c r="D2636" s="12" t="n">
        <f aca="false">(Q!$E$31-ext_sh*Sens!$D$2625)/Sens!$D$2614</f>
        <v>0.154572973163571</v>
      </c>
    </row>
    <row r="2637" customFormat="false" ht="17.15" hidden="false" customHeight="false" outlineLevel="0" collapsed="false">
      <c r="A2637" s="0" t="s">
        <v>608</v>
      </c>
      <c r="B2637" s="0" t="s">
        <v>73</v>
      </c>
      <c r="C2637" s="38" t="n">
        <f aca="false">Q!$D$31</f>
        <v>13.32</v>
      </c>
      <c r="D2637" s="38" t="n">
        <f aca="false">Q!$E$31</f>
        <v>21.45</v>
      </c>
      <c r="E2637" s="38" t="n">
        <f aca="false">Q!$P$31</f>
        <v>15.353</v>
      </c>
      <c r="F2637" s="38" t="n">
        <f aca="false">ext_sh*Sens!$F$2625+Sens!$D$2636*Sens!$F$2614</f>
        <v>17.3614451462707</v>
      </c>
      <c r="G2637" s="38" t="n">
        <f aca="false">Sens!$E$2637+Sens!$F$2637</f>
        <v>32.7144451462707</v>
      </c>
      <c r="H2637" s="38" t="n">
        <f aca="false">ext_sh*Sens!$H$2625+Sens!$D$2636*Sens!$H$2614</f>
        <v>56.0228263667984</v>
      </c>
      <c r="I2637" s="38" t="n">
        <f aca="false">ext_sh*Sens!$I$2625+Sens!$D$2636*Sens!$I$2614</f>
        <v>82.3552236942739</v>
      </c>
      <c r="J2637" s="38" t="n">
        <f aca="false">ext_sh*Sens!$J$2625+Sens!$D$2636*Sens!$J$2614</f>
        <v>108.529700132267</v>
      </c>
      <c r="K2637" s="38" t="n">
        <f aca="false">ext_sh*Sens!$K$2625+Sens!$D$2636*Sens!$K$2614</f>
        <v>133.826247257326</v>
      </c>
      <c r="L2637" s="38" t="n">
        <f aca="false">ext_sh*Sens!$L$2625+Sens!$D$2636*Sens!$L$2614</f>
        <v>157.592466879888</v>
      </c>
      <c r="M2637" s="38" t="n">
        <f aca="false">ext_sh*Sens!$M$2625+Sens!$D$2636*Sens!$M$2614</f>
        <v>182.023134312276</v>
      </c>
      <c r="N2637" s="38" t="n">
        <f aca="false">Q!$N$31</f>
        <v>9.234</v>
      </c>
      <c r="O2637" s="38" t="n">
        <f aca="false">Q!$O$31</f>
        <v>12.216</v>
      </c>
    </row>
    <row r="2638" customFormat="false" ht="17.15" hidden="false" customHeight="false" outlineLevel="0" collapsed="false">
      <c r="A2638" s="1" t="s">
        <v>609</v>
      </c>
    </row>
    <row r="2639" customFormat="false" ht="17.15" hidden="false" customHeight="false" outlineLevel="0" collapsed="false">
      <c r="A2639" s="14" t="s">
        <v>610</v>
      </c>
      <c r="B2639" s="13" t="s">
        <v>52</v>
      </c>
      <c r="C2639" s="13"/>
      <c r="D2639" s="13"/>
      <c r="E2639" s="13"/>
      <c r="F2639" s="13"/>
      <c r="G2639" s="16" t="n">
        <f aca="false">Sens!$G$2629*(1-tax)/(ext_sh*(Sens!$D$2626+Sens!$G$2626)/2)</f>
        <v>0.0492184452944045</v>
      </c>
      <c r="H2639" s="16" t="n">
        <f aca="false">Sens!$H$2629*(1-tax)/(ext_sh*(Sens!$G$2626+Sens!$H$2626)/2)</f>
        <v>0.0619414246858107</v>
      </c>
      <c r="I2639" s="16" t="n">
        <f aca="false">Sens!$I$2629*(1-tax)/(ext_sh*(Sens!$H$2626+Sens!$I$2626)/2)</f>
        <v>0.0656831488051666</v>
      </c>
      <c r="J2639" s="16" t="n">
        <f aca="false">Sens!$J$2629*(1-tax)/(ext_sh*(Sens!$I$2626+Sens!$J$2626)/2)</f>
        <v>0.0690334849962116</v>
      </c>
      <c r="K2639" s="16" t="n">
        <f aca="false">Sens!$K$2629*(1-tax)/(ext_sh*(Sens!$J$2626+Sens!$K$2626)/2)</f>
        <v>0.0728680488295485</v>
      </c>
      <c r="L2639" s="16" t="n">
        <f aca="false">Sens!$L$2629*(1-tax)/(ext_sh*(Sens!$K$2626+Sens!$L$2626)/2)</f>
        <v>0.0785052878122331</v>
      </c>
      <c r="M2639" s="16" t="n">
        <f aca="false">Sens!$M$2629*(1-tax)/(ext_sh*(Sens!$L$2626+Sens!$M$2626)/2)</f>
        <v>0.0804526580722741</v>
      </c>
      <c r="N2639" s="13"/>
      <c r="O2639" s="13"/>
      <c r="P2639" s="8" t="s">
        <v>611</v>
      </c>
    </row>
    <row r="2640" customFormat="false" ht="17.15" hidden="false" customHeight="false" outlineLevel="0" collapsed="false">
      <c r="A2640" s="5" t="s">
        <v>612</v>
      </c>
      <c r="B2640" s="0" t="s">
        <v>57</v>
      </c>
      <c r="H2640" s="36" t="n">
        <f aca="false">Sens!$H$2610*1000/(mw_open*he_open+Sens!$H$2608*Sens!$H$2605)</f>
        <v>0.991949006767191</v>
      </c>
      <c r="I2640" s="36" t="n">
        <f aca="false">Sens!$I$2610*1000/(mw_open*he_open+Sens!$I$2608*Sens!$I$2605)</f>
        <v>0.991949006767191</v>
      </c>
      <c r="J2640" s="36" t="n">
        <f aca="false">Sens!$J$2610*1000/(mw_open*he_open+Sens!$J$2608*Sens!$J$2605)</f>
        <v>0.991949006767191</v>
      </c>
      <c r="K2640" s="36" t="n">
        <f aca="false">Sens!$K$2610*1000/(mw_open*he_open+Sens!$K$2608*Sens!$K$2605)</f>
        <v>0.991949006767191</v>
      </c>
      <c r="L2640" s="36" t="n">
        <f aca="false">Sens!$L$2610*1000/(mw_open*he_open+Sens!$L$2608*Sens!$L$2605)</f>
        <v>0.991949006767191</v>
      </c>
      <c r="M2640" s="36" t="n">
        <f aca="false">Sens!$M$2610*1000/(mw_open*he_open+Sens!$M$2608*Sens!$M$2605)</f>
        <v>0.991949006767192</v>
      </c>
    </row>
    <row r="2641" customFormat="false" ht="17.15" hidden="false" customHeight="false" outlineLevel="0" collapsed="false">
      <c r="A2641" s="5" t="s">
        <v>613</v>
      </c>
      <c r="B2641" s="0" t="s">
        <v>57</v>
      </c>
      <c r="H2641" s="36" t="n">
        <f aca="false">Sens!$H$2640*(Sens!$H$2610+wacc*ext_sh*(Sens!$G$2626+Sens!$H$2626)/2/(1-tax)-Sens!$H$2629)/Sens!$H$2610</f>
        <v>1.3149781212103</v>
      </c>
      <c r="I2641" s="36" t="n">
        <f aca="false">Sens!$I$2640*(Sens!$I$2610+wacc*ext_sh*(Sens!$H$2626+Sens!$I$2626)/2/(1-tax)-Sens!$I$2629)/Sens!$I$2610</f>
        <v>1.25742005569107</v>
      </c>
      <c r="J2641" s="36" t="n">
        <f aca="false">Sens!$J$2640*(Sens!$J$2610+wacc*ext_sh*(Sens!$I$2626+Sens!$J$2626)/2/(1-tax)-Sens!$J$2629)/Sens!$J$2610</f>
        <v>1.21838845868559</v>
      </c>
      <c r="K2641" s="36" t="n">
        <f aca="false">Sens!$K$2640*(Sens!$K$2610+wacc*ext_sh*(Sens!$J$2626+Sens!$K$2626)/2/(1-tax)-Sens!$K$2629)/Sens!$K$2610</f>
        <v>1.18402644209548</v>
      </c>
      <c r="L2641" s="36" t="n">
        <f aca="false">Sens!$L$2640*(Sens!$L$2610+wacc*ext_sh*(Sens!$K$2626+Sens!$L$2626)/2/(1-tax)-Sens!$L$2629)/Sens!$L$2610</f>
        <v>1.15111215322059</v>
      </c>
      <c r="M2641" s="36" t="n">
        <f aca="false">Sens!$M$2640*(Sens!$M$2610+wacc*ext_sh*(Sens!$L$2626+Sens!$M$2626)/2/(1-tax)-Sens!$M$2629)/Sens!$M$2610</f>
        <v>1.1397166845677</v>
      </c>
    </row>
    <row r="2642" customFormat="false" ht="17.15" hidden="false" customHeight="false" outlineLevel="0" collapsed="false">
      <c r="A2642" s="5" t="s">
        <v>614</v>
      </c>
      <c r="B2642" s="0" t="s">
        <v>52</v>
      </c>
      <c r="C2642" s="12" t="n">
        <f aca="false">Sens!$C$2611/tk_pq</f>
        <v>0.195316432429398</v>
      </c>
      <c r="D2642" s="12" t="n">
        <f aca="false">Sens!$D$2611/tk_pq</f>
        <v>0.195316432429398</v>
      </c>
      <c r="E2642" s="12" t="n">
        <f aca="false">Sens!$E$2611/tk_pq</f>
        <v>0.195316432429398</v>
      </c>
      <c r="F2642" s="12" t="n">
        <f aca="false">Sens!$F$2611/tk_pq</f>
        <v>0.202241827274866</v>
      </c>
      <c r="G2642" s="12" t="n">
        <f aca="false">Sens!$G$2611/tk_pq</f>
        <v>0.199675016194063</v>
      </c>
      <c r="H2642" s="12" t="n">
        <f aca="false">Sens!$H$2611/tk_pq</f>
        <v>0.212647947710325</v>
      </c>
      <c r="I2642" s="12" t="n">
        <f aca="false">Sens!$I$2611/tk_pq</f>
        <v>0.219285125475351</v>
      </c>
      <c r="J2642" s="12" t="n">
        <f aca="false">Sens!$J$2611/tk_pq</f>
        <v>0.222492493217189</v>
      </c>
      <c r="K2642" s="12" t="n">
        <f aca="false">Sens!$K$2611/tk_pq</f>
        <v>0.224371415939166</v>
      </c>
      <c r="L2642" s="12" t="n">
        <f aca="false">Sens!$L$2611/tk_pq</f>
        <v>0.225603749825993</v>
      </c>
      <c r="M2642" s="12" t="n">
        <f aca="false">Sens!$M$2611/tk_pq</f>
        <v>0.22647376274628</v>
      </c>
      <c r="N2642" s="12" t="n">
        <f aca="false">Sens!$N$2611/tk_pq</f>
        <v>0.195316432429398</v>
      </c>
      <c r="O2642" s="12" t="n">
        <f aca="false">Sens!$O$2611/tk_pq</f>
        <v>0.195316432429398</v>
      </c>
      <c r="P2642" s="5" t="s">
        <v>615</v>
      </c>
    </row>
    <row r="2645" customFormat="false" ht="17.15" hidden="false" customHeight="false" outlineLevel="0" collapsed="false">
      <c r="A2645" s="1" t="s">
        <v>642</v>
      </c>
    </row>
    <row r="2646" customFormat="false" ht="17.15" hidden="false" customHeight="false" outlineLevel="0" collapsed="false">
      <c r="A2646" s="0" t="s">
        <v>643</v>
      </c>
      <c r="B2646" s="0" t="s">
        <v>73</v>
      </c>
      <c r="C2646" s="38" t="n">
        <f aca="false">Sens!$C$2610</f>
        <v>2.32100535697364</v>
      </c>
      <c r="D2646" s="38" t="n">
        <f aca="false">Sens!$D$2610</f>
        <v>8.70377008865116</v>
      </c>
      <c r="E2646" s="38" t="n">
        <f aca="false">Sens!$E$2610</f>
        <v>8.51035297557002</v>
      </c>
      <c r="F2646" s="38" t="n">
        <f aca="false">Sens!$F$2610</f>
        <v>14.9634336447205</v>
      </c>
      <c r="G2646" s="38" t="n">
        <f aca="false">Sens!$G$2610</f>
        <v>23.4737866202905</v>
      </c>
      <c r="H2646" s="38" t="n">
        <f aca="false">Sens!$H$2610</f>
        <v>60.1658907497746</v>
      </c>
      <c r="I2646" s="38" t="n">
        <f aca="false">Sens!$I$2610</f>
        <v>101.503699136432</v>
      </c>
      <c r="J2646" s="38" t="n">
        <f aca="false">Sens!$J$2610</f>
        <v>143.025407151278</v>
      </c>
      <c r="K2646" s="38" t="n">
        <f aca="false">Sens!$K$2610</f>
        <v>184.608415042187</v>
      </c>
      <c r="L2646" s="38" t="n">
        <f aca="false">Sens!$L$2610</f>
        <v>226.219286513125</v>
      </c>
      <c r="M2646" s="38" t="n">
        <f aca="false">Sens!$M$2610</f>
        <v>267.845161450232</v>
      </c>
      <c r="N2646" s="38" t="n">
        <f aca="false">Sens!$N$2610</f>
        <v>3.04631953102791</v>
      </c>
      <c r="O2646" s="38" t="n">
        <f aca="false">Sens!$O$2610</f>
        <v>5.65745055762326</v>
      </c>
      <c r="P2646" s="8" t="s">
        <v>644</v>
      </c>
    </row>
    <row r="2647" customFormat="false" ht="17.15" hidden="false" customHeight="false" outlineLevel="0" collapsed="false">
      <c r="A2647" s="0" t="s">
        <v>645</v>
      </c>
      <c r="B2647" s="0" t="s">
        <v>73</v>
      </c>
      <c r="C2647" s="38" t="n">
        <f aca="false">Sens!$C$2614</f>
        <v>105.234994643026</v>
      </c>
      <c r="D2647" s="38" t="n">
        <f aca="false">Sens!$D$2614</f>
        <v>120.021229911349</v>
      </c>
      <c r="E2647" s="38" t="n">
        <f aca="false">Sens!$E$2614</f>
        <v>71.30864702443</v>
      </c>
      <c r="F2647" s="38" t="n">
        <f aca="false">Sens!$F$2614</f>
        <v>78.5950104186653</v>
      </c>
      <c r="G2647" s="38" t="n">
        <f aca="false">Sens!$G$2614</f>
        <v>149.903657443095</v>
      </c>
      <c r="H2647" s="38" t="n">
        <f aca="false">Sens!$H$2614</f>
        <v>179.769283337318</v>
      </c>
      <c r="I2647" s="38" t="n">
        <f aca="false">Sens!$I$2614</f>
        <v>206.642650286014</v>
      </c>
      <c r="J2647" s="38" t="n">
        <f aca="false">Sens!$J$2614</f>
        <v>227.254024176635</v>
      </c>
      <c r="K2647" s="38" t="n">
        <f aca="false">Sens!$K$2614</f>
        <v>238.616725385466</v>
      </c>
      <c r="L2647" s="38" t="n">
        <f aca="false">Sens!$L$2614</f>
        <v>250.54756165474</v>
      </c>
      <c r="M2647" s="38" t="n">
        <f aca="false">Sens!$M$2614</f>
        <v>263.074939737477</v>
      </c>
      <c r="N2647" s="38" t="n">
        <f aca="false">Sens!$N$2614</f>
        <v>57.0936804689721</v>
      </c>
      <c r="O2647" s="38" t="n">
        <f aca="false">Sens!$O$2614</f>
        <v>62.9275494423768</v>
      </c>
      <c r="P2647" s="8" t="s">
        <v>644</v>
      </c>
    </row>
    <row r="2648" customFormat="false" ht="17.15" hidden="false" customHeight="false" outlineLevel="0" collapsed="false">
      <c r="A2648" s="1" t="s">
        <v>476</v>
      </c>
      <c r="B2648" s="8" t="s">
        <v>73</v>
      </c>
      <c r="C2648" s="38" t="n">
        <f aca="false">Q!$D$7</f>
        <v>107.556</v>
      </c>
      <c r="D2648" s="38" t="n">
        <f aca="false">Q!$E$7</f>
        <v>128.725</v>
      </c>
      <c r="E2648" s="38" t="n">
        <f aca="false">Q!$P$7</f>
        <v>79.819</v>
      </c>
      <c r="F2648" s="38" t="n">
        <f aca="false">Sens!$F$2646+Sens!$F$2647</f>
        <v>93.5584440633857</v>
      </c>
      <c r="G2648" s="38" t="n">
        <f aca="false">Sens!$G$2646+Sens!$G$2647</f>
        <v>173.377444063386</v>
      </c>
      <c r="H2648" s="38" t="n">
        <f aca="false">Sens!$H$2646+Sens!$H$2647</f>
        <v>239.935174087093</v>
      </c>
      <c r="I2648" s="38" t="n">
        <f aca="false">Sens!$I$2646+Sens!$I$2647</f>
        <v>308.146349422446</v>
      </c>
      <c r="J2648" s="38" t="n">
        <f aca="false">Sens!$J$2646+Sens!$J$2647</f>
        <v>370.279431327913</v>
      </c>
      <c r="K2648" s="38" t="n">
        <f aca="false">Sens!$K$2646+Sens!$K$2647</f>
        <v>423.225140427654</v>
      </c>
      <c r="L2648" s="38" t="n">
        <f aca="false">Sens!$L$2646+Sens!$L$2647</f>
        <v>476.766848167865</v>
      </c>
      <c r="M2648" s="38" t="n">
        <f aca="false">Sens!$M$2646+Sens!$M$2647</f>
        <v>530.920101187709</v>
      </c>
      <c r="N2648" s="38" t="n">
        <f aca="false">Q!$N$7</f>
        <v>60.14</v>
      </c>
      <c r="O2648" s="38" t="n">
        <f aca="false">Q!$O$7</f>
        <v>68.585</v>
      </c>
      <c r="P2648" s="5" t="s">
        <v>646</v>
      </c>
    </row>
    <row r="2649" customFormat="false" ht="15" hidden="false" customHeight="false" outlineLevel="0" collapsed="false">
      <c r="A2649" s="3" t="s">
        <v>647</v>
      </c>
      <c r="B2649" s="8" t="s">
        <v>73</v>
      </c>
      <c r="C2649" s="38" t="n">
        <f aca="false">Q!$D$8</f>
        <v>637.959</v>
      </c>
      <c r="D2649" s="38" t="n">
        <f aca="false">Q!$E$8</f>
        <v>716.924</v>
      </c>
      <c r="E2649" s="38" t="n">
        <f aca="false">Q!$P$8</f>
        <v>382.125</v>
      </c>
      <c r="F2649" s="38" t="n">
        <f aca="false">Sens!$F$2583+Sens!$F$2648</f>
        <v>450.494873271816</v>
      </c>
      <c r="G2649" s="38" t="n">
        <f aca="false">Sens!$G$2583+Sens!$G$2648</f>
        <v>832.619873271816</v>
      </c>
      <c r="H2649" s="38" t="n">
        <f aca="false">Sens!$H$2583+Sens!$H$2648</f>
        <v>969.870911708794</v>
      </c>
      <c r="I2649" s="38" t="n">
        <f aca="false">Sens!$I$2583+Sens!$I$2648</f>
        <v>1106.44191912032</v>
      </c>
      <c r="J2649" s="38" t="n">
        <f aca="false">Sens!$J$2583+Sens!$J$2648</f>
        <v>1232.0162536537</v>
      </c>
      <c r="K2649" s="38" t="n">
        <f aca="false">Sens!$K$2583+Sens!$K$2648</f>
        <v>1340.78263252958</v>
      </c>
      <c r="L2649" s="38" t="n">
        <f aca="false">Sens!$L$2583+Sens!$L$2648</f>
        <v>1454.05193791103</v>
      </c>
      <c r="M2649" s="38" t="n">
        <f aca="false">Sens!$M$2583+Sens!$M$2648</f>
        <v>1572.13411973121</v>
      </c>
      <c r="N2649" s="38" t="n">
        <f aca="false">Q!$N$8</f>
        <v>323.369</v>
      </c>
      <c r="O2649" s="38" t="n">
        <f aca="false">Q!$O$8</f>
        <v>393.555</v>
      </c>
    </row>
    <row r="2650" customFormat="false" ht="17.15" hidden="false" customHeight="false" outlineLevel="0" collapsed="false">
      <c r="A2650" s="24" t="s">
        <v>655</v>
      </c>
      <c r="B2650" s="25" t="s">
        <v>73</v>
      </c>
      <c r="C2650" s="39" t="n">
        <f aca="false">Sens!$C$2583-(Sens!$C$2585+Sens!$C$2586)</f>
        <v>0</v>
      </c>
      <c r="D2650" s="39" t="n">
        <f aca="false">Sens!$D$2583-(Sens!$D$2585+Sens!$D$2586)</f>
        <v>0</v>
      </c>
      <c r="E2650" s="39" t="n">
        <f aca="false">Sens!$E$2583-(Sens!$E$2585+Sens!$E$2586)</f>
        <v>0</v>
      </c>
      <c r="F2650" s="39" t="n">
        <f aca="false">Sens!$F$2583-(Sens!$F$2585+Sens!$F$2586)</f>
        <v>0</v>
      </c>
      <c r="G2650" s="39" t="n">
        <f aca="false">Sens!$G$2583-(Sens!$G$2585+Sens!$G$2586)</f>
        <v>0</v>
      </c>
      <c r="H2650" s="39" t="n">
        <f aca="false">Sens!$H$2583-(Sens!$H$2585+Sens!$H$2586)</f>
        <v>0</v>
      </c>
      <c r="I2650" s="39" t="n">
        <f aca="false">Sens!$I$2583-(Sens!$I$2585+Sens!$I$2586)</f>
        <v>0</v>
      </c>
      <c r="J2650" s="39" t="n">
        <f aca="false">Sens!$J$2583-(Sens!$J$2585+Sens!$J$2586)</f>
        <v>0</v>
      </c>
      <c r="K2650" s="39" t="n">
        <f aca="false">Sens!$K$2583-(Sens!$K$2585+Sens!$K$2586)</f>
        <v>0</v>
      </c>
      <c r="L2650" s="39" t="n">
        <f aca="false">Sens!$L$2583-(Sens!$L$2585+Sens!$L$2586)</f>
        <v>0</v>
      </c>
      <c r="M2650" s="39" t="n">
        <f aca="false">Sens!$M$2583-(Sens!$M$2585+Sens!$M$2586)</f>
        <v>0</v>
      </c>
      <c r="N2650" s="39" t="n">
        <f aca="false">Sens!$N$2583-(Sens!$N$2585+Sens!$N$2586)</f>
        <v>0</v>
      </c>
      <c r="O2650" s="39" t="n">
        <f aca="false">Sens!$O$2583-(Sens!$O$2585+Sens!$O$2586)</f>
        <v>0</v>
      </c>
    </row>
    <row r="2651" customFormat="false" ht="17.15" hidden="false" customHeight="false" outlineLevel="0" collapsed="false">
      <c r="A2651" s="24" t="s">
        <v>656</v>
      </c>
      <c r="B2651" s="25" t="s">
        <v>73</v>
      </c>
      <c r="C2651" s="39" t="n">
        <f aca="false">Sens!$C$2646+Sens!$C$2647-Sens!$C$2648</f>
        <v>0</v>
      </c>
      <c r="D2651" s="39" t="n">
        <f aca="false">Sens!$D$2646+Sens!$D$2647-Sens!$D$2648</f>
        <v>0</v>
      </c>
      <c r="E2651" s="39" t="n">
        <f aca="false">Sens!$E$2646+Sens!$E$2647-Sens!$E$2648</f>
        <v>0</v>
      </c>
      <c r="F2651" s="39" t="n">
        <f aca="false">Sens!$F$2646+Sens!$F$2647-Sens!$F$2648</f>
        <v>0</v>
      </c>
      <c r="G2651" s="39" t="n">
        <f aca="false">Sens!$G$2646+Sens!$G$2647-Sens!$G$2648</f>
        <v>0</v>
      </c>
      <c r="H2651" s="39" t="n">
        <f aca="false">Sens!$H$2646+Sens!$H$2647-Sens!$H$2648</f>
        <v>0</v>
      </c>
      <c r="I2651" s="39" t="n">
        <f aca="false">Sens!$I$2646+Sens!$I$2647-Sens!$I$2648</f>
        <v>0</v>
      </c>
      <c r="J2651" s="39" t="n">
        <f aca="false">Sens!$J$2646+Sens!$J$2647-Sens!$J$2648</f>
        <v>0</v>
      </c>
      <c r="K2651" s="39" t="n">
        <f aca="false">Sens!$K$2646+Sens!$K$2647-Sens!$K$2648</f>
        <v>0</v>
      </c>
      <c r="L2651" s="39" t="n">
        <f aca="false">Sens!$L$2646+Sens!$L$2647-Sens!$L$2648</f>
        <v>0</v>
      </c>
      <c r="M2651" s="39" t="n">
        <f aca="false">Sens!$M$2646+Sens!$M$2647-Sens!$M$2648</f>
        <v>0</v>
      </c>
      <c r="N2651" s="39" t="n">
        <f aca="false">Sens!$N$2646+Sens!$N$2647-Sens!$N$2648</f>
        <v>0</v>
      </c>
      <c r="O2651" s="39" t="n">
        <f aca="false">Sens!$O$2646+Sens!$O$2647-Sens!$O$2648</f>
        <v>0</v>
      </c>
    </row>
    <row r="2652" customFormat="false" ht="17.15" hidden="false" customHeight="false" outlineLevel="0" collapsed="false">
      <c r="A2652" s="24" t="s">
        <v>657</v>
      </c>
      <c r="B2652" s="25" t="s">
        <v>73</v>
      </c>
      <c r="C2652" s="39" t="n">
        <f aca="false">Sens!$C$2585+Sens!$C$2586+Sens!$C$2648-Sens!$C$2649</f>
        <v>0</v>
      </c>
      <c r="D2652" s="39" t="n">
        <f aca="false">Sens!$D$2585+Sens!$D$2586+Sens!$D$2648-Sens!$D$2649</f>
        <v>0</v>
      </c>
      <c r="E2652" s="39" t="n">
        <f aca="false">Sens!$E$2585+Sens!$E$2586+Sens!$E$2648-Sens!$E$2649</f>
        <v>0</v>
      </c>
      <c r="F2652" s="39" t="n">
        <f aca="false">Sens!$F$2585+Sens!$F$2586+Sens!$F$2648-Sens!$F$2649</f>
        <v>0</v>
      </c>
      <c r="G2652" s="39" t="n">
        <f aca="false">Sens!$G$2585+Sens!$G$2586+Sens!$G$2648-Sens!$G$2649</f>
        <v>0</v>
      </c>
      <c r="H2652" s="39" t="n">
        <f aca="false">Sens!$H$2585+Sens!$H$2586+Sens!$H$2648-Sens!$H$2649</f>
        <v>0</v>
      </c>
      <c r="I2652" s="39" t="n">
        <f aca="false">Sens!$I$2585+Sens!$I$2586+Sens!$I$2648-Sens!$I$2649</f>
        <v>0</v>
      </c>
      <c r="J2652" s="39" t="n">
        <f aca="false">Sens!$J$2585+Sens!$J$2586+Sens!$J$2648-Sens!$J$2649</f>
        <v>0</v>
      </c>
      <c r="K2652" s="39" t="n">
        <f aca="false">Sens!$K$2585+Sens!$K$2586+Sens!$K$2648-Sens!$K$2649</f>
        <v>0</v>
      </c>
      <c r="L2652" s="39" t="n">
        <f aca="false">Sens!$L$2585+Sens!$L$2586+Sens!$L$2648-Sens!$L$2649</f>
        <v>0</v>
      </c>
      <c r="M2652" s="39" t="n">
        <f aca="false">Sens!$M$2585+Sens!$M$2586+Sens!$M$2648-Sens!$M$2649</f>
        <v>0</v>
      </c>
      <c r="N2652" s="39" t="n">
        <f aca="false">Sens!$N$2585+Sens!$N$2586+Sens!$N$2648-Sens!$N$2649</f>
        <v>0</v>
      </c>
      <c r="O2652" s="39" t="n">
        <f aca="false">Sens!$O$2585+Sens!$O$2586+Sens!$O$2648-Sens!$O$2649</f>
        <v>0</v>
      </c>
    </row>
    <row r="2653" customFormat="false" ht="15" hidden="false" customHeight="false" outlineLevel="0" collapsed="false">
      <c r="A2653" s="5" t="s">
        <v>651</v>
      </c>
      <c r="B2653" s="0" t="s">
        <v>52</v>
      </c>
      <c r="G2653" s="12" t="n">
        <f aca="false">Sens!$G$2649/Sens!$D$2649-1</f>
        <v>0.161378156222718</v>
      </c>
      <c r="H2653" s="12" t="n">
        <f aca="false">Sens!$H$2649/Sens!$G$2649-1</f>
        <v>0.164842376266668</v>
      </c>
      <c r="I2653" s="12" t="n">
        <f aca="false">Sens!$I$2649/Sens!$H$2649-1</f>
        <v>0.140813592574813</v>
      </c>
      <c r="J2653" s="12" t="n">
        <f aca="false">Sens!$J$2649/Sens!$I$2649-1</f>
        <v>0.113493833127019</v>
      </c>
      <c r="K2653" s="12" t="n">
        <f aca="false">Sens!$K$2649/Sens!$J$2649-1</f>
        <v>0.088283233726276</v>
      </c>
      <c r="L2653" s="12" t="n">
        <f aca="false">Sens!$L$2649/Sens!$K$2649-1</f>
        <v>0.0844799914865781</v>
      </c>
      <c r="M2653" s="12" t="n">
        <f aca="false">Sens!$M$2649/Sens!$L$2649-1</f>
        <v>0.0812090536393255</v>
      </c>
    </row>
    <row r="2654" customFormat="false" ht="17.15" hidden="false" customHeight="false" outlineLevel="0" collapsed="false">
      <c r="A2654" s="0" t="s">
        <v>652</v>
      </c>
      <c r="B2654" s="0" t="s">
        <v>52</v>
      </c>
      <c r="C2654" s="12" t="n">
        <f aca="false">Sens!$C$2648/Sens!$C$2649</f>
        <v>0.168593906504964</v>
      </c>
      <c r="D2654" s="12" t="n">
        <f aca="false">Sens!$D$2648/Sens!$D$2649</f>
        <v>0.179551807444025</v>
      </c>
      <c r="E2654" s="12" t="n">
        <f aca="false">Sens!$E$2648/Sens!$E$2649</f>
        <v>0.208881910369643</v>
      </c>
      <c r="F2654" s="12" t="n">
        <f aca="false">Sens!$F$2648/Sens!$F$2649</f>
        <v>0.207679264769203</v>
      </c>
      <c r="G2654" s="12" t="n">
        <f aca="false">Sens!$G$2648/Sens!$G$2649</f>
        <v>0.208231210458731</v>
      </c>
      <c r="H2654" s="12" t="n">
        <f aca="false">Sens!$H$2648/Sens!$H$2649</f>
        <v>0.247388772248419</v>
      </c>
      <c r="I2654" s="12" t="n">
        <f aca="false">Sens!$I$2648/Sens!$I$2649</f>
        <v>0.278502056092957</v>
      </c>
      <c r="J2654" s="12" t="n">
        <f aca="false">Sens!$J$2648/Sens!$J$2649</f>
        <v>0.300547521373848</v>
      </c>
      <c r="K2654" s="12" t="n">
        <f aca="false">Sens!$K$2648/Sens!$K$2649</f>
        <v>0.315655297256632</v>
      </c>
      <c r="L2654" s="12" t="n">
        <f aca="false">Sens!$L$2648/Sens!$L$2649</f>
        <v>0.327888458271177</v>
      </c>
      <c r="M2654" s="12" t="n">
        <f aca="false">Sens!$M$2648/Sens!$M$2649</f>
        <v>0.337706620907433</v>
      </c>
      <c r="N2654" s="12" t="n">
        <f aca="false">Sens!$N$2648/Sens!$N$2649</f>
        <v>0.185979484737251</v>
      </c>
      <c r="O2654" s="12" t="n">
        <f aca="false">Sens!$O$2648/Sens!$O$2649</f>
        <v>0.174270432341096</v>
      </c>
    </row>
    <row r="2655" customFormat="false" ht="17.15" hidden="false" customHeight="false" outlineLevel="0" collapsed="false">
      <c r="A2655" s="0" t="s">
        <v>653</v>
      </c>
      <c r="B2655" s="0" t="s">
        <v>52</v>
      </c>
      <c r="C2655" s="12" t="n">
        <f aca="false">Sens!$C$2646/Sens!$C$2648</f>
        <v>0.0215795060896058</v>
      </c>
      <c r="D2655" s="12" t="n">
        <f aca="false">Sens!$D$2646/Sens!$D$2648</f>
        <v>0.0676152269462122</v>
      </c>
      <c r="E2655" s="12" t="n">
        <f aca="false">Sens!$E$2646/Sens!$E$2648</f>
        <v>0.106620641395783</v>
      </c>
      <c r="F2655" s="12" t="n">
        <f aca="false">Sens!$F$2646/Sens!$F$2648</f>
        <v>0.159936751776064</v>
      </c>
      <c r="G2655" s="12" t="n">
        <f aca="false">Sens!$G$2646/Sens!$G$2648</f>
        <v>0.135391237003751</v>
      </c>
      <c r="H2655" s="12" t="n">
        <f aca="false">Sens!$H$2646/Sens!$H$2648</f>
        <v>0.25075894344668</v>
      </c>
      <c r="I2655" s="12" t="n">
        <f aca="false">Sens!$I$2646/Sens!$I$2648</f>
        <v>0.32940094642263</v>
      </c>
      <c r="J2655" s="12" t="n">
        <f aca="false">Sens!$J$2646/Sens!$J$2648</f>
        <v>0.386263440662513</v>
      </c>
      <c r="K2655" s="12" t="n">
        <f aca="false">Sens!$K$2646/Sens!$K$2648</f>
        <v>0.436194350022891</v>
      </c>
      <c r="L2655" s="12" t="n">
        <f aca="false">Sens!$L$2646/Sens!$L$2648</f>
        <v>0.474486192532991</v>
      </c>
      <c r="M2655" s="12" t="n">
        <f aca="false">Sens!$M$2646/Sens!$M$2648</f>
        <v>0.504492410159348</v>
      </c>
      <c r="N2655" s="12" t="n">
        <f aca="false">Sens!$N$2646/Sens!$N$2648</f>
        <v>0.0506537999838362</v>
      </c>
      <c r="O2655" s="12" t="n">
        <f aca="false">Sens!$O$2646/Sens!$O$2648</f>
        <v>0.0824881615167056</v>
      </c>
    </row>
    <row r="2658" customFormat="false" ht="19.4" hidden="false" customHeight="false" outlineLevel="0" collapsed="false">
      <c r="A2658" s="31" t="s">
        <v>1100</v>
      </c>
    </row>
    <row r="2659" customFormat="false" ht="17.15" hidden="false" customHeight="false" outlineLevel="0" collapsed="false">
      <c r="A2659" s="6" t="s">
        <v>16</v>
      </c>
      <c r="B2659" s="6" t="s">
        <v>17</v>
      </c>
      <c r="C2659" s="20" t="s">
        <v>457</v>
      </c>
      <c r="D2659" s="20" t="s">
        <v>458</v>
      </c>
      <c r="E2659" s="20" t="s">
        <v>540</v>
      </c>
      <c r="F2659" s="20" t="s">
        <v>541</v>
      </c>
      <c r="G2659" s="20" t="s">
        <v>542</v>
      </c>
      <c r="H2659" s="20" t="s">
        <v>543</v>
      </c>
      <c r="I2659" s="20" t="s">
        <v>544</v>
      </c>
      <c r="J2659" s="20" t="s">
        <v>545</v>
      </c>
      <c r="K2659" s="20" t="s">
        <v>546</v>
      </c>
      <c r="L2659" s="20" t="s">
        <v>547</v>
      </c>
      <c r="M2659" s="20" t="s">
        <v>548</v>
      </c>
      <c r="N2659" s="20" t="s">
        <v>549</v>
      </c>
      <c r="O2659" s="20" t="s">
        <v>550</v>
      </c>
      <c r="P2659" s="6" t="s">
        <v>23</v>
      </c>
      <c r="R2659" s="20" t="n">
        <v>2023</v>
      </c>
      <c r="S2659" s="20" t="n">
        <v>2024</v>
      </c>
      <c r="T2659" s="20" t="n">
        <v>2025</v>
      </c>
      <c r="U2659" s="20" t="n">
        <v>2026</v>
      </c>
      <c r="V2659" s="20" t="n">
        <v>2027</v>
      </c>
      <c r="W2659" s="20" t="n">
        <v>2028</v>
      </c>
      <c r="X2659" s="20" t="n">
        <v>2029</v>
      </c>
      <c r="Y2659" s="20" t="n">
        <v>2030</v>
      </c>
      <c r="Z2659" s="20" t="n">
        <v>2031</v>
      </c>
      <c r="AA2659" s="20" t="n">
        <v>2032</v>
      </c>
    </row>
    <row r="2660" customFormat="false" ht="17.15" hidden="false" customHeight="false" outlineLevel="0" collapsed="false">
      <c r="A2660" s="1" t="s">
        <v>668</v>
      </c>
    </row>
    <row r="2661" customFormat="false" ht="15" hidden="false" customHeight="false" outlineLevel="0" collapsed="false">
      <c r="A2661" s="0" t="s">
        <v>479</v>
      </c>
      <c r="B2661" s="0" t="s">
        <v>73</v>
      </c>
      <c r="C2661" s="38" t="n">
        <f aca="false">Sens!$C$2571</f>
        <v>247.029</v>
      </c>
      <c r="D2661" s="38" t="n">
        <f aca="false">Sens!$D$2571</f>
        <v>269.287</v>
      </c>
      <c r="E2661" s="38" t="n">
        <f aca="false">Sens!$E$2571</f>
        <v>134.686</v>
      </c>
      <c r="F2661" s="38" t="n">
        <f aca="false">Sens!$F$2571</f>
        <v>160.728085930082</v>
      </c>
      <c r="G2661" s="38" t="n">
        <f aca="false">Sens!$G$2571</f>
        <v>295.414085930082</v>
      </c>
      <c r="H2661" s="38" t="n">
        <f aca="false">Sens!$H$2571</f>
        <v>320.828163943375</v>
      </c>
      <c r="I2661" s="38" t="n">
        <f aca="false">Sens!$I$2571</f>
        <v>344.575578072228</v>
      </c>
      <c r="J2661" s="38" t="n">
        <f aca="false">Sens!$J$2571</f>
        <v>365.942555779681</v>
      </c>
      <c r="K2661" s="38" t="n">
        <f aca="false">Sens!$K$2571</f>
        <v>384.239683568665</v>
      </c>
      <c r="L2661" s="38" t="n">
        <f aca="false">Sens!$L$2571</f>
        <v>403.451667747098</v>
      </c>
      <c r="M2661" s="38" t="n">
        <f aca="false">Sens!$M$2571</f>
        <v>423.624251134453</v>
      </c>
      <c r="N2661" s="38" t="n">
        <f aca="false">Sens!$N$2571</f>
        <v>118.892</v>
      </c>
      <c r="O2661" s="38" t="n">
        <f aca="false">Sens!$O$2571</f>
        <v>150.395</v>
      </c>
    </row>
    <row r="2662" customFormat="false" ht="15" hidden="false" customHeight="false" outlineLevel="0" collapsed="false">
      <c r="A2662" s="0" t="s">
        <v>480</v>
      </c>
      <c r="B2662" s="0" t="s">
        <v>73</v>
      </c>
      <c r="C2662" s="38" t="n">
        <f aca="false">Sens!$C$2573</f>
        <v>21.215</v>
      </c>
      <c r="D2662" s="38" t="n">
        <f aca="false">Sens!$D$2573</f>
        <v>22.561</v>
      </c>
      <c r="E2662" s="38" t="n">
        <f aca="false">Sens!$E$2573</f>
        <v>11.579</v>
      </c>
      <c r="F2662" s="38" t="n">
        <f aca="false">Sens!$F$2573</f>
        <v>12.0952613121125</v>
      </c>
      <c r="G2662" s="38" t="n">
        <f aca="false">Sens!$G$2573</f>
        <v>23.6742613121125</v>
      </c>
      <c r="H2662" s="38" t="n">
        <f aca="false">Sens!$H$2573</f>
        <v>24.8803243963206</v>
      </c>
      <c r="I2662" s="38" t="n">
        <f aca="false">Sens!$I$2573</f>
        <v>25.9741308664154</v>
      </c>
      <c r="J2662" s="38" t="n">
        <f aca="false">Sens!$J$2573</f>
        <v>26.9346894124267</v>
      </c>
      <c r="K2662" s="38" t="n">
        <f aca="false">Sens!$K$2573</f>
        <v>27.7427300947995</v>
      </c>
      <c r="L2662" s="38" t="n">
        <f aca="false">Sens!$L$2573</f>
        <v>28.5750119976435</v>
      </c>
      <c r="M2662" s="38" t="n">
        <f aca="false">Sens!$M$2573</f>
        <v>29.4322623575728</v>
      </c>
      <c r="N2662" s="38" t="n">
        <f aca="false">Sens!$N$2573</f>
        <v>11.128</v>
      </c>
      <c r="O2662" s="38" t="n">
        <f aca="false">Sens!$O$2573</f>
        <v>11.433</v>
      </c>
    </row>
    <row r="2663" customFormat="false" ht="15" hidden="false" customHeight="false" outlineLevel="0" collapsed="false">
      <c r="A2663" s="0" t="s">
        <v>481</v>
      </c>
      <c r="B2663" s="0" t="s">
        <v>73</v>
      </c>
      <c r="C2663" s="38" t="n">
        <f aca="false">Sens!$C$2575</f>
        <v>156.146</v>
      </c>
      <c r="D2663" s="38" t="n">
        <f aca="false">Sens!$D$2575</f>
        <v>172.162</v>
      </c>
      <c r="E2663" s="38" t="n">
        <f aca="false">Sens!$E$2575</f>
        <v>88.358</v>
      </c>
      <c r="F2663" s="38" t="n">
        <f aca="false">Sens!$F$2575</f>
        <v>103.62028337149</v>
      </c>
      <c r="G2663" s="38" t="n">
        <f aca="false">Sens!$G$2575</f>
        <v>191.97828337149</v>
      </c>
      <c r="H2663" s="38" t="n">
        <f aca="false">Sens!$H$2575</f>
        <v>212.128608444755</v>
      </c>
      <c r="I2663" s="38" t="n">
        <f aca="false">Sens!$I$2575</f>
        <v>231.92183134134</v>
      </c>
      <c r="J2663" s="38" t="n">
        <f aca="false">Sens!$J$2575</f>
        <v>250.859136487863</v>
      </c>
      <c r="K2663" s="38" t="n">
        <f aca="false">Sens!$K$2575</f>
        <v>268.419276042014</v>
      </c>
      <c r="L2663" s="38" t="n">
        <f aca="false">Sens!$L$2575</f>
        <v>287.208625364954</v>
      </c>
      <c r="M2663" s="38" t="n">
        <f aca="false">Sens!$M$2575</f>
        <v>307.313229140501</v>
      </c>
      <c r="N2663" s="38" t="n">
        <f aca="false">Sens!$N$2575</f>
        <v>76.86</v>
      </c>
      <c r="O2663" s="38" t="n">
        <f aca="false">Sens!$O$2575</f>
        <v>95.302</v>
      </c>
    </row>
    <row r="2664" customFormat="false" ht="15" hidden="false" customHeight="false" outlineLevel="0" collapsed="false">
      <c r="A2664" s="0" t="s">
        <v>482</v>
      </c>
      <c r="B2664" s="0" t="s">
        <v>73</v>
      </c>
      <c r="C2664" s="38" t="n">
        <f aca="false">Sens!$C$2577</f>
        <v>56.214</v>
      </c>
      <c r="D2664" s="38" t="n">
        <f aca="false">Sens!$D$2577</f>
        <v>68.635</v>
      </c>
      <c r="E2664" s="38" t="n">
        <f aca="false">Sens!$E$2577</f>
        <v>37.052</v>
      </c>
      <c r="F2664" s="38" t="n">
        <f aca="false">Sens!$F$2577</f>
        <v>48.1533381827382</v>
      </c>
      <c r="G2664" s="38" t="n">
        <f aca="false">Sens!$G$2577</f>
        <v>85.2053381827382</v>
      </c>
      <c r="H2664" s="38" t="n">
        <f aca="false">Sens!$H$2577</f>
        <v>102.29336185894</v>
      </c>
      <c r="I2664" s="38" t="n">
        <f aca="false">Sens!$I$2577</f>
        <v>119.379837585241</v>
      </c>
      <c r="J2664" s="38" t="n">
        <f aca="false">Sens!$J$2577</f>
        <v>135.319079048844</v>
      </c>
      <c r="K2664" s="38" t="n">
        <f aca="false">Sens!$K$2577</f>
        <v>148.850986953729</v>
      </c>
      <c r="L2664" s="38" t="n">
        <f aca="false">Sens!$L$2577</f>
        <v>163.736085649102</v>
      </c>
      <c r="M2664" s="38" t="n">
        <f aca="false">Sens!$M$2577</f>
        <v>180.109694214012</v>
      </c>
      <c r="N2664" s="38" t="n">
        <f aca="false">Sens!$N$2577</f>
        <v>29.615</v>
      </c>
      <c r="O2664" s="38" t="n">
        <f aca="false">Sens!$O$2577</f>
        <v>39.02</v>
      </c>
    </row>
    <row r="2665" customFormat="false" ht="15" hidden="false" customHeight="false" outlineLevel="0" collapsed="false">
      <c r="A2665" s="0" t="s">
        <v>483</v>
      </c>
      <c r="B2665" s="0" t="s">
        <v>73</v>
      </c>
      <c r="C2665" s="38" t="n">
        <f aca="false">Sens!$C$2579</f>
        <v>44.374</v>
      </c>
      <c r="D2665" s="38" t="n">
        <f aca="false">Sens!$D$2579</f>
        <v>49.619</v>
      </c>
      <c r="E2665" s="38" t="n">
        <f aca="false">Sens!$E$2579</f>
        <v>27.157</v>
      </c>
      <c r="F2665" s="38" t="n">
        <f aca="false">Sens!$F$2579</f>
        <v>28.9776360923374</v>
      </c>
      <c r="G2665" s="38" t="n">
        <f aca="false">Sens!$G$2579</f>
        <v>56.1346360923374</v>
      </c>
      <c r="H2665" s="38" t="n">
        <f aca="false">Sens!$H$2579</f>
        <v>62.4937078946075</v>
      </c>
      <c r="I2665" s="38" t="n">
        <f aca="false">Sens!$I$2579</f>
        <v>68.6715233062498</v>
      </c>
      <c r="J2665" s="38" t="n">
        <f aca="false">Sens!$J$2579</f>
        <v>74.4692882949818</v>
      </c>
      <c r="K2665" s="38" t="n">
        <f aca="false">Sens!$K$2579</f>
        <v>79.6821384756306</v>
      </c>
      <c r="L2665" s="38" t="n">
        <f aca="false">Sens!$L$2579</f>
        <v>85.2598881689247</v>
      </c>
      <c r="M2665" s="38" t="n">
        <f aca="false">Sens!$M$2579</f>
        <v>91.2280803407494</v>
      </c>
      <c r="N2665" s="38" t="n">
        <f aca="false">Sens!$N$2579</f>
        <v>23.923</v>
      </c>
      <c r="O2665" s="38" t="n">
        <f aca="false">Sens!$O$2579</f>
        <v>25.696</v>
      </c>
    </row>
    <row r="2666" customFormat="false" ht="15" hidden="false" customHeight="false" outlineLevel="0" collapsed="false">
      <c r="A2666" s="0" t="s">
        <v>484</v>
      </c>
      <c r="B2666" s="0" t="s">
        <v>73</v>
      </c>
      <c r="C2666" s="38" t="n">
        <f aca="false">Sens!$C$2581</f>
        <v>5.425</v>
      </c>
      <c r="D2666" s="38" t="n">
        <f aca="false">Sens!$D$2581</f>
        <v>5.935</v>
      </c>
      <c r="E2666" s="38" t="n">
        <f aca="false">Sens!$E$2581</f>
        <v>3.474</v>
      </c>
      <c r="F2666" s="38" t="n">
        <f aca="false">Sens!$F$2581</f>
        <v>3.36182431966931</v>
      </c>
      <c r="G2666" s="38" t="n">
        <f aca="false">Sens!$G$2581</f>
        <v>6.83582431966931</v>
      </c>
      <c r="H2666" s="38" t="n">
        <f aca="false">Sens!$H$2581</f>
        <v>7.31157108370141</v>
      </c>
      <c r="I2666" s="38" t="n">
        <f aca="false">Sens!$I$2581</f>
        <v>7.77266852639815</v>
      </c>
      <c r="J2666" s="38" t="n">
        <f aca="false">Sens!$J$2581</f>
        <v>8.2120733019884</v>
      </c>
      <c r="K2666" s="38" t="n">
        <f aca="false">Sens!$K$2581</f>
        <v>8.62267696708783</v>
      </c>
      <c r="L2666" s="38" t="n">
        <f aca="false">Sens!$L$2581</f>
        <v>9.05381081544222</v>
      </c>
      <c r="M2666" s="38" t="n">
        <f aca="false">Sens!$M$2581</f>
        <v>9.50650135621433</v>
      </c>
      <c r="N2666" s="38" t="n">
        <f aca="false">Sens!$N$2581</f>
        <v>2.811</v>
      </c>
      <c r="O2666" s="38" t="n">
        <f aca="false">Sens!$O$2581</f>
        <v>3.124</v>
      </c>
    </row>
    <row r="2667" customFormat="false" ht="17.15" hidden="false" customHeight="false" outlineLevel="0" collapsed="false">
      <c r="A2667" s="0" t="s">
        <v>669</v>
      </c>
      <c r="B2667" s="0" t="s">
        <v>73</v>
      </c>
      <c r="C2667" s="38" t="n">
        <f aca="false">Sens!$C$2648</f>
        <v>107.556</v>
      </c>
      <c r="D2667" s="38" t="n">
        <f aca="false">Sens!$D$2648</f>
        <v>128.725</v>
      </c>
      <c r="E2667" s="38" t="n">
        <f aca="false">Sens!$E$2648</f>
        <v>79.819</v>
      </c>
      <c r="F2667" s="38" t="n">
        <f aca="false">Sens!$F$2648</f>
        <v>93.5584440633857</v>
      </c>
      <c r="G2667" s="38" t="n">
        <f aca="false">Sens!$G$2648</f>
        <v>173.377444063386</v>
      </c>
      <c r="H2667" s="38" t="n">
        <f aca="false">Sens!$H$2648</f>
        <v>239.935174087093</v>
      </c>
      <c r="I2667" s="38" t="n">
        <f aca="false">Sens!$I$2648</f>
        <v>308.146349422446</v>
      </c>
      <c r="J2667" s="38" t="n">
        <f aca="false">Sens!$J$2648</f>
        <v>370.279431327913</v>
      </c>
      <c r="K2667" s="38" t="n">
        <f aca="false">Sens!$K$2648</f>
        <v>423.225140427654</v>
      </c>
      <c r="L2667" s="38" t="n">
        <f aca="false">Sens!$L$2648</f>
        <v>476.766848167865</v>
      </c>
      <c r="M2667" s="38" t="n">
        <f aca="false">Sens!$M$2648</f>
        <v>530.920101187709</v>
      </c>
      <c r="N2667" s="38" t="n">
        <f aca="false">Sens!$N$2648</f>
        <v>60.14</v>
      </c>
      <c r="O2667" s="38" t="n">
        <f aca="false">Sens!$O$2648</f>
        <v>68.585</v>
      </c>
    </row>
    <row r="2668" customFormat="false" ht="15" hidden="false" customHeight="false" outlineLevel="0" collapsed="false">
      <c r="A2668" s="1" t="s">
        <v>472</v>
      </c>
      <c r="B2668" s="8" t="s">
        <v>73</v>
      </c>
      <c r="C2668" s="38" t="n">
        <f aca="false">Sens!$C$2585</f>
        <v>387.497</v>
      </c>
      <c r="D2668" s="38" t="n">
        <f aca="false">Sens!$D$2585</f>
        <v>426.305</v>
      </c>
      <c r="E2668" s="38" t="n">
        <f aca="false">Sens!$E$2585</f>
        <v>220.32</v>
      </c>
      <c r="F2668" s="38" t="n">
        <f aca="false">Sens!$F$2585</f>
        <v>256.304015003807</v>
      </c>
      <c r="G2668" s="38" t="n">
        <f aca="false">Sens!$G$2585</f>
        <v>476.624015003807</v>
      </c>
      <c r="H2668" s="38" t="n">
        <f aca="false">Sens!$H$2585</f>
        <v>527.734391091543</v>
      </c>
      <c r="I2668" s="38" t="n">
        <f aca="false">Sens!$I$2585</f>
        <v>577.157693029577</v>
      </c>
      <c r="J2668" s="38" t="n">
        <f aca="false">Sens!$J$2585</f>
        <v>623.024923663827</v>
      </c>
      <c r="K2668" s="38" t="n">
        <f aca="false">Sens!$K$2585</f>
        <v>663.382568393781</v>
      </c>
      <c r="L2668" s="38" t="n">
        <f aca="false">Sens!$L$2585</f>
        <v>706.564873010432</v>
      </c>
      <c r="M2668" s="38" t="n">
        <f aca="false">Sens!$M$2585</f>
        <v>752.784687406019</v>
      </c>
      <c r="N2668" s="38" t="n">
        <f aca="false">Sens!$N$2585</f>
        <v>192.955</v>
      </c>
      <c r="O2668" s="38" t="n">
        <f aca="false">Sens!$O$2585</f>
        <v>233.35</v>
      </c>
    </row>
    <row r="2669" customFormat="false" ht="15" hidden="false" customHeight="false" outlineLevel="0" collapsed="false">
      <c r="A2669" s="1" t="s">
        <v>475</v>
      </c>
      <c r="B2669" s="8" t="s">
        <v>73</v>
      </c>
      <c r="C2669" s="38" t="n">
        <f aca="false">Sens!$C$2586</f>
        <v>142.906</v>
      </c>
      <c r="D2669" s="38" t="n">
        <f aca="false">Sens!$D$2586</f>
        <v>161.894</v>
      </c>
      <c r="E2669" s="38" t="n">
        <f aca="false">Sens!$E$2586</f>
        <v>81.986</v>
      </c>
      <c r="F2669" s="38" t="n">
        <f aca="false">Sens!$F$2586</f>
        <v>100.632414204623</v>
      </c>
      <c r="G2669" s="38" t="n">
        <f aca="false">Sens!$G$2586</f>
        <v>182.618414204623</v>
      </c>
      <c r="H2669" s="38" t="n">
        <f aca="false">Sens!$H$2586</f>
        <v>202.201346530158</v>
      </c>
      <c r="I2669" s="38" t="n">
        <f aca="false">Sens!$I$2586</f>
        <v>221.137876668296</v>
      </c>
      <c r="J2669" s="38" t="n">
        <f aca="false">Sens!$J$2586</f>
        <v>238.711898661958</v>
      </c>
      <c r="K2669" s="38" t="n">
        <f aca="false">Sens!$K$2586</f>
        <v>254.174923708144</v>
      </c>
      <c r="L2669" s="38" t="n">
        <f aca="false">Sens!$L$2586</f>
        <v>270.720216732733</v>
      </c>
      <c r="M2669" s="38" t="n">
        <f aca="false">Sens!$M$2586</f>
        <v>288.429331137484</v>
      </c>
      <c r="N2669" s="38" t="n">
        <f aca="false">Sens!$N$2586</f>
        <v>70.274</v>
      </c>
      <c r="O2669" s="38" t="n">
        <f aca="false">Sens!$O$2586</f>
        <v>91.62</v>
      </c>
    </row>
    <row r="2670" customFormat="false" ht="15" hidden="false" customHeight="false" outlineLevel="0" collapsed="false">
      <c r="A2670" s="1" t="s">
        <v>476</v>
      </c>
      <c r="B2670" s="8" t="s">
        <v>73</v>
      </c>
      <c r="C2670" s="38" t="n">
        <f aca="false">Sens!$C$2648</f>
        <v>107.556</v>
      </c>
      <c r="D2670" s="38" t="n">
        <f aca="false">Sens!$D$2648</f>
        <v>128.725</v>
      </c>
      <c r="E2670" s="38" t="n">
        <f aca="false">Sens!$E$2648</f>
        <v>79.819</v>
      </c>
      <c r="F2670" s="38" t="n">
        <f aca="false">Sens!$F$2648</f>
        <v>93.5584440633857</v>
      </c>
      <c r="G2670" s="38" t="n">
        <f aca="false">Sens!$G$2648</f>
        <v>173.377444063386</v>
      </c>
      <c r="H2670" s="38" t="n">
        <f aca="false">Sens!$H$2648</f>
        <v>239.935174087093</v>
      </c>
      <c r="I2670" s="38" t="n">
        <f aca="false">Sens!$I$2648</f>
        <v>308.146349422446</v>
      </c>
      <c r="J2670" s="38" t="n">
        <f aca="false">Sens!$J$2648</f>
        <v>370.279431327913</v>
      </c>
      <c r="K2670" s="38" t="n">
        <f aca="false">Sens!$K$2648</f>
        <v>423.225140427654</v>
      </c>
      <c r="L2670" s="38" t="n">
        <f aca="false">Sens!$L$2648</f>
        <v>476.766848167865</v>
      </c>
      <c r="M2670" s="38" t="n">
        <f aca="false">Sens!$M$2648</f>
        <v>530.920101187709</v>
      </c>
      <c r="N2670" s="38" t="n">
        <f aca="false">Sens!$N$2648</f>
        <v>60.14</v>
      </c>
      <c r="O2670" s="38" t="n">
        <f aca="false">Sens!$O$2648</f>
        <v>68.585</v>
      </c>
    </row>
    <row r="2671" customFormat="false" ht="17.15" hidden="false" customHeight="false" outlineLevel="0" collapsed="false">
      <c r="A2671" s="0" t="s">
        <v>643</v>
      </c>
      <c r="B2671" s="0" t="s">
        <v>73</v>
      </c>
      <c r="C2671" s="38" t="n">
        <f aca="false">Sens!$C$2646</f>
        <v>2.32100535697364</v>
      </c>
      <c r="D2671" s="38" t="n">
        <f aca="false">Sens!$D$2646</f>
        <v>8.70377008865116</v>
      </c>
      <c r="E2671" s="38" t="n">
        <f aca="false">Sens!$E$2646</f>
        <v>8.51035297557002</v>
      </c>
      <c r="F2671" s="38" t="n">
        <f aca="false">Sens!$F$2646</f>
        <v>14.9634336447205</v>
      </c>
      <c r="G2671" s="38" t="n">
        <f aca="false">Sens!$G$2646</f>
        <v>23.4737866202905</v>
      </c>
      <c r="H2671" s="38" t="n">
        <f aca="false">Sens!$H$2646</f>
        <v>60.1658907497746</v>
      </c>
      <c r="I2671" s="38" t="n">
        <f aca="false">Sens!$I$2646</f>
        <v>101.503699136432</v>
      </c>
      <c r="J2671" s="38" t="n">
        <f aca="false">Sens!$J$2646</f>
        <v>143.025407151278</v>
      </c>
      <c r="K2671" s="38" t="n">
        <f aca="false">Sens!$K$2646</f>
        <v>184.608415042187</v>
      </c>
      <c r="L2671" s="38" t="n">
        <f aca="false">Sens!$L$2646</f>
        <v>226.219286513125</v>
      </c>
      <c r="M2671" s="38" t="n">
        <f aca="false">Sens!$M$2646</f>
        <v>267.845161450232</v>
      </c>
      <c r="N2671" s="38" t="n">
        <f aca="false">Sens!$N$2646</f>
        <v>3.04631953102791</v>
      </c>
      <c r="O2671" s="38" t="n">
        <f aca="false">Sens!$O$2646</f>
        <v>5.65745055762326</v>
      </c>
    </row>
    <row r="2672" customFormat="false" ht="17.15" hidden="false" customHeight="false" outlineLevel="0" collapsed="false">
      <c r="A2672" s="0" t="s">
        <v>645</v>
      </c>
      <c r="B2672" s="0" t="s">
        <v>73</v>
      </c>
      <c r="C2672" s="38" t="n">
        <f aca="false">Sens!$C$2647</f>
        <v>105.234994643026</v>
      </c>
      <c r="D2672" s="38" t="n">
        <f aca="false">Sens!$D$2647</f>
        <v>120.021229911349</v>
      </c>
      <c r="E2672" s="38" t="n">
        <f aca="false">Sens!$E$2647</f>
        <v>71.30864702443</v>
      </c>
      <c r="F2672" s="38" t="n">
        <f aca="false">Sens!$F$2647</f>
        <v>78.5950104186653</v>
      </c>
      <c r="G2672" s="38" t="n">
        <f aca="false">Sens!$G$2647</f>
        <v>149.903657443095</v>
      </c>
      <c r="H2672" s="38" t="n">
        <f aca="false">Sens!$H$2647</f>
        <v>179.769283337318</v>
      </c>
      <c r="I2672" s="38" t="n">
        <f aca="false">Sens!$I$2647</f>
        <v>206.642650286014</v>
      </c>
      <c r="J2672" s="38" t="n">
        <f aca="false">Sens!$J$2647</f>
        <v>227.254024176635</v>
      </c>
      <c r="K2672" s="38" t="n">
        <f aca="false">Sens!$K$2647</f>
        <v>238.616725385466</v>
      </c>
      <c r="L2672" s="38" t="n">
        <f aca="false">Sens!$L$2647</f>
        <v>250.54756165474</v>
      </c>
      <c r="M2672" s="38" t="n">
        <f aca="false">Sens!$M$2647</f>
        <v>263.074939737477</v>
      </c>
      <c r="N2672" s="38" t="n">
        <f aca="false">Sens!$N$2647</f>
        <v>57.0936804689721</v>
      </c>
      <c r="O2672" s="38" t="n">
        <f aca="false">Sens!$O$2647</f>
        <v>62.9275494423768</v>
      </c>
    </row>
    <row r="2673" customFormat="false" ht="15" hidden="false" customHeight="false" outlineLevel="0" collapsed="false">
      <c r="A2673" s="3" t="s">
        <v>477</v>
      </c>
      <c r="B2673" s="8" t="s">
        <v>73</v>
      </c>
      <c r="C2673" s="38" t="n">
        <f aca="false">Sens!$C$2649</f>
        <v>637.959</v>
      </c>
      <c r="D2673" s="38" t="n">
        <f aca="false">Sens!$D$2649</f>
        <v>716.924</v>
      </c>
      <c r="E2673" s="38" t="n">
        <f aca="false">Sens!$E$2649</f>
        <v>382.125</v>
      </c>
      <c r="F2673" s="38" t="n">
        <f aca="false">Sens!$F$2649</f>
        <v>450.494873271816</v>
      </c>
      <c r="G2673" s="38" t="n">
        <f aca="false">Sens!$G$2649</f>
        <v>832.619873271816</v>
      </c>
      <c r="H2673" s="38" t="n">
        <f aca="false">Sens!$H$2649</f>
        <v>969.870911708794</v>
      </c>
      <c r="I2673" s="38" t="n">
        <f aca="false">Sens!$I$2649</f>
        <v>1106.44191912032</v>
      </c>
      <c r="J2673" s="38" t="n">
        <f aca="false">Sens!$J$2649</f>
        <v>1232.0162536537</v>
      </c>
      <c r="K2673" s="38" t="n">
        <f aca="false">Sens!$K$2649</f>
        <v>1340.78263252958</v>
      </c>
      <c r="L2673" s="38" t="n">
        <f aca="false">Sens!$L$2649</f>
        <v>1454.05193791103</v>
      </c>
      <c r="M2673" s="38" t="n">
        <f aca="false">Sens!$M$2649</f>
        <v>1572.13411973121</v>
      </c>
      <c r="N2673" s="38" t="n">
        <f aca="false">Sens!$N$2649</f>
        <v>323.369</v>
      </c>
      <c r="O2673" s="38" t="n">
        <f aca="false">Sens!$O$2649</f>
        <v>393.555</v>
      </c>
    </row>
    <row r="2674" customFormat="false" ht="17.15" hidden="false" customHeight="false" outlineLevel="0" collapsed="false">
      <c r="A2674" s="24" t="s">
        <v>655</v>
      </c>
      <c r="B2674" s="25" t="s">
        <v>73</v>
      </c>
      <c r="C2674" s="39" t="n">
        <f aca="false">Sens!$C$2661+Sens!$C$2662+Sens!$C$2663+Sens!$C$2664+Sens!$C$2665+Sens!$C$2666-(Sens!$C$2668+Sens!$C$2669)</f>
        <v>0</v>
      </c>
      <c r="D2674" s="39" t="n">
        <f aca="false">Sens!$D$2661+Sens!$D$2662+Sens!$D$2663+Sens!$D$2664+Sens!$D$2665+Sens!$D$2666-(Sens!$D$2668+Sens!$D$2669)</f>
        <v>0</v>
      </c>
      <c r="E2674" s="39" t="n">
        <f aca="false">Sens!$E$2661+Sens!$E$2662+Sens!$E$2663+Sens!$E$2664+Sens!$E$2665+Sens!$E$2666-(Sens!$E$2668+Sens!$E$2669)</f>
        <v>0</v>
      </c>
      <c r="F2674" s="39" t="n">
        <f aca="false">Sens!$F$2661+Sens!$F$2662+Sens!$F$2663+Sens!$F$2664+Sens!$F$2665+Sens!$F$2666-(Sens!$F$2668+Sens!$F$2669)</f>
        <v>0</v>
      </c>
      <c r="G2674" s="39" t="n">
        <f aca="false">Sens!$G$2661+Sens!$G$2662+Sens!$G$2663+Sens!$G$2664+Sens!$G$2665+Sens!$G$2666-(Sens!$G$2668+Sens!$G$2669)</f>
        <v>0</v>
      </c>
      <c r="H2674" s="39" t="n">
        <f aca="false">Sens!$H$2661+Sens!$H$2662+Sens!$H$2663+Sens!$H$2664+Sens!$H$2665+Sens!$H$2666-(Sens!$H$2668+Sens!$H$2669)</f>
        <v>0</v>
      </c>
      <c r="I2674" s="39" t="n">
        <f aca="false">Sens!$I$2661+Sens!$I$2662+Sens!$I$2663+Sens!$I$2664+Sens!$I$2665+Sens!$I$2666-(Sens!$I$2668+Sens!$I$2669)</f>
        <v>0</v>
      </c>
      <c r="J2674" s="39" t="n">
        <f aca="false">Sens!$J$2661+Sens!$J$2662+Sens!$J$2663+Sens!$J$2664+Sens!$J$2665+Sens!$J$2666-(Sens!$J$2668+Sens!$J$2669)</f>
        <v>0</v>
      </c>
      <c r="K2674" s="39" t="n">
        <f aca="false">Sens!$K$2661+Sens!$K$2662+Sens!$K$2663+Sens!$K$2664+Sens!$K$2665+Sens!$K$2666-(Sens!$K$2668+Sens!$K$2669)</f>
        <v>0</v>
      </c>
      <c r="L2674" s="39" t="n">
        <f aca="false">Sens!$L$2661+Sens!$L$2662+Sens!$L$2663+Sens!$L$2664+Sens!$L$2665+Sens!$L$2666-(Sens!$L$2668+Sens!$L$2669)</f>
        <v>0</v>
      </c>
      <c r="M2674" s="39" t="n">
        <f aca="false">Sens!$M$2661+Sens!$M$2662+Sens!$M$2663+Sens!$M$2664+Sens!$M$2665+Sens!$M$2666-(Sens!$M$2668+Sens!$M$2669)</f>
        <v>0</v>
      </c>
      <c r="N2674" s="39" t="n">
        <f aca="false">Sens!$N$2661+Sens!$N$2662+Sens!$N$2663+Sens!$N$2664+Sens!$N$2665+Sens!$N$2666-(Sens!$N$2668+Sens!$N$2669)</f>
        <v>0</v>
      </c>
      <c r="O2674" s="39" t="n">
        <f aca="false">Sens!$O$2661+Sens!$O$2662+Sens!$O$2663+Sens!$O$2664+Sens!$O$2665+Sens!$O$2666-(Sens!$O$2668+Sens!$O$2669)</f>
        <v>0</v>
      </c>
    </row>
    <row r="2675" customFormat="false" ht="17.15" hidden="false" customHeight="false" outlineLevel="0" collapsed="false">
      <c r="A2675" s="24" t="s">
        <v>656</v>
      </c>
      <c r="B2675" s="25" t="s">
        <v>73</v>
      </c>
      <c r="C2675" s="39" t="n">
        <f aca="false">Sens!$C$2671+Sens!$C$2672-Sens!$C$2670</f>
        <v>0</v>
      </c>
      <c r="D2675" s="39" t="n">
        <f aca="false">Sens!$D$2671+Sens!$D$2672-Sens!$D$2670</f>
        <v>0</v>
      </c>
      <c r="E2675" s="39" t="n">
        <f aca="false">Sens!$E$2671+Sens!$E$2672-Sens!$E$2670</f>
        <v>0</v>
      </c>
      <c r="F2675" s="39" t="n">
        <f aca="false">Sens!$F$2671+Sens!$F$2672-Sens!$F$2670</f>
        <v>0</v>
      </c>
      <c r="G2675" s="39" t="n">
        <f aca="false">Sens!$G$2671+Sens!$G$2672-Sens!$G$2670</f>
        <v>0</v>
      </c>
      <c r="H2675" s="39" t="n">
        <f aca="false">Sens!$H$2671+Sens!$H$2672-Sens!$H$2670</f>
        <v>0</v>
      </c>
      <c r="I2675" s="39" t="n">
        <f aca="false">Sens!$I$2671+Sens!$I$2672-Sens!$I$2670</f>
        <v>0</v>
      </c>
      <c r="J2675" s="39" t="n">
        <f aca="false">Sens!$J$2671+Sens!$J$2672-Sens!$J$2670</f>
        <v>0</v>
      </c>
      <c r="K2675" s="39" t="n">
        <f aca="false">Sens!$K$2671+Sens!$K$2672-Sens!$K$2670</f>
        <v>0</v>
      </c>
      <c r="L2675" s="39" t="n">
        <f aca="false">Sens!$L$2671+Sens!$L$2672-Sens!$L$2670</f>
        <v>0</v>
      </c>
      <c r="M2675" s="39" t="n">
        <f aca="false">Sens!$M$2671+Sens!$M$2672-Sens!$M$2670</f>
        <v>0</v>
      </c>
      <c r="N2675" s="39" t="n">
        <f aca="false">Sens!$N$2671+Sens!$N$2672-Sens!$N$2670</f>
        <v>0</v>
      </c>
      <c r="O2675" s="39" t="n">
        <f aca="false">Sens!$O$2671+Sens!$O$2672-Sens!$O$2670</f>
        <v>0</v>
      </c>
    </row>
    <row r="2676" customFormat="false" ht="17.15" hidden="false" customHeight="false" outlineLevel="0" collapsed="false">
      <c r="A2676" s="24" t="s">
        <v>710</v>
      </c>
      <c r="B2676" s="25" t="s">
        <v>73</v>
      </c>
      <c r="C2676" s="39" t="n">
        <f aca="false">Sens!$C$2661+Sens!$C$2662+Sens!$C$2663+Sens!$C$2664+Sens!$C$2665+Sens!$C$2666+Sens!$C$2667-Sens!$C$2673</f>
        <v>0</v>
      </c>
      <c r="D2676" s="39" t="n">
        <f aca="false">Sens!$D$2661+Sens!$D$2662+Sens!$D$2663+Sens!$D$2664+Sens!$D$2665+Sens!$D$2666+Sens!$D$2667-Sens!$D$2673</f>
        <v>0</v>
      </c>
      <c r="E2676" s="39" t="n">
        <f aca="false">Sens!$E$2661+Sens!$E$2662+Sens!$E$2663+Sens!$E$2664+Sens!$E$2665+Sens!$E$2666+Sens!$E$2667-Sens!$E$2673</f>
        <v>0</v>
      </c>
      <c r="F2676" s="39" t="n">
        <f aca="false">Sens!$F$2661+Sens!$F$2662+Sens!$F$2663+Sens!$F$2664+Sens!$F$2665+Sens!$F$2666+Sens!$F$2667-Sens!$F$2673</f>
        <v>0</v>
      </c>
      <c r="G2676" s="39" t="n">
        <f aca="false">Sens!$G$2661+Sens!$G$2662+Sens!$G$2663+Sens!$G$2664+Sens!$G$2665+Sens!$G$2666+Sens!$G$2667-Sens!$G$2673</f>
        <v>0</v>
      </c>
      <c r="H2676" s="39" t="n">
        <f aca="false">Sens!$H$2661+Sens!$H$2662+Sens!$H$2663+Sens!$H$2664+Sens!$H$2665+Sens!$H$2666+Sens!$H$2667-Sens!$H$2673</f>
        <v>0</v>
      </c>
      <c r="I2676" s="39" t="n">
        <f aca="false">Sens!$I$2661+Sens!$I$2662+Sens!$I$2663+Sens!$I$2664+Sens!$I$2665+Sens!$I$2666+Sens!$I$2667-Sens!$I$2673</f>
        <v>0</v>
      </c>
      <c r="J2676" s="39" t="n">
        <f aca="false">Sens!$J$2661+Sens!$J$2662+Sens!$J$2663+Sens!$J$2664+Sens!$J$2665+Sens!$J$2666+Sens!$J$2667-Sens!$J$2673</f>
        <v>0</v>
      </c>
      <c r="K2676" s="39" t="n">
        <f aca="false">Sens!$K$2661+Sens!$K$2662+Sens!$K$2663+Sens!$K$2664+Sens!$K$2665+Sens!$K$2666+Sens!$K$2667-Sens!$K$2673</f>
        <v>0</v>
      </c>
      <c r="L2676" s="39" t="n">
        <f aca="false">Sens!$L$2661+Sens!$L$2662+Sens!$L$2663+Sens!$L$2664+Sens!$L$2665+Sens!$L$2666+Sens!$L$2667-Sens!$L$2673</f>
        <v>0</v>
      </c>
      <c r="M2676" s="39" t="n">
        <f aca="false">Sens!$M$2661+Sens!$M$2662+Sens!$M$2663+Sens!$M$2664+Sens!$M$2665+Sens!$M$2666+Sens!$M$2667-Sens!$M$2673</f>
        <v>0</v>
      </c>
      <c r="N2676" s="39" t="n">
        <f aca="false">Sens!$N$2661+Sens!$N$2662+Sens!$N$2663+Sens!$N$2664+Sens!$N$2665+Sens!$N$2666+Sens!$N$2667-Sens!$N$2673</f>
        <v>0</v>
      </c>
      <c r="O2676" s="39" t="n">
        <f aca="false">Sens!$O$2661+Sens!$O$2662+Sens!$O$2663+Sens!$O$2664+Sens!$O$2665+Sens!$O$2666+Sens!$O$2667-Sens!$O$2673</f>
        <v>0</v>
      </c>
    </row>
    <row r="2677" customFormat="false" ht="17.15" hidden="false" customHeight="false" outlineLevel="0" collapsed="false">
      <c r="A2677" s="24" t="s">
        <v>657</v>
      </c>
      <c r="B2677" s="25" t="s">
        <v>73</v>
      </c>
      <c r="C2677" s="39" t="n">
        <f aca="false">Sens!$C$2668+Sens!$C$2669+Sens!$C$2670-Sens!$C$2673</f>
        <v>0</v>
      </c>
      <c r="D2677" s="39" t="n">
        <f aca="false">Sens!$D$2668+Sens!$D$2669+Sens!$D$2670-Sens!$D$2673</f>
        <v>0</v>
      </c>
      <c r="E2677" s="39" t="n">
        <f aca="false">Sens!$E$2668+Sens!$E$2669+Sens!$E$2670-Sens!$E$2673</f>
        <v>0</v>
      </c>
      <c r="F2677" s="39" t="n">
        <f aca="false">Sens!$F$2668+Sens!$F$2669+Sens!$F$2670-Sens!$F$2673</f>
        <v>0</v>
      </c>
      <c r="G2677" s="39" t="n">
        <f aca="false">Sens!$G$2668+Sens!$G$2669+Sens!$G$2670-Sens!$G$2673</f>
        <v>0</v>
      </c>
      <c r="H2677" s="39" t="n">
        <f aca="false">Sens!$H$2668+Sens!$H$2669+Sens!$H$2670-Sens!$H$2673</f>
        <v>0</v>
      </c>
      <c r="I2677" s="39" t="n">
        <f aca="false">Sens!$I$2668+Sens!$I$2669+Sens!$I$2670-Sens!$I$2673</f>
        <v>0</v>
      </c>
      <c r="J2677" s="39" t="n">
        <f aca="false">Sens!$J$2668+Sens!$J$2669+Sens!$J$2670-Sens!$J$2673</f>
        <v>0</v>
      </c>
      <c r="K2677" s="39" t="n">
        <f aca="false">Sens!$K$2668+Sens!$K$2669+Sens!$K$2670-Sens!$K$2673</f>
        <v>0</v>
      </c>
      <c r="L2677" s="39" t="n">
        <f aca="false">Sens!$L$2668+Sens!$L$2669+Sens!$L$2670-Sens!$L$2673</f>
        <v>0</v>
      </c>
      <c r="M2677" s="39" t="n">
        <f aca="false">Sens!$M$2668+Sens!$M$2669+Sens!$M$2670-Sens!$M$2673</f>
        <v>0</v>
      </c>
      <c r="N2677" s="39" t="n">
        <f aca="false">Sens!$N$2668+Sens!$N$2669+Sens!$N$2670-Sens!$N$2673</f>
        <v>0</v>
      </c>
      <c r="O2677" s="39" t="n">
        <f aca="false">Sens!$O$2668+Sens!$O$2669+Sens!$O$2670-Sens!$O$2673</f>
        <v>0</v>
      </c>
    </row>
    <row r="2678" customFormat="false" ht="17.15" hidden="false" customHeight="false" outlineLevel="0" collapsed="false">
      <c r="A2678" s="1" t="s">
        <v>671</v>
      </c>
    </row>
    <row r="2679" customFormat="false" ht="17.15" hidden="false" customHeight="false" outlineLevel="0" collapsed="false">
      <c r="A2679" s="0" t="s">
        <v>672</v>
      </c>
      <c r="B2679" s="0" t="s">
        <v>73</v>
      </c>
      <c r="C2679" s="38" t="n">
        <f aca="false">Sens!$C$2587*m_ad</f>
        <v>20.5341564414228</v>
      </c>
      <c r="D2679" s="38" t="n">
        <f aca="false">Sens!$D$2587*m_ad</f>
        <v>24.8720617299587</v>
      </c>
      <c r="E2679" s="38" t="n">
        <f aca="false">Sens!$E$2587*m_ad</f>
        <v>13.5017112462207</v>
      </c>
      <c r="F2679" s="38" t="n">
        <f aca="false">Sens!$F$2587*m_ad</f>
        <v>17.2886442824599</v>
      </c>
      <c r="G2679" s="38" t="n">
        <f aca="false">Sens!$G$2587*m_ad</f>
        <v>30.8011958765886</v>
      </c>
      <c r="H2679" s="38" t="n">
        <f aca="false">Sens!$H$2587*m_ad</f>
        <v>36.978409366026</v>
      </c>
      <c r="I2679" s="38" t="n">
        <f aca="false">Sens!$I$2587*m_ad</f>
        <v>43.155063281273</v>
      </c>
      <c r="J2679" s="38" t="n">
        <f aca="false">Sens!$J$2587*m_ad</f>
        <v>48.9169991988532</v>
      </c>
      <c r="K2679" s="38" t="n">
        <f aca="false">Sens!$K$2587*m_ad</f>
        <v>53.8086991187386</v>
      </c>
      <c r="L2679" s="38" t="n">
        <f aca="false">Sens!$L$2587*m_ad</f>
        <v>59.1895690306124</v>
      </c>
      <c r="M2679" s="38" t="n">
        <f aca="false">Sens!$M$2587*m_ad</f>
        <v>65.1085259336737</v>
      </c>
      <c r="N2679" s="38" t="n">
        <f aca="false">Sens!$N$2587*m_ad</f>
        <v>10.8543555706248</v>
      </c>
      <c r="O2679" s="38" t="n">
        <f aca="false">Sens!$O$2587*m_ad</f>
        <v>14.0094731821399</v>
      </c>
    </row>
    <row r="2680" customFormat="false" ht="17.15" hidden="false" customHeight="false" outlineLevel="0" collapsed="false">
      <c r="A2680" s="0" t="s">
        <v>673</v>
      </c>
      <c r="B2680" s="0" t="s">
        <v>73</v>
      </c>
      <c r="C2680" s="38" t="n">
        <f aca="false">Sens!$C$2585-Sens!$C$2587</f>
        <v>346.428687117154</v>
      </c>
      <c r="D2680" s="38" t="n">
        <f aca="false">Sens!$D$2585-Sens!$D$2587</f>
        <v>376.560876540083</v>
      </c>
      <c r="E2680" s="38" t="n">
        <f aca="false">Sens!$E$2585-Sens!$E$2587</f>
        <v>193.316577507559</v>
      </c>
      <c r="F2680" s="38" t="n">
        <f aca="false">Sens!$F$2585-Sens!$F$2587</f>
        <v>221.726726438887</v>
      </c>
      <c r="G2680" s="38" t="n">
        <f aca="false">Sens!$G$2585-Sens!$G$2587</f>
        <v>415.02162325063</v>
      </c>
      <c r="H2680" s="38" t="n">
        <f aca="false">Sens!$H$2585-Sens!$H$2587</f>
        <v>453.777572359491</v>
      </c>
      <c r="I2680" s="38" t="n">
        <f aca="false">Sens!$I$2585-Sens!$I$2587</f>
        <v>490.847566467031</v>
      </c>
      <c r="J2680" s="38" t="n">
        <f aca="false">Sens!$J$2585-Sens!$J$2587</f>
        <v>525.190925266121</v>
      </c>
      <c r="K2680" s="38" t="n">
        <f aca="false">Sens!$K$2585-Sens!$K$2587</f>
        <v>555.765170156304</v>
      </c>
      <c r="L2680" s="38" t="n">
        <f aca="false">Sens!$L$2585-Sens!$L$2587</f>
        <v>588.185734949207</v>
      </c>
      <c r="M2680" s="38" t="n">
        <f aca="false">Sens!$M$2585-Sens!$M$2587</f>
        <v>622.567635538672</v>
      </c>
      <c r="N2680" s="38" t="n">
        <f aca="false">Sens!$N$2585-Sens!$N$2587</f>
        <v>171.24628885875</v>
      </c>
      <c r="O2680" s="38" t="n">
        <f aca="false">Sens!$O$2585-Sens!$O$2587</f>
        <v>205.33105363572</v>
      </c>
    </row>
    <row r="2681" customFormat="false" ht="17.15" hidden="false" customHeight="false" outlineLevel="0" collapsed="false">
      <c r="A2681" s="0" t="s">
        <v>674</v>
      </c>
      <c r="B2681" s="0" t="s">
        <v>73</v>
      </c>
      <c r="C2681" s="38" t="n">
        <f aca="false">Sens!$C$2632*Sens!$C$2584</f>
        <v>0.123617442257179</v>
      </c>
      <c r="D2681" s="38" t="n">
        <f aca="false">Sens!$D$2632*Sens!$D$2584</f>
        <v>0.874366899302609</v>
      </c>
      <c r="E2681" s="38" t="n">
        <f aca="false">Sens!$E$2632*Sens!$E$2584</f>
        <v>1.29318830502574</v>
      </c>
      <c r="F2681" s="38" t="n">
        <f aca="false">Sens!$F$2632*Sens!$F$2584</f>
        <v>1.51802024162534</v>
      </c>
      <c r="G2681" s="38" t="n">
        <f aca="false">Sens!$G$2632*Sens!$G$2584</f>
        <v>2.81130189308167</v>
      </c>
      <c r="H2681" s="38" t="n">
        <f aca="false">Sens!$H$2632*Sens!$H$2584</f>
        <v>7.38966789318209</v>
      </c>
      <c r="I2681" s="38" t="n">
        <f aca="false">Sens!$I$2632*Sens!$I$2584</f>
        <v>12.8987443661473</v>
      </c>
      <c r="J2681" s="38" t="n">
        <f aca="false">Sens!$J$2632*Sens!$J$2584</f>
        <v>18.5570025453645</v>
      </c>
      <c r="K2681" s="38" t="n">
        <f aca="false">Sens!$K$2632*Sens!$K$2584</f>
        <v>24.3158972773405</v>
      </c>
      <c r="L2681" s="38" t="n">
        <f aca="false">Sens!$L$2632*Sens!$L$2584</f>
        <v>29.7827375558674</v>
      </c>
      <c r="M2681" s="38" t="n">
        <f aca="false">Sens!$M$2632*Sens!$M$2584</f>
        <v>35.3532344973194</v>
      </c>
      <c r="N2681" s="38" t="n">
        <f aca="false">Sens!$N$2632*Sens!$N$2584</f>
        <v>0.389180508437431</v>
      </c>
      <c r="O2681" s="38" t="n">
        <f aca="false">Sens!$O$2632*Sens!$O$2584</f>
        <v>0.485052120082802</v>
      </c>
    </row>
    <row r="2682" customFormat="false" ht="17.15" hidden="false" customHeight="false" outlineLevel="0" collapsed="false">
      <c r="A2682" s="0" t="s">
        <v>675</v>
      </c>
      <c r="B2682" s="0" t="s">
        <v>52</v>
      </c>
      <c r="C2682" s="28" t="n">
        <f aca="false">(Sens!$C$2683-Sens!$C$2679+Sens!$C$2681)/Sens!$C$2680</f>
        <v>0.0131526665379575</v>
      </c>
      <c r="D2682" s="28" t="n">
        <f aca="false">(Sens!$D$2683-Sens!$D$2679+Sens!$D$2681)/Sens!$D$2680</f>
        <v>0.0149280116962589</v>
      </c>
      <c r="E2682" s="28" t="n">
        <f aca="false">(Sens!$E$2683-Sens!$E$2679+Sens!$E$2681)/Sens!$E$2680</f>
        <v>0.0268030663774938</v>
      </c>
      <c r="F2682" s="28" t="n">
        <f aca="false">Sens!$O$2682+(Sens!$E$2682-Sens!$N$2682)</f>
        <v>0.0232379346966962</v>
      </c>
      <c r="G2682" s="28" t="n">
        <f aca="false">(Sens!$G$2683-Sens!$G$2679+Sens!$G$2681)/Sens!$G$2680</f>
        <v>0.0248738876928168</v>
      </c>
      <c r="H2682" s="28" t="n">
        <f aca="false">Sens!$G$2682+step_na</f>
        <v>0.0278738876928168</v>
      </c>
      <c r="I2682" s="28" t="n">
        <f aca="false">Sens!$H$2682+step_na</f>
        <v>0.0308738876928168</v>
      </c>
      <c r="J2682" s="28" t="n">
        <f aca="false">Sens!$I$2682+step_na</f>
        <v>0.0338738876928168</v>
      </c>
      <c r="K2682" s="28" t="n">
        <f aca="false">Sens!$J$2682+step_na</f>
        <v>0.0368738876928168</v>
      </c>
      <c r="L2682" s="28" t="n">
        <f aca="false">Sens!$K$2682</f>
        <v>0.0368738876928168</v>
      </c>
      <c r="M2682" s="28" t="n">
        <f aca="false">Sens!$L$2682</f>
        <v>0.0368738876928168</v>
      </c>
      <c r="N2682" s="28" t="n">
        <f aca="false">(Sens!$N$2683-Sens!$N$2679+Sens!$N$2681)/Sens!$N$2680</f>
        <v>0.0168927744775755</v>
      </c>
      <c r="O2682" s="28" t="n">
        <f aca="false">(Sens!$O$2683-Sens!$O$2679+Sens!$O$2681)/Sens!$O$2680</f>
        <v>0.0133276427967779</v>
      </c>
      <c r="P2682" s="8" t="s">
        <v>676</v>
      </c>
    </row>
    <row r="2683" customFormat="false" ht="17.15" hidden="false" customHeight="false" outlineLevel="0" collapsed="false">
      <c r="A2683" s="1" t="s">
        <v>677</v>
      </c>
      <c r="B2683" s="8" t="s">
        <v>73</v>
      </c>
      <c r="C2683" s="38" t="n">
        <f aca="false">Q!$D$22</f>
        <v>24.967</v>
      </c>
      <c r="D2683" s="38" t="n">
        <f aca="false">Q!$E$22</f>
        <v>29.619</v>
      </c>
      <c r="E2683" s="38" t="n">
        <f aca="false">Q!$P$22</f>
        <v>17.39</v>
      </c>
      <c r="F2683" s="38" t="n">
        <f aca="false">Sens!$F$2679+Sens!$F$2680*Sens!$F$2682-Sens!$F$2681</f>
        <v>20.9230952303336</v>
      </c>
      <c r="G2683" s="38" t="n">
        <f aca="false">Sens!$E$2683+Sens!$F$2683</f>
        <v>38.3130952303336</v>
      </c>
      <c r="H2683" s="38" t="n">
        <f aca="false">Sens!$H$2679+Sens!$H$2680*Sens!$H$2682-Sens!$H$2681</f>
        <v>42.2372865623114</v>
      </c>
      <c r="I2683" s="38" t="n">
        <f aca="false">Sens!$I$2679+Sens!$I$2680*Sens!$I$2682-Sens!$I$2681</f>
        <v>45.4106915565213</v>
      </c>
      <c r="J2683" s="38" t="n">
        <f aca="false">Sens!$J$2679+Sens!$J$2680*Sens!$J$2682-Sens!$J$2681</f>
        <v>48.1502550732398</v>
      </c>
      <c r="K2683" s="38" t="n">
        <f aca="false">Sens!$K$2679+Sens!$K$2680*Sens!$K$2682-Sens!$K$2681</f>
        <v>49.9860243093208</v>
      </c>
      <c r="L2683" s="38" t="n">
        <f aca="false">Sens!$L$2679+Sens!$L$2680*Sens!$L$2682-Sens!$L$2681</f>
        <v>51.095526207779</v>
      </c>
      <c r="M2683" s="38" t="n">
        <f aca="false">Sens!$M$2679+Sens!$M$2680*Sens!$M$2682-Sens!$M$2681</f>
        <v>52.7117805103898</v>
      </c>
      <c r="N2683" s="38" t="n">
        <f aca="false">Q!$N$22</f>
        <v>13.358</v>
      </c>
      <c r="O2683" s="38" t="n">
        <f aca="false">Q!$O$22</f>
        <v>16.261</v>
      </c>
    </row>
    <row r="2684" customFormat="false" ht="17.15" hidden="false" customHeight="false" outlineLevel="0" collapsed="false">
      <c r="A2684" s="0" t="s">
        <v>678</v>
      </c>
      <c r="B2684" s="0" t="s">
        <v>73</v>
      </c>
      <c r="C2684" s="38" t="n">
        <f aca="false">Sens!$C$2588*m_ad</f>
        <v>7.57284355857716</v>
      </c>
      <c r="D2684" s="38" t="n">
        <f aca="false">Sens!$D$2588*m_ad</f>
        <v>9.44543827004127</v>
      </c>
      <c r="E2684" s="38" t="n">
        <f aca="false">Sens!$E$2588*m_ad</f>
        <v>5.02428875377928</v>
      </c>
      <c r="F2684" s="38" t="n">
        <f aca="false">Sens!$F$2588*m_ad</f>
        <v>6.78802480890925</v>
      </c>
      <c r="G2684" s="38" t="n">
        <f aca="false">Sens!$G$2588*m_ad</f>
        <v>11.8014732147805</v>
      </c>
      <c r="H2684" s="38" t="n">
        <f aca="false">Sens!$H$2588*m_ad</f>
        <v>14.1682715634442</v>
      </c>
      <c r="I2684" s="38" t="n">
        <f aca="false">Sens!$I$2588*m_ad</f>
        <v>16.5348555113474</v>
      </c>
      <c r="J2684" s="38" t="n">
        <f aca="false">Sens!$J$2588*m_ad</f>
        <v>18.7425403255689</v>
      </c>
      <c r="K2684" s="38" t="n">
        <f aca="false">Sens!$K$2588*m_ad</f>
        <v>20.6167943581258</v>
      </c>
      <c r="L2684" s="38" t="n">
        <f aca="false">Sens!$L$2588*m_ad</f>
        <v>22.6784737939383</v>
      </c>
      <c r="M2684" s="38" t="n">
        <f aca="false">Sens!$M$2588*m_ad</f>
        <v>24.9463211733322</v>
      </c>
      <c r="N2684" s="38" t="n">
        <f aca="false">Sens!$N$2588*m_ad</f>
        <v>3.95314442937518</v>
      </c>
      <c r="O2684" s="38" t="n">
        <f aca="false">Sens!$O$2588*m_ad</f>
        <v>5.50052681786011</v>
      </c>
    </row>
    <row r="2685" customFormat="false" ht="17.15" hidden="false" customHeight="false" outlineLevel="0" collapsed="false">
      <c r="A2685" s="0" t="s">
        <v>679</v>
      </c>
      <c r="B2685" s="0" t="s">
        <v>73</v>
      </c>
      <c r="C2685" s="38" t="n">
        <f aca="false">Sens!$C$2586-Sens!$C$2588</f>
        <v>127.760312882846</v>
      </c>
      <c r="D2685" s="38" t="n">
        <f aca="false">Sens!$D$2586-Sens!$D$2588</f>
        <v>143.003123459917</v>
      </c>
      <c r="E2685" s="38" t="n">
        <f aca="false">Sens!$E$2586-Sens!$E$2588</f>
        <v>71.9374224924414</v>
      </c>
      <c r="F2685" s="38" t="n">
        <f aca="false">Sens!$F$2586-Sens!$F$2588</f>
        <v>87.0563645868046</v>
      </c>
      <c r="G2685" s="38" t="n">
        <f aca="false">Sens!$G$2586-Sens!$G$2588</f>
        <v>159.015467775062</v>
      </c>
      <c r="H2685" s="38" t="n">
        <f aca="false">Sens!$H$2586-Sens!$H$2588</f>
        <v>173.864803403269</v>
      </c>
      <c r="I2685" s="38" t="n">
        <f aca="false">Sens!$I$2586-Sens!$I$2588</f>
        <v>188.068165645601</v>
      </c>
      <c r="J2685" s="38" t="n">
        <f aca="false">Sens!$J$2586-Sens!$J$2588</f>
        <v>201.22681801082</v>
      </c>
      <c r="K2685" s="38" t="n">
        <f aca="false">Sens!$K$2586-Sens!$K$2588</f>
        <v>212.941334991893</v>
      </c>
      <c r="L2685" s="38" t="n">
        <f aca="false">Sens!$L$2586-Sens!$L$2588</f>
        <v>225.363269144856</v>
      </c>
      <c r="M2685" s="38" t="n">
        <f aca="false">Sens!$M$2586-Sens!$M$2588</f>
        <v>238.536688790819</v>
      </c>
      <c r="N2685" s="38" t="n">
        <f aca="false">Sens!$N$2586-Sens!$N$2588</f>
        <v>62.3677111412496</v>
      </c>
      <c r="O2685" s="38" t="n">
        <f aca="false">Sens!$O$2586-Sens!$O$2588</f>
        <v>80.6189463642798</v>
      </c>
    </row>
    <row r="2686" customFormat="false" ht="17.15" hidden="false" customHeight="false" outlineLevel="0" collapsed="false">
      <c r="A2686" s="0" t="s">
        <v>680</v>
      </c>
      <c r="B2686" s="0" t="s">
        <v>73</v>
      </c>
      <c r="C2686" s="38" t="n">
        <f aca="false">Sens!$C$2632*(1-Sens!$C$2584)</f>
        <v>0.0455891896019953</v>
      </c>
      <c r="D2686" s="38" t="n">
        <f aca="false">Sens!$D$2632*(1-Sens!$D$2584)</f>
        <v>0.332050421167231</v>
      </c>
      <c r="E2686" s="38" t="n">
        <f aca="false">Sens!$E$2632*(1-Sens!$E$2584)</f>
        <v>0.481224293644882</v>
      </c>
      <c r="F2686" s="38" t="n">
        <f aca="false">Sens!$F$2632*(1-Sens!$F$2584)</f>
        <v>0.596018918096053</v>
      </c>
      <c r="G2686" s="38" t="n">
        <f aca="false">Sens!$G$2632*(1-Sens!$G$2584)</f>
        <v>1.07714986531035</v>
      </c>
      <c r="H2686" s="38" t="n">
        <f aca="false">Sens!$H$2632*(1-Sens!$H$2584)</f>
        <v>2.83135005721638</v>
      </c>
      <c r="I2686" s="38" t="n">
        <f aca="false">Sens!$I$2632*(1-Sens!$I$2584)</f>
        <v>4.9421518161602</v>
      </c>
      <c r="J2686" s="38" t="n">
        <f aca="false">Sens!$J$2632*(1-Sens!$J$2584)</f>
        <v>7.11011252170866</v>
      </c>
      <c r="K2686" s="38" t="n">
        <f aca="false">Sens!$K$2632*(1-Sens!$K$2584)</f>
        <v>9.31663210615807</v>
      </c>
      <c r="L2686" s="38" t="n">
        <f aca="false">Sens!$L$2632*(1-Sens!$L$2584)</f>
        <v>11.411251074039</v>
      </c>
      <c r="M2686" s="38" t="n">
        <f aca="false">Sens!$M$2632*(1-Sens!$M$2584)</f>
        <v>13.5455860755423</v>
      </c>
      <c r="N2686" s="38" t="n">
        <f aca="false">Sens!$N$2632*(1-Sens!$N$2584)</f>
        <v>0.141739115596548</v>
      </c>
      <c r="O2686" s="38" t="n">
        <f aca="false">Sens!$O$2632*(1-Sens!$O$2584)</f>
        <v>0.190445576353059</v>
      </c>
    </row>
    <row r="2687" customFormat="false" ht="17.15" hidden="false" customHeight="false" outlineLevel="0" collapsed="false">
      <c r="A2687" s="0" t="s">
        <v>681</v>
      </c>
      <c r="B2687" s="0" t="s">
        <v>52</v>
      </c>
      <c r="C2687" s="28" t="n">
        <f aca="false">(Sens!$C$2688-Sens!$C$2684+Sens!$C$2686)/Sens!$C$2685</f>
        <v>-0.0292364215826579</v>
      </c>
      <c r="D2687" s="28" t="n">
        <f aca="false">(Sens!$D$2688-Sens!$D$2684+Sens!$D$2686)/Sens!$D$2685</f>
        <v>-0.0305125352740778</v>
      </c>
      <c r="E2687" s="28" t="n">
        <f aca="false">(Sens!$E$2688-Sens!$E$2684+Sens!$E$2686)/Sens!$E$2685</f>
        <v>-0.019490056934994</v>
      </c>
      <c r="F2687" s="28" t="n">
        <f aca="false">Sens!$O$2687+(Sens!$E$2687-Sens!$N$2687)</f>
        <v>-0.0367332293992226</v>
      </c>
      <c r="G2687" s="28" t="n">
        <f aca="false">(Sens!$G$2688-Sens!$G$2684+Sens!$G$2686)/Sens!$G$2685</f>
        <v>-0.0288599526442178</v>
      </c>
      <c r="H2687" s="28" t="n">
        <f aca="false">Sens!$G$2687+step_in</f>
        <v>-0.0288599526442178</v>
      </c>
      <c r="I2687" s="28" t="n">
        <f aca="false">Sens!$H$2687+step_in</f>
        <v>-0.0288599526442178</v>
      </c>
      <c r="J2687" s="28" t="n">
        <f aca="false">Sens!$I$2687+step_in</f>
        <v>-0.0288599526442178</v>
      </c>
      <c r="K2687" s="28" t="n">
        <f aca="false">Sens!$J$2687+step_in</f>
        <v>-0.0288599526442178</v>
      </c>
      <c r="L2687" s="28" t="n">
        <f aca="false">Sens!$K$2687</f>
        <v>-0.0288599526442178</v>
      </c>
      <c r="M2687" s="28" t="n">
        <f aca="false">Sens!$L$2687</f>
        <v>-0.0288599526442178</v>
      </c>
      <c r="N2687" s="28" t="n">
        <f aca="false">(Sens!$N$2688-Sens!$N$2684+Sens!$N$2686)/Sens!$N$2685</f>
        <v>-0.02085061789158</v>
      </c>
      <c r="O2687" s="28" t="n">
        <f aca="false">(Sens!$O$2688-Sens!$O$2684+Sens!$O$2686)/Sens!$O$2685</f>
        <v>-0.0380937903558086</v>
      </c>
      <c r="P2687" s="8" t="s">
        <v>676</v>
      </c>
    </row>
    <row r="2688" customFormat="false" ht="17.15" hidden="false" customHeight="false" outlineLevel="0" collapsed="false">
      <c r="A2688" s="1" t="s">
        <v>682</v>
      </c>
      <c r="B2688" s="8" t="s">
        <v>73</v>
      </c>
      <c r="C2688" s="38" t="n">
        <f aca="false">Q!$D$23</f>
        <v>3.792</v>
      </c>
      <c r="D2688" s="38" t="n">
        <f aca="false">Q!$E$23</f>
        <v>4.75</v>
      </c>
      <c r="E2688" s="38" t="n">
        <f aca="false">Q!$P$23</f>
        <v>3.141</v>
      </c>
      <c r="F2688" s="38" t="n">
        <f aca="false">Sens!$F$2684+Sens!$F$2685*Sens!$F$2687-Sens!$F$2686</f>
        <v>2.99414447978375</v>
      </c>
      <c r="G2688" s="38" t="n">
        <f aca="false">Sens!$E$2688+Sens!$F$2688</f>
        <v>6.13514447978375</v>
      </c>
      <c r="H2688" s="38" t="n">
        <f aca="false">Sens!$H$2684+Sens!$H$2685*Sens!$H$2687-Sens!$H$2686</f>
        <v>6.31919151351322</v>
      </c>
      <c r="I2688" s="38" t="n">
        <f aca="false">Sens!$I$2684+Sens!$I$2685*Sens!$I$2687-Sens!$I$2686</f>
        <v>6.16506534077027</v>
      </c>
      <c r="J2688" s="38" t="n">
        <f aca="false">Sens!$J$2684+Sens!$J$2685*Sens!$J$2687-Sens!$J$2686</f>
        <v>5.8250313653213</v>
      </c>
      <c r="K2688" s="38" t="n">
        <f aca="false">Sens!$K$2684+Sens!$K$2685*Sens!$K$2687-Sens!$K$2686</f>
        <v>5.15468540810514</v>
      </c>
      <c r="L2688" s="38" t="n">
        <f aca="false">Sens!$L$2684+Sens!$L$2685*Sens!$L$2687-Sens!$L$2686</f>
        <v>4.76324944463266</v>
      </c>
      <c r="M2688" s="38" t="n">
        <f aca="false">Sens!$M$2684+Sens!$M$2685*Sens!$M$2687-Sens!$M$2686</f>
        <v>4.51657755537829</v>
      </c>
      <c r="N2688" s="38" t="n">
        <f aca="false">Q!$N$23</f>
        <v>2.511</v>
      </c>
      <c r="O2688" s="38" t="n">
        <f aca="false">Q!$O$23</f>
        <v>2.239</v>
      </c>
    </row>
    <row r="2689" customFormat="false" ht="17.15" hidden="false" customHeight="false" outlineLevel="0" collapsed="false">
      <c r="A2689" s="0" t="s">
        <v>683</v>
      </c>
      <c r="B2689" s="0" t="s">
        <v>73</v>
      </c>
      <c r="C2689" s="38" t="n">
        <f aca="false">Sens!$C$2629</f>
        <v>1.64417882953695</v>
      </c>
      <c r="D2689" s="38" t="n">
        <f aca="false">Sens!$D$2629</f>
        <v>3.8781008067718</v>
      </c>
      <c r="E2689" s="38" t="n">
        <f aca="false">Sens!$E$2629</f>
        <v>1.41270258088753</v>
      </c>
      <c r="F2689" s="38" t="n">
        <f aca="false">Sens!$F$2629</f>
        <v>6.50727700583486</v>
      </c>
      <c r="G2689" s="38" t="n">
        <f aca="false">Sens!$G$2629</f>
        <v>7.9199795867224</v>
      </c>
      <c r="H2689" s="38" t="n">
        <f aca="false">Sens!$H$2629</f>
        <v>19.2818189481807</v>
      </c>
      <c r="I2689" s="38" t="n">
        <f aca="false">Sens!$I$2629</f>
        <v>30.140114407202</v>
      </c>
      <c r="J2689" s="38" t="n">
        <f aca="false">Sens!$J$2629</f>
        <v>40.3569468829854</v>
      </c>
      <c r="K2689" s="38" t="n">
        <f aca="false">Sens!$K$2629</f>
        <v>50.0782975081929</v>
      </c>
      <c r="L2689" s="38" t="n">
        <f aca="false">Sens!$L$2629</f>
        <v>61.443331993499</v>
      </c>
      <c r="M2689" s="38" t="n">
        <f aca="false">Sens!$M$2629</f>
        <v>72.2498791587849</v>
      </c>
      <c r="N2689" s="38" t="n">
        <f aca="false">Sens!$N$2629</f>
        <v>0.92264103489199</v>
      </c>
      <c r="O2689" s="38" t="n">
        <f aca="false">Sens!$O$2629</f>
        <v>2.95545977187981</v>
      </c>
    </row>
    <row r="2690" customFormat="false" ht="17.15" hidden="false" customHeight="false" outlineLevel="0" collapsed="false">
      <c r="A2690" s="0" t="s">
        <v>603</v>
      </c>
      <c r="B2690" s="0" t="s">
        <v>73</v>
      </c>
      <c r="C2690" s="38" t="n">
        <f aca="false">Sens!$C$2634</f>
        <v>38.1898211704631</v>
      </c>
      <c r="D2690" s="38" t="n">
        <f aca="false">Sens!$D$2634</f>
        <v>41.7278991932282</v>
      </c>
      <c r="E2690" s="38" t="n">
        <f aca="false">Sens!$E$2634</f>
        <v>29.3692974191125</v>
      </c>
      <c r="F2690" s="38" t="n">
        <f aca="false">Sens!$F$2634</f>
        <v>29.458060516894</v>
      </c>
      <c r="G2690" s="38" t="n">
        <f aca="false">Sens!$G$2634</f>
        <v>58.8273579360065</v>
      </c>
      <c r="H2690" s="38" t="n">
        <f aca="false">Sens!$H$2634</f>
        <v>67.3790155306315</v>
      </c>
      <c r="I2690" s="38" t="n">
        <f aca="false">Sens!$I$2634</f>
        <v>77.4513759215826</v>
      </c>
      <c r="J2690" s="38" t="n">
        <f aca="false">Sens!$J$2634</f>
        <v>85.1766894773914</v>
      </c>
      <c r="K2690" s="38" t="n">
        <f aca="false">Sens!$K$2634</f>
        <v>89.435523951261</v>
      </c>
      <c r="L2690" s="38" t="n">
        <f aca="false">Sens!$L$2634</f>
        <v>93.907300148824</v>
      </c>
      <c r="M2690" s="38" t="n">
        <f aca="false">Sens!$M$2634</f>
        <v>98.6026651562652</v>
      </c>
      <c r="N2690" s="38" t="n">
        <f aca="false">Sens!$N$2634</f>
        <v>20.784358965108</v>
      </c>
      <c r="O2690" s="38" t="n">
        <f aca="false">Sens!$O$2634</f>
        <v>20.9435402281202</v>
      </c>
    </row>
    <row r="2691" customFormat="false" ht="17.15" hidden="false" customHeight="false" outlineLevel="0" collapsed="false">
      <c r="A2691" s="1" t="s">
        <v>684</v>
      </c>
      <c r="B2691" s="8" t="s">
        <v>73</v>
      </c>
      <c r="C2691" s="38" t="n">
        <f aca="false">Q!$D$24</f>
        <v>39.834</v>
      </c>
      <c r="D2691" s="38" t="n">
        <f aca="false">Q!$E$24</f>
        <v>45.606</v>
      </c>
      <c r="E2691" s="38" t="n">
        <f aca="false">Q!$P$24</f>
        <v>30.782</v>
      </c>
      <c r="F2691" s="38" t="n">
        <f aca="false">Sens!$F$2689+Sens!$F$2690</f>
        <v>35.9653375227289</v>
      </c>
      <c r="G2691" s="38" t="n">
        <f aca="false">Sens!$G$2689+Sens!$G$2690</f>
        <v>66.7473375227289</v>
      </c>
      <c r="H2691" s="38" t="n">
        <f aca="false">Sens!$H$2689+Sens!$H$2690</f>
        <v>86.6608344788122</v>
      </c>
      <c r="I2691" s="38" t="n">
        <f aca="false">Sens!$I$2689+Sens!$I$2690</f>
        <v>107.591490328785</v>
      </c>
      <c r="J2691" s="38" t="n">
        <f aca="false">Sens!$J$2689+Sens!$J$2690</f>
        <v>125.533636360377</v>
      </c>
      <c r="K2691" s="38" t="n">
        <f aca="false">Sens!$K$2689+Sens!$K$2690</f>
        <v>139.513821459454</v>
      </c>
      <c r="L2691" s="38" t="n">
        <f aca="false">Sens!$L$2689+Sens!$L$2690</f>
        <v>155.350632142323</v>
      </c>
      <c r="M2691" s="38" t="n">
        <f aca="false">Sens!$M$2689+Sens!$M$2690</f>
        <v>170.85254431505</v>
      </c>
      <c r="N2691" s="38" t="n">
        <f aca="false">Q!$N$24</f>
        <v>21.707</v>
      </c>
      <c r="O2691" s="38" t="n">
        <f aca="false">Q!$O$24</f>
        <v>23.899</v>
      </c>
    </row>
    <row r="2692" customFormat="false" ht="17.15" hidden="false" customHeight="false" outlineLevel="0" collapsed="false">
      <c r="A2692" s="5" t="s">
        <v>685</v>
      </c>
      <c r="B2692" s="0" t="s">
        <v>73</v>
      </c>
      <c r="C2692" s="38" t="n">
        <f aca="false">Q!$D$26</f>
        <v>0</v>
      </c>
      <c r="D2692" s="38" t="n">
        <f aca="false">Q!$E$26</f>
        <v>0</v>
      </c>
      <c r="E2692" s="38" t="n">
        <f aca="false">Q!$P$26</f>
        <v>0</v>
      </c>
      <c r="F2692" s="41" t="n">
        <v>0</v>
      </c>
      <c r="G2692" s="38" t="n">
        <f aca="false">Sens!$E$2692+Sens!$F$2692</f>
        <v>0</v>
      </c>
      <c r="H2692" s="41" t="n">
        <v>0</v>
      </c>
      <c r="I2692" s="41" t="n">
        <v>0</v>
      </c>
      <c r="J2692" s="41" t="n">
        <v>0</v>
      </c>
      <c r="K2692" s="41" t="n">
        <v>0</v>
      </c>
      <c r="L2692" s="41" t="n">
        <v>0</v>
      </c>
      <c r="M2692" s="41" t="n">
        <v>0</v>
      </c>
      <c r="N2692" s="38" t="n">
        <f aca="false">Q!$N$26</f>
        <v>0</v>
      </c>
      <c r="O2692" s="38" t="n">
        <f aca="false">Q!$O$26</f>
        <v>0</v>
      </c>
    </row>
    <row r="2693" customFormat="false" ht="15" hidden="false" customHeight="false" outlineLevel="0" collapsed="false">
      <c r="A2693" s="3" t="s">
        <v>494</v>
      </c>
      <c r="B2693" s="8" t="s">
        <v>73</v>
      </c>
      <c r="C2693" s="38" t="n">
        <f aca="false">Q!$D$25</f>
        <v>68.593</v>
      </c>
      <c r="D2693" s="38" t="n">
        <f aca="false">Q!$E$25</f>
        <v>79.975</v>
      </c>
      <c r="E2693" s="38" t="n">
        <f aca="false">Q!$P$25</f>
        <v>51.313</v>
      </c>
      <c r="F2693" s="38" t="n">
        <f aca="false">Sens!$F$2683+Sens!$F$2688+Sens!$F$2691+Sens!$F$2692</f>
        <v>59.8825772328462</v>
      </c>
      <c r="G2693" s="38" t="n">
        <f aca="false">Sens!$G$2683+Sens!$G$2688+Sens!$G$2691+Sens!$G$2692</f>
        <v>111.195577232846</v>
      </c>
      <c r="H2693" s="38" t="n">
        <f aca="false">Sens!$H$2683+Sens!$H$2688+Sens!$H$2691+Sens!$H$2692</f>
        <v>135.217312554637</v>
      </c>
      <c r="I2693" s="38" t="n">
        <f aca="false">Sens!$I$2683+Sens!$I$2688+Sens!$I$2691+Sens!$I$2692</f>
        <v>159.167247226076</v>
      </c>
      <c r="J2693" s="38" t="n">
        <f aca="false">Sens!$J$2683+Sens!$J$2688+Sens!$J$2691+Sens!$J$2692</f>
        <v>179.508922798938</v>
      </c>
      <c r="K2693" s="38" t="n">
        <f aca="false">Sens!$K$2683+Sens!$K$2688+Sens!$K$2691+Sens!$K$2692</f>
        <v>194.65453117688</v>
      </c>
      <c r="L2693" s="38" t="n">
        <f aca="false">Sens!$L$2683+Sens!$L$2688+Sens!$L$2691+Sens!$L$2692</f>
        <v>211.209407794735</v>
      </c>
      <c r="M2693" s="38" t="n">
        <f aca="false">Sens!$M$2683+Sens!$M$2688+Sens!$M$2691+Sens!$M$2692</f>
        <v>228.080902380818</v>
      </c>
      <c r="N2693" s="38" t="n">
        <f aca="false">Q!$N$25</f>
        <v>37.576</v>
      </c>
      <c r="O2693" s="38" t="n">
        <f aca="false">Q!$O$25</f>
        <v>42.399</v>
      </c>
    </row>
    <row r="2694" customFormat="false" ht="17.15" hidden="false" customHeight="false" outlineLevel="0" collapsed="false">
      <c r="A2694" s="24" t="s">
        <v>711</v>
      </c>
      <c r="B2694" s="25" t="s">
        <v>73</v>
      </c>
      <c r="C2694" s="39" t="n">
        <f aca="false">Sens!$C$2683+Sens!$C$2688+Sens!$C$2691+Sens!$C$2692-Sens!$C$2693</f>
        <v>0</v>
      </c>
      <c r="D2694" s="39" t="n">
        <f aca="false">Sens!$D$2683+Sens!$D$2688+Sens!$D$2691+Sens!$D$2692-Sens!$D$2693</f>
        <v>0</v>
      </c>
      <c r="E2694" s="39" t="n">
        <f aca="false">Sens!$E$2683+Sens!$E$2688+Sens!$E$2691+Sens!$E$2692-Sens!$E$2693</f>
        <v>0</v>
      </c>
      <c r="F2694" s="39" t="n">
        <f aca="false">Sens!$F$2683+Sens!$F$2688+Sens!$F$2691+Sens!$F$2692-Sens!$F$2693</f>
        <v>0</v>
      </c>
      <c r="G2694" s="39" t="n">
        <f aca="false">Sens!$G$2683+Sens!$G$2688+Sens!$G$2691+Sens!$G$2692-Sens!$G$2693</f>
        <v>0</v>
      </c>
      <c r="H2694" s="39" t="n">
        <f aca="false">Sens!$H$2683+Sens!$H$2688+Sens!$H$2691+Sens!$H$2692-Sens!$H$2693</f>
        <v>0</v>
      </c>
      <c r="I2694" s="39" t="n">
        <f aca="false">Sens!$I$2683+Sens!$I$2688+Sens!$I$2691+Sens!$I$2692-Sens!$I$2693</f>
        <v>0</v>
      </c>
      <c r="J2694" s="39" t="n">
        <f aca="false">Sens!$J$2683+Sens!$J$2688+Sens!$J$2691+Sens!$J$2692-Sens!$J$2693</f>
        <v>0</v>
      </c>
      <c r="K2694" s="39" t="n">
        <f aca="false">Sens!$K$2683+Sens!$K$2688+Sens!$K$2691+Sens!$K$2692-Sens!$K$2693</f>
        <v>0</v>
      </c>
      <c r="L2694" s="39" t="n">
        <f aca="false">Sens!$L$2683+Sens!$L$2688+Sens!$L$2691+Sens!$L$2692-Sens!$L$2693</f>
        <v>0</v>
      </c>
      <c r="M2694" s="39" t="n">
        <f aca="false">Sens!$M$2683+Sens!$M$2688+Sens!$M$2691+Sens!$M$2692-Sens!$M$2693</f>
        <v>0</v>
      </c>
      <c r="N2694" s="39" t="n">
        <f aca="false">Sens!$N$2683+Sens!$N$2688+Sens!$N$2691+Sens!$N$2692-Sens!$N$2693</f>
        <v>0</v>
      </c>
      <c r="O2694" s="39" t="n">
        <f aca="false">Sens!$O$2683+Sens!$O$2688+Sens!$O$2691+Sens!$O$2692-Sens!$O$2693</f>
        <v>0</v>
      </c>
    </row>
    <row r="2695" customFormat="false" ht="17.15" hidden="false" customHeight="false" outlineLevel="0" collapsed="false">
      <c r="A2695" s="0" t="s">
        <v>687</v>
      </c>
      <c r="B2695" s="0" t="s">
        <v>52</v>
      </c>
      <c r="C2695" s="12" t="n">
        <f aca="false">Sens!$C$2683/Sens!$C$2668</f>
        <v>0.0644314665661928</v>
      </c>
      <c r="D2695" s="12" t="n">
        <f aca="false">Sens!$D$2683/Sens!$D$2668</f>
        <v>0.0694784250712518</v>
      </c>
      <c r="E2695" s="12" t="n">
        <f aca="false">Sens!$E$2683/Sens!$E$2668</f>
        <v>0.0789306463326071</v>
      </c>
      <c r="F2695" s="12" t="n">
        <f aca="false">Sens!$F$2683/Sens!$F$2668</f>
        <v>0.0816338957078875</v>
      </c>
      <c r="G2695" s="12" t="n">
        <f aca="false">Sens!$G$2683/Sens!$G$2668</f>
        <v>0.080384315570057</v>
      </c>
      <c r="H2695" s="12" t="n">
        <f aca="false">Sens!$H$2683/Sens!$H$2668</f>
        <v>0.080035122355679</v>
      </c>
      <c r="I2695" s="12" t="n">
        <f aca="false">Sens!$I$2683/Sens!$I$2668</f>
        <v>0.0786798687862144</v>
      </c>
      <c r="J2695" s="12" t="n">
        <f aca="false">Sens!$J$2683/Sens!$J$2668</f>
        <v>0.0772846370095153</v>
      </c>
      <c r="K2695" s="12" t="n">
        <f aca="false">Sens!$K$2683/Sens!$K$2668</f>
        <v>0.0753502227686655</v>
      </c>
      <c r="L2695" s="12" t="n">
        <f aca="false">Sens!$L$2683/Sens!$L$2668</f>
        <v>0.0723154067793922</v>
      </c>
      <c r="M2695" s="12" t="n">
        <f aca="false">Sens!$M$2683/Sens!$M$2668</f>
        <v>0.070022386735876</v>
      </c>
      <c r="N2695" s="12" t="n">
        <f aca="false">Sens!$N$2683/Sens!$N$2668</f>
        <v>0.069228576611127</v>
      </c>
      <c r="O2695" s="12" t="n">
        <f aca="false">Sens!$O$2683/Sens!$O$2668</f>
        <v>0.069685022498393</v>
      </c>
    </row>
    <row r="2696" customFormat="false" ht="17.15" hidden="false" customHeight="false" outlineLevel="0" collapsed="false">
      <c r="A2696" s="0" t="s">
        <v>688</v>
      </c>
      <c r="B2696" s="0" t="s">
        <v>52</v>
      </c>
      <c r="C2696" s="12" t="n">
        <f aca="false">Sens!$C$2688/Sens!$C$2669</f>
        <v>0.026534925055631</v>
      </c>
      <c r="D2696" s="12" t="n">
        <f aca="false">Sens!$D$2688/Sens!$D$2669</f>
        <v>0.0293401855535103</v>
      </c>
      <c r="E2696" s="12" t="n">
        <f aca="false">Sens!$E$2688/Sens!$E$2669</f>
        <v>0.03831141902276</v>
      </c>
      <c r="F2696" s="12" t="n">
        <f aca="false">Sens!$F$2688/Sens!$F$2669</f>
        <v>0.0297532808235678</v>
      </c>
      <c r="G2696" s="12" t="n">
        <f aca="false">Sens!$G$2688/Sens!$G$2669</f>
        <v>0.0335954317997163</v>
      </c>
      <c r="H2696" s="12" t="n">
        <f aca="false">Sens!$H$2688/Sens!$H$2669</f>
        <v>0.0312519754292078</v>
      </c>
      <c r="I2696" s="12" t="n">
        <f aca="false">Sens!$I$2688/Sens!$I$2669</f>
        <v>0.0278788303191397</v>
      </c>
      <c r="J2696" s="12" t="n">
        <f aca="false">Sens!$J$2688/Sens!$J$2669</f>
        <v>0.0244019313573061</v>
      </c>
      <c r="K2696" s="12" t="n">
        <f aca="false">Sens!$K$2688/Sens!$K$2669</f>
        <v>0.020280070641524</v>
      </c>
      <c r="L2696" s="12" t="n">
        <f aca="false">Sens!$L$2688/Sens!$L$2669</f>
        <v>0.0175947312030086</v>
      </c>
      <c r="M2696" s="12" t="n">
        <f aca="false">Sens!$M$2688/Sens!$M$2669</f>
        <v>0.0156592172424565</v>
      </c>
      <c r="N2696" s="12" t="n">
        <f aca="false">Sens!$N$2688/Sens!$N$2669</f>
        <v>0.0357315650169337</v>
      </c>
      <c r="O2696" s="12" t="n">
        <f aca="false">Sens!$O$2688/Sens!$O$2669</f>
        <v>0.0244378956559703</v>
      </c>
    </row>
    <row r="2697" customFormat="false" ht="17.15" hidden="false" customHeight="false" outlineLevel="0" collapsed="false">
      <c r="A2697" s="13" t="s">
        <v>689</v>
      </c>
      <c r="B2697" s="13" t="s">
        <v>52</v>
      </c>
      <c r="C2697" s="16" t="n">
        <f aca="false">Sens!$C$2691/Sens!$C$2670</f>
        <v>0.370355907620217</v>
      </c>
      <c r="D2697" s="16" t="n">
        <f aca="false">Sens!$D$2691/Sens!$D$2670</f>
        <v>0.35429015342785</v>
      </c>
      <c r="E2697" s="16" t="n">
        <f aca="false">Sens!$E$2691/Sens!$E$2670</f>
        <v>0.385647527531039</v>
      </c>
      <c r="F2697" s="16" t="n">
        <f aca="false">Sens!$F$2691/Sens!$F$2670</f>
        <v>0.384415729470259</v>
      </c>
      <c r="G2697" s="16" t="n">
        <f aca="false">Sens!$G$2691/Sens!$G$2670</f>
        <v>0.38498282105443</v>
      </c>
      <c r="H2697" s="16" t="n">
        <f aca="false">Sens!$H$2691/Sens!$H$2670</f>
        <v>0.36118436910528</v>
      </c>
      <c r="I2697" s="16" t="n">
        <f aca="false">Sens!$I$2691/Sens!$I$2670</f>
        <v>0.34915711489181</v>
      </c>
      <c r="J2697" s="16" t="n">
        <f aca="false">Sens!$J$2691/Sens!$J$2670</f>
        <v>0.339024060586305</v>
      </c>
      <c r="K2697" s="16" t="n">
        <f aca="false">Sens!$K$2691/Sens!$K$2670</f>
        <v>0.329644456656049</v>
      </c>
      <c r="L2697" s="16" t="n">
        <f aca="false">Sens!$L$2691/Sens!$L$2670</f>
        <v>0.325841934562585</v>
      </c>
      <c r="M2697" s="16" t="n">
        <f aca="false">Sens!$M$2691/Sens!$M$2670</f>
        <v>0.321804625465941</v>
      </c>
      <c r="N2697" s="16" t="n">
        <f aca="false">Sens!$N$2691/Sens!$N$2670</f>
        <v>0.360941137346192</v>
      </c>
      <c r="O2697" s="16" t="n">
        <f aca="false">Sens!$O$2691/Sens!$O$2670</f>
        <v>0.348458117664212</v>
      </c>
    </row>
    <row r="2698" customFormat="false" ht="17.15" hidden="false" customHeight="false" outlineLevel="0" collapsed="false">
      <c r="A2698" s="0" t="s">
        <v>690</v>
      </c>
      <c r="B2698" s="0" t="s">
        <v>52</v>
      </c>
      <c r="C2698" s="12" t="n">
        <f aca="false">Sens!$C$2689/Sens!$C$2671</f>
        <v>0.708390794789371</v>
      </c>
      <c r="D2698" s="12" t="n">
        <f aca="false">Sens!$D$2689/Sens!$D$2671</f>
        <v>0.445565630441968</v>
      </c>
      <c r="E2698" s="12" t="n">
        <f aca="false">Sens!$E$2689/Sens!$E$2671</f>
        <v>0.165998118402711</v>
      </c>
      <c r="F2698" s="12" t="n">
        <f aca="false">Sens!$F$2689/Sens!$F$2671</f>
        <v>0.434878595403858</v>
      </c>
      <c r="G2698" s="12" t="n">
        <f aca="false">Sens!$G$2689/Sens!$G$2671</f>
        <v>0.3373967615381</v>
      </c>
      <c r="H2698" s="12" t="n">
        <f aca="false">Sens!$H$2689/Sens!$H$2671</f>
        <v>0.320477578041224</v>
      </c>
      <c r="I2698" s="12" t="n">
        <f aca="false">Sens!$I$2689/Sens!$I$2671</f>
        <v>0.296936118226494</v>
      </c>
      <c r="J2698" s="12" t="n">
        <f aca="false">Sens!$J$2689/Sens!$J$2671</f>
        <v>0.282166278613001</v>
      </c>
      <c r="K2698" s="12" t="n">
        <f aca="false">Sens!$K$2689/Sens!$K$2671</f>
        <v>0.271267685694333</v>
      </c>
      <c r="L2698" s="12" t="n">
        <f aca="false">Sens!$L$2689/Sens!$L$2671</f>
        <v>0.27160960915653</v>
      </c>
      <c r="M2698" s="12" t="n">
        <f aca="false">Sens!$M$2689/Sens!$M$2671</f>
        <v>0.26974494804234</v>
      </c>
      <c r="N2698" s="12" t="n">
        <f aca="false">Sens!$N$2689/Sens!$N$2671</f>
        <v>0.302870734830849</v>
      </c>
      <c r="O2698" s="12" t="n">
        <f aca="false">Sens!$O$2689/Sens!$O$2671</f>
        <v>0.52240134346334</v>
      </c>
    </row>
    <row r="2699" customFormat="false" ht="15" hidden="false" customHeight="false" outlineLevel="0" collapsed="false">
      <c r="A2699" s="5" t="s">
        <v>691</v>
      </c>
      <c r="B2699" s="0" t="s">
        <v>52</v>
      </c>
      <c r="C2699" s="12" t="n">
        <f aca="false">Sens!$C$2693/Sens!$C$2673</f>
        <v>0.107519448742004</v>
      </c>
      <c r="D2699" s="12" t="n">
        <f aca="false">Sens!$D$2693/Sens!$D$2673</f>
        <v>0.111552967957552</v>
      </c>
      <c r="E2699" s="12" t="n">
        <f aca="false">Sens!$E$2693/Sens!$E$2673</f>
        <v>0.13428328426562</v>
      </c>
      <c r="F2699" s="12" t="n">
        <f aca="false">Sens!$F$2693/Sens!$F$2673</f>
        <v>0.132926212451512</v>
      </c>
      <c r="G2699" s="12" t="n">
        <f aca="false">Sens!$G$2693/Sens!$G$2673</f>
        <v>0.133549030959228</v>
      </c>
      <c r="H2699" s="12" t="n">
        <f aca="false">Sens!$H$2693/Sens!$H$2673</f>
        <v>0.139417845119615</v>
      </c>
      <c r="I2699" s="12" t="n">
        <f aca="false">Sens!$I$2693/Sens!$I$2673</f>
        <v>0.143855040626645</v>
      </c>
      <c r="J2699" s="12" t="n">
        <f aca="false">Sens!$J$2693/Sens!$J$2673</f>
        <v>0.145703372229532</v>
      </c>
      <c r="K2699" s="12" t="n">
        <f aca="false">Sens!$K$2693/Sens!$K$2673</f>
        <v>0.145179782653983</v>
      </c>
      <c r="L2699" s="12" t="n">
        <f aca="false">Sens!$L$2693/Sens!$L$2673</f>
        <v>0.145255752073182</v>
      </c>
      <c r="M2699" s="12" t="n">
        <f aca="false">Sens!$M$2693/Sens!$M$2673</f>
        <v>0.145077254871749</v>
      </c>
      <c r="N2699" s="12" t="n">
        <f aca="false">Sens!$N$2693/Sens!$N$2673</f>
        <v>0.116201614873411</v>
      </c>
      <c r="O2699" s="12" t="n">
        <f aca="false">Sens!$O$2693/Sens!$O$2673</f>
        <v>0.107733353660861</v>
      </c>
    </row>
    <row r="2700" customFormat="false" ht="17.15" hidden="false" customHeight="false" outlineLevel="0" collapsed="false">
      <c r="A2700" s="1" t="s">
        <v>692</v>
      </c>
    </row>
    <row r="2701" customFormat="false" ht="17.15" hidden="false" customHeight="false" outlineLevel="0" collapsed="false">
      <c r="A2701" s="5" t="s">
        <v>693</v>
      </c>
      <c r="B2701" s="0" t="s">
        <v>52</v>
      </c>
      <c r="D2701" s="28" t="n">
        <f aca="false">(Q!$E$29+Q!$E$30-(1-ext_sh)*Sens!$D$2625)/Sens!$D$2583</f>
        <v>0.0334674312393194</v>
      </c>
    </row>
    <row r="2702" customFormat="false" ht="17.15" hidden="false" customHeight="false" outlineLevel="0" collapsed="false">
      <c r="A2702" s="0" t="s">
        <v>498</v>
      </c>
      <c r="B2702" s="0" t="s">
        <v>73</v>
      </c>
      <c r="C2702" s="38" t="n">
        <f aca="false">Q!$D$29</f>
        <v>14.285</v>
      </c>
      <c r="D2702" s="38" t="n">
        <f aca="false">Q!$E$29</f>
        <v>15.503</v>
      </c>
      <c r="E2702" s="38" t="n">
        <f aca="false">Q!$P$29</f>
        <v>8.78</v>
      </c>
      <c r="F2702" s="38" t="n">
        <f aca="false">(Sens!$D$2701*Sens!$F$2583+(1-ext_sh)*Sens!$F$2625)*Sens!$F$2584</f>
        <v>9.51361751569285</v>
      </c>
      <c r="G2702" s="38" t="n">
        <f aca="false">Sens!$E$2702+Sens!$F$2702</f>
        <v>18.2936175156929</v>
      </c>
      <c r="H2702" s="38" t="n">
        <f aca="false">(Sens!$D$2701*Sens!$H$2583+(1-ext_sh)*Sens!$H$2625)*Sens!$H$2584</f>
        <v>22.7653661801943</v>
      </c>
      <c r="I2702" s="38" t="n">
        <f aca="false">(Sens!$D$2701*Sens!$I$2583+(1-ext_sh)*Sens!$I$2625)*Sens!$I$2584</f>
        <v>28.4281317305062</v>
      </c>
      <c r="J2702" s="38" t="n">
        <f aca="false">(Sens!$D$2701*Sens!$J$2583+(1-ext_sh)*Sens!$J$2625)*Sens!$J$2584</f>
        <v>34.1182922009732</v>
      </c>
      <c r="K2702" s="38" t="n">
        <f aca="false">(Sens!$D$2701*Sens!$K$2583+(1-ext_sh)*Sens!$K$2625)*Sens!$K$2584</f>
        <v>39.7237727987046</v>
      </c>
      <c r="L2702" s="38" t="n">
        <f aca="false">(Sens!$D$2701*Sens!$L$2583+(1-ext_sh)*Sens!$L$2625)*Sens!$L$2584</f>
        <v>45.1313127180263</v>
      </c>
      <c r="M2702" s="38" t="n">
        <f aca="false">(Sens!$D$2701*Sens!$M$2583+(1-ext_sh)*Sens!$M$2625)*Sens!$M$2584</f>
        <v>50.743940615442</v>
      </c>
      <c r="N2702" s="38" t="n">
        <f aca="false">Q!$N$29</f>
        <v>7.272</v>
      </c>
      <c r="O2702" s="38" t="n">
        <f aca="false">Q!$O$29</f>
        <v>8.231</v>
      </c>
    </row>
    <row r="2703" customFormat="false" ht="17.15" hidden="false" customHeight="false" outlineLevel="0" collapsed="false">
      <c r="A2703" s="0" t="s">
        <v>500</v>
      </c>
      <c r="B2703" s="0" t="s">
        <v>73</v>
      </c>
      <c r="C2703" s="38" t="n">
        <f aca="false">Q!$D$30</f>
        <v>4.462</v>
      </c>
      <c r="D2703" s="38" t="n">
        <f aca="false">Q!$E$30</f>
        <v>4.907</v>
      </c>
      <c r="E2703" s="38" t="n">
        <f aca="false">Q!$P$30</f>
        <v>2.57</v>
      </c>
      <c r="F2703" s="38" t="n">
        <f aca="false">(Sens!$D$2701*Sens!$F$2583+(1-ext_sh)*Sens!$F$2625)*(1-Sens!$F$2584)</f>
        <v>3.7353230631574</v>
      </c>
      <c r="G2703" s="38" t="n">
        <f aca="false">Sens!$E$2703+Sens!$F$2703</f>
        <v>6.3053230631574</v>
      </c>
      <c r="H2703" s="38" t="n">
        <f aca="false">(Sens!$D$2701*Sens!$H$2583+(1-ext_sh)*Sens!$H$2625)*(1-Sens!$H$2584)</f>
        <v>8.72254636724805</v>
      </c>
      <c r="I2703" s="38" t="n">
        <f aca="false">(Sens!$D$2701*Sens!$I$2583+(1-ext_sh)*Sens!$I$2625)*(1-Sens!$I$2584)</f>
        <v>10.8922340713019</v>
      </c>
      <c r="J2703" s="38" t="n">
        <f aca="false">(Sens!$D$2701*Sens!$J$2583+(1-ext_sh)*Sens!$J$2625)*(1-Sens!$J$2584)</f>
        <v>13.0724181345791</v>
      </c>
      <c r="K2703" s="38" t="n">
        <f aca="false">(Sens!$D$2701*Sens!$K$2583+(1-ext_sh)*Sens!$K$2625)*(1-Sens!$K$2584)</f>
        <v>15.2201571183236</v>
      </c>
      <c r="L2703" s="38" t="n">
        <f aca="false">(Sens!$D$2701*Sens!$L$2583+(1-ext_sh)*Sens!$L$2625)*(1-Sens!$L$2584)</f>
        <v>17.2920551631732</v>
      </c>
      <c r="M2703" s="38" t="n">
        <f aca="false">(Sens!$D$2701*Sens!$M$2583+(1-ext_sh)*Sens!$M$2625)*(1-Sens!$M$2584)</f>
        <v>19.4425326336348</v>
      </c>
      <c r="N2703" s="38" t="n">
        <f aca="false">Q!$N$30</f>
        <v>2.316</v>
      </c>
      <c r="O2703" s="38" t="n">
        <f aca="false">Q!$O$30</f>
        <v>2.591</v>
      </c>
    </row>
    <row r="2704" customFormat="false" ht="17.15" hidden="false" customHeight="false" outlineLevel="0" collapsed="false">
      <c r="A2704" s="0" t="s">
        <v>501</v>
      </c>
      <c r="B2704" s="0" t="s">
        <v>73</v>
      </c>
      <c r="C2704" s="38" t="n">
        <f aca="false">Sens!$C$2637</f>
        <v>13.32</v>
      </c>
      <c r="D2704" s="38" t="n">
        <f aca="false">Sens!$D$2637</f>
        <v>21.45</v>
      </c>
      <c r="E2704" s="38" t="n">
        <f aca="false">Sens!$E$2637</f>
        <v>15.353</v>
      </c>
      <c r="F2704" s="38" t="n">
        <f aca="false">Sens!$F$2637</f>
        <v>17.3614451462707</v>
      </c>
      <c r="G2704" s="38" t="n">
        <f aca="false">Sens!$G$2637</f>
        <v>32.7144451462707</v>
      </c>
      <c r="H2704" s="38" t="n">
        <f aca="false">Sens!$H$2637</f>
        <v>56.0228263667984</v>
      </c>
      <c r="I2704" s="38" t="n">
        <f aca="false">Sens!$I$2637</f>
        <v>82.3552236942739</v>
      </c>
      <c r="J2704" s="38" t="n">
        <f aca="false">Sens!$J$2637</f>
        <v>108.529700132267</v>
      </c>
      <c r="K2704" s="38" t="n">
        <f aca="false">Sens!$K$2637</f>
        <v>133.826247257326</v>
      </c>
      <c r="L2704" s="38" t="n">
        <f aca="false">Sens!$L$2637</f>
        <v>157.592466879888</v>
      </c>
      <c r="M2704" s="38" t="n">
        <f aca="false">Sens!$M$2637</f>
        <v>182.023134312276</v>
      </c>
      <c r="N2704" s="38" t="n">
        <f aca="false">Sens!$N$2637</f>
        <v>9.234</v>
      </c>
      <c r="O2704" s="38" t="n">
        <f aca="false">Sens!$O$2637</f>
        <v>12.216</v>
      </c>
    </row>
    <row r="2705" customFormat="false" ht="17.15" hidden="false" customHeight="false" outlineLevel="0" collapsed="false">
      <c r="A2705" s="5" t="s">
        <v>694</v>
      </c>
      <c r="B2705" s="0" t="s">
        <v>73</v>
      </c>
      <c r="C2705" s="38" t="n">
        <f aca="false">Sens!$C$2702+Sens!$C$2703+Sens!$C$2704</f>
        <v>32.067</v>
      </c>
      <c r="D2705" s="38" t="n">
        <f aca="false">Sens!$D$2702+Sens!$D$2703+Sens!$D$2704</f>
        <v>41.86</v>
      </c>
      <c r="E2705" s="38" t="n">
        <f aca="false">Sens!$E$2702+Sens!$E$2703+Sens!$E$2704</f>
        <v>26.703</v>
      </c>
      <c r="F2705" s="38" t="n">
        <f aca="false">Sens!$F$2702+Sens!$F$2703+Sens!$F$2704</f>
        <v>30.6103857251209</v>
      </c>
      <c r="G2705" s="38" t="n">
        <f aca="false">Sens!$G$2702+Sens!$G$2703+Sens!$G$2704</f>
        <v>57.3133857251209</v>
      </c>
      <c r="H2705" s="38" t="n">
        <f aca="false">Sens!$H$2702+Sens!$H$2703+Sens!$H$2704</f>
        <v>87.5107389142407</v>
      </c>
      <c r="I2705" s="38" t="n">
        <f aca="false">Sens!$I$2702+Sens!$I$2703+Sens!$I$2704</f>
        <v>121.675589496082</v>
      </c>
      <c r="J2705" s="38" t="n">
        <f aca="false">Sens!$J$2702+Sens!$J$2703+Sens!$J$2704</f>
        <v>155.720410467819</v>
      </c>
      <c r="K2705" s="38" t="n">
        <f aca="false">Sens!$K$2702+Sens!$K$2703+Sens!$K$2704</f>
        <v>188.770177174354</v>
      </c>
      <c r="L2705" s="38" t="n">
        <f aca="false">Sens!$L$2702+Sens!$L$2703+Sens!$L$2704</f>
        <v>220.015834761088</v>
      </c>
      <c r="M2705" s="38" t="n">
        <f aca="false">Sens!$M$2702+Sens!$M$2703+Sens!$M$2704</f>
        <v>252.209607561353</v>
      </c>
      <c r="N2705" s="38" t="n">
        <f aca="false">Sens!$N$2702+Sens!$N$2703+Sens!$N$2704</f>
        <v>18.822</v>
      </c>
      <c r="O2705" s="38" t="n">
        <f aca="false">Sens!$O$2702+Sens!$O$2703+Sens!$O$2704</f>
        <v>23.038</v>
      </c>
    </row>
    <row r="2706" customFormat="false" ht="17.15" hidden="false" customHeight="false" outlineLevel="0" collapsed="false">
      <c r="A2706" s="0" t="s">
        <v>695</v>
      </c>
      <c r="B2706" s="0" t="s">
        <v>73</v>
      </c>
      <c r="C2706" s="38" t="n">
        <f aca="false">Sens!$C$2679+Sens!$C$2684</f>
        <v>28.107</v>
      </c>
      <c r="D2706" s="38" t="n">
        <f aca="false">Sens!$D$2679+Sens!$D$2684</f>
        <v>34.3175</v>
      </c>
      <c r="E2706" s="38" t="n">
        <f aca="false">Sens!$E$2679+Sens!$E$2684</f>
        <v>18.526</v>
      </c>
      <c r="F2706" s="38" t="n">
        <f aca="false">Sens!$F$2679+Sens!$F$2684</f>
        <v>24.0766690913691</v>
      </c>
      <c r="G2706" s="38" t="n">
        <f aca="false">Sens!$G$2679+Sens!$G$2684</f>
        <v>42.6026690913691</v>
      </c>
      <c r="H2706" s="38" t="n">
        <f aca="false">Sens!$H$2679+Sens!$H$2684</f>
        <v>51.1466809294702</v>
      </c>
      <c r="I2706" s="38" t="n">
        <f aca="false">Sens!$I$2679+Sens!$I$2684</f>
        <v>59.6899187926205</v>
      </c>
      <c r="J2706" s="38" t="n">
        <f aca="false">Sens!$J$2679+Sens!$J$2684</f>
        <v>67.6595395244221</v>
      </c>
      <c r="K2706" s="38" t="n">
        <f aca="false">Sens!$K$2679+Sens!$K$2684</f>
        <v>74.4254934768643</v>
      </c>
      <c r="L2706" s="38" t="n">
        <f aca="false">Sens!$L$2679+Sens!$L$2684</f>
        <v>81.8680428245508</v>
      </c>
      <c r="M2706" s="38" t="n">
        <f aca="false">Sens!$M$2679+Sens!$M$2684</f>
        <v>90.0548471070059</v>
      </c>
      <c r="N2706" s="38" t="n">
        <f aca="false">Sens!$N$2679+Sens!$N$2684</f>
        <v>14.8075</v>
      </c>
      <c r="O2706" s="38" t="n">
        <f aca="false">Sens!$O$2679+Sens!$O$2684</f>
        <v>19.51</v>
      </c>
    </row>
    <row r="2707" customFormat="false" ht="17.15" hidden="false" customHeight="false" outlineLevel="0" collapsed="false">
      <c r="A2707" s="0" t="s">
        <v>696</v>
      </c>
      <c r="B2707" s="0" t="s">
        <v>73</v>
      </c>
      <c r="C2707" s="38" t="n">
        <f aca="false">Sens!$C$2683+Sens!$C$2688+Sens!$C$2702+Sens!$C$2703-Sens!$C$2706</f>
        <v>19.399</v>
      </c>
      <c r="D2707" s="38" t="n">
        <f aca="false">Sens!$D$2683+Sens!$D$2688+Sens!$D$2702+Sens!$D$2703-Sens!$D$2706</f>
        <v>20.4615</v>
      </c>
      <c r="E2707" s="38" t="n">
        <f aca="false">Sens!$E$2683+Sens!$E$2688+Sens!$E$2702+Sens!$E$2703-Sens!$E$2706</f>
        <v>13.355</v>
      </c>
      <c r="F2707" s="38" t="n">
        <f aca="false">Sens!$F$2683+Sens!$F$2688+Sens!$F$2702+Sens!$F$2703-Sens!$F$2706</f>
        <v>13.0895111975985</v>
      </c>
      <c r="G2707" s="38" t="n">
        <f aca="false">Sens!$G$2683+Sens!$G$2688+Sens!$G$2702+Sens!$G$2703-Sens!$G$2706</f>
        <v>26.4445111975985</v>
      </c>
      <c r="H2707" s="38" t="n">
        <f aca="false">Sens!$H$2683+Sens!$H$2688+Sens!$H$2702+Sens!$H$2703-Sens!$H$2706</f>
        <v>28.8977096937968</v>
      </c>
      <c r="I2707" s="38" t="n">
        <f aca="false">Sens!$I$2683+Sens!$I$2688+Sens!$I$2702+Sens!$I$2703-Sens!$I$2706</f>
        <v>31.2062039064791</v>
      </c>
      <c r="J2707" s="38" t="n">
        <f aca="false">Sens!$J$2683+Sens!$J$2688+Sens!$J$2702+Sens!$J$2703-Sens!$J$2706</f>
        <v>33.5064572496913</v>
      </c>
      <c r="K2707" s="38" t="n">
        <f aca="false">Sens!$K$2683+Sens!$K$2688+Sens!$K$2702+Sens!$K$2703-Sens!$K$2706</f>
        <v>35.6591461575899</v>
      </c>
      <c r="L2707" s="38" t="n">
        <f aca="false">Sens!$L$2683+Sens!$L$2688+Sens!$L$2702+Sens!$L$2703-Sens!$L$2706</f>
        <v>36.4141007090604</v>
      </c>
      <c r="M2707" s="38" t="n">
        <f aca="false">Sens!$M$2683+Sens!$M$2688+Sens!$M$2702+Sens!$M$2703-Sens!$M$2706</f>
        <v>37.359984207839</v>
      </c>
      <c r="N2707" s="38" t="n">
        <f aca="false">Sens!$N$2683+Sens!$N$2688+Sens!$N$2702+Sens!$N$2703-Sens!$N$2706</f>
        <v>10.6495</v>
      </c>
      <c r="O2707" s="38" t="n">
        <f aca="false">Sens!$O$2683+Sens!$O$2688+Sens!$O$2702+Sens!$O$2703-Sens!$O$2706</f>
        <v>9.81200000000001</v>
      </c>
    </row>
    <row r="2708" customFormat="false" ht="17.15" hidden="false" customHeight="false" outlineLevel="0" collapsed="false">
      <c r="A2708" s="0" t="s">
        <v>697</v>
      </c>
      <c r="B2708" s="0" t="s">
        <v>73</v>
      </c>
      <c r="C2708" s="38" t="n">
        <f aca="false">Sens!$C$2690+Sens!$C$2704-ext_sh*Sens!$C$2625</f>
        <v>51.3470500115664</v>
      </c>
      <c r="D2708" s="38" t="n">
        <f aca="false">Sens!$D$2690+Sens!$D$2704-ext_sh*Sens!$D$2625</f>
        <v>60.2799375433739</v>
      </c>
      <c r="E2708" s="38" t="n">
        <f aca="false">Sens!$E$2690+Sens!$E$2704-ext_sh*Sens!$E$2625</f>
        <v>39.5095167090767</v>
      </c>
      <c r="F2708" s="38" t="n">
        <f aca="false">Sens!$F$2690+Sens!$F$2704-ext_sh*Sens!$F$2625</f>
        <v>41.606724953129</v>
      </c>
      <c r="G2708" s="38" t="n">
        <f aca="false">Sens!$G$2690+Sens!$G$2704-ext_sh*Sens!$G$2625</f>
        <v>81.1162416622057</v>
      </c>
      <c r="H2708" s="38" t="n">
        <f aca="false">Sens!$H$2690+Sens!$H$2704-ext_sh*Sens!$H$2625</f>
        <v>95.1664881395653</v>
      </c>
      <c r="I2708" s="38" t="n">
        <f aca="false">Sens!$I$2690+Sens!$I$2704-ext_sh*Sens!$I$2625</f>
        <v>109.392744758692</v>
      </c>
      <c r="J2708" s="38" t="n">
        <f aca="false">Sens!$J$2690+Sens!$J$2704-ext_sh*Sens!$J$2625</f>
        <v>120.30401965776</v>
      </c>
      <c r="K2708" s="38" t="n">
        <f aca="false">Sens!$K$2690+Sens!$K$2704-ext_sh*Sens!$K$2625</f>
        <v>126.319220640648</v>
      </c>
      <c r="L2708" s="38" t="n">
        <f aca="false">Sens!$L$2690+Sens!$L$2704-ext_sh*Sens!$L$2625</f>
        <v>132.63518167268</v>
      </c>
      <c r="M2708" s="38" t="n">
        <f aca="false">Sens!$M$2690+Sens!$M$2704-ext_sh*Sens!$M$2625</f>
        <v>139.266940756314</v>
      </c>
      <c r="N2708" s="38" t="n">
        <f aca="false">Sens!$N$2690+Sens!$N$2704-ext_sh*Sens!$N$2625</f>
        <v>28.5693781401809</v>
      </c>
      <c r="O2708" s="38" t="n">
        <f aca="false">Sens!$O$2690+Sens!$O$2704-ext_sh*Sens!$O$2625</f>
        <v>31.7105594031931</v>
      </c>
    </row>
    <row r="2709" customFormat="false" ht="17.15" hidden="false" customHeight="false" outlineLevel="0" collapsed="false">
      <c r="A2709" s="0" t="s">
        <v>698</v>
      </c>
      <c r="B2709" s="0" t="s">
        <v>73</v>
      </c>
      <c r="C2709" s="38" t="n">
        <f aca="false">Sens!$C$2628</f>
        <v>1.80694998843362</v>
      </c>
      <c r="D2709" s="38" t="n">
        <f aca="false">Sens!$D$2628</f>
        <v>6.77606245662607</v>
      </c>
      <c r="E2709" s="38" t="n">
        <f aca="false">Sens!$E$2628</f>
        <v>6.62548329092326</v>
      </c>
      <c r="F2709" s="38" t="n">
        <f aca="false">Sens!$F$2628</f>
        <v>11.7200577158706</v>
      </c>
      <c r="G2709" s="38" t="n">
        <f aca="false">Sens!$G$2628</f>
        <v>18.3455410067939</v>
      </c>
      <c r="H2709" s="38" t="n">
        <f aca="false">Sens!$H$2628</f>
        <v>47.5171727060453</v>
      </c>
      <c r="I2709" s="38" t="n">
        <f aca="false">Sens!$I$2628</f>
        <v>80.5539692643667</v>
      </c>
      <c r="J2709" s="38" t="n">
        <f aca="false">Sens!$J$2628</f>
        <v>113.759316834883</v>
      </c>
      <c r="K2709" s="38" t="n">
        <f aca="false">Sens!$K$2628</f>
        <v>147.020848076132</v>
      </c>
      <c r="L2709" s="38" t="n">
        <f aca="false">Sens!$L$2628</f>
        <v>180.307917349531</v>
      </c>
      <c r="M2709" s="38" t="n">
        <f aca="false">Sens!$M$2628</f>
        <v>213.608737871012</v>
      </c>
      <c r="N2709" s="38" t="n">
        <f aca="false">Sens!$N$2628</f>
        <v>2.37162185981912</v>
      </c>
      <c r="O2709" s="38" t="n">
        <f aca="false">Sens!$O$2628</f>
        <v>4.40444059680694</v>
      </c>
    </row>
    <row r="2710" customFormat="false" ht="17.15" hidden="false" customHeight="false" outlineLevel="0" collapsed="false">
      <c r="A2710" s="0" t="s">
        <v>699</v>
      </c>
      <c r="B2710" s="0" t="s">
        <v>73</v>
      </c>
      <c r="C2710" s="38" t="n">
        <f aca="false">Sens!$C$2693+Sens!$C$2705</f>
        <v>100.66</v>
      </c>
      <c r="D2710" s="38" t="n">
        <f aca="false">Sens!$D$2693+Sens!$D$2705</f>
        <v>121.835</v>
      </c>
      <c r="E2710" s="38" t="n">
        <f aca="false">Sens!$E$2693+Sens!$E$2705</f>
        <v>78.016</v>
      </c>
      <c r="F2710" s="38" t="n">
        <f aca="false">Sens!$F$2693+Sens!$F$2705</f>
        <v>90.4929629579672</v>
      </c>
      <c r="G2710" s="38" t="n">
        <f aca="false">Sens!$G$2693+Sens!$G$2705</f>
        <v>168.508962957967</v>
      </c>
      <c r="H2710" s="38" t="n">
        <f aca="false">Sens!$H$2693+Sens!$H$2705</f>
        <v>222.728051468877</v>
      </c>
      <c r="I2710" s="38" t="n">
        <f aca="false">Sens!$I$2693+Sens!$I$2705</f>
        <v>280.842836722158</v>
      </c>
      <c r="J2710" s="38" t="n">
        <f aca="false">Sens!$J$2693+Sens!$J$2705</f>
        <v>335.229333266757</v>
      </c>
      <c r="K2710" s="38" t="n">
        <f aca="false">Sens!$K$2693+Sens!$K$2705</f>
        <v>383.424708351234</v>
      </c>
      <c r="L2710" s="38" t="n">
        <f aca="false">Sens!$L$2693+Sens!$L$2705</f>
        <v>431.225242555823</v>
      </c>
      <c r="M2710" s="38" t="n">
        <f aca="false">Sens!$M$2693+Sens!$M$2705</f>
        <v>480.290509942171</v>
      </c>
      <c r="N2710" s="38" t="n">
        <f aca="false">Sens!$N$2693+Sens!$N$2705</f>
        <v>56.398</v>
      </c>
      <c r="O2710" s="38" t="n">
        <f aca="false">Sens!$O$2693+Sens!$O$2705</f>
        <v>65.437</v>
      </c>
    </row>
    <row r="2711" customFormat="false" ht="17.15" hidden="false" customHeight="false" outlineLevel="0" collapsed="false">
      <c r="A2711" s="1" t="s">
        <v>700</v>
      </c>
    </row>
    <row r="2712" customFormat="false" ht="15" hidden="false" customHeight="false" outlineLevel="0" collapsed="false">
      <c r="A2712" s="5" t="s">
        <v>504</v>
      </c>
      <c r="B2712" s="0" t="s">
        <v>73</v>
      </c>
      <c r="C2712" s="38" t="n">
        <f aca="false">Q!$D$34</f>
        <v>2.406</v>
      </c>
      <c r="D2712" s="38" t="n">
        <f aca="false">Q!$E$34</f>
        <v>2.274</v>
      </c>
      <c r="E2712" s="38" t="n">
        <f aca="false">Q!$P$34</f>
        <v>2.114</v>
      </c>
      <c r="F2712" s="38" t="n">
        <f aca="false">Sens!$F$2748</f>
        <v>3.24888964316061</v>
      </c>
      <c r="G2712" s="38" t="n">
        <f aca="false">Sens!$E$2712+Sens!$F$2712</f>
        <v>5.36288964316061</v>
      </c>
      <c r="H2712" s="38" t="n">
        <f aca="false">Sens!$H$2748</f>
        <v>7.42354178632123</v>
      </c>
      <c r="I2712" s="38" t="n">
        <f aca="false">Sens!$I$2748</f>
        <v>7.53971171502999</v>
      </c>
      <c r="J2712" s="38" t="n">
        <f aca="false">Sens!$J$2748</f>
        <v>7.86887222360167</v>
      </c>
      <c r="K2712" s="38" t="n">
        <f aca="false">Sens!$K$2748</f>
        <v>7.86887222360167</v>
      </c>
      <c r="L2712" s="38" t="n">
        <f aca="false">Sens!$L$2748</f>
        <v>7.86887222360167</v>
      </c>
      <c r="M2712" s="38" t="n">
        <f aca="false">Sens!$M$2748</f>
        <v>7.86887222360167</v>
      </c>
      <c r="N2712" s="38" t="n">
        <f aca="false">Q!$N$34</f>
        <v>1.057</v>
      </c>
      <c r="O2712" s="38" t="n">
        <f aca="false">Q!$O$34</f>
        <v>1.217</v>
      </c>
    </row>
    <row r="2713" customFormat="false" ht="15" hidden="false" customHeight="false" outlineLevel="0" collapsed="false">
      <c r="A2713" s="5" t="s">
        <v>701</v>
      </c>
      <c r="B2713" s="0" t="s">
        <v>73</v>
      </c>
      <c r="F2713" s="38" t="n">
        <f aca="false">Sens!$F$2749</f>
        <v>2.59</v>
      </c>
      <c r="H2713" s="38" t="n">
        <f aca="false">Sens!$H$2749</f>
        <v>4.00971603121774</v>
      </c>
      <c r="I2713" s="38" t="n">
        <f aca="false">Sens!$I$2749</f>
        <v>2.10589651022864</v>
      </c>
      <c r="J2713" s="38" t="n">
        <f aca="false">Sens!$J$2749</f>
        <v>2.10589651022864</v>
      </c>
      <c r="K2713" s="38" t="n">
        <f aca="false">Sens!$K$2749</f>
        <v>3.66040175686249</v>
      </c>
      <c r="L2713" s="38" t="n">
        <f aca="false">Sens!$L$2749</f>
        <v>6.90197843058588</v>
      </c>
      <c r="M2713" s="38" t="n">
        <f aca="false">Sens!$M$2749</f>
        <v>10.5315329566375</v>
      </c>
    </row>
    <row r="2714" customFormat="false" ht="17.15" hidden="false" customHeight="false" outlineLevel="0" collapsed="false">
      <c r="A2714" s="5" t="s">
        <v>702</v>
      </c>
      <c r="B2714" s="0" t="s">
        <v>73</v>
      </c>
      <c r="C2714" s="38" t="n">
        <f aca="false">Q!$D$39</f>
        <v>2.427</v>
      </c>
      <c r="D2714" s="38" t="n">
        <f aca="false">Q!$E$39</f>
        <v>19.61</v>
      </c>
      <c r="E2714" s="38" t="n">
        <f aca="false">Q!$P$39</f>
        <v>71.492</v>
      </c>
      <c r="F2714" s="41" t="n">
        <v>0</v>
      </c>
      <c r="G2714" s="38" t="n">
        <f aca="false">Sens!$E$2714+Sens!$F$2714</f>
        <v>71.492</v>
      </c>
      <c r="H2714" s="41" t="n">
        <v>0</v>
      </c>
      <c r="I2714" s="41" t="n">
        <v>0</v>
      </c>
      <c r="J2714" s="41" t="n">
        <v>0</v>
      </c>
      <c r="K2714" s="41" t="n">
        <v>0</v>
      </c>
      <c r="L2714" s="41" t="n">
        <v>0</v>
      </c>
      <c r="M2714" s="41" t="n">
        <v>0</v>
      </c>
      <c r="N2714" s="38" t="n">
        <f aca="false">Q!$N$39</f>
        <v>6.017</v>
      </c>
      <c r="O2714" s="38" t="n">
        <f aca="false">Q!$O$39</f>
        <v>13.593</v>
      </c>
      <c r="P2714" s="5" t="s">
        <v>703</v>
      </c>
    </row>
    <row r="2715" customFormat="false" ht="15" hidden="false" customHeight="false" outlineLevel="0" collapsed="false">
      <c r="A2715" s="5" t="s">
        <v>507</v>
      </c>
      <c r="B2715" s="0" t="s">
        <v>73</v>
      </c>
      <c r="C2715" s="38" t="n">
        <f aca="false">Q!$D$36</f>
        <v>68.614</v>
      </c>
      <c r="D2715" s="38" t="n">
        <f aca="false">Q!$E$36</f>
        <v>97.311</v>
      </c>
      <c r="E2715" s="38" t="n">
        <f aca="false">Q!$P$36</f>
        <v>120.691</v>
      </c>
      <c r="F2715" s="38" t="n">
        <f aca="false">Sens!$F$2693-Sens!$F$2712+Sens!$F$2713+Sens!$F$2714</f>
        <v>59.2236875896856</v>
      </c>
      <c r="G2715" s="38" t="n">
        <f aca="false">Sens!$E$2715+Sens!$F$2715</f>
        <v>179.914687589686</v>
      </c>
      <c r="H2715" s="38" t="n">
        <f aca="false">Sens!$H$2693-Sens!$H$2712+Sens!$H$2713+Sens!$H$2714</f>
        <v>131.803486799533</v>
      </c>
      <c r="I2715" s="38" t="n">
        <f aca="false">Sens!$I$2693-Sens!$I$2712+Sens!$I$2713+Sens!$I$2714</f>
        <v>153.733432021275</v>
      </c>
      <c r="J2715" s="38" t="n">
        <f aca="false">Sens!$J$2693-Sens!$J$2712+Sens!$J$2713+Sens!$J$2714</f>
        <v>173.745947085565</v>
      </c>
      <c r="K2715" s="38" t="n">
        <f aca="false">Sens!$K$2693-Sens!$K$2712+Sens!$K$2713+Sens!$K$2714</f>
        <v>190.446060710141</v>
      </c>
      <c r="L2715" s="38" t="n">
        <f aca="false">Sens!$L$2693-Sens!$L$2712+Sens!$L$2713+Sens!$L$2714</f>
        <v>210.242514001719</v>
      </c>
      <c r="M2715" s="38" t="n">
        <f aca="false">Sens!$M$2693-Sens!$M$2712+Sens!$M$2713+Sens!$M$2714</f>
        <v>230.743563113854</v>
      </c>
      <c r="N2715" s="38" t="n">
        <f aca="false">Q!$N$36</f>
        <v>42.536</v>
      </c>
      <c r="O2715" s="38" t="n">
        <f aca="false">Q!$O$36</f>
        <v>54.775</v>
      </c>
    </row>
    <row r="2716" customFormat="false" ht="15" hidden="false" customHeight="false" outlineLevel="0" collapsed="false">
      <c r="A2716" s="5" t="s">
        <v>508</v>
      </c>
      <c r="B2716" s="0" t="s">
        <v>73</v>
      </c>
      <c r="C2716" s="38" t="n">
        <f aca="false">Q!$D$37</f>
        <v>9.265</v>
      </c>
      <c r="D2716" s="38" t="n">
        <f aca="false">Q!$E$37</f>
        <v>19.087</v>
      </c>
      <c r="E2716" s="38" t="n">
        <f aca="false">Q!$P$37</f>
        <v>27.759</v>
      </c>
      <c r="F2716" s="38" t="n">
        <f aca="false">Sens!$F$2715*tax</f>
        <v>10.2803157750071</v>
      </c>
      <c r="G2716" s="38" t="n">
        <f aca="false">Sens!$E$2716+Sens!$F$2716</f>
        <v>38.0393157750071</v>
      </c>
      <c r="H2716" s="38" t="n">
        <f aca="false">Sens!$H$2715*tax</f>
        <v>22.8790458630976</v>
      </c>
      <c r="I2716" s="38" t="n">
        <f aca="false">Sens!$I$2715*tax</f>
        <v>26.6857450232387</v>
      </c>
      <c r="J2716" s="38" t="n">
        <f aca="false">Sens!$J$2715*tax</f>
        <v>30.1596079771696</v>
      </c>
      <c r="K2716" s="38" t="n">
        <f aca="false">Sens!$K$2715*tax</f>
        <v>33.0584892952089</v>
      </c>
      <c r="L2716" s="38" t="n">
        <f aca="false">Sens!$L$2715*tax</f>
        <v>36.4948472686028</v>
      </c>
      <c r="M2716" s="38" t="n">
        <f aca="false">Sens!$M$2715*tax</f>
        <v>40.0535121739672</v>
      </c>
      <c r="N2716" s="38" t="n">
        <f aca="false">Q!$N$37</f>
        <v>7.231</v>
      </c>
      <c r="O2716" s="38" t="n">
        <f aca="false">Q!$O$37</f>
        <v>11.856</v>
      </c>
    </row>
    <row r="2717" customFormat="false" ht="15" hidden="false" customHeight="false" outlineLevel="0" collapsed="false">
      <c r="A2717" s="3" t="s">
        <v>509</v>
      </c>
      <c r="B2717" s="8" t="s">
        <v>73</v>
      </c>
      <c r="C2717" s="38" t="n">
        <f aca="false">Q!$D$38</f>
        <v>59.248</v>
      </c>
      <c r="D2717" s="38" t="n">
        <f aca="false">Q!$E$38</f>
        <v>77.67</v>
      </c>
      <c r="E2717" s="38" t="n">
        <f aca="false">Q!$P$38</f>
        <v>92.902</v>
      </c>
      <c r="F2717" s="38" t="n">
        <f aca="false">Sens!$F$2715-Sens!$F$2716</f>
        <v>48.9433718146785</v>
      </c>
      <c r="G2717" s="38" t="n">
        <f aca="false">Sens!$E$2717+Sens!$F$2717</f>
        <v>141.845371814679</v>
      </c>
      <c r="H2717" s="38" t="n">
        <f aca="false">Sens!$H$2715-Sens!$H$2716</f>
        <v>108.924440936436</v>
      </c>
      <c r="I2717" s="38" t="n">
        <f aca="false">Sens!$I$2715-Sens!$I$2716</f>
        <v>127.047686998036</v>
      </c>
      <c r="J2717" s="38" t="n">
        <f aca="false">Sens!$J$2715-Sens!$J$2716</f>
        <v>143.586339108395</v>
      </c>
      <c r="K2717" s="38" t="n">
        <f aca="false">Sens!$K$2715-Sens!$K$2716</f>
        <v>157.387571414932</v>
      </c>
      <c r="L2717" s="38" t="n">
        <f aca="false">Sens!$L$2715-Sens!$L$2716</f>
        <v>173.747666733116</v>
      </c>
      <c r="M2717" s="38" t="n">
        <f aca="false">Sens!$M$2715-Sens!$M$2716</f>
        <v>190.690050939887</v>
      </c>
      <c r="N2717" s="38" t="n">
        <f aca="false">Q!$N$38</f>
        <v>35.291</v>
      </c>
      <c r="O2717" s="38" t="n">
        <f aca="false">Q!$O$38</f>
        <v>42.379</v>
      </c>
    </row>
    <row r="2718" customFormat="false" ht="17.15" hidden="false" customHeight="false" outlineLevel="0" collapsed="false">
      <c r="A2718" s="5" t="s">
        <v>512</v>
      </c>
      <c r="B2718" s="5" t="s">
        <v>33</v>
      </c>
      <c r="C2718" s="22" t="n">
        <f aca="false">Q!$D$41</f>
        <v>10.721</v>
      </c>
      <c r="D2718" s="22" t="n">
        <f aca="false">Q!$E$41</f>
        <v>10.827</v>
      </c>
      <c r="E2718" s="22" t="n">
        <f aca="false">(Q!$L$41+Q!$M$41)/2</f>
        <v>10.8885</v>
      </c>
      <c r="F2718" s="22" t="n">
        <f aca="false">Sens!$G$2718</f>
        <v>10.924806</v>
      </c>
      <c r="G2718" s="22" t="n">
        <f aca="false">Q!$M$41*(1+sh_g*0.25)</f>
        <v>10.924806</v>
      </c>
      <c r="H2718" s="22" t="n">
        <f aca="false">Sens!$G$2718*(1+sh_g)</f>
        <v>11.012204448</v>
      </c>
      <c r="I2718" s="22" t="n">
        <f aca="false">Sens!$H$2718*(1+sh_g)</f>
        <v>11.100302083584</v>
      </c>
      <c r="J2718" s="22" t="n">
        <f aca="false">Sens!$I$2718*(1+sh_g)</f>
        <v>11.1891045002527</v>
      </c>
      <c r="K2718" s="22" t="n">
        <f aca="false">Sens!$J$2718*(1+sh_g)</f>
        <v>11.2786173362547</v>
      </c>
      <c r="L2718" s="22" t="n">
        <f aca="false">Sens!$K$2718*(1+sh_g)</f>
        <v>11.3688462749447</v>
      </c>
      <c r="M2718" s="22" t="n">
        <f aca="false">Sens!$L$2718*(1+sh_g)</f>
        <v>11.4597970451443</v>
      </c>
      <c r="P2718" s="5" t="s">
        <v>704</v>
      </c>
    </row>
    <row r="2719" customFormat="false" ht="17.15" hidden="false" customHeight="false" outlineLevel="0" collapsed="false">
      <c r="A2719" s="42" t="s">
        <v>705</v>
      </c>
      <c r="B2719" s="13" t="s">
        <v>27</v>
      </c>
      <c r="C2719" s="43" t="n">
        <f aca="false">Sens!$C$2717/Sens!$C$2718</f>
        <v>5.52635015390355</v>
      </c>
      <c r="D2719" s="43" t="n">
        <f aca="false">Sens!$D$2717/Sens!$D$2718</f>
        <v>7.1737323358271</v>
      </c>
      <c r="E2719" s="43" t="n">
        <f aca="false">Sens!$E$2717/Sens!$E$2718</f>
        <v>8.53212104513937</v>
      </c>
      <c r="F2719" s="13"/>
      <c r="G2719" s="43" t="n">
        <f aca="false">Sens!$G$2717/Sens!$G$2718</f>
        <v>12.9837886196495</v>
      </c>
      <c r="H2719" s="43" t="n">
        <f aca="false">Sens!$H$2717/Sens!$H$2718</f>
        <v>9.89124761084672</v>
      </c>
      <c r="I2719" s="43" t="n">
        <f aca="false">Sens!$I$2717/Sens!$I$2718</f>
        <v>11.4454260831265</v>
      </c>
      <c r="J2719" s="43" t="n">
        <f aca="false">Sens!$J$2717/Sens!$J$2718</f>
        <v>12.8326926524954</v>
      </c>
      <c r="K2719" s="43" t="n">
        <f aca="false">Sens!$K$2717/Sens!$K$2718</f>
        <v>13.9545093802425</v>
      </c>
      <c r="L2719" s="43" t="n">
        <f aca="false">Sens!$L$2717/Sens!$L$2718</f>
        <v>15.2827879391799</v>
      </c>
      <c r="M2719" s="43" t="n">
        <f aca="false">Sens!$M$2717/Sens!$M$2718</f>
        <v>16.6399151912281</v>
      </c>
      <c r="N2719" s="13"/>
      <c r="O2719" s="13"/>
    </row>
    <row r="2720" customFormat="false" ht="17.15" hidden="false" customHeight="false" outlineLevel="0" collapsed="false">
      <c r="A2720" s="0" t="s">
        <v>706</v>
      </c>
      <c r="B2720" s="0" t="s">
        <v>27</v>
      </c>
      <c r="C2720" s="30" t="n">
        <f aca="false">(Sens!$C$2717-Sens!$C$2714*(1-tax))/Sens!$C$2718</f>
        <v>5.33926775917445</v>
      </c>
      <c r="D2720" s="30" t="n">
        <f aca="false">(Sens!$D$2717-Sens!$D$2714*(1-tax))/Sens!$D$2718</f>
        <v>5.67691812755503</v>
      </c>
      <c r="E2720" s="30" t="n">
        <f aca="false">(Sens!$E$2717-Sens!$E$2714*(1-tax))/Sens!$E$2718</f>
        <v>3.10602057006846</v>
      </c>
      <c r="G2720" s="30" t="n">
        <f aca="false">(Sens!$G$2717-Sens!$G$2714*(1-tax))/Sens!$G$2718</f>
        <v>7.57572050175252</v>
      </c>
      <c r="H2720" s="30" t="n">
        <f aca="false">(Sens!$H$2717-Sens!$H$2714*(1-tax))/Sens!$H$2718</f>
        <v>9.89124761084672</v>
      </c>
      <c r="I2720" s="30" t="n">
        <f aca="false">(Sens!$I$2717-Sens!$I$2714*(1-tax))/Sens!$I$2718</f>
        <v>11.4454260831265</v>
      </c>
      <c r="J2720" s="30" t="n">
        <f aca="false">(Sens!$J$2717-Sens!$J$2714*(1-tax))/Sens!$J$2718</f>
        <v>12.8326926524954</v>
      </c>
      <c r="K2720" s="30" t="n">
        <f aca="false">(Sens!$K$2717-Sens!$K$2714*(1-tax))/Sens!$K$2718</f>
        <v>13.9545093802425</v>
      </c>
      <c r="L2720" s="30" t="n">
        <f aca="false">(Sens!$L$2717-Sens!$L$2714*(1-tax))/Sens!$L$2718</f>
        <v>15.2827879391799</v>
      </c>
      <c r="M2720" s="30" t="n">
        <f aca="false">(Sens!$M$2717-Sens!$M$2714*(1-tax))/Sens!$M$2718</f>
        <v>16.6399151912281</v>
      </c>
      <c r="P2720" s="5" t="s">
        <v>707</v>
      </c>
    </row>
    <row r="2721" customFormat="false" ht="17.15" hidden="false" customHeight="false" outlineLevel="0" collapsed="false">
      <c r="A2721" s="0" t="s">
        <v>708</v>
      </c>
      <c r="B2721" s="0" t="s">
        <v>52</v>
      </c>
      <c r="H2721" s="12" t="n">
        <f aca="false">Sens!$H$2719/Sens!$G$2719-1</f>
        <v>-0.238184793313915</v>
      </c>
      <c r="I2721" s="12" t="n">
        <f aca="false">Sens!$I$2719/Sens!$H$2719-1</f>
        <v>0.157126636944718</v>
      </c>
      <c r="J2721" s="12" t="n">
        <f aca="false">Sens!$J$2719/Sens!$I$2719-1</f>
        <v>0.121207070780353</v>
      </c>
      <c r="K2721" s="12" t="n">
        <f aca="false">Sens!$K$2719/Sens!$J$2719-1</f>
        <v>0.0874186546912263</v>
      </c>
      <c r="L2721" s="12" t="n">
        <f aca="false">Sens!$L$2719/Sens!$K$2719-1</f>
        <v>0.0951863317257207</v>
      </c>
      <c r="M2721" s="12" t="n">
        <f aca="false">Sens!$M$2719/Sens!$L$2719-1</f>
        <v>0.0888010261903132</v>
      </c>
    </row>
    <row r="2724" customFormat="false" ht="19.4" hidden="false" customHeight="false" outlineLevel="0" collapsed="false">
      <c r="A2724" s="31" t="s">
        <v>1101</v>
      </c>
    </row>
    <row r="2725" customFormat="false" ht="17.15" hidden="false" customHeight="false" outlineLevel="0" collapsed="false">
      <c r="A2725" s="6" t="s">
        <v>16</v>
      </c>
      <c r="B2725" s="6" t="s">
        <v>17</v>
      </c>
      <c r="C2725" s="20" t="s">
        <v>457</v>
      </c>
      <c r="D2725" s="20" t="s">
        <v>458</v>
      </c>
      <c r="E2725" s="20" t="s">
        <v>540</v>
      </c>
      <c r="F2725" s="20" t="s">
        <v>541</v>
      </c>
      <c r="G2725" s="20" t="s">
        <v>542</v>
      </c>
      <c r="H2725" s="20" t="s">
        <v>543</v>
      </c>
      <c r="I2725" s="20" t="s">
        <v>544</v>
      </c>
      <c r="J2725" s="20" t="s">
        <v>545</v>
      </c>
      <c r="K2725" s="20" t="s">
        <v>546</v>
      </c>
      <c r="L2725" s="20" t="s">
        <v>547</v>
      </c>
      <c r="M2725" s="20" t="s">
        <v>548</v>
      </c>
      <c r="N2725" s="20" t="s">
        <v>549</v>
      </c>
      <c r="O2725" s="20" t="s">
        <v>550</v>
      </c>
      <c r="P2725" s="6" t="s">
        <v>23</v>
      </c>
      <c r="R2725" s="20" t="n">
        <v>2023</v>
      </c>
      <c r="S2725" s="20" t="n">
        <v>2024</v>
      </c>
      <c r="T2725" s="20" t="n">
        <v>2025</v>
      </c>
      <c r="U2725" s="20" t="n">
        <v>2026</v>
      </c>
      <c r="V2725" s="20" t="n">
        <v>2027</v>
      </c>
      <c r="W2725" s="20" t="n">
        <v>2028</v>
      </c>
      <c r="X2725" s="20" t="n">
        <v>2029</v>
      </c>
      <c r="Y2725" s="20" t="n">
        <v>2030</v>
      </c>
      <c r="Z2725" s="20" t="n">
        <v>2031</v>
      </c>
      <c r="AA2725" s="20" t="n">
        <v>2032</v>
      </c>
    </row>
    <row r="2726" customFormat="false" ht="15" hidden="false" customHeight="false" outlineLevel="0" collapsed="false">
      <c r="A2726" s="5" t="s">
        <v>509</v>
      </c>
      <c r="B2726" s="0" t="s">
        <v>73</v>
      </c>
      <c r="C2726" s="38" t="n">
        <f aca="false">Sens!$C$2717</f>
        <v>59.248</v>
      </c>
      <c r="D2726" s="38" t="n">
        <f aca="false">Sens!$D$2717</f>
        <v>77.67</v>
      </c>
      <c r="E2726" s="38" t="n">
        <f aca="false">Sens!$E$2717</f>
        <v>92.902</v>
      </c>
      <c r="F2726" s="38" t="n">
        <f aca="false">Sens!$F$2717</f>
        <v>48.9433718146785</v>
      </c>
      <c r="G2726" s="38" t="n">
        <f aca="false">Sens!$G$2717</f>
        <v>141.845371814679</v>
      </c>
      <c r="H2726" s="38" t="n">
        <f aca="false">Sens!$H$2717</f>
        <v>108.924440936436</v>
      </c>
      <c r="I2726" s="38" t="n">
        <f aca="false">Sens!$I$2717</f>
        <v>127.047686998036</v>
      </c>
      <c r="J2726" s="38" t="n">
        <f aca="false">Sens!$J$2717</f>
        <v>143.586339108395</v>
      </c>
      <c r="K2726" s="38" t="n">
        <f aca="false">Sens!$K$2717</f>
        <v>157.387571414932</v>
      </c>
      <c r="L2726" s="38" t="n">
        <f aca="false">Sens!$L$2717</f>
        <v>173.747666733116</v>
      </c>
      <c r="M2726" s="38" t="n">
        <f aca="false">Sens!$M$2717</f>
        <v>190.690050939887</v>
      </c>
    </row>
    <row r="2727" customFormat="false" ht="17.15" hidden="false" customHeight="false" outlineLevel="0" collapsed="false">
      <c r="A2727" s="5" t="s">
        <v>730</v>
      </c>
      <c r="B2727" s="0" t="s">
        <v>73</v>
      </c>
      <c r="C2727" s="38" t="n">
        <f aca="false">Sens!$C$2705</f>
        <v>32.067</v>
      </c>
      <c r="D2727" s="38" t="n">
        <f aca="false">Sens!$D$2705</f>
        <v>41.86</v>
      </c>
      <c r="E2727" s="38" t="n">
        <f aca="false">Sens!$E$2705</f>
        <v>26.703</v>
      </c>
      <c r="F2727" s="38" t="n">
        <f aca="false">Sens!$F$2705</f>
        <v>30.6103857251209</v>
      </c>
      <c r="G2727" s="38" t="n">
        <f aca="false">Sens!$G$2705</f>
        <v>57.3133857251209</v>
      </c>
      <c r="H2727" s="38" t="n">
        <f aca="false">Sens!$H$2705</f>
        <v>87.5107389142407</v>
      </c>
      <c r="I2727" s="38" t="n">
        <f aca="false">Sens!$I$2705</f>
        <v>121.675589496082</v>
      </c>
      <c r="J2727" s="38" t="n">
        <f aca="false">Sens!$J$2705</f>
        <v>155.720410467819</v>
      </c>
      <c r="K2727" s="38" t="n">
        <f aca="false">Sens!$K$2705</f>
        <v>188.770177174354</v>
      </c>
      <c r="L2727" s="38" t="n">
        <f aca="false">Sens!$L$2705</f>
        <v>220.015834761088</v>
      </c>
      <c r="M2727" s="38" t="n">
        <f aca="false">Sens!$M$2705</f>
        <v>252.209607561353</v>
      </c>
    </row>
    <row r="2728" customFormat="false" ht="15" hidden="false" customHeight="false" outlineLevel="0" collapsed="false">
      <c r="A2728" s="5" t="s">
        <v>731</v>
      </c>
      <c r="B2728" s="0" t="s">
        <v>73</v>
      </c>
      <c r="C2728" s="38" t="n">
        <f aca="false">Q!$D$48</f>
        <v>22.011</v>
      </c>
      <c r="D2728" s="38" t="n">
        <f aca="false">Q!$E$48</f>
        <v>19.467</v>
      </c>
      <c r="E2728" s="38" t="n">
        <f aca="false">Q!$P$48</f>
        <v>10.07</v>
      </c>
      <c r="F2728" s="38" t="n">
        <f aca="false">sbc_r*Sens!$F$2649</f>
        <v>11.2170714500462</v>
      </c>
      <c r="G2728" s="38" t="n">
        <f aca="false">Sens!$E$2728+Sens!$F$2728</f>
        <v>21.2870714500462</v>
      </c>
      <c r="H2728" s="38" t="n">
        <f aca="false">sbc_r*Sens!$H$2649</f>
        <v>24.1492455506699</v>
      </c>
      <c r="I2728" s="38" t="n">
        <f aca="false">sbc_r*Sens!$I$2649</f>
        <v>27.5497875746311</v>
      </c>
      <c r="J2728" s="38" t="n">
        <f aca="false">sbc_r*Sens!$J$2649</f>
        <v>30.6765185683111</v>
      </c>
      <c r="K2728" s="38" t="n">
        <f aca="false">sbc_r*Sens!$K$2649</f>
        <v>33.3847408269857</v>
      </c>
      <c r="L2728" s="38" t="n">
        <f aca="false">sbc_r*Sens!$L$2649</f>
        <v>36.2050834478311</v>
      </c>
      <c r="M2728" s="38" t="n">
        <f aca="false">sbc_r*Sens!$M$2649</f>
        <v>39.1452640115623</v>
      </c>
    </row>
    <row r="2729" customFormat="false" ht="17.15" hidden="false" customHeight="false" outlineLevel="0" collapsed="false">
      <c r="A2729" s="5" t="s">
        <v>732</v>
      </c>
      <c r="B2729" s="0" t="s">
        <v>73</v>
      </c>
      <c r="C2729" s="38" t="n">
        <f aca="false">Q!$D$44-Sens!$C$2726-Sens!$C$2727-Sens!$C$2728</f>
        <v>2.551</v>
      </c>
      <c r="D2729" s="38" t="n">
        <f aca="false">Q!$E$44-Sens!$D$2726-Sens!$D$2727-Sens!$D$2728</f>
        <v>0.51700000000001</v>
      </c>
      <c r="E2729" s="38" t="n">
        <f aca="false">Q!$P$44-Sens!$E$2726-Sens!$E$2727-Sens!$E$2728</f>
        <v>-58.256</v>
      </c>
      <c r="F2729" s="38" t="n">
        <f aca="false">wc_2h26+oth_r*Sens!$F$2649</f>
        <v>7.34599241893378</v>
      </c>
      <c r="G2729" s="38" t="n">
        <f aca="false">Sens!$E$2729+Sens!$F$2729</f>
        <v>-50.9100075810662</v>
      </c>
      <c r="H2729" s="38" t="n">
        <f aca="false">oth_r*Sens!$H$2649</f>
        <v>11.6234967595308</v>
      </c>
      <c r="I2729" s="38" t="n">
        <f aca="false">oth_r*Sens!$I$2649</f>
        <v>13.260243096522</v>
      </c>
      <c r="J2729" s="38" t="n">
        <f aca="false">oth_r*Sens!$J$2649</f>
        <v>14.7651989137424</v>
      </c>
      <c r="K2729" s="38" t="n">
        <f aca="false">oth_r*Sens!$K$2649</f>
        <v>16.0687184204592</v>
      </c>
      <c r="L2729" s="38" t="n">
        <f aca="false">oth_r*Sens!$L$2649</f>
        <v>17.4262036158199</v>
      </c>
      <c r="M2729" s="38" t="n">
        <f aca="false">oth_r*Sens!$M$2649</f>
        <v>18.8413691199868</v>
      </c>
      <c r="P2729" s="8" t="s">
        <v>733</v>
      </c>
    </row>
    <row r="2730" customFormat="false" ht="15" hidden="false" customHeight="false" outlineLevel="0" collapsed="false">
      <c r="A2730" s="3" t="s">
        <v>515</v>
      </c>
      <c r="B2730" s="8" t="s">
        <v>73</v>
      </c>
      <c r="C2730" s="38" t="n">
        <f aca="false">Q!$D$44</f>
        <v>115.877</v>
      </c>
      <c r="D2730" s="38" t="n">
        <f aca="false">Q!$E$44</f>
        <v>139.514</v>
      </c>
      <c r="E2730" s="38" t="n">
        <f aca="false">Q!$P$44</f>
        <v>71.419</v>
      </c>
      <c r="F2730" s="38" t="n">
        <f aca="false">Sens!$F$2726+Sens!$F$2727+Sens!$F$2728+Sens!$F$2729</f>
        <v>98.1168214087795</v>
      </c>
      <c r="G2730" s="38" t="n">
        <f aca="false">Sens!$E$2730+Sens!$F$2730</f>
        <v>169.535821408779</v>
      </c>
      <c r="H2730" s="38" t="n">
        <f aca="false">Sens!$H$2726+Sens!$H$2727+Sens!$H$2728+Sens!$H$2729</f>
        <v>232.207922160877</v>
      </c>
      <c r="I2730" s="38" t="n">
        <f aca="false">Sens!$I$2726+Sens!$I$2727+Sens!$I$2728+Sens!$I$2729</f>
        <v>289.533307165271</v>
      </c>
      <c r="J2730" s="38" t="n">
        <f aca="false">Sens!$J$2726+Sens!$J$2727+Sens!$J$2728+Sens!$J$2729</f>
        <v>344.748467058268</v>
      </c>
      <c r="K2730" s="38" t="n">
        <f aca="false">Sens!$K$2726+Sens!$K$2727+Sens!$K$2728+Sens!$K$2729</f>
        <v>395.611207836731</v>
      </c>
      <c r="L2730" s="38" t="n">
        <f aca="false">Sens!$L$2726+Sens!$L$2727+Sens!$L$2728+Sens!$L$2729</f>
        <v>447.394788557855</v>
      </c>
      <c r="M2730" s="38" t="n">
        <f aca="false">Sens!$M$2726+Sens!$M$2727+Sens!$M$2728+Sens!$M$2729</f>
        <v>500.886291632789</v>
      </c>
    </row>
    <row r="2731" customFormat="false" ht="17.15" hidden="false" customHeight="false" outlineLevel="0" collapsed="false">
      <c r="A2731" s="5" t="s">
        <v>734</v>
      </c>
      <c r="B2731" s="0" t="s">
        <v>73</v>
      </c>
      <c r="C2731" s="38" t="n">
        <f aca="false">Sens!$C$2619</f>
        <v>25.2781053077374</v>
      </c>
      <c r="D2731" s="38" t="n">
        <f aca="false">Sens!$D$2619</f>
        <v>69.5686316310026</v>
      </c>
      <c r="E2731" s="38" t="n">
        <f aca="false">Sens!$E$2619</f>
        <v>64.1899206485108</v>
      </c>
      <c r="F2731" s="38" t="n">
        <f aca="false">Sens!$F$2619</f>
        <v>96.2481299895</v>
      </c>
      <c r="G2731" s="38" t="n">
        <f aca="false">Sens!$G$2619</f>
        <v>160.438050638011</v>
      </c>
      <c r="H2731" s="38" t="n">
        <f aca="false">Sens!$H$2619</f>
        <v>198.57136494475</v>
      </c>
      <c r="I2731" s="38" t="n">
        <f aca="false">Sens!$I$2619</f>
        <v>204.6464699105</v>
      </c>
      <c r="J2731" s="38" t="n">
        <f aca="false">Sens!$J$2619</f>
        <v>209.8832381105</v>
      </c>
      <c r="K2731" s="38" t="n">
        <f aca="false">Sens!$K$2619</f>
        <v>215.1200063105</v>
      </c>
      <c r="L2731" s="38" t="n">
        <f aca="false">Sens!$L$2619</f>
        <v>251.7773837105</v>
      </c>
      <c r="M2731" s="38" t="n">
        <f aca="false">Sens!$M$2619</f>
        <v>311.87584476575</v>
      </c>
    </row>
    <row r="2732" customFormat="false" ht="17.15" hidden="false" customHeight="false" outlineLevel="0" collapsed="false">
      <c r="A2732" s="5" t="s">
        <v>735</v>
      </c>
      <c r="B2732" s="0" t="s">
        <v>73</v>
      </c>
      <c r="C2732" s="38" t="n">
        <f aca="false">cx_awso*Sens!$C$2647</f>
        <v>21.0469989286053</v>
      </c>
      <c r="D2732" s="38" t="n">
        <f aca="false">cx_awso*Sens!$D$2647</f>
        <v>24.0042459822698</v>
      </c>
      <c r="E2732" s="38" t="n">
        <f aca="false">cx_awso*Sens!$E$2647</f>
        <v>14.261729404886</v>
      </c>
      <c r="F2732" s="38" t="n">
        <f aca="false">cx_awso*Sens!$F$2647</f>
        <v>15.7190020837331</v>
      </c>
      <c r="G2732" s="38" t="n">
        <f aca="false">Sens!$E$2732+Sens!$F$2732</f>
        <v>29.9807314886191</v>
      </c>
      <c r="H2732" s="38" t="n">
        <f aca="false">cx_awso*Sens!$H$2647</f>
        <v>35.9538566674637</v>
      </c>
      <c r="I2732" s="38" t="n">
        <f aca="false">cx_awso*Sens!$I$2647</f>
        <v>41.3285300572027</v>
      </c>
      <c r="J2732" s="38" t="n">
        <f aca="false">cx_awso*Sens!$J$2647</f>
        <v>45.4508048353269</v>
      </c>
      <c r="K2732" s="38" t="n">
        <f aca="false">cx_awso*Sens!$K$2647</f>
        <v>47.7233450770933</v>
      </c>
      <c r="L2732" s="38" t="n">
        <f aca="false">cx_awso*Sens!$L$2647</f>
        <v>50.1095123309479</v>
      </c>
      <c r="M2732" s="38" t="n">
        <f aca="false">cx_awso*Sens!$M$2647</f>
        <v>52.6149879474953</v>
      </c>
    </row>
    <row r="2733" customFormat="false" ht="17.15" hidden="false" customHeight="false" outlineLevel="0" collapsed="false">
      <c r="A2733" s="5" t="s">
        <v>736</v>
      </c>
      <c r="B2733" s="0" t="s">
        <v>73</v>
      </c>
      <c r="C2733" s="38" t="n">
        <f aca="false">Q!$D$46-Sens!$C$2731-Sens!$C$2732</f>
        <v>31.3328957636573</v>
      </c>
      <c r="D2733" s="38" t="n">
        <f aca="false">Q!$E$46-Sens!$D$2731-Sens!$D$2732</f>
        <v>34.7471223867276</v>
      </c>
      <c r="E2733" s="38" t="n">
        <f aca="false">Q!$P$46-Sens!$E$2731-Sens!$E$2732</f>
        <v>17.8583499466032</v>
      </c>
      <c r="F2733" s="38" t="n">
        <f aca="false">cx_rt*Sens!$F$2583</f>
        <v>21.0855744229195</v>
      </c>
      <c r="G2733" s="38" t="n">
        <f aca="false">Sens!$E$2733+Sens!$F$2733</f>
        <v>38.9439243695228</v>
      </c>
      <c r="H2733" s="38" t="n">
        <f aca="false">cx_rt*Sens!$H$2583</f>
        <v>43.1200434029767</v>
      </c>
      <c r="I2733" s="38" t="n">
        <f aca="false">cx_rt*Sens!$I$2583</f>
        <v>47.1583152318763</v>
      </c>
      <c r="J2733" s="38" t="n">
        <f aca="false">cx_rt*Sens!$J$2583</f>
        <v>50.9060281137911</v>
      </c>
      <c r="K2733" s="38" t="n">
        <f aca="false">cx_rt*Sens!$K$2583</f>
        <v>54.2035645673053</v>
      </c>
      <c r="L2733" s="38" t="n">
        <f aca="false">cx_rt*Sens!$L$2583</f>
        <v>57.7318979121519</v>
      </c>
      <c r="M2733" s="38" t="n">
        <f aca="false">cx_rt*Sens!$M$2583</f>
        <v>61.5084196557756</v>
      </c>
    </row>
    <row r="2734" customFormat="false" ht="15" hidden="false" customHeight="false" outlineLevel="0" collapsed="false">
      <c r="A2734" s="3" t="s">
        <v>737</v>
      </c>
      <c r="B2734" s="8" t="s">
        <v>73</v>
      </c>
      <c r="C2734" s="38" t="n">
        <f aca="false">Q!$D$46</f>
        <v>77.658</v>
      </c>
      <c r="D2734" s="38" t="n">
        <f aca="false">Q!$E$46</f>
        <v>128.32</v>
      </c>
      <c r="E2734" s="38" t="n">
        <f aca="false">Q!$P$46</f>
        <v>96.31</v>
      </c>
      <c r="F2734" s="38" t="n">
        <f aca="false">Sens!$F$2731+Sens!$F$2732+Sens!$F$2733</f>
        <v>133.052706496153</v>
      </c>
      <c r="G2734" s="38" t="n">
        <f aca="false">Sens!$E$2734+Sens!$F$2734</f>
        <v>229.362706496153</v>
      </c>
      <c r="H2734" s="38" t="n">
        <f aca="false">Sens!$H$2731+Sens!$H$2732+Sens!$H$2733</f>
        <v>277.645265015191</v>
      </c>
      <c r="I2734" s="38" t="n">
        <f aca="false">Sens!$I$2731+Sens!$I$2732+Sens!$I$2733</f>
        <v>293.133315199579</v>
      </c>
      <c r="J2734" s="38" t="n">
        <f aca="false">Sens!$J$2731+Sens!$J$2732+Sens!$J$2733</f>
        <v>306.240071059618</v>
      </c>
      <c r="K2734" s="38" t="n">
        <f aca="false">Sens!$K$2731+Sens!$K$2732+Sens!$K$2733</f>
        <v>317.046915954899</v>
      </c>
      <c r="L2734" s="38" t="n">
        <f aca="false">Sens!$L$2731+Sens!$L$2732+Sens!$L$2733</f>
        <v>359.6187939536</v>
      </c>
      <c r="M2734" s="38" t="n">
        <f aca="false">Sens!$M$2731+Sens!$M$2732+Sens!$M$2733</f>
        <v>425.999252369021</v>
      </c>
    </row>
    <row r="2735" customFormat="false" ht="17.15" hidden="false" customHeight="false" outlineLevel="0" collapsed="false">
      <c r="A2735" s="5" t="s">
        <v>523</v>
      </c>
      <c r="B2735" s="0" t="s">
        <v>73</v>
      </c>
      <c r="C2735" s="38" t="n">
        <f aca="false">Q!$D$50</f>
        <v>2.043</v>
      </c>
      <c r="D2735" s="38" t="n">
        <f aca="false">Q!$E$50</f>
        <v>1.557</v>
      </c>
      <c r="E2735" s="38" t="n">
        <f aca="false">lease_pr/2</f>
        <v>0.8</v>
      </c>
      <c r="F2735" s="38" t="n">
        <f aca="false">lease_pr/2</f>
        <v>0.8</v>
      </c>
      <c r="G2735" s="38" t="n">
        <f aca="false">Sens!$E$2735+Sens!$F$2735</f>
        <v>1.6</v>
      </c>
      <c r="H2735" s="38" t="n">
        <f aca="false">lease_pr</f>
        <v>1.6</v>
      </c>
      <c r="I2735" s="38" t="n">
        <f aca="false">lease_pr</f>
        <v>1.6</v>
      </c>
      <c r="J2735" s="38" t="n">
        <f aca="false">lease_pr</f>
        <v>1.6</v>
      </c>
      <c r="K2735" s="38" t="n">
        <f aca="false">lease_pr</f>
        <v>1.6</v>
      </c>
      <c r="L2735" s="38" t="n">
        <f aca="false">lease_pr</f>
        <v>1.6</v>
      </c>
      <c r="M2735" s="38" t="n">
        <f aca="false">lease_pr</f>
        <v>1.6</v>
      </c>
      <c r="P2735" s="8" t="s">
        <v>738</v>
      </c>
    </row>
    <row r="2736" customFormat="false" ht="15" hidden="false" customHeight="false" outlineLevel="0" collapsed="false">
      <c r="A2736" s="46" t="s">
        <v>739</v>
      </c>
      <c r="B2736" s="13" t="s">
        <v>73</v>
      </c>
      <c r="C2736" s="47" t="n">
        <f aca="false">Sens!$C$2730-Sens!$C$2734-Sens!$C$2735</f>
        <v>36.176</v>
      </c>
      <c r="D2736" s="47" t="n">
        <f aca="false">Sens!$D$2730-Sens!$D$2734-Sens!$D$2735</f>
        <v>9.63700000000002</v>
      </c>
      <c r="E2736" s="47" t="n">
        <f aca="false">Sens!$E$2730-Sens!$E$2734-Sens!$E$2735</f>
        <v>-25.691</v>
      </c>
      <c r="F2736" s="47" t="n">
        <f aca="false">Sens!$F$2730-Sens!$F$2734-Sens!$F$2735</f>
        <v>-35.7358850873731</v>
      </c>
      <c r="G2736" s="47" t="n">
        <f aca="false">Sens!$G$2730-Sens!$G$2734-Sens!$G$2735</f>
        <v>-61.4268850873731</v>
      </c>
      <c r="H2736" s="47" t="n">
        <f aca="false">Sens!$H$2730-Sens!$H$2734-Sens!$H$2735</f>
        <v>-47.0373428543134</v>
      </c>
      <c r="I2736" s="47" t="n">
        <f aca="false">Sens!$I$2730-Sens!$I$2734-Sens!$I$2735</f>
        <v>-5.20000803430779</v>
      </c>
      <c r="J2736" s="47" t="n">
        <f aca="false">Sens!$J$2730-Sens!$J$2734-Sens!$J$2735</f>
        <v>36.9083959986495</v>
      </c>
      <c r="K2736" s="47" t="n">
        <f aca="false">Sens!$K$2730-Sens!$K$2734-Sens!$K$2735</f>
        <v>76.9642918818323</v>
      </c>
      <c r="L2736" s="47" t="n">
        <f aca="false">Sens!$L$2730-Sens!$L$2734-Sens!$L$2735</f>
        <v>86.1759946042552</v>
      </c>
      <c r="M2736" s="47" t="n">
        <f aca="false">Sens!$M$2730-Sens!$M$2734-Sens!$M$2735</f>
        <v>73.2870392637676</v>
      </c>
      <c r="N2736" s="13"/>
      <c r="O2736" s="13"/>
    </row>
    <row r="2737" customFormat="false" ht="17.15" hidden="false" customHeight="false" outlineLevel="0" collapsed="false">
      <c r="A2737" s="5" t="s">
        <v>740</v>
      </c>
      <c r="B2737" s="0" t="s">
        <v>73</v>
      </c>
      <c r="C2737" s="38" t="n">
        <f aca="false">dps*Sens!$C$2718</f>
        <v>0</v>
      </c>
      <c r="D2737" s="38" t="n">
        <f aca="false">dps*Sens!$D$2718</f>
        <v>0</v>
      </c>
      <c r="E2737" s="38" t="n">
        <f aca="false">dps*Sens!$E$2718</f>
        <v>0</v>
      </c>
      <c r="F2737" s="38" t="n">
        <f aca="false">0</f>
        <v>0</v>
      </c>
      <c r="G2737" s="38" t="n">
        <f aca="false">dps*Sens!$G$2718</f>
        <v>0</v>
      </c>
      <c r="H2737" s="38" t="n">
        <f aca="false">dps*Sens!$H$2718</f>
        <v>0</v>
      </c>
      <c r="I2737" s="38" t="n">
        <f aca="false">dps*Sens!$I$2718</f>
        <v>0</v>
      </c>
      <c r="J2737" s="38" t="n">
        <f aca="false">dps*Sens!$J$2718</f>
        <v>0</v>
      </c>
      <c r="K2737" s="38" t="n">
        <f aca="false">dps*Sens!$K$2718</f>
        <v>0</v>
      </c>
      <c r="L2737" s="38" t="n">
        <f aca="false">dps*Sens!$L$2718</f>
        <v>0</v>
      </c>
      <c r="M2737" s="38" t="n">
        <f aca="false">dps*Sens!$M$2718</f>
        <v>0</v>
      </c>
      <c r="P2737" s="8" t="s">
        <v>741</v>
      </c>
    </row>
    <row r="2738" customFormat="false" ht="17.15" hidden="false" customHeight="false" outlineLevel="0" collapsed="false">
      <c r="A2738" s="5" t="s">
        <v>742</v>
      </c>
      <c r="B2738" s="0" t="s">
        <v>73</v>
      </c>
      <c r="C2738" s="38" t="n">
        <f aca="false">0</f>
        <v>0</v>
      </c>
      <c r="D2738" s="38" t="n">
        <f aca="false">0</f>
        <v>0</v>
      </c>
      <c r="E2738" s="38" t="n">
        <f aca="false">0</f>
        <v>0</v>
      </c>
      <c r="F2738" s="38" t="n">
        <f aca="false">0</f>
        <v>0</v>
      </c>
      <c r="G2738" s="38" t="n">
        <f aca="false">0</f>
        <v>0</v>
      </c>
      <c r="H2738" s="38" t="n">
        <f aca="false">0</f>
        <v>0</v>
      </c>
      <c r="I2738" s="38" t="n">
        <f aca="false">0</f>
        <v>0</v>
      </c>
      <c r="J2738" s="38" t="n">
        <f aca="false">0</f>
        <v>0</v>
      </c>
      <c r="K2738" s="38" t="n">
        <f aca="false">0</f>
        <v>0</v>
      </c>
      <c r="L2738" s="38" t="n">
        <f aca="false">0</f>
        <v>0</v>
      </c>
      <c r="M2738" s="38" t="n">
        <f aca="false">0</f>
        <v>0</v>
      </c>
      <c r="P2738" s="8" t="s">
        <v>743</v>
      </c>
    </row>
    <row r="2739" customFormat="false" ht="15" hidden="false" customHeight="false" outlineLevel="0" collapsed="false">
      <c r="A2739" s="3" t="s">
        <v>744</v>
      </c>
      <c r="B2739" s="8" t="s">
        <v>73</v>
      </c>
      <c r="C2739" s="38" t="n">
        <f aca="false">Sens!$C$2736-Sens!$C$2737</f>
        <v>36.176</v>
      </c>
      <c r="D2739" s="38" t="n">
        <f aca="false">Sens!$D$2736-Sens!$D$2737</f>
        <v>9.63700000000002</v>
      </c>
      <c r="E2739" s="38" t="n">
        <f aca="false">Sens!$E$2736-Sens!$E$2737</f>
        <v>-25.691</v>
      </c>
      <c r="F2739" s="38" t="n">
        <f aca="false">Sens!$F$2736-Sens!$F$2737</f>
        <v>-35.7358850873731</v>
      </c>
      <c r="G2739" s="38" t="n">
        <f aca="false">Sens!$G$2736-Sens!$G$2737</f>
        <v>-61.4268850873731</v>
      </c>
      <c r="H2739" s="38" t="n">
        <f aca="false">Sens!$H$2736-Sens!$H$2737</f>
        <v>-47.0373428543134</v>
      </c>
      <c r="I2739" s="38" t="n">
        <f aca="false">Sens!$I$2736-Sens!$I$2737</f>
        <v>-5.20000803430779</v>
      </c>
      <c r="J2739" s="38" t="n">
        <f aca="false">Sens!$J$2736-Sens!$J$2737</f>
        <v>36.9083959986495</v>
      </c>
      <c r="K2739" s="38" t="n">
        <f aca="false">Sens!$K$2736-Sens!$K$2737</f>
        <v>76.9642918818323</v>
      </c>
      <c r="L2739" s="38" t="n">
        <f aca="false">Sens!$L$2736-Sens!$L$2737</f>
        <v>86.1759946042552</v>
      </c>
      <c r="M2739" s="38" t="n">
        <f aca="false">Sens!$M$2736-Sens!$M$2737</f>
        <v>73.2870392637676</v>
      </c>
    </row>
    <row r="2740" customFormat="false" ht="17.15" hidden="false" customHeight="false" outlineLevel="0" collapsed="false">
      <c r="A2740" s="5" t="s">
        <v>745</v>
      </c>
      <c r="B2740" s="0" t="s">
        <v>73</v>
      </c>
      <c r="E2740" s="38" t="n">
        <f aca="false">Q!$P$53</f>
        <v>39.767</v>
      </c>
      <c r="F2740" s="38" t="n">
        <f aca="false">inv_2h26</f>
        <v>21.3</v>
      </c>
      <c r="G2740" s="38" t="n">
        <f aca="false">Sens!$E$2740+Sens!$F$2740</f>
        <v>61.067</v>
      </c>
      <c r="H2740" s="41" t="n">
        <v>0</v>
      </c>
      <c r="I2740" s="41" t="n">
        <v>0</v>
      </c>
      <c r="J2740" s="41" t="n">
        <v>0</v>
      </c>
      <c r="K2740" s="41" t="n">
        <v>0</v>
      </c>
      <c r="L2740" s="41" t="n">
        <v>0</v>
      </c>
      <c r="M2740" s="41" t="n">
        <v>0</v>
      </c>
    </row>
    <row r="2741" customFormat="false" ht="17.15" hidden="false" customHeight="false" outlineLevel="0" collapsed="false">
      <c r="A2741" s="5" t="s">
        <v>746</v>
      </c>
      <c r="B2741" s="0" t="s">
        <v>73</v>
      </c>
      <c r="F2741" s="38" t="n">
        <f aca="false">iss_2h26</f>
        <v>29.25</v>
      </c>
      <c r="G2741" s="38" t="n">
        <f aca="false">Sens!$F$2741</f>
        <v>29.25</v>
      </c>
      <c r="H2741" s="41" t="n">
        <v>0</v>
      </c>
      <c r="I2741" s="41" t="n">
        <v>0</v>
      </c>
      <c r="J2741" s="41" t="n">
        <v>0</v>
      </c>
      <c r="K2741" s="41" t="n">
        <v>0</v>
      </c>
      <c r="L2741" s="41" t="n">
        <v>0</v>
      </c>
      <c r="M2741" s="41" t="n">
        <v>0</v>
      </c>
    </row>
    <row r="2742" customFormat="false" ht="17.15" hidden="false" customHeight="false" outlineLevel="0" collapsed="false">
      <c r="A2742" s="5" t="s">
        <v>747</v>
      </c>
      <c r="B2742" s="0" t="s">
        <v>73</v>
      </c>
      <c r="F2742" s="38" t="n">
        <f aca="false">cash_q2</f>
        <v>122.988</v>
      </c>
      <c r="G2742" s="38" t="n">
        <f aca="false">cash_q2</f>
        <v>122.988</v>
      </c>
      <c r="H2742" s="38" t="n">
        <f aca="false">Sens!$G$2745</f>
        <v>95.2021149126269</v>
      </c>
      <c r="I2742" s="38" t="n">
        <f aca="false">Sens!$H$2745</f>
        <v>50</v>
      </c>
      <c r="J2742" s="38" t="n">
        <f aca="false">Sens!$I$2745</f>
        <v>50</v>
      </c>
      <c r="K2742" s="38" t="n">
        <f aca="false">Sens!$J$2745</f>
        <v>86.9083959986495</v>
      </c>
      <c r="L2742" s="38" t="n">
        <f aca="false">Sens!$K$2745</f>
        <v>163.872687880482</v>
      </c>
      <c r="M2742" s="38" t="n">
        <f aca="false">Sens!$L$2745</f>
        <v>250.048682484737</v>
      </c>
    </row>
    <row r="2743" customFormat="false" ht="15" hidden="false" customHeight="false" outlineLevel="0" collapsed="false">
      <c r="A2743" s="5" t="s">
        <v>748</v>
      </c>
      <c r="B2743" s="0" t="s">
        <v>73</v>
      </c>
      <c r="F2743" s="38" t="n">
        <f aca="false">Sens!$F$2742+Sens!$F$2739-Sens!$F$2738-Sens!$F$2740+Sens!$F$2741</f>
        <v>95.2021149126269</v>
      </c>
      <c r="H2743" s="38" t="n">
        <f aca="false">Sens!$H$2742+Sens!$H$2739-Sens!$H$2738-Sens!$H$2740+Sens!$H$2741</f>
        <v>48.1647720583135</v>
      </c>
      <c r="I2743" s="38" t="n">
        <f aca="false">Sens!$I$2742+Sens!$I$2739-Sens!$I$2738-Sens!$I$2740+Sens!$I$2741</f>
        <v>44.7999919656922</v>
      </c>
      <c r="J2743" s="38" t="n">
        <f aca="false">Sens!$J$2742+Sens!$J$2739-Sens!$J$2738-Sens!$J$2740+Sens!$J$2741</f>
        <v>86.9083959986495</v>
      </c>
      <c r="K2743" s="38" t="n">
        <f aca="false">Sens!$K$2742+Sens!$K$2739-Sens!$K$2738-Sens!$K$2740+Sens!$K$2741</f>
        <v>163.872687880482</v>
      </c>
      <c r="L2743" s="38" t="n">
        <f aca="false">Sens!$L$2742+Sens!$L$2739-Sens!$L$2738-Sens!$L$2740+Sens!$L$2741</f>
        <v>250.048682484737</v>
      </c>
      <c r="M2743" s="38" t="n">
        <f aca="false">Sens!$M$2742+Sens!$M$2739-Sens!$M$2738-Sens!$M$2740+Sens!$M$2741</f>
        <v>323.335721748505</v>
      </c>
    </row>
    <row r="2744" customFormat="false" ht="17.15" hidden="false" customHeight="false" outlineLevel="0" collapsed="false">
      <c r="A2744" s="5" t="s">
        <v>749</v>
      </c>
      <c r="B2744" s="0" t="s">
        <v>73</v>
      </c>
      <c r="F2744" s="38" t="n">
        <f aca="false">MAX(0,min_cash-Sens!$F$2743)</f>
        <v>0</v>
      </c>
      <c r="G2744" s="38" t="n">
        <f aca="false">Sens!$F$2744</f>
        <v>0</v>
      </c>
      <c r="H2744" s="38" t="n">
        <f aca="false">MAX(0,min_cash-Sens!$H$2743)</f>
        <v>1.83522794168653</v>
      </c>
      <c r="I2744" s="38" t="n">
        <f aca="false">MAX(0,min_cash-Sens!$I$2743)</f>
        <v>5.20000803430779</v>
      </c>
      <c r="J2744" s="38" t="n">
        <f aca="false">MAX(0,min_cash-Sens!$J$2743)</f>
        <v>0</v>
      </c>
      <c r="K2744" s="38" t="n">
        <f aca="false">MAX(0,min_cash-Sens!$K$2743)</f>
        <v>0</v>
      </c>
      <c r="L2744" s="38" t="n">
        <f aca="false">MAX(0,min_cash-Sens!$L$2743)</f>
        <v>0</v>
      </c>
      <c r="M2744" s="38" t="n">
        <f aca="false">MAX(0,min_cash-Sens!$M$2743)</f>
        <v>0</v>
      </c>
      <c r="P2744" s="5" t="s">
        <v>750</v>
      </c>
    </row>
    <row r="2745" customFormat="false" ht="15" hidden="false" customHeight="false" outlineLevel="0" collapsed="false">
      <c r="A2745" s="5" t="s">
        <v>751</v>
      </c>
      <c r="B2745" s="0" t="s">
        <v>73</v>
      </c>
      <c r="D2745" s="38" t="n">
        <f aca="false">Q!$E$61</f>
        <v>123.029</v>
      </c>
      <c r="E2745" s="38" t="n">
        <f aca="false">Q!$M$61</f>
        <v>122.988</v>
      </c>
      <c r="F2745" s="38" t="n">
        <f aca="false">Sens!$F$2743+Sens!$F$2744</f>
        <v>95.2021149126269</v>
      </c>
      <c r="G2745" s="38" t="n">
        <f aca="false">Sens!$F$2745</f>
        <v>95.2021149126269</v>
      </c>
      <c r="H2745" s="38" t="n">
        <f aca="false">Sens!$H$2743+Sens!$H$2744</f>
        <v>50</v>
      </c>
      <c r="I2745" s="38" t="n">
        <f aca="false">Sens!$I$2743+Sens!$I$2744</f>
        <v>50</v>
      </c>
      <c r="J2745" s="38" t="n">
        <f aca="false">Sens!$J$2743+Sens!$J$2744</f>
        <v>86.9083959986495</v>
      </c>
      <c r="K2745" s="38" t="n">
        <f aca="false">Sens!$K$2743+Sens!$K$2744</f>
        <v>163.872687880482</v>
      </c>
      <c r="L2745" s="38" t="n">
        <f aca="false">Sens!$L$2743+Sens!$L$2744</f>
        <v>250.048682484737</v>
      </c>
      <c r="M2745" s="38" t="n">
        <f aca="false">Sens!$M$2743+Sens!$M$2744</f>
        <v>323.335721748505</v>
      </c>
    </row>
    <row r="2746" customFormat="false" ht="15" hidden="false" customHeight="false" outlineLevel="0" collapsed="false">
      <c r="A2746" s="5" t="s">
        <v>752</v>
      </c>
      <c r="B2746" s="0" t="s">
        <v>73</v>
      </c>
      <c r="D2746" s="38" t="n">
        <f aca="false">Q!$E$62</f>
        <v>68.836</v>
      </c>
      <c r="E2746" s="38" t="n">
        <f aca="false">Q!$M$62</f>
        <v>132.995</v>
      </c>
      <c r="F2746" s="38" t="n">
        <f aca="false">debt_q2+Sens!$F$2741+Sens!$F$2744</f>
        <v>162.245</v>
      </c>
      <c r="G2746" s="38" t="n">
        <f aca="false">Sens!$F$2746</f>
        <v>162.245</v>
      </c>
      <c r="H2746" s="38" t="n">
        <f aca="false">Sens!$G$2746+Sens!$H$2744</f>
        <v>164.080227941687</v>
      </c>
      <c r="I2746" s="38" t="n">
        <f aca="false">Sens!$H$2746+Sens!$I$2744</f>
        <v>169.280235975994</v>
      </c>
      <c r="J2746" s="38" t="n">
        <f aca="false">Sens!$I$2746+Sens!$J$2744</f>
        <v>169.280235975994</v>
      </c>
      <c r="K2746" s="38" t="n">
        <f aca="false">Sens!$J$2746+Sens!$K$2744</f>
        <v>169.280235975994</v>
      </c>
      <c r="L2746" s="38" t="n">
        <f aca="false">Sens!$K$2746+Sens!$L$2744</f>
        <v>169.280235975994</v>
      </c>
      <c r="M2746" s="38" t="n">
        <f aca="false">Sens!$L$2746+Sens!$M$2744</f>
        <v>169.280235975994</v>
      </c>
    </row>
    <row r="2747" customFormat="false" ht="15" hidden="false" customHeight="false" outlineLevel="0" collapsed="false">
      <c r="A2747" s="5" t="s">
        <v>753</v>
      </c>
      <c r="B2747" s="0" t="s">
        <v>73</v>
      </c>
      <c r="D2747" s="38" t="n">
        <f aca="false">Sens!$D$2746-Sens!$D$2745</f>
        <v>-54.193</v>
      </c>
      <c r="E2747" s="38" t="n">
        <f aca="false">Sens!$E$2746-Sens!$E$2745</f>
        <v>10.007</v>
      </c>
      <c r="F2747" s="38" t="n">
        <f aca="false">Sens!$F$2746-Sens!$F$2745</f>
        <v>67.0428850873731</v>
      </c>
      <c r="G2747" s="38" t="n">
        <f aca="false">Sens!$G$2746-Sens!$G$2745</f>
        <v>67.0428850873731</v>
      </c>
      <c r="H2747" s="38" t="n">
        <f aca="false">Sens!$H$2746-Sens!$H$2745</f>
        <v>114.080227941687</v>
      </c>
      <c r="I2747" s="38" t="n">
        <f aca="false">Sens!$I$2746-Sens!$I$2745</f>
        <v>119.280235975994</v>
      </c>
      <c r="J2747" s="38" t="n">
        <f aca="false">Sens!$J$2746-Sens!$J$2745</f>
        <v>82.3718399773448</v>
      </c>
      <c r="K2747" s="38" t="n">
        <f aca="false">Sens!$K$2746-Sens!$K$2745</f>
        <v>5.40754809551251</v>
      </c>
      <c r="L2747" s="38" t="n">
        <f aca="false">Sens!$L$2746-Sens!$L$2745</f>
        <v>-80.7684465087427</v>
      </c>
      <c r="M2747" s="38" t="n">
        <f aca="false">Sens!$M$2746-Sens!$M$2745</f>
        <v>-154.05548577251</v>
      </c>
    </row>
    <row r="2748" customFormat="false" ht="17.15" hidden="false" customHeight="false" outlineLevel="0" collapsed="false">
      <c r="A2748" s="5" t="s">
        <v>754</v>
      </c>
      <c r="B2748" s="0" t="s">
        <v>73</v>
      </c>
      <c r="F2748" s="38" t="n">
        <f aca="false">debt_q2*kd_book*0.5+iss_2h26*kd_new*0.25</f>
        <v>3.24888964316061</v>
      </c>
      <c r="H2748" s="38" t="n">
        <f aca="false">debt_q2*kd_book+(Sens!$G$2746-debt_q2)*kd_new</f>
        <v>7.42354178632123</v>
      </c>
      <c r="I2748" s="38" t="n">
        <f aca="false">debt_q2*kd_book+(Sens!$H$2746-debt_q2)*kd_new</f>
        <v>7.53971171502999</v>
      </c>
      <c r="J2748" s="38" t="n">
        <f aca="false">debt_q2*kd_book+(Sens!$I$2746-debt_q2)*kd_new</f>
        <v>7.86887222360167</v>
      </c>
      <c r="K2748" s="38" t="n">
        <f aca="false">debt_q2*kd_book+(Sens!$J$2746-debt_q2)*kd_new</f>
        <v>7.86887222360167</v>
      </c>
      <c r="L2748" s="38" t="n">
        <f aca="false">debt_q2*kd_book+(Sens!$K$2746-debt_q2)*kd_new</f>
        <v>7.86887222360167</v>
      </c>
      <c r="M2748" s="38" t="n">
        <f aca="false">debt_q2*kd_book+(Sens!$L$2746-debt_q2)*kd_new</f>
        <v>7.86887222360167</v>
      </c>
    </row>
    <row r="2749" customFormat="false" ht="17.15" hidden="false" customHeight="false" outlineLevel="0" collapsed="false">
      <c r="A2749" s="5" t="s">
        <v>755</v>
      </c>
      <c r="B2749" s="0" t="s">
        <v>73</v>
      </c>
      <c r="F2749" s="38" t="n">
        <f aca="false">cash_q2*y_cash*0.5</f>
        <v>2.59</v>
      </c>
      <c r="H2749" s="38" t="n">
        <f aca="false">Sens!$G$2745*y_cash</f>
        <v>4.00971603121774</v>
      </c>
      <c r="I2749" s="38" t="n">
        <f aca="false">Sens!$H$2745*y_cash</f>
        <v>2.10589651022864</v>
      </c>
      <c r="J2749" s="38" t="n">
        <f aca="false">Sens!$I$2745*y_cash</f>
        <v>2.10589651022864</v>
      </c>
      <c r="K2749" s="38" t="n">
        <f aca="false">Sens!$J$2745*y_cash</f>
        <v>3.66040175686249</v>
      </c>
      <c r="L2749" s="38" t="n">
        <f aca="false">Sens!$K$2745*y_cash</f>
        <v>6.90197843058588</v>
      </c>
      <c r="M2749" s="38" t="n">
        <f aca="false">Sens!$L$2745*y_cash</f>
        <v>10.5315329566375</v>
      </c>
    </row>
    <row r="2750" customFormat="false" ht="17.15" hidden="false" customHeight="false" outlineLevel="0" collapsed="false">
      <c r="A2750" s="46" t="s">
        <v>756</v>
      </c>
      <c r="B2750" s="13" t="s">
        <v>73</v>
      </c>
      <c r="C2750" s="13"/>
      <c r="D2750" s="13"/>
      <c r="E2750" s="13"/>
      <c r="F2750" s="13"/>
      <c r="G2750" s="47" t="n">
        <f aca="false">SUM(Sens!$G$2739:$K$2739)</f>
        <v>0.208451904487447</v>
      </c>
      <c r="H2750" s="13"/>
      <c r="I2750" s="13"/>
      <c r="J2750" s="13"/>
      <c r="K2750" s="13"/>
      <c r="L2750" s="13"/>
      <c r="M2750" s="13"/>
      <c r="N2750" s="13"/>
      <c r="O2750" s="13"/>
    </row>
    <row r="2751" customFormat="false" ht="17.15" hidden="false" customHeight="false" outlineLevel="0" collapsed="false">
      <c r="A2751" s="0" t="s">
        <v>723</v>
      </c>
      <c r="B2751" s="0" t="s">
        <v>73</v>
      </c>
      <c r="G2751" s="38" t="n">
        <f aca="false">SUM(Sens!$G$2744:$K$2744)</f>
        <v>7.03523597599433</v>
      </c>
    </row>
    <row r="2754" customFormat="false" ht="19.4" hidden="false" customHeight="false" outlineLevel="0" collapsed="false">
      <c r="A2754" s="31" t="s">
        <v>1102</v>
      </c>
    </row>
    <row r="2755" customFormat="false" ht="17.15" hidden="false" customHeight="false" outlineLevel="0" collapsed="false">
      <c r="A2755" s="6" t="s">
        <v>16</v>
      </c>
      <c r="B2755" s="6" t="s">
        <v>17</v>
      </c>
      <c r="C2755" s="20" t="s">
        <v>457</v>
      </c>
      <c r="D2755" s="20" t="s">
        <v>458</v>
      </c>
      <c r="E2755" s="20" t="s">
        <v>540</v>
      </c>
      <c r="F2755" s="20" t="s">
        <v>541</v>
      </c>
      <c r="G2755" s="20" t="s">
        <v>542</v>
      </c>
      <c r="H2755" s="20" t="s">
        <v>543</v>
      </c>
      <c r="I2755" s="20" t="s">
        <v>544</v>
      </c>
      <c r="J2755" s="20" t="s">
        <v>545</v>
      </c>
      <c r="K2755" s="20" t="s">
        <v>546</v>
      </c>
      <c r="L2755" s="20" t="s">
        <v>547</v>
      </c>
      <c r="M2755" s="20" t="s">
        <v>548</v>
      </c>
      <c r="N2755" s="20" t="s">
        <v>549</v>
      </c>
      <c r="O2755" s="20" t="s">
        <v>550</v>
      </c>
      <c r="P2755" s="6" t="s">
        <v>23</v>
      </c>
      <c r="R2755" s="20" t="n">
        <v>2023</v>
      </c>
      <c r="S2755" s="20" t="n">
        <v>2024</v>
      </c>
      <c r="T2755" s="20" t="n">
        <v>2025</v>
      </c>
      <c r="U2755" s="20" t="n">
        <v>2026</v>
      </c>
      <c r="V2755" s="20" t="n">
        <v>2027</v>
      </c>
      <c r="W2755" s="20" t="n">
        <v>2028</v>
      </c>
      <c r="X2755" s="20" t="n">
        <v>2029</v>
      </c>
      <c r="Y2755" s="20" t="n">
        <v>2030</v>
      </c>
      <c r="Z2755" s="20" t="n">
        <v>2031</v>
      </c>
      <c r="AA2755" s="20" t="n">
        <v>2032</v>
      </c>
    </row>
    <row r="2756" customFormat="false" ht="17.15" hidden="false" customHeight="false" outlineLevel="0" collapsed="false">
      <c r="A2756" s="1" t="s">
        <v>851</v>
      </c>
    </row>
    <row r="2757" customFormat="false" ht="17.15" hidden="false" customHeight="false" outlineLevel="0" collapsed="false">
      <c r="A2757" s="0" t="s">
        <v>852</v>
      </c>
      <c r="B2757" s="0" t="s">
        <v>73</v>
      </c>
      <c r="H2757" s="38" t="n">
        <f aca="false">Sens!$H$2693*(1-tax)</f>
        <v>111.745679363873</v>
      </c>
      <c r="I2757" s="38" t="n">
        <f aca="false">Sens!$I$2693*(1-tax)</f>
        <v>131.538275962766</v>
      </c>
      <c r="J2757" s="38" t="n">
        <f aca="false">Sens!$J$2693*(1-tax)</f>
        <v>148.348951410634</v>
      </c>
      <c r="K2757" s="38" t="n">
        <f aca="false">Sens!$K$2693*(1-tax)</f>
        <v>160.865516527903</v>
      </c>
      <c r="L2757" s="38" t="n">
        <f aca="false">Sens!$L$2693*(1-tax)</f>
        <v>174.546722724778</v>
      </c>
      <c r="M2757" s="38" t="n">
        <f aca="false">Sens!$M$2693*(1-tax)</f>
        <v>188.489586909747</v>
      </c>
    </row>
    <row r="2758" customFormat="false" ht="15" hidden="false" customHeight="false" outlineLevel="0" collapsed="false">
      <c r="A2758" s="5" t="s">
        <v>853</v>
      </c>
      <c r="B2758" s="0" t="s">
        <v>73</v>
      </c>
      <c r="H2758" s="38" t="n">
        <f aca="false">Sens!$H$2705</f>
        <v>87.5107389142407</v>
      </c>
      <c r="I2758" s="38" t="n">
        <f aca="false">Sens!$I$2705</f>
        <v>121.675589496082</v>
      </c>
      <c r="J2758" s="38" t="n">
        <f aca="false">Sens!$J$2705</f>
        <v>155.720410467819</v>
      </c>
      <c r="K2758" s="38" t="n">
        <f aca="false">Sens!$K$2705</f>
        <v>188.770177174354</v>
      </c>
      <c r="L2758" s="38" t="n">
        <f aca="false">Sens!$L$2705</f>
        <v>220.015834761088</v>
      </c>
      <c r="M2758" s="38" t="n">
        <f aca="false">Sens!$M$2705</f>
        <v>252.209607561353</v>
      </c>
    </row>
    <row r="2759" customFormat="false" ht="15" hidden="false" customHeight="false" outlineLevel="0" collapsed="false">
      <c r="A2759" s="5" t="s">
        <v>854</v>
      </c>
      <c r="B2759" s="0" t="s">
        <v>73</v>
      </c>
      <c r="H2759" s="38" t="n">
        <f aca="false">Sens!$H$2734</f>
        <v>277.645265015191</v>
      </c>
      <c r="I2759" s="38" t="n">
        <f aca="false">Sens!$I$2734</f>
        <v>293.133315199579</v>
      </c>
      <c r="J2759" s="38" t="n">
        <f aca="false">Sens!$J$2734</f>
        <v>306.240071059618</v>
      </c>
      <c r="K2759" s="38" t="n">
        <f aca="false">Sens!$K$2734</f>
        <v>317.046915954899</v>
      </c>
      <c r="L2759" s="38" t="n">
        <f aca="false">Sens!$L$2734</f>
        <v>359.6187939536</v>
      </c>
      <c r="M2759" s="38" t="n">
        <f aca="false">Sens!$M$2734</f>
        <v>425.999252369021</v>
      </c>
    </row>
    <row r="2760" customFormat="false" ht="15" hidden="false" customHeight="false" outlineLevel="0" collapsed="false">
      <c r="A2760" s="5" t="s">
        <v>855</v>
      </c>
      <c r="B2760" s="0" t="s">
        <v>73</v>
      </c>
      <c r="H2760" s="38" t="n">
        <f aca="false">Sens!$H$2735</f>
        <v>1.6</v>
      </c>
      <c r="I2760" s="38" t="n">
        <f aca="false">Sens!$I$2735</f>
        <v>1.6</v>
      </c>
      <c r="J2760" s="38" t="n">
        <f aca="false">Sens!$J$2735</f>
        <v>1.6</v>
      </c>
      <c r="K2760" s="38" t="n">
        <f aca="false">Sens!$K$2735</f>
        <v>1.6</v>
      </c>
      <c r="L2760" s="38" t="n">
        <f aca="false">Sens!$L$2735</f>
        <v>1.6</v>
      </c>
      <c r="M2760" s="38" t="n">
        <f aca="false">Sens!$M$2735</f>
        <v>1.6</v>
      </c>
    </row>
    <row r="2761" customFormat="false" ht="15" hidden="false" customHeight="false" outlineLevel="0" collapsed="false">
      <c r="A2761" s="5" t="s">
        <v>856</v>
      </c>
      <c r="B2761" s="0" t="s">
        <v>73</v>
      </c>
      <c r="H2761" s="38" t="n">
        <f aca="false">Sens!$H$2729</f>
        <v>11.6234967595308</v>
      </c>
      <c r="I2761" s="38" t="n">
        <f aca="false">Sens!$I$2729</f>
        <v>13.260243096522</v>
      </c>
      <c r="J2761" s="38" t="n">
        <f aca="false">Sens!$J$2729</f>
        <v>14.7651989137424</v>
      </c>
      <c r="K2761" s="38" t="n">
        <f aca="false">Sens!$K$2729</f>
        <v>16.0687184204592</v>
      </c>
      <c r="L2761" s="38" t="n">
        <f aca="false">Sens!$L$2729</f>
        <v>17.4262036158199</v>
      </c>
      <c r="M2761" s="38" t="n">
        <f aca="false">Sens!$M$2729</f>
        <v>18.8413691199868</v>
      </c>
    </row>
    <row r="2762" customFormat="false" ht="17.15" hidden="false" customHeight="false" outlineLevel="0" collapsed="false">
      <c r="A2762" s="1" t="s">
        <v>857</v>
      </c>
      <c r="B2762" s="8" t="s">
        <v>73</v>
      </c>
      <c r="H2762" s="38" t="n">
        <f aca="false">Sens!$H$2757+Sens!$H$2758-Sens!$H$2759-Sens!$H$2760+Sens!$H$2761</f>
        <v>-68.3653499775461</v>
      </c>
      <c r="I2762" s="38" t="n">
        <f aca="false">Sens!$I$2757+Sens!$I$2758-Sens!$I$2759-Sens!$I$2760+Sens!$I$2761</f>
        <v>-28.2592066442091</v>
      </c>
      <c r="J2762" s="38" t="n">
        <f aca="false">Sens!$J$2757+Sens!$J$2758-Sens!$J$2759-Sens!$J$2760+Sens!$J$2761</f>
        <v>10.9944897325772</v>
      </c>
      <c r="K2762" s="38" t="n">
        <f aca="false">Sens!$K$2757+Sens!$K$2758-Sens!$K$2759-Sens!$K$2760+Sens!$K$2761</f>
        <v>47.0574961678183</v>
      </c>
      <c r="L2762" s="38" t="n">
        <f aca="false">Sens!$L$2757+Sens!$L$2758-Sens!$L$2759-Sens!$L$2760+Sens!$L$2761</f>
        <v>50.7699671480864</v>
      </c>
      <c r="M2762" s="38" t="n">
        <f aca="false">Sens!$M$2757+Sens!$M$2758-Sens!$M$2759-Sens!$M$2760+Sens!$M$2761</f>
        <v>31.9413112220659</v>
      </c>
    </row>
    <row r="2763" customFormat="false" ht="15" hidden="false" customHeight="false" outlineLevel="0" collapsed="false">
      <c r="A2763" s="5" t="s">
        <v>858</v>
      </c>
      <c r="B2763" s="0" t="s">
        <v>57</v>
      </c>
      <c r="H2763" s="51" t="n">
        <f aca="false">1/(1+wacc)^(2027-2026-0.5)</f>
        <v>0.942858177653364</v>
      </c>
      <c r="I2763" s="51" t="n">
        <f aca="false">1/(1+wacc)^(2028-2026-0.5)</f>
        <v>0.838183517758688</v>
      </c>
      <c r="J2763" s="51" t="n">
        <f aca="false">1/(1+wacc)^(2029-2026-0.5)</f>
        <v>0.745129677074952</v>
      </c>
      <c r="K2763" s="51" t="n">
        <f aca="false">1/(1+wacc)^(2030-2026-0.5)</f>
        <v>0.662406530186232</v>
      </c>
      <c r="L2763" s="51" t="n">
        <f aca="false">1/(1+wacc)^(2031-2026-0.5)</f>
        <v>0.588867179409399</v>
      </c>
      <c r="M2763" s="51" t="n">
        <f aca="false">1/(1+wacc)^(2032-2026-0.5)</f>
        <v>0.52349205387225</v>
      </c>
    </row>
    <row r="2764" customFormat="false" ht="15" hidden="false" customHeight="false" outlineLevel="0" collapsed="false">
      <c r="A2764" s="5" t="s">
        <v>859</v>
      </c>
      <c r="B2764" s="0" t="s">
        <v>73</v>
      </c>
      <c r="H2764" s="38" t="n">
        <f aca="false">Sens!$H$2762*Sens!$H$2763</f>
        <v>-64.4588292944636</v>
      </c>
      <c r="I2764" s="38" t="n">
        <f aca="false">Sens!$I$2762*Sens!$I$2763</f>
        <v>-23.6864012341129</v>
      </c>
      <c r="J2764" s="38" t="n">
        <f aca="false">Sens!$J$2762*Sens!$J$2763</f>
        <v>8.19232058403911</v>
      </c>
      <c r="K2764" s="38" t="n">
        <f aca="false">Sens!$K$2762*Sens!$K$2763</f>
        <v>31.1711927557764</v>
      </c>
      <c r="L2764" s="38" t="n">
        <f aca="false">Sens!$L$2762*Sens!$L$2763</f>
        <v>29.8967673532015</v>
      </c>
      <c r="M2764" s="38" t="n">
        <f aca="false">Sens!$M$2762*Sens!$M$2763</f>
        <v>16.7210226150121</v>
      </c>
    </row>
    <row r="2765" customFormat="false" ht="15" hidden="false" customHeight="false" outlineLevel="0" collapsed="false">
      <c r="A2765" s="5" t="s">
        <v>860</v>
      </c>
      <c r="B2765" s="0" t="s">
        <v>73</v>
      </c>
      <c r="C2765" s="38" t="n">
        <f aca="false">SUM(Sens!$H$2764:$M$2764)</f>
        <v>-2.16392722054738</v>
      </c>
    </row>
    <row r="2766" customFormat="false" ht="17.15" hidden="false" customHeight="false" outlineLevel="0" collapsed="false">
      <c r="A2766" s="5" t="s">
        <v>861</v>
      </c>
      <c r="B2766" s="0" t="s">
        <v>73</v>
      </c>
      <c r="C2766" s="38" t="n">
        <f aca="false">Sens!$M$2757*(1+tg)*(1-tg/ronic)/(wacc-tg)</f>
        <v>1554.61246428829</v>
      </c>
    </row>
    <row r="2767" customFormat="false" ht="15" hidden="false" customHeight="false" outlineLevel="0" collapsed="false">
      <c r="A2767" s="5" t="s">
        <v>862</v>
      </c>
      <c r="B2767" s="0" t="s">
        <v>73</v>
      </c>
      <c r="C2767" s="38" t="n">
        <f aca="false">Sens!$C$2766/(1+wacc)^6</f>
        <v>767.323698513597</v>
      </c>
    </row>
    <row r="2768" customFormat="false" ht="17.15" hidden="false" customHeight="false" outlineLevel="0" collapsed="false">
      <c r="A2768" s="5" t="s">
        <v>863</v>
      </c>
      <c r="B2768" s="0" t="s">
        <v>73</v>
      </c>
      <c r="C2768" s="38" t="n">
        <f aca="false">Sens!$C$2765+Sens!$C$2767</f>
        <v>765.15977129305</v>
      </c>
    </row>
    <row r="2769" customFormat="false" ht="17.15" hidden="false" customHeight="false" outlineLevel="0" collapsed="false">
      <c r="A2769" s="5" t="s">
        <v>864</v>
      </c>
      <c r="B2769" s="0" t="s">
        <v>52</v>
      </c>
      <c r="C2769" s="12" t="n">
        <f aca="false">Sens!$C$2767/Sens!$C$2768</f>
        <v>1.00282807238662</v>
      </c>
    </row>
    <row r="2770" customFormat="false" ht="17.15" hidden="false" customHeight="false" outlineLevel="0" collapsed="false">
      <c r="A2770" s="5" t="s">
        <v>865</v>
      </c>
      <c r="B2770" s="0" t="s">
        <v>73</v>
      </c>
      <c r="C2770" s="38" t="n">
        <f aca="false">Sens!$G$2747</f>
        <v>67.0428850873731</v>
      </c>
    </row>
    <row r="2771" customFormat="false" ht="17.15" hidden="false" customHeight="false" outlineLevel="0" collapsed="false">
      <c r="A2771" s="5" t="s">
        <v>866</v>
      </c>
      <c r="B2771" s="0" t="s">
        <v>73</v>
      </c>
      <c r="C2771" s="38" t="n">
        <f aca="false">(ant_val*ant_sh+oai_val*oai_sh)*(1-liq_disc)</f>
        <v>178.944</v>
      </c>
    </row>
    <row r="2772" customFormat="false" ht="15" hidden="false" customHeight="false" outlineLevel="0" collapsed="false">
      <c r="A2772" s="5" t="s">
        <v>867</v>
      </c>
      <c r="B2772" s="0" t="s">
        <v>73</v>
      </c>
      <c r="C2772" s="38" t="n">
        <f aca="false">Sens!$C$2768-Sens!$C$2770+Sens!$C$2771</f>
        <v>877.060886205677</v>
      </c>
    </row>
    <row r="2773" customFormat="false" ht="17.15" hidden="false" customHeight="false" outlineLevel="0" collapsed="false">
      <c r="A2773" s="5" t="s">
        <v>868</v>
      </c>
      <c r="B2773" s="0" t="s">
        <v>27</v>
      </c>
      <c r="C2773" s="30" t="n">
        <f aca="false">Sens!$C$2772/sh_val</f>
        <v>79.5136825847094</v>
      </c>
    </row>
    <row r="2774" customFormat="false" ht="17.15" hidden="false" customHeight="false" outlineLevel="0" collapsed="false">
      <c r="A2774" s="1" t="s">
        <v>869</v>
      </c>
      <c r="B2774" s="8" t="s">
        <v>27</v>
      </c>
      <c r="C2774" s="30" t="n">
        <f aca="false">Sens!$C$2773*(1+ke)^tp_yf</f>
        <v>87.8184828347496</v>
      </c>
    </row>
    <row r="2775" customFormat="false" ht="17.15" hidden="false" customHeight="false" outlineLevel="0" collapsed="false">
      <c r="A2775" s="3" t="s">
        <v>870</v>
      </c>
    </row>
    <row r="2776" customFormat="false" ht="17.15" hidden="false" customHeight="false" outlineLevel="0" collapsed="false">
      <c r="A2776" s="5" t="s">
        <v>871</v>
      </c>
      <c r="B2776" s="0" t="s">
        <v>73</v>
      </c>
      <c r="C2776" s="38" t="n">
        <f aca="false">0.25*Sens!$H$2706+0.75*Sens!$I$2706</f>
        <v>57.5541093268329</v>
      </c>
    </row>
    <row r="2777" customFormat="false" ht="15" hidden="false" customHeight="false" outlineLevel="0" collapsed="false">
      <c r="A2777" s="5" t="s">
        <v>872</v>
      </c>
      <c r="B2777" s="0" t="s">
        <v>57</v>
      </c>
      <c r="C2777" s="30" t="n">
        <f aca="false">m_ads*m_x</f>
        <v>9.11</v>
      </c>
    </row>
    <row r="2778" customFormat="false" ht="17.15" hidden="false" customHeight="false" outlineLevel="0" collapsed="false">
      <c r="A2778" s="5" t="s">
        <v>873</v>
      </c>
      <c r="B2778" s="0" t="s">
        <v>73</v>
      </c>
      <c r="C2778" s="38" t="n">
        <f aca="false">Sens!$C$2776*Sens!$C$2777</f>
        <v>524.317935967448</v>
      </c>
    </row>
    <row r="2779" customFormat="false" ht="17.15" hidden="false" customHeight="false" outlineLevel="0" collapsed="false">
      <c r="A2779" s="5" t="s">
        <v>874</v>
      </c>
      <c r="B2779" s="0" t="s">
        <v>73</v>
      </c>
      <c r="C2779" s="38" t="n">
        <f aca="false">0.25*Sens!$H$2707+0.75*Sens!$I$2707</f>
        <v>30.6290803533085</v>
      </c>
    </row>
    <row r="2780" customFormat="false" ht="15" hidden="false" customHeight="false" outlineLevel="0" collapsed="false">
      <c r="A2780" s="5" t="s">
        <v>875</v>
      </c>
      <c r="B2780" s="0" t="s">
        <v>57</v>
      </c>
      <c r="C2780" s="30" t="n">
        <f aca="false">m_retail*m_x</f>
        <v>17.72</v>
      </c>
    </row>
    <row r="2781" customFormat="false" ht="17.15" hidden="false" customHeight="false" outlineLevel="0" collapsed="false">
      <c r="A2781" s="5" t="s">
        <v>876</v>
      </c>
      <c r="B2781" s="0" t="s">
        <v>73</v>
      </c>
      <c r="C2781" s="38" t="n">
        <f aca="false">Sens!$C$2779*Sens!$C$2780</f>
        <v>542.747303860627</v>
      </c>
    </row>
    <row r="2782" customFormat="false" ht="17.15" hidden="false" customHeight="false" outlineLevel="0" collapsed="false">
      <c r="A2782" s="0" t="s">
        <v>877</v>
      </c>
      <c r="B2782" s="0" t="s">
        <v>73</v>
      </c>
      <c r="C2782" s="38" t="n">
        <f aca="false">0.25*Sens!$H$2708+0.75*Sens!$I$2708</f>
        <v>105.83618060391</v>
      </c>
    </row>
    <row r="2783" customFormat="false" ht="17.15" hidden="false" customHeight="false" outlineLevel="0" collapsed="false">
      <c r="A2783" s="0" t="s">
        <v>878</v>
      </c>
      <c r="B2783" s="0" t="s">
        <v>57</v>
      </c>
      <c r="C2783" s="30" t="n">
        <f aca="false">m_cloud*m_x</f>
        <v>13.82</v>
      </c>
    </row>
    <row r="2784" customFormat="false" ht="17.15" hidden="false" customHeight="false" outlineLevel="0" collapsed="false">
      <c r="A2784" s="0" t="s">
        <v>879</v>
      </c>
      <c r="B2784" s="0" t="s">
        <v>73</v>
      </c>
      <c r="C2784" s="38" t="n">
        <f aca="false">Sens!$C$2782*Sens!$C$2783</f>
        <v>1462.65601594604</v>
      </c>
    </row>
    <row r="2785" customFormat="false" ht="17.15" hidden="false" customHeight="false" outlineLevel="0" collapsed="false">
      <c r="A2785" s="0" t="s">
        <v>880</v>
      </c>
      <c r="B2785" s="0" t="s">
        <v>73</v>
      </c>
      <c r="C2785" s="38" t="n">
        <f aca="false">0.25*Sens!$H$2709+0.75*Sens!$I$2709</f>
        <v>72.2947701247864</v>
      </c>
    </row>
    <row r="2786" customFormat="false" ht="17.15" hidden="false" customHeight="false" outlineLevel="0" collapsed="false">
      <c r="A2786" s="0" t="s">
        <v>881</v>
      </c>
      <c r="B2786" s="0" t="s">
        <v>57</v>
      </c>
      <c r="C2786" s="30" t="n">
        <f aca="false">m_ai</f>
        <v>6</v>
      </c>
    </row>
    <row r="2787" customFormat="false" ht="17.15" hidden="false" customHeight="false" outlineLevel="0" collapsed="false">
      <c r="A2787" s="0" t="s">
        <v>882</v>
      </c>
      <c r="B2787" s="0" t="s">
        <v>73</v>
      </c>
      <c r="C2787" s="38" t="n">
        <f aca="false">Sens!$C$2785*Sens!$C$2786</f>
        <v>433.768620748718</v>
      </c>
    </row>
    <row r="2788" customFormat="false" ht="17.15" hidden="false" customHeight="false" outlineLevel="0" collapsed="false">
      <c r="A2788" s="5" t="s">
        <v>883</v>
      </c>
      <c r="B2788" s="0" t="s">
        <v>73</v>
      </c>
      <c r="C2788" s="38" t="n">
        <f aca="false">Sens!$C$2778+Sens!$C$2781+Sens!$C$2784+Sens!$C$2787</f>
        <v>2963.48987652283</v>
      </c>
    </row>
    <row r="2789" customFormat="false" ht="17.15" hidden="false" customHeight="false" outlineLevel="0" collapsed="false">
      <c r="A2789" s="5" t="s">
        <v>884</v>
      </c>
      <c r="B2789" s="0" t="s">
        <v>73</v>
      </c>
      <c r="C2789" s="38" t="n">
        <f aca="false">Sens!$H$2747</f>
        <v>114.080227941687</v>
      </c>
    </row>
    <row r="2790" customFormat="false" ht="15" hidden="false" customHeight="false" outlineLevel="0" collapsed="false">
      <c r="A2790" s="5" t="s">
        <v>885</v>
      </c>
      <c r="B2790" s="0" t="s">
        <v>73</v>
      </c>
      <c r="C2790" s="38" t="n">
        <f aca="false">Sens!$C$2788-Sens!$C$2789+Sens!$C$2771</f>
        <v>3028.35364858114</v>
      </c>
    </row>
    <row r="2791" customFormat="false" ht="15" hidden="false" customHeight="false" outlineLevel="0" collapsed="false">
      <c r="A2791" s="3" t="s">
        <v>886</v>
      </c>
      <c r="B2791" s="8" t="s">
        <v>27</v>
      </c>
      <c r="C2791" s="30" t="n">
        <f aca="false">Sens!$C$2790/sh_val</f>
        <v>274.54827202391</v>
      </c>
    </row>
    <row r="2792" customFormat="false" ht="17.15" hidden="false" customHeight="false" outlineLevel="0" collapsed="false">
      <c r="A2792" s="46" t="s">
        <v>887</v>
      </c>
      <c r="B2792" s="13" t="s">
        <v>27</v>
      </c>
      <c r="C2792" s="43" t="n">
        <f aca="false">w_dcf*Sens!$C$2774+(1-w_dcf)*Sens!$C$2791</f>
        <v>181.18337742933</v>
      </c>
      <c r="D2792" s="13"/>
      <c r="E2792" s="13"/>
      <c r="F2792" s="13"/>
      <c r="G2792" s="13"/>
      <c r="H2792" s="13"/>
      <c r="I2792" s="13"/>
      <c r="J2792" s="13"/>
      <c r="K2792" s="13"/>
      <c r="L2792" s="13"/>
      <c r="M2792" s="13"/>
      <c r="N2792" s="13"/>
      <c r="O2792" s="13"/>
    </row>
    <row r="2793" customFormat="false" ht="17.15" hidden="false" customHeight="false" outlineLevel="0" collapsed="false">
      <c r="A2793" s="5" t="s">
        <v>888</v>
      </c>
      <c r="B2793" s="0" t="s">
        <v>27</v>
      </c>
      <c r="C2793" s="30" t="n">
        <f aca="false">0.45*Sens!$C$2774+0.55*Sens!$C$2791</f>
        <v>190.519866888788</v>
      </c>
    </row>
    <row r="2796" customFormat="false" ht="19.4" hidden="false" customHeight="false" outlineLevel="0" collapsed="false">
      <c r="A2796" s="31" t="s">
        <v>1103</v>
      </c>
    </row>
    <row r="2797" customFormat="false" ht="17.15" hidden="false" customHeight="false" outlineLevel="0" collapsed="false">
      <c r="A2797" s="6" t="s">
        <v>16</v>
      </c>
      <c r="B2797" s="6" t="s">
        <v>17</v>
      </c>
      <c r="C2797" s="20" t="s">
        <v>457</v>
      </c>
      <c r="D2797" s="20" t="s">
        <v>458</v>
      </c>
      <c r="E2797" s="20" t="s">
        <v>540</v>
      </c>
      <c r="F2797" s="20" t="s">
        <v>541</v>
      </c>
      <c r="G2797" s="20" t="s">
        <v>542</v>
      </c>
      <c r="H2797" s="20" t="s">
        <v>543</v>
      </c>
      <c r="I2797" s="20" t="s">
        <v>544</v>
      </c>
      <c r="J2797" s="20" t="s">
        <v>545</v>
      </c>
      <c r="K2797" s="20" t="s">
        <v>546</v>
      </c>
      <c r="L2797" s="20" t="s">
        <v>547</v>
      </c>
      <c r="M2797" s="20" t="s">
        <v>548</v>
      </c>
      <c r="N2797" s="20" t="s">
        <v>549</v>
      </c>
      <c r="O2797" s="20" t="s">
        <v>550</v>
      </c>
      <c r="P2797" s="6" t="s">
        <v>23</v>
      </c>
      <c r="R2797" s="20" t="n">
        <v>2023</v>
      </c>
      <c r="S2797" s="20" t="n">
        <v>2024</v>
      </c>
      <c r="T2797" s="20" t="n">
        <v>2025</v>
      </c>
      <c r="U2797" s="20" t="n">
        <v>2026</v>
      </c>
      <c r="V2797" s="20" t="n">
        <v>2027</v>
      </c>
      <c r="W2797" s="20" t="n">
        <v>2028</v>
      </c>
      <c r="X2797" s="20" t="n">
        <v>2029</v>
      </c>
      <c r="Y2797" s="20" t="n">
        <v>2030</v>
      </c>
      <c r="Z2797" s="20" t="n">
        <v>2031</v>
      </c>
      <c r="AA2797" s="20" t="n">
        <v>2032</v>
      </c>
    </row>
    <row r="2798" customFormat="false" ht="17.15" hidden="false" customHeight="false" outlineLevel="0" collapsed="false">
      <c r="A2798" s="1" t="s">
        <v>620</v>
      </c>
    </row>
    <row r="2799" customFormat="false" ht="17.15" hidden="false" customHeight="false" outlineLevel="0" collapsed="false">
      <c r="A2799" s="0" t="s">
        <v>479</v>
      </c>
      <c r="B2799" s="0" t="s">
        <v>73</v>
      </c>
      <c r="C2799" s="38" t="n">
        <f aca="false">Q!$D$10</f>
        <v>247.029</v>
      </c>
      <c r="D2799" s="38" t="n">
        <f aca="false">Q!$E$10</f>
        <v>269.287</v>
      </c>
      <c r="E2799" s="38" t="n">
        <f aca="false">Q!$P$10</f>
        <v>134.686</v>
      </c>
      <c r="F2799" s="38" t="n">
        <f aca="false">Sens!$O$2799*(1+Sens!$F$2800)-pd_amt*Q!$O$10/(Q!$O$10+Q!$O$12)</f>
        <v>160.728085930082</v>
      </c>
      <c r="G2799" s="38" t="n">
        <f aca="false">Sens!$E$2799+Sens!$F$2799</f>
        <v>295.414085930082</v>
      </c>
      <c r="H2799" s="38" t="n">
        <f aca="false">Sens!$G$2799*(1+Sens!$H$2800)</f>
        <v>320.828163943375</v>
      </c>
      <c r="I2799" s="38" t="n">
        <f aca="false">Sens!$H$2799*(1+Sens!$I$2800)</f>
        <v>344.575578072228</v>
      </c>
      <c r="J2799" s="38" t="n">
        <f aca="false">Sens!$I$2799*(1+Sens!$J$2800)</f>
        <v>365.942555779681</v>
      </c>
      <c r="K2799" s="38" t="n">
        <f aca="false">Sens!$J$2799*(1+Sens!$K$2800)</f>
        <v>384.239683568665</v>
      </c>
      <c r="L2799" s="38" t="n">
        <f aca="false">Sens!$K$2799*(1+Sens!$L$2800)</f>
        <v>403.451667747098</v>
      </c>
      <c r="M2799" s="38" t="n">
        <f aca="false">Sens!$L$2799*(1+Sens!$M$2800)</f>
        <v>423.624251134453</v>
      </c>
      <c r="N2799" s="38" t="n">
        <f aca="false">Q!$N$10</f>
        <v>118.892</v>
      </c>
      <c r="O2799" s="38" t="n">
        <f aca="false">Q!$O$10</f>
        <v>150.395</v>
      </c>
      <c r="P2799" s="8" t="s">
        <v>621</v>
      </c>
    </row>
    <row r="2800" customFormat="false" ht="17.15" hidden="false" customHeight="false" outlineLevel="0" collapsed="false">
      <c r="A2800" s="0" t="s">
        <v>622</v>
      </c>
      <c r="B2800" s="0" t="s">
        <v>52</v>
      </c>
      <c r="E2800" s="12" t="n">
        <f aca="false">Sens!$E$2799/Sens!$N$2799-1</f>
        <v>0.132843252699929</v>
      </c>
      <c r="F2800" s="12" t="n">
        <f aca="false">Sens!$O$2799/(Q!$F$10+Q!$G$10)-1</f>
        <v>0.0980382135842941</v>
      </c>
      <c r="G2800" s="12" t="n">
        <f aca="false">Sens!$G$2799/Sens!$D$2799-1</f>
        <v>0.0970231980380869</v>
      </c>
      <c r="H2800" s="12" t="n">
        <f aca="false">Sens!$F$2800+(g_os-Sens!$F$2800)*1/4</f>
        <v>0.0860286601882206</v>
      </c>
      <c r="I2800" s="12" t="n">
        <f aca="false">Sens!$F$2800+(g_os-Sens!$F$2800)*2/4</f>
        <v>0.074019106792147</v>
      </c>
      <c r="J2800" s="12" t="n">
        <f aca="false">Sens!$F$2800+(g_os-Sens!$F$2800)*3/4</f>
        <v>0.0620095533960735</v>
      </c>
      <c r="K2800" s="12" t="n">
        <f aca="false">Sens!$F$2800+(g_os-Sens!$F$2800)*4/4</f>
        <v>0.05</v>
      </c>
      <c r="L2800" s="12" t="n">
        <f aca="false">g_os</f>
        <v>0.05</v>
      </c>
      <c r="M2800" s="12" t="n">
        <f aca="false">g_os</f>
        <v>0.05</v>
      </c>
      <c r="P2800" s="8" t="s">
        <v>623</v>
      </c>
    </row>
    <row r="2801" customFormat="false" ht="17.15" hidden="false" customHeight="false" outlineLevel="0" collapsed="false">
      <c r="A2801" s="0" t="s">
        <v>480</v>
      </c>
      <c r="B2801" s="0" t="s">
        <v>73</v>
      </c>
      <c r="C2801" s="38" t="n">
        <f aca="false">Q!$D$11</f>
        <v>21.215</v>
      </c>
      <c r="D2801" s="38" t="n">
        <f aca="false">Q!$E$11</f>
        <v>22.561</v>
      </c>
      <c r="E2801" s="38" t="n">
        <f aca="false">Q!$P$11</f>
        <v>11.579</v>
      </c>
      <c r="F2801" s="38" t="n">
        <f aca="false">Sens!$O$2801*(1+Sens!$F$2802)</f>
        <v>12.0952613121125</v>
      </c>
      <c r="G2801" s="38" t="n">
        <f aca="false">Sens!$E$2801+Sens!$F$2801</f>
        <v>23.6742613121125</v>
      </c>
      <c r="H2801" s="38" t="n">
        <f aca="false">Sens!$G$2801*(1+Sens!$H$2802)</f>
        <v>24.8803243963206</v>
      </c>
      <c r="I2801" s="38" t="n">
        <f aca="false">Sens!$H$2801*(1+Sens!$I$2802)</f>
        <v>25.9741308664154</v>
      </c>
      <c r="J2801" s="38" t="n">
        <f aca="false">Sens!$I$2801*(1+Sens!$J$2802)</f>
        <v>26.9346894124267</v>
      </c>
      <c r="K2801" s="38" t="n">
        <f aca="false">Sens!$J$2801*(1+Sens!$K$2802)</f>
        <v>27.7427300947995</v>
      </c>
      <c r="L2801" s="38" t="n">
        <f aca="false">Sens!$K$2801*(1+Sens!$L$2802)</f>
        <v>28.5750119976435</v>
      </c>
      <c r="M2801" s="38" t="n">
        <f aca="false">Sens!$L$2801*(1+Sens!$M$2802)</f>
        <v>29.4322623575728</v>
      </c>
      <c r="N2801" s="38" t="n">
        <f aca="false">Q!$N$11</f>
        <v>11.128</v>
      </c>
      <c r="O2801" s="38" t="n">
        <f aca="false">Q!$O$11</f>
        <v>11.433</v>
      </c>
      <c r="P2801" s="8" t="s">
        <v>621</v>
      </c>
    </row>
    <row r="2802" customFormat="false" ht="17.15" hidden="false" customHeight="false" outlineLevel="0" collapsed="false">
      <c r="A2802" s="0" t="s">
        <v>624</v>
      </c>
      <c r="B2802" s="0" t="s">
        <v>52</v>
      </c>
      <c r="E2802" s="12" t="n">
        <f aca="false">Sens!$E$2801/Sens!$N$2801-1</f>
        <v>0.0405283968368082</v>
      </c>
      <c r="F2802" s="12" t="n">
        <f aca="false">Sens!$O$2801/(Q!$F$11+Q!$G$11)-1</f>
        <v>0.0579254187100955</v>
      </c>
      <c r="G2802" s="12" t="n">
        <f aca="false">Sens!$G$2801/Sens!$D$2801-1</f>
        <v>0.0493445021103904</v>
      </c>
      <c r="H2802" s="12" t="n">
        <f aca="false">Sens!$F$2802+(g_ps-Sens!$F$2802)*1/4</f>
        <v>0.0509440640325716</v>
      </c>
      <c r="I2802" s="12" t="n">
        <f aca="false">Sens!$F$2802+(g_ps-Sens!$F$2802)*2/4</f>
        <v>0.0439627093550477</v>
      </c>
      <c r="J2802" s="12" t="n">
        <f aca="false">Sens!$F$2802+(g_ps-Sens!$F$2802)*3/4</f>
        <v>0.0369813546775239</v>
      </c>
      <c r="K2802" s="12" t="n">
        <f aca="false">Sens!$F$2802+(g_ps-Sens!$F$2802)*4/4</f>
        <v>0.03</v>
      </c>
      <c r="L2802" s="12" t="n">
        <f aca="false">g_ps</f>
        <v>0.03</v>
      </c>
      <c r="M2802" s="12" t="n">
        <f aca="false">g_ps</f>
        <v>0.03</v>
      </c>
      <c r="P2802" s="8" t="s">
        <v>625</v>
      </c>
    </row>
    <row r="2803" customFormat="false" ht="17.15" hidden="false" customHeight="false" outlineLevel="0" collapsed="false">
      <c r="A2803" s="0" t="s">
        <v>481</v>
      </c>
      <c r="B2803" s="0" t="s">
        <v>73</v>
      </c>
      <c r="C2803" s="38" t="n">
        <f aca="false">Q!$D$12</f>
        <v>156.146</v>
      </c>
      <c r="D2803" s="38" t="n">
        <f aca="false">Q!$E$12</f>
        <v>172.162</v>
      </c>
      <c r="E2803" s="38" t="n">
        <f aca="false">Q!$P$12</f>
        <v>88.358</v>
      </c>
      <c r="F2803" s="38" t="n">
        <f aca="false">Sens!$O$2803*(1+Sens!$F$2804)-pd_amt*Q!$O$12/(Q!$O$10+Q!$O$12)</f>
        <v>103.62028337149</v>
      </c>
      <c r="G2803" s="38" t="n">
        <f aca="false">Sens!$E$2803+Sens!$F$2803</f>
        <v>191.97828337149</v>
      </c>
      <c r="H2803" s="38" t="n">
        <f aca="false">Sens!$G$2803*(1+Sens!$H$2804)</f>
        <v>212.128608444755</v>
      </c>
      <c r="I2803" s="38" t="n">
        <f aca="false">Sens!$H$2803*(1+Sens!$I$2804)</f>
        <v>231.92183134134</v>
      </c>
      <c r="J2803" s="38" t="n">
        <f aca="false">Sens!$I$2803*(1+Sens!$J$2804)</f>
        <v>250.859136487863</v>
      </c>
      <c r="K2803" s="38" t="n">
        <f aca="false">Sens!$J$2803*(1+Sens!$K$2804)</f>
        <v>268.419276042014</v>
      </c>
      <c r="L2803" s="38" t="n">
        <f aca="false">Sens!$K$2803*(1+Sens!$L$2804)</f>
        <v>287.208625364954</v>
      </c>
      <c r="M2803" s="38" t="n">
        <f aca="false">Sens!$L$2803*(1+Sens!$M$2804)</f>
        <v>307.313229140501</v>
      </c>
      <c r="N2803" s="38" t="n">
        <f aca="false">Q!$N$12</f>
        <v>76.86</v>
      </c>
      <c r="O2803" s="38" t="n">
        <f aca="false">Q!$O$12</f>
        <v>95.302</v>
      </c>
      <c r="P2803" s="8" t="s">
        <v>621</v>
      </c>
    </row>
    <row r="2804" customFormat="false" ht="17.15" hidden="false" customHeight="false" outlineLevel="0" collapsed="false">
      <c r="A2804" s="0" t="s">
        <v>626</v>
      </c>
      <c r="B2804" s="0" t="s">
        <v>52</v>
      </c>
      <c r="E2804" s="12" t="n">
        <f aca="false">Sens!$E$2803/Sens!$N$2803-1</f>
        <v>0.1495966692688</v>
      </c>
      <c r="F2804" s="12" t="n">
        <f aca="false">Sens!$O$2803/(Q!$F$12+Q!$G$12)-1</f>
        <v>0.11661530890813</v>
      </c>
      <c r="G2804" s="12" t="n">
        <f aca="false">Sens!$G$2803/Sens!$D$2803-1</f>
        <v>0.115102539303041</v>
      </c>
      <c r="H2804" s="12" t="n">
        <f aca="false">Sens!$F$2804+(g_sp-Sens!$F$2804)*1/4</f>
        <v>0.104961481681098</v>
      </c>
      <c r="I2804" s="12" t="n">
        <f aca="false">Sens!$F$2804+(g_sp-Sens!$F$2804)*2/4</f>
        <v>0.0933076544540651</v>
      </c>
      <c r="J2804" s="12" t="n">
        <f aca="false">Sens!$F$2804+(g_sp-Sens!$F$2804)*3/4</f>
        <v>0.0816538272270325</v>
      </c>
      <c r="K2804" s="12" t="n">
        <f aca="false">Sens!$F$2804+(g_sp-Sens!$F$2804)*4/4</f>
        <v>0.07</v>
      </c>
      <c r="L2804" s="12" t="n">
        <f aca="false">g_sp</f>
        <v>0.07</v>
      </c>
      <c r="M2804" s="12" t="n">
        <f aca="false">g_sp</f>
        <v>0.07</v>
      </c>
      <c r="P2804" s="8" t="s">
        <v>627</v>
      </c>
    </row>
    <row r="2805" customFormat="false" ht="17.15" hidden="false" customHeight="false" outlineLevel="0" collapsed="false">
      <c r="A2805" s="0" t="s">
        <v>482</v>
      </c>
      <c r="B2805" s="0" t="s">
        <v>73</v>
      </c>
      <c r="C2805" s="38" t="n">
        <f aca="false">Q!$D$13</f>
        <v>56.214</v>
      </c>
      <c r="D2805" s="38" t="n">
        <f aca="false">Q!$E$13</f>
        <v>68.635</v>
      </c>
      <c r="E2805" s="38" t="n">
        <f aca="false">Q!$P$13</f>
        <v>37.052</v>
      </c>
      <c r="F2805" s="38" t="n">
        <f aca="false">Sens!$O$2805*(1+Sens!$F$2806)</f>
        <v>48.1533381827382</v>
      </c>
      <c r="G2805" s="38" t="n">
        <f aca="false">Sens!$E$2805+Sens!$F$2805</f>
        <v>85.2053381827382</v>
      </c>
      <c r="H2805" s="38" t="n">
        <f aca="false">Sens!$G$2805*(1+Sens!$H$2806)</f>
        <v>102.29336185894</v>
      </c>
      <c r="I2805" s="38" t="n">
        <f aca="false">Sens!$H$2805*(1+Sens!$I$2806)</f>
        <v>119.379837585241</v>
      </c>
      <c r="J2805" s="38" t="n">
        <f aca="false">Sens!$I$2805*(1+Sens!$J$2806)</f>
        <v>135.319079048844</v>
      </c>
      <c r="K2805" s="38" t="n">
        <f aca="false">Sens!$J$2805*(1+Sens!$K$2806)</f>
        <v>148.850986953729</v>
      </c>
      <c r="L2805" s="38" t="n">
        <f aca="false">Sens!$K$2805*(1+Sens!$L$2806)</f>
        <v>163.736085649102</v>
      </c>
      <c r="M2805" s="38" t="n">
        <f aca="false">Sens!$L$2805*(1+Sens!$M$2806)</f>
        <v>180.109694214012</v>
      </c>
      <c r="N2805" s="38" t="n">
        <f aca="false">Q!$N$13</f>
        <v>29.615</v>
      </c>
      <c r="O2805" s="38" t="n">
        <f aca="false">Q!$O$13</f>
        <v>39.02</v>
      </c>
      <c r="P2805" s="8" t="s">
        <v>621</v>
      </c>
    </row>
    <row r="2806" customFormat="false" ht="17.15" hidden="false" customHeight="false" outlineLevel="0" collapsed="false">
      <c r="A2806" s="0" t="s">
        <v>628</v>
      </c>
      <c r="B2806" s="0" t="s">
        <v>52</v>
      </c>
      <c r="E2806" s="12" t="n">
        <f aca="false">Sens!$E$2805/Sens!$N$2805-1</f>
        <v>0.25112274185379</v>
      </c>
      <c r="F2806" s="12" t="n">
        <f aca="false">Sens!$O$2805/(Q!$F$13+Q!$G$13)-1</f>
        <v>0.234068123596572</v>
      </c>
      <c r="G2806" s="12" t="n">
        <f aca="false">Sens!$G$2805/Sens!$D$2805-1</f>
        <v>0.241426942270536</v>
      </c>
      <c r="H2806" s="12" t="n">
        <f aca="false">Sens!$F$2806+(g_ad-Sens!$F$2806)*1/4</f>
        <v>0.200551092697429</v>
      </c>
      <c r="I2806" s="12" t="n">
        <f aca="false">Sens!$F$2806+(g_ad-Sens!$F$2806)*2/4</f>
        <v>0.167034061798286</v>
      </c>
      <c r="J2806" s="12" t="n">
        <f aca="false">Sens!$F$2806+(g_ad-Sens!$F$2806)*3/4</f>
        <v>0.133517030899143</v>
      </c>
      <c r="K2806" s="12" t="n">
        <f aca="false">Sens!$F$2806+(g_ad-Sens!$F$2806)*4/4</f>
        <v>0.1</v>
      </c>
      <c r="L2806" s="12" t="n">
        <f aca="false">g_ad</f>
        <v>0.1</v>
      </c>
      <c r="M2806" s="12" t="n">
        <f aca="false">g_ad</f>
        <v>0.1</v>
      </c>
      <c r="P2806" s="8" t="s">
        <v>629</v>
      </c>
    </row>
    <row r="2807" customFormat="false" ht="17.15" hidden="false" customHeight="false" outlineLevel="0" collapsed="false">
      <c r="A2807" s="0" t="s">
        <v>483</v>
      </c>
      <c r="B2807" s="0" t="s">
        <v>73</v>
      </c>
      <c r="C2807" s="38" t="n">
        <f aca="false">Q!$D$14</f>
        <v>44.374</v>
      </c>
      <c r="D2807" s="38" t="n">
        <f aca="false">Q!$E$14</f>
        <v>49.619</v>
      </c>
      <c r="E2807" s="38" t="n">
        <f aca="false">Q!$P$14</f>
        <v>27.157</v>
      </c>
      <c r="F2807" s="38" t="n">
        <f aca="false">Sens!$O$2807*(1+Sens!$F$2808)</f>
        <v>28.9776360923374</v>
      </c>
      <c r="G2807" s="38" t="n">
        <f aca="false">Sens!$E$2807+Sens!$F$2807</f>
        <v>56.1346360923374</v>
      </c>
      <c r="H2807" s="38" t="n">
        <f aca="false">Sens!$G$2807*(1+Sens!$H$2808)</f>
        <v>62.4937078946075</v>
      </c>
      <c r="I2807" s="38" t="n">
        <f aca="false">Sens!$H$2807*(1+Sens!$I$2808)</f>
        <v>68.6715233062498</v>
      </c>
      <c r="J2807" s="38" t="n">
        <f aca="false">Sens!$I$2807*(1+Sens!$J$2808)</f>
        <v>74.4692882949818</v>
      </c>
      <c r="K2807" s="38" t="n">
        <f aca="false">Sens!$J$2807*(1+Sens!$K$2808)</f>
        <v>79.6821384756306</v>
      </c>
      <c r="L2807" s="38" t="n">
        <f aca="false">Sens!$K$2807*(1+Sens!$L$2808)</f>
        <v>85.2598881689247</v>
      </c>
      <c r="M2807" s="38" t="n">
        <f aca="false">Sens!$L$2807*(1+Sens!$M$2808)</f>
        <v>91.2280803407494</v>
      </c>
      <c r="N2807" s="38" t="n">
        <f aca="false">Q!$N$14</f>
        <v>23.923</v>
      </c>
      <c r="O2807" s="38" t="n">
        <f aca="false">Q!$O$14</f>
        <v>25.696</v>
      </c>
      <c r="P2807" s="8" t="s">
        <v>621</v>
      </c>
    </row>
    <row r="2808" customFormat="false" ht="17.15" hidden="false" customHeight="false" outlineLevel="0" collapsed="false">
      <c r="A2808" s="0" t="s">
        <v>630</v>
      </c>
      <c r="B2808" s="0" t="s">
        <v>52</v>
      </c>
      <c r="E2808" s="12" t="n">
        <f aca="false">Sens!$E$2807/Sens!$N$2807-1</f>
        <v>0.135183714417088</v>
      </c>
      <c r="F2808" s="12" t="n">
        <f aca="false">Sens!$O$2807/(Q!$F$14+Q!$G$14)-1</f>
        <v>0.127709997366804</v>
      </c>
      <c r="G2808" s="12" t="n">
        <f aca="false">Sens!$G$2807/Sens!$D$2807-1</f>
        <v>0.131313329416905</v>
      </c>
      <c r="H2808" s="12" t="n">
        <f aca="false">Sens!$F$2808+(g_sub-Sens!$F$2808)*1/4</f>
        <v>0.113282498025103</v>
      </c>
      <c r="I2808" s="12" t="n">
        <f aca="false">Sens!$F$2808+(g_sub-Sens!$F$2808)*2/4</f>
        <v>0.0988549986834021</v>
      </c>
      <c r="J2808" s="12" t="n">
        <f aca="false">Sens!$F$2808+(g_sub-Sens!$F$2808)*3/4</f>
        <v>0.084427499341701</v>
      </c>
      <c r="K2808" s="12" t="n">
        <f aca="false">Sens!$F$2808+(g_sub-Sens!$F$2808)*4/4</f>
        <v>0.07</v>
      </c>
      <c r="L2808" s="12" t="n">
        <f aca="false">g_sub</f>
        <v>0.07</v>
      </c>
      <c r="M2808" s="12" t="n">
        <f aca="false">g_sub</f>
        <v>0.07</v>
      </c>
      <c r="P2808" s="8" t="s">
        <v>631</v>
      </c>
    </row>
    <row r="2809" customFormat="false" ht="17.15" hidden="false" customHeight="false" outlineLevel="0" collapsed="false">
      <c r="A2809" s="0" t="s">
        <v>484</v>
      </c>
      <c r="B2809" s="0" t="s">
        <v>73</v>
      </c>
      <c r="C2809" s="38" t="n">
        <f aca="false">Q!$D$15</f>
        <v>5.425</v>
      </c>
      <c r="D2809" s="38" t="n">
        <f aca="false">Q!$E$15</f>
        <v>5.935</v>
      </c>
      <c r="E2809" s="38" t="n">
        <f aca="false">Q!$P$15</f>
        <v>3.474</v>
      </c>
      <c r="F2809" s="38" t="n">
        <f aca="false">Sens!$O$2809*(1+Sens!$F$2810)</f>
        <v>3.36182431966931</v>
      </c>
      <c r="G2809" s="38" t="n">
        <f aca="false">Sens!$E$2809+Sens!$F$2809</f>
        <v>6.83582431966931</v>
      </c>
      <c r="H2809" s="38" t="n">
        <f aca="false">Sens!$G$2809*(1+Sens!$H$2810)</f>
        <v>7.31157108370141</v>
      </c>
      <c r="I2809" s="38" t="n">
        <f aca="false">Sens!$H$2809*(1+Sens!$I$2810)</f>
        <v>7.77266852639815</v>
      </c>
      <c r="J2809" s="38" t="n">
        <f aca="false">Sens!$I$2809*(1+Sens!$J$2810)</f>
        <v>8.2120733019884</v>
      </c>
      <c r="K2809" s="38" t="n">
        <f aca="false">Sens!$J$2809*(1+Sens!$K$2810)</f>
        <v>8.62267696708783</v>
      </c>
      <c r="L2809" s="38" t="n">
        <f aca="false">Sens!$K$2809*(1+Sens!$L$2810)</f>
        <v>9.05381081544222</v>
      </c>
      <c r="M2809" s="38" t="n">
        <f aca="false">Sens!$L$2809*(1+Sens!$M$2810)</f>
        <v>9.50650135621433</v>
      </c>
      <c r="N2809" s="38" t="n">
        <f aca="false">Q!$N$15</f>
        <v>2.811</v>
      </c>
      <c r="O2809" s="38" t="n">
        <f aca="false">Q!$O$15</f>
        <v>3.124</v>
      </c>
      <c r="P2809" s="8" t="s">
        <v>621</v>
      </c>
    </row>
    <row r="2810" customFormat="false" ht="17.15" hidden="false" customHeight="false" outlineLevel="0" collapsed="false">
      <c r="A2810" s="0" t="s">
        <v>632</v>
      </c>
      <c r="B2810" s="0" t="s">
        <v>52</v>
      </c>
      <c r="E2810" s="12" t="n">
        <f aca="false">Sens!$E$2809/Sens!$N$2809-1</f>
        <v>0.235859124866596</v>
      </c>
      <c r="F2810" s="12" t="n">
        <f aca="false">Sens!$O$2809/(Q!$F$15+Q!$G$15)-1</f>
        <v>0.0761281433000345</v>
      </c>
      <c r="G2810" s="12" t="n">
        <f aca="false">Sens!$G$2809/Sens!$D$2809-1</f>
        <v>0.151781688234087</v>
      </c>
      <c r="H2810" s="12" t="n">
        <f aca="false">Sens!$F$2810+(g_ot-Sens!$F$2810)*1/4</f>
        <v>0.0695961074750259</v>
      </c>
      <c r="I2810" s="12" t="n">
        <f aca="false">Sens!$F$2810+(g_ot-Sens!$F$2810)*2/4</f>
        <v>0.0630640716500172</v>
      </c>
      <c r="J2810" s="12" t="n">
        <f aca="false">Sens!$F$2810+(g_ot-Sens!$F$2810)*3/4</f>
        <v>0.0565320358250086</v>
      </c>
      <c r="K2810" s="12" t="n">
        <f aca="false">Sens!$F$2810+(g_ot-Sens!$F$2810)*4/4</f>
        <v>0.05</v>
      </c>
      <c r="L2810" s="12" t="n">
        <f aca="false">g_ot</f>
        <v>0.05</v>
      </c>
      <c r="M2810" s="12" t="n">
        <f aca="false">g_ot</f>
        <v>0.05</v>
      </c>
      <c r="P2810" s="8" t="s">
        <v>633</v>
      </c>
    </row>
    <row r="2811" customFormat="false" ht="17.15" hidden="false" customHeight="false" outlineLevel="0" collapsed="false">
      <c r="A2811" s="3" t="s">
        <v>634</v>
      </c>
      <c r="B2811" s="8" t="s">
        <v>73</v>
      </c>
      <c r="C2811" s="38" t="n">
        <f aca="false">Sens!$C$2799+Sens!$C$2801+Sens!$C$2803+Sens!$C$2805+Sens!$C$2807+Sens!$C$2809</f>
        <v>530.403</v>
      </c>
      <c r="D2811" s="38" t="n">
        <f aca="false">Sens!$D$2799+Sens!$D$2801+Sens!$D$2803+Sens!$D$2805+Sens!$D$2807+Sens!$D$2809</f>
        <v>588.199</v>
      </c>
      <c r="E2811" s="38" t="n">
        <f aca="false">Sens!$E$2799+Sens!$E$2801+Sens!$E$2803+Sens!$E$2805+Sens!$E$2807+Sens!$E$2809</f>
        <v>302.306</v>
      </c>
      <c r="F2811" s="38" t="n">
        <f aca="false">Sens!$F$2799+Sens!$F$2801+Sens!$F$2803+Sens!$F$2805+Sens!$F$2807+Sens!$F$2809</f>
        <v>356.93642920843</v>
      </c>
      <c r="G2811" s="38" t="n">
        <f aca="false">Sens!$G$2799+Sens!$G$2801+Sens!$G$2803+Sens!$G$2805+Sens!$G$2807+Sens!$G$2809</f>
        <v>659.24242920843</v>
      </c>
      <c r="H2811" s="38" t="n">
        <f aca="false">Sens!$H$2799+Sens!$H$2801+Sens!$H$2803+Sens!$H$2805+Sens!$H$2807+Sens!$H$2809</f>
        <v>729.935737621701</v>
      </c>
      <c r="I2811" s="38" t="n">
        <f aca="false">Sens!$I$2799+Sens!$I$2801+Sens!$I$2803+Sens!$I$2805+Sens!$I$2807+Sens!$I$2809</f>
        <v>798.295569697873</v>
      </c>
      <c r="J2811" s="38" t="n">
        <f aca="false">Sens!$J$2799+Sens!$J$2801+Sens!$J$2803+Sens!$J$2805+Sens!$J$2807+Sens!$J$2809</f>
        <v>861.736822325785</v>
      </c>
      <c r="K2811" s="38" t="n">
        <f aca="false">Sens!$K$2799+Sens!$K$2801+Sens!$K$2803+Sens!$K$2805+Sens!$K$2807+Sens!$K$2809</f>
        <v>917.557492101925</v>
      </c>
      <c r="L2811" s="38" t="n">
        <f aca="false">Sens!$L$2799+Sens!$L$2801+Sens!$L$2803+Sens!$L$2805+Sens!$L$2807+Sens!$L$2809</f>
        <v>977.285089743165</v>
      </c>
      <c r="M2811" s="38" t="n">
        <f aca="false">Sens!$M$2799+Sens!$M$2801+Sens!$M$2803+Sens!$M$2805+Sens!$M$2807+Sens!$M$2809</f>
        <v>1041.2140185435</v>
      </c>
      <c r="N2811" s="38" t="n">
        <f aca="false">Sens!$N$2799+Sens!$N$2801+Sens!$N$2803+Sens!$N$2805+Sens!$N$2807+Sens!$N$2809</f>
        <v>263.229</v>
      </c>
      <c r="O2811" s="38" t="n">
        <f aca="false">Sens!$O$2799+Sens!$O$2801+Sens!$O$2803+Sens!$O$2805+Sens!$O$2807+Sens!$O$2809</f>
        <v>324.97</v>
      </c>
    </row>
    <row r="2812" customFormat="false" ht="17.15" hidden="false" customHeight="false" outlineLevel="0" collapsed="false">
      <c r="A2812" s="5" t="s">
        <v>635</v>
      </c>
      <c r="B2812" s="0" t="s">
        <v>52</v>
      </c>
      <c r="C2812" s="12" t="n">
        <f aca="false">Q!$D$5/(Q!$D$5+Q!$D$6)</f>
        <v>0.730570905519011</v>
      </c>
      <c r="D2812" s="12" t="n">
        <f aca="false">Q!$E$5/(Q!$E$5+Q!$E$6)</f>
        <v>0.724763217890544</v>
      </c>
      <c r="E2812" s="12" t="n">
        <f aca="false">Q!$P$5/(Q!$P$5+Q!$P$6)</f>
        <v>0.728797972914861</v>
      </c>
      <c r="F2812" s="12" t="n">
        <f aca="false">Sens!$O$2812</f>
        <v>0.718066283041511</v>
      </c>
      <c r="G2812" s="12" t="n">
        <f aca="false">Sens!$G$2813/Sens!$G$2811</f>
        <v>0.722987468473627</v>
      </c>
      <c r="H2812" s="12" t="n">
        <f aca="false">Sens!$G$2812</f>
        <v>0.722987468473627</v>
      </c>
      <c r="I2812" s="12" t="n">
        <f aca="false">Sens!$G$2812</f>
        <v>0.722987468473627</v>
      </c>
      <c r="J2812" s="12" t="n">
        <f aca="false">Sens!$G$2812</f>
        <v>0.722987468473627</v>
      </c>
      <c r="K2812" s="12" t="n">
        <f aca="false">Sens!$G$2812</f>
        <v>0.722987468473627</v>
      </c>
      <c r="L2812" s="12" t="n">
        <f aca="false">Sens!$G$2812</f>
        <v>0.722987468473627</v>
      </c>
      <c r="M2812" s="12" t="n">
        <f aca="false">Sens!$G$2812</f>
        <v>0.722987468473627</v>
      </c>
      <c r="N2812" s="12" t="n">
        <f aca="false">Q!$N$5/(Q!$N$5+Q!$N$6)</f>
        <v>0.733030935041352</v>
      </c>
      <c r="O2812" s="12" t="n">
        <f aca="false">Q!$O$5/(Q!$O$5+Q!$O$6)</f>
        <v>0.718066283041511</v>
      </c>
      <c r="P2812" s="8" t="s">
        <v>636</v>
      </c>
    </row>
    <row r="2813" customFormat="false" ht="17.15" hidden="false" customHeight="false" outlineLevel="0" collapsed="false">
      <c r="A2813" s="1" t="s">
        <v>472</v>
      </c>
      <c r="B2813" s="8" t="s">
        <v>73</v>
      </c>
      <c r="C2813" s="38" t="n">
        <f aca="false">Q!$D$5</f>
        <v>387.497</v>
      </c>
      <c r="D2813" s="38" t="n">
        <f aca="false">Q!$E$5</f>
        <v>426.305</v>
      </c>
      <c r="E2813" s="38" t="n">
        <f aca="false">Q!$P$5</f>
        <v>220.32</v>
      </c>
      <c r="F2813" s="38" t="n">
        <f aca="false">Sens!$F$2811*Sens!$F$2812</f>
        <v>256.304015003807</v>
      </c>
      <c r="G2813" s="38" t="n">
        <f aca="false">Sens!$E$2813+Sens!$F$2813</f>
        <v>476.624015003807</v>
      </c>
      <c r="H2813" s="38" t="n">
        <f aca="false">Sens!$H$2811*Sens!$H$2812</f>
        <v>527.734391091543</v>
      </c>
      <c r="I2813" s="38" t="n">
        <f aca="false">Sens!$I$2811*Sens!$I$2812</f>
        <v>577.157693029577</v>
      </c>
      <c r="J2813" s="38" t="n">
        <f aca="false">Sens!$J$2811*Sens!$J$2812</f>
        <v>623.024923663827</v>
      </c>
      <c r="K2813" s="38" t="n">
        <f aca="false">Sens!$K$2811*Sens!$K$2812</f>
        <v>663.382568393781</v>
      </c>
      <c r="L2813" s="38" t="n">
        <f aca="false">Sens!$L$2811*Sens!$L$2812</f>
        <v>706.564873010432</v>
      </c>
      <c r="M2813" s="38" t="n">
        <f aca="false">Sens!$M$2811*Sens!$M$2812</f>
        <v>752.784687406019</v>
      </c>
      <c r="N2813" s="38" t="n">
        <f aca="false">Q!$N$5</f>
        <v>192.955</v>
      </c>
      <c r="O2813" s="38" t="n">
        <f aca="false">Q!$O$5</f>
        <v>233.35</v>
      </c>
      <c r="P2813" s="5" t="s">
        <v>637</v>
      </c>
    </row>
    <row r="2814" customFormat="false" ht="17.15" hidden="false" customHeight="false" outlineLevel="0" collapsed="false">
      <c r="A2814" s="1" t="s">
        <v>475</v>
      </c>
      <c r="B2814" s="8" t="s">
        <v>73</v>
      </c>
      <c r="C2814" s="38" t="n">
        <f aca="false">Q!$D$6</f>
        <v>142.906</v>
      </c>
      <c r="D2814" s="38" t="n">
        <f aca="false">Q!$E$6</f>
        <v>161.894</v>
      </c>
      <c r="E2814" s="38" t="n">
        <f aca="false">Q!$P$6</f>
        <v>81.986</v>
      </c>
      <c r="F2814" s="38" t="n">
        <f aca="false">Sens!$F$2811*(1-Sens!$F$2812)</f>
        <v>100.632414204623</v>
      </c>
      <c r="G2814" s="38" t="n">
        <f aca="false">Sens!$E$2814+Sens!$F$2814</f>
        <v>182.618414204623</v>
      </c>
      <c r="H2814" s="38" t="n">
        <f aca="false">Sens!$H$2811*(1-Sens!$H$2812)</f>
        <v>202.201346530158</v>
      </c>
      <c r="I2814" s="38" t="n">
        <f aca="false">Sens!$I$2811*(1-Sens!$I$2812)</f>
        <v>221.137876668296</v>
      </c>
      <c r="J2814" s="38" t="n">
        <f aca="false">Sens!$J$2811*(1-Sens!$J$2812)</f>
        <v>238.711898661958</v>
      </c>
      <c r="K2814" s="38" t="n">
        <f aca="false">Sens!$K$2811*(1-Sens!$K$2812)</f>
        <v>254.174923708144</v>
      </c>
      <c r="L2814" s="38" t="n">
        <f aca="false">Sens!$L$2811*(1-Sens!$L$2812)</f>
        <v>270.720216732733</v>
      </c>
      <c r="M2814" s="38" t="n">
        <f aca="false">Sens!$M$2811*(1-Sens!$M$2812)</f>
        <v>288.429331137484</v>
      </c>
      <c r="N2814" s="38" t="n">
        <f aca="false">Q!$N$6</f>
        <v>70.274</v>
      </c>
      <c r="O2814" s="38" t="n">
        <f aca="false">Q!$O$6</f>
        <v>91.62</v>
      </c>
      <c r="P2814" s="5" t="s">
        <v>638</v>
      </c>
    </row>
    <row r="2815" customFormat="false" ht="17.15" hidden="false" customHeight="false" outlineLevel="0" collapsed="false">
      <c r="A2815" s="5" t="s">
        <v>639</v>
      </c>
      <c r="B2815" s="0" t="s">
        <v>73</v>
      </c>
      <c r="C2815" s="38" t="n">
        <f aca="false">Sens!$C$2805*Sens!$C$2812</f>
        <v>41.0683128828457</v>
      </c>
      <c r="D2815" s="38" t="n">
        <f aca="false">Sens!$D$2805*Sens!$D$2812</f>
        <v>49.7441234599175</v>
      </c>
      <c r="E2815" s="38" t="n">
        <f aca="false">Sens!$E$2805*Sens!$E$2812</f>
        <v>27.0034224924414</v>
      </c>
      <c r="F2815" s="38" t="n">
        <f aca="false">Sens!$F$2805*Sens!$F$2812</f>
        <v>34.5772885649197</v>
      </c>
      <c r="G2815" s="38" t="n">
        <f aca="false">Sens!$G$2805*Sens!$G$2812</f>
        <v>61.6023917531772</v>
      </c>
      <c r="H2815" s="38" t="n">
        <f aca="false">Sens!$H$2805*Sens!$H$2812</f>
        <v>73.9568187320519</v>
      </c>
      <c r="I2815" s="38" t="n">
        <f aca="false">Sens!$I$2805*Sens!$I$2812</f>
        <v>86.3101265625461</v>
      </c>
      <c r="J2815" s="38" t="n">
        <f aca="false">Sens!$J$2805*Sens!$J$2812</f>
        <v>97.8339983977065</v>
      </c>
      <c r="K2815" s="38" t="n">
        <f aca="false">Sens!$K$2805*Sens!$K$2812</f>
        <v>107.617398237477</v>
      </c>
      <c r="L2815" s="38" t="n">
        <f aca="false">Sens!$L$2805*Sens!$L$2812</f>
        <v>118.379138061225</v>
      </c>
      <c r="M2815" s="38" t="n">
        <f aca="false">Sens!$M$2805*Sens!$M$2812</f>
        <v>130.217051867347</v>
      </c>
      <c r="N2815" s="38" t="n">
        <f aca="false">Sens!$N$2805*Sens!$N$2812</f>
        <v>21.7087111412496</v>
      </c>
      <c r="O2815" s="38" t="n">
        <f aca="false">Sens!$O$2805*Sens!$O$2812</f>
        <v>28.0189463642798</v>
      </c>
      <c r="P2815" s="5" t="s">
        <v>640</v>
      </c>
    </row>
    <row r="2816" customFormat="false" ht="15" hidden="false" customHeight="false" outlineLevel="0" collapsed="false">
      <c r="A2816" s="5" t="s">
        <v>641</v>
      </c>
      <c r="B2816" s="0" t="s">
        <v>73</v>
      </c>
      <c r="C2816" s="38" t="n">
        <f aca="false">Sens!$C$2805-Sens!$C$2815</f>
        <v>15.1456871171543</v>
      </c>
      <c r="D2816" s="38" t="n">
        <f aca="false">Sens!$D$2805-Sens!$D$2815</f>
        <v>18.8908765400825</v>
      </c>
      <c r="E2816" s="38" t="n">
        <f aca="false">Sens!$E$2805-Sens!$E$2815</f>
        <v>10.0485775075586</v>
      </c>
      <c r="F2816" s="38" t="n">
        <f aca="false">Sens!$F$2805-Sens!$F$2815</f>
        <v>13.5760496178185</v>
      </c>
      <c r="G2816" s="38" t="n">
        <f aca="false">Sens!$G$2805-Sens!$G$2815</f>
        <v>23.6029464295611</v>
      </c>
      <c r="H2816" s="38" t="n">
        <f aca="false">Sens!$H$2805-Sens!$H$2815</f>
        <v>28.3365431268884</v>
      </c>
      <c r="I2816" s="38" t="n">
        <f aca="false">Sens!$I$2805-Sens!$I$2815</f>
        <v>33.0697110226949</v>
      </c>
      <c r="J2816" s="38" t="n">
        <f aca="false">Sens!$J$2805-Sens!$J$2815</f>
        <v>37.4850806511378</v>
      </c>
      <c r="K2816" s="38" t="n">
        <f aca="false">Sens!$K$2805-Sens!$K$2815</f>
        <v>41.2335887162515</v>
      </c>
      <c r="L2816" s="38" t="n">
        <f aca="false">Sens!$L$2805-Sens!$L$2815</f>
        <v>45.3569475878767</v>
      </c>
      <c r="M2816" s="38" t="n">
        <f aca="false">Sens!$M$2805-Sens!$M$2815</f>
        <v>49.8926423466644</v>
      </c>
      <c r="N2816" s="38" t="n">
        <f aca="false">Sens!$N$2805-Sens!$N$2815</f>
        <v>7.90628885875037</v>
      </c>
      <c r="O2816" s="38" t="n">
        <f aca="false">Sens!$O$2805-Sens!$O$2815</f>
        <v>11.0010536357202</v>
      </c>
    </row>
    <row r="2817" customFormat="false" ht="19.4" hidden="false" customHeight="false" outlineLevel="0" collapsed="false">
      <c r="A2817" s="31" t="s">
        <v>1104</v>
      </c>
    </row>
    <row r="2818" customFormat="false" ht="17.15" hidden="false" customHeight="false" outlineLevel="0" collapsed="false">
      <c r="A2818" s="6" t="s">
        <v>16</v>
      </c>
      <c r="B2818" s="6" t="s">
        <v>17</v>
      </c>
      <c r="C2818" s="20" t="s">
        <v>457</v>
      </c>
      <c r="D2818" s="20" t="s">
        <v>458</v>
      </c>
      <c r="E2818" s="20" t="s">
        <v>540</v>
      </c>
      <c r="F2818" s="20" t="s">
        <v>541</v>
      </c>
      <c r="G2818" s="20" t="s">
        <v>542</v>
      </c>
      <c r="H2818" s="20" t="s">
        <v>543</v>
      </c>
      <c r="I2818" s="20" t="s">
        <v>544</v>
      </c>
      <c r="J2818" s="20" t="s">
        <v>545</v>
      </c>
      <c r="K2818" s="20" t="s">
        <v>546</v>
      </c>
      <c r="L2818" s="20" t="s">
        <v>547</v>
      </c>
      <c r="M2818" s="20" t="s">
        <v>548</v>
      </c>
      <c r="N2818" s="20" t="s">
        <v>549</v>
      </c>
      <c r="O2818" s="20" t="s">
        <v>550</v>
      </c>
      <c r="P2818" s="6" t="s">
        <v>23</v>
      </c>
      <c r="R2818" s="20" t="n">
        <v>2023</v>
      </c>
      <c r="S2818" s="20" t="n">
        <v>2024</v>
      </c>
      <c r="T2818" s="20" t="n">
        <v>2025</v>
      </c>
      <c r="U2818" s="20" t="n">
        <v>2026</v>
      </c>
      <c r="V2818" s="20" t="n">
        <v>2027</v>
      </c>
      <c r="W2818" s="20" t="n">
        <v>2028</v>
      </c>
      <c r="X2818" s="20" t="n">
        <v>2029</v>
      </c>
      <c r="Y2818" s="20" t="n">
        <v>2030</v>
      </c>
      <c r="Z2818" s="20" t="n">
        <v>2031</v>
      </c>
      <c r="AA2818" s="20" t="n">
        <v>2032</v>
      </c>
    </row>
    <row r="2819" customFormat="false" ht="17.15" hidden="false" customHeight="false" outlineLevel="0" collapsed="false">
      <c r="A2819" s="1" t="s">
        <v>551</v>
      </c>
    </row>
    <row r="2820" customFormat="false" ht="17.15" hidden="false" customHeight="false" outlineLevel="0" collapsed="false">
      <c r="A2820" s="14" t="s">
        <v>552</v>
      </c>
      <c r="B2820" s="13" t="s">
        <v>108</v>
      </c>
      <c r="C2820" s="32" t="n">
        <f aca="false">mw_ye24</f>
        <v>360</v>
      </c>
      <c r="D2820" s="32" t="n">
        <f aca="false">mw_ye25</f>
        <v>1440</v>
      </c>
      <c r="E2820" s="32" t="n">
        <f aca="false">mw_open</f>
        <v>2080</v>
      </c>
      <c r="F2820" s="32" t="n">
        <f aca="false">Sens!$E$2820+pace_B*0.5</f>
        <v>3897.15</v>
      </c>
      <c r="G2820" s="32" t="n">
        <f aca="false">Sens!$F$2820</f>
        <v>3897.15</v>
      </c>
      <c r="H2820" s="32" t="n">
        <f aca="false">Sens!$G$2820+pace_B</f>
        <v>7531.45</v>
      </c>
      <c r="I2820" s="32" t="n">
        <f aca="false">Sens!$H$2820+pace_B</f>
        <v>11165.75</v>
      </c>
      <c r="J2820" s="32" t="n">
        <f aca="false">Sens!$I$2820+pace_B</f>
        <v>14800.05</v>
      </c>
      <c r="K2820" s="32" t="n">
        <f aca="false">Sens!$J$2820+pace_B</f>
        <v>18434.35</v>
      </c>
      <c r="L2820" s="32" t="n">
        <f aca="false">Sens!$K$2820+pace_B</f>
        <v>22068.65</v>
      </c>
      <c r="M2820" s="32" t="n">
        <f aca="false">Sens!$L$2820+pace_B</f>
        <v>25702.95</v>
      </c>
      <c r="N2820" s="32" t="n">
        <f aca="false">(mw_ye24+mw_ye25)/2</f>
        <v>900</v>
      </c>
      <c r="O2820" s="32" t="n">
        <f aca="false">mw_ye25</f>
        <v>1440</v>
      </c>
      <c r="P2820" s="5" t="s">
        <v>553</v>
      </c>
    </row>
    <row r="2821" customFormat="false" ht="17.15" hidden="false" customHeight="false" outlineLevel="0" collapsed="false">
      <c r="A2821" s="5" t="s">
        <v>554</v>
      </c>
      <c r="B2821" s="0" t="s">
        <v>108</v>
      </c>
      <c r="C2821" s="33" t="n">
        <f aca="false">(mw_ye23+mw_ye24)/2</f>
        <v>240</v>
      </c>
      <c r="D2821" s="33" t="n">
        <f aca="false">(Sens!$C$2820+Sens!$D$2820)/2</f>
        <v>900</v>
      </c>
      <c r="E2821" s="33" t="n">
        <f aca="false">(Sens!$D$2820+Sens!$E$2820)/2</f>
        <v>1760</v>
      </c>
      <c r="F2821" s="33" t="n">
        <f aca="false">(Sens!$E$2820+Sens!$F$2820)/2</f>
        <v>2988.575</v>
      </c>
      <c r="G2821" s="33" t="n">
        <f aca="false">(Sens!$E$2821+Sens!$F$2821)/2</f>
        <v>2374.2875</v>
      </c>
      <c r="H2821" s="33" t="n">
        <f aca="false">(Sens!$G$2820+Sens!$H$2820)/2</f>
        <v>5714.3</v>
      </c>
      <c r="I2821" s="33" t="n">
        <f aca="false">(Sens!$H$2820+Sens!$I$2820)/2</f>
        <v>9348.6</v>
      </c>
      <c r="J2821" s="33" t="n">
        <f aca="false">(Sens!$I$2820+Sens!$J$2820)/2</f>
        <v>12982.9</v>
      </c>
      <c r="K2821" s="33" t="n">
        <f aca="false">(Sens!$J$2820+Sens!$K$2820)/2</f>
        <v>16617.2</v>
      </c>
      <c r="L2821" s="33" t="n">
        <f aca="false">(Sens!$K$2820+Sens!$L$2820)/2</f>
        <v>20251.5</v>
      </c>
      <c r="M2821" s="33" t="n">
        <f aca="false">(Sens!$L$2820+Sens!$M$2820)/2</f>
        <v>23885.8</v>
      </c>
      <c r="N2821" s="33" t="n">
        <f aca="false">(Sens!$C$2820+Sens!$N$2820)/2</f>
        <v>630</v>
      </c>
      <c r="O2821" s="33" t="n">
        <f aca="false">(Sens!$N$2820+Sens!$O$2820)/2</f>
        <v>1170</v>
      </c>
    </row>
    <row r="2822" customFormat="false" ht="15" hidden="false" customHeight="false" outlineLevel="0" collapsed="false">
      <c r="A2822" s="5" t="s">
        <v>555</v>
      </c>
      <c r="B2822" s="5" t="s">
        <v>102</v>
      </c>
      <c r="C2822" s="34" t="n">
        <v>1</v>
      </c>
      <c r="D2822" s="34" t="n">
        <v>1</v>
      </c>
      <c r="E2822" s="34" t="n">
        <v>0.5</v>
      </c>
      <c r="F2822" s="34" t="n">
        <v>0.5</v>
      </c>
      <c r="G2822" s="34" t="n">
        <v>1</v>
      </c>
      <c r="H2822" s="34" t="n">
        <v>1</v>
      </c>
      <c r="I2822" s="34" t="n">
        <v>1</v>
      </c>
      <c r="J2822" s="34" t="n">
        <v>1</v>
      </c>
      <c r="K2822" s="34" t="n">
        <v>1</v>
      </c>
      <c r="L2822" s="34" t="n">
        <v>1</v>
      </c>
      <c r="M2822" s="34" t="n">
        <v>1</v>
      </c>
      <c r="N2822" s="34" t="n">
        <v>0.5</v>
      </c>
      <c r="O2822" s="34" t="n">
        <v>0.5</v>
      </c>
    </row>
    <row r="2823" customFormat="false" ht="17.15" hidden="false" customHeight="false" outlineLevel="0" collapsed="false">
      <c r="A2823" s="5" t="s">
        <v>556</v>
      </c>
      <c r="B2823" s="0" t="s">
        <v>108</v>
      </c>
      <c r="C2823" s="33" t="n">
        <f aca="false">Sens!$C$2820-mw_ye23</f>
        <v>240</v>
      </c>
      <c r="D2823" s="33" t="n">
        <f aca="false">Sens!$D$2820-Sens!$C$2820</f>
        <v>1080</v>
      </c>
      <c r="E2823" s="33" t="n">
        <f aca="false">Sens!$E$2820-Sens!$D$2820</f>
        <v>640</v>
      </c>
      <c r="F2823" s="33" t="n">
        <f aca="false">Sens!$F$2820-Sens!$E$2820</f>
        <v>1817.15</v>
      </c>
      <c r="G2823" s="33" t="n">
        <f aca="false">Sens!$E$2823+Sens!$F$2823</f>
        <v>2457.15</v>
      </c>
      <c r="H2823" s="33" t="n">
        <f aca="false">Sens!$H$2820-Sens!$G$2820</f>
        <v>3634.3</v>
      </c>
      <c r="I2823" s="33" t="n">
        <f aca="false">Sens!$I$2820-Sens!$H$2820</f>
        <v>3634.3</v>
      </c>
      <c r="J2823" s="33" t="n">
        <f aca="false">Sens!$J$2820-Sens!$I$2820</f>
        <v>3634.3</v>
      </c>
      <c r="K2823" s="33" t="n">
        <f aca="false">Sens!$K$2820-Sens!$J$2820</f>
        <v>3634.3</v>
      </c>
      <c r="L2823" s="33" t="n">
        <f aca="false">Sens!$L$2820-Sens!$K$2820</f>
        <v>3634.3</v>
      </c>
      <c r="M2823" s="33" t="n">
        <f aca="false">Sens!$M$2820-Sens!$L$2820</f>
        <v>3634.3</v>
      </c>
      <c r="N2823" s="33" t="n">
        <f aca="false">Sens!$N$2820-Sens!$C$2820</f>
        <v>540</v>
      </c>
      <c r="O2823" s="33" t="n">
        <f aca="false">Sens!$O$2820-Sens!$N$2820</f>
        <v>540</v>
      </c>
    </row>
    <row r="2824" customFormat="false" ht="17.15" hidden="false" customHeight="false" outlineLevel="0" collapsed="false">
      <c r="A2824" s="5" t="s">
        <v>557</v>
      </c>
      <c r="B2824" s="0" t="s">
        <v>108</v>
      </c>
      <c r="C2824" s="33" t="n">
        <f aca="false">Sens!$C$2823/ext_sh</f>
        <v>300</v>
      </c>
      <c r="D2824" s="33" t="n">
        <f aca="false">Sens!$D$2823/ext_sh</f>
        <v>1350</v>
      </c>
      <c r="E2824" s="33" t="n">
        <f aca="false">Sens!$E$2823/ext_sh</f>
        <v>800</v>
      </c>
      <c r="F2824" s="33" t="n">
        <f aca="false">Sens!$F$2823/ext_sh</f>
        <v>2271.4375</v>
      </c>
      <c r="G2824" s="33" t="n">
        <f aca="false">Sens!$G$2823/ext_sh</f>
        <v>3071.4375</v>
      </c>
      <c r="H2824" s="33" t="n">
        <f aca="false">Sens!$H$2823/ext_sh</f>
        <v>4542.875</v>
      </c>
      <c r="I2824" s="33" t="n">
        <f aca="false">Sens!$I$2823/ext_sh</f>
        <v>4542.875</v>
      </c>
      <c r="J2824" s="33" t="n">
        <f aca="false">Sens!$J$2823/ext_sh</f>
        <v>4542.875</v>
      </c>
      <c r="K2824" s="33" t="n">
        <f aca="false">Sens!$K$2823/ext_sh</f>
        <v>4542.875</v>
      </c>
      <c r="L2824" s="33" t="n">
        <f aca="false">Sens!$L$2823/ext_sh</f>
        <v>4542.875</v>
      </c>
      <c r="M2824" s="33" t="n">
        <f aca="false">Sens!$M$2823/ext_sh</f>
        <v>4542.875</v>
      </c>
      <c r="N2824" s="33" t="n">
        <f aca="false">Sens!$N$2823/ext_sh</f>
        <v>675</v>
      </c>
      <c r="O2824" s="33" t="n">
        <f aca="false">Sens!$O$2823/ext_sh</f>
        <v>675</v>
      </c>
      <c r="P2824" s="8" t="s">
        <v>558</v>
      </c>
      <c r="R2824" s="33" t="n">
        <f aca="false">mw_ye23/ext_sh</f>
        <v>150</v>
      </c>
      <c r="S2824" s="33" t="n">
        <f aca="false">Sens!$C$2824</f>
        <v>300</v>
      </c>
      <c r="T2824" s="33" t="n">
        <f aca="false">Sens!$D$2824</f>
        <v>1350</v>
      </c>
      <c r="U2824" s="33" t="n">
        <f aca="false">Sens!$G$2824</f>
        <v>3071.4375</v>
      </c>
      <c r="V2824" s="33" t="n">
        <f aca="false">Sens!$H$2824</f>
        <v>4542.875</v>
      </c>
      <c r="W2824" s="33" t="n">
        <f aca="false">Sens!$I$2824</f>
        <v>4542.875</v>
      </c>
      <c r="X2824" s="33" t="n">
        <f aca="false">Sens!$J$2824</f>
        <v>4542.875</v>
      </c>
      <c r="Y2824" s="33" t="n">
        <f aca="false">Sens!$K$2824</f>
        <v>4542.875</v>
      </c>
      <c r="Z2824" s="33" t="n">
        <f aca="false">Sens!$L$2824</f>
        <v>4542.875</v>
      </c>
      <c r="AA2824" s="33" t="n">
        <f aca="false">Sens!$M$2824</f>
        <v>4542.875</v>
      </c>
    </row>
    <row r="2825" customFormat="false" ht="17.15" hidden="false" customHeight="false" outlineLevel="0" collapsed="false">
      <c r="A2825" s="1" t="s">
        <v>559</v>
      </c>
    </row>
    <row r="2826" customFormat="false" ht="17.15" hidden="false" customHeight="false" outlineLevel="0" collapsed="false">
      <c r="A2826" s="0" t="s">
        <v>560</v>
      </c>
      <c r="B2826" s="0" t="s">
        <v>52</v>
      </c>
      <c r="F2826" s="35" t="n">
        <f aca="false">na_vr26</f>
        <v>0</v>
      </c>
      <c r="G2826" s="35" t="n">
        <f aca="false">na_vr26</f>
        <v>0</v>
      </c>
      <c r="H2826" s="35" t="n">
        <f aca="false">na_vr27</f>
        <v>0.5</v>
      </c>
      <c r="I2826" s="35" t="n">
        <f aca="false">na_vr28</f>
        <v>1</v>
      </c>
      <c r="J2826" s="35" t="n">
        <f aca="false">na_vr28</f>
        <v>1</v>
      </c>
      <c r="K2826" s="35" t="n">
        <f aca="false">na_vr28</f>
        <v>1</v>
      </c>
      <c r="L2826" s="35" t="n">
        <f aca="false">na_vr28</f>
        <v>1</v>
      </c>
      <c r="M2826" s="35" t="n">
        <f aca="false">na_vr28</f>
        <v>1</v>
      </c>
    </row>
    <row r="2827" customFormat="false" ht="17.15" hidden="false" customHeight="false" outlineLevel="0" collapsed="false">
      <c r="A2827" s="5" t="s">
        <v>561</v>
      </c>
      <c r="B2827" s="0" t="s">
        <v>151</v>
      </c>
      <c r="F2827" s="36" t="n">
        <f aca="false">cust_sh*tk_he_gb300*cf_chip+(1-cust_sh)*((1-Sens!$F$2826)*tk_he_gb300+Sens!$F$2826*tk_he_vr200)</f>
        <v>10.8864110021101</v>
      </c>
      <c r="G2827" s="36" t="n">
        <f aca="false">cust_sh*tk_he_gb300*cf_chip+(1-cust_sh)*((1-Sens!$G$2826)*tk_he_gb300+Sens!$G$2826*tk_he_vr200)</f>
        <v>10.8864110021101</v>
      </c>
      <c r="H2827" s="36" t="n">
        <f aca="false">cust_sh*tk_he_gb300*cf_chip+(1-cust_sh)*((1-Sens!$H$2826)*tk_he_gb300+Sens!$H$2826*tk_he_vr200)</f>
        <v>11.2211760027286</v>
      </c>
      <c r="I2827" s="36" t="n">
        <f aca="false">cust_sh*tk_he_gb300*cf_chip+(1-cust_sh)*((1-Sens!$I$2826)*tk_he_gb300+Sens!$I$2826*tk_he_vr200)</f>
        <v>11.5559410033471</v>
      </c>
      <c r="J2827" s="36" t="n">
        <f aca="false">cust_sh*tk_he_gb300*cf_chip+(1-cust_sh)*((1-Sens!$J$2826)*tk_he_gb300+Sens!$J$2826*tk_he_vr200)</f>
        <v>11.5559410033471</v>
      </c>
      <c r="K2827" s="36" t="n">
        <f aca="false">cust_sh*tk_he_gb300*cf_chip+(1-cust_sh)*((1-Sens!$K$2826)*tk_he_gb300+Sens!$K$2826*tk_he_vr200)</f>
        <v>11.5559410033471</v>
      </c>
      <c r="L2827" s="36" t="n">
        <f aca="false">cust_sh*tk_he_gb300*cf_chip+(1-cust_sh)*((1-Sens!$L$2826)*tk_he_gb300+Sens!$L$2826*tk_he_vr200)</f>
        <v>11.5559410033471</v>
      </c>
      <c r="M2827" s="36" t="n">
        <f aca="false">cust_sh*tk_he_gb300*cf_chip+(1-cust_sh)*((1-Sens!$M$2826)*tk_he_gb300+Sens!$M$2826*tk_he_vr200)</f>
        <v>11.5559410033471</v>
      </c>
    </row>
    <row r="2828" customFormat="false" ht="17.15" hidden="false" customHeight="false" outlineLevel="0" collapsed="false">
      <c r="A2828" s="5" t="s">
        <v>562</v>
      </c>
      <c r="B2828" s="0" t="s">
        <v>151</v>
      </c>
      <c r="F2828" s="36" t="n">
        <f aca="false">cust_sh*tk_ox_gb300+(1-cust_sh)*((1-Sens!$F$2826)*tk_ox_gb300+Sens!$F$2826*tk_ox_vr200)</f>
        <v>1.98263481314457</v>
      </c>
      <c r="G2828" s="36" t="n">
        <f aca="false">cust_sh*tk_ox_gb300+(1-cust_sh)*((1-Sens!$G$2826)*tk_ox_gb300+Sens!$G$2826*tk_ox_vr200)</f>
        <v>1.98263481314457</v>
      </c>
      <c r="H2828" s="36" t="n">
        <f aca="false">cust_sh*tk_ox_gb300+(1-cust_sh)*((1-Sens!$H$2826)*tk_ox_gb300+Sens!$H$2826*tk_ox_vr200)</f>
        <v>2.01034999693694</v>
      </c>
      <c r="I2828" s="36" t="n">
        <f aca="false">cust_sh*tk_ox_gb300+(1-cust_sh)*((1-Sens!$I$2826)*tk_ox_gb300+Sens!$I$2826*tk_ox_vr200)</f>
        <v>2.0380651807293</v>
      </c>
      <c r="J2828" s="36" t="n">
        <f aca="false">cust_sh*tk_ox_gb300+(1-cust_sh)*((1-Sens!$J$2826)*tk_ox_gb300+Sens!$J$2826*tk_ox_vr200)</f>
        <v>2.0380651807293</v>
      </c>
      <c r="K2828" s="36" t="n">
        <f aca="false">cust_sh*tk_ox_gb300+(1-cust_sh)*((1-Sens!$K$2826)*tk_ox_gb300+Sens!$K$2826*tk_ox_vr200)</f>
        <v>2.0380651807293</v>
      </c>
      <c r="L2828" s="36" t="n">
        <f aca="false">cust_sh*tk_ox_gb300+(1-cust_sh)*((1-Sens!$L$2826)*tk_ox_gb300+Sens!$L$2826*tk_ox_vr200)</f>
        <v>2.0380651807293</v>
      </c>
      <c r="M2828" s="36" t="n">
        <f aca="false">cust_sh*tk_ox_gb300+(1-cust_sh)*((1-Sens!$M$2826)*tk_ox_gb300+Sens!$M$2826*tk_ox_vr200)</f>
        <v>2.0380651807293</v>
      </c>
    </row>
    <row r="2829" customFormat="false" ht="17.15" hidden="false" customHeight="false" outlineLevel="0" collapsed="false">
      <c r="A2829" s="5" t="s">
        <v>563</v>
      </c>
      <c r="B2829" s="0" t="s">
        <v>170</v>
      </c>
      <c r="F2829" s="36" t="n">
        <f aca="false">cust_sh*tk_cx_gb300*cf_cx+(1-cust_sh)*((1-Sens!$F$2826)*tk_cx_gb300+Sens!$F$2826*tk_cx_vr200)</f>
        <v>32.237224</v>
      </c>
      <c r="G2829" s="36" t="n">
        <f aca="false">cust_sh*tk_cx_gb300*cf_cx+(1-cust_sh)*((1-Sens!$G$2826)*tk_cx_gb300+Sens!$G$2826*tk_cx_vr200)</f>
        <v>32.237224</v>
      </c>
      <c r="H2829" s="36" t="n">
        <f aca="false">cust_sh*tk_cx_gb300*cf_cx+(1-cust_sh)*((1-Sens!$H$2826)*tk_cx_gb300+Sens!$H$2826*tk_cx_vr200)</f>
        <v>33.574506</v>
      </c>
      <c r="I2829" s="36" t="n">
        <f aca="false">cust_sh*tk_cx_gb300*cf_cx+(1-cust_sh)*((1-Sens!$I$2826)*tk_cx_gb300+Sens!$I$2826*tk_cx_vr200)</f>
        <v>34.911788</v>
      </c>
      <c r="J2829" s="36" t="n">
        <f aca="false">cust_sh*tk_cx_gb300*cf_cx+(1-cust_sh)*((1-Sens!$J$2826)*tk_cx_gb300+Sens!$J$2826*tk_cx_vr200)</f>
        <v>34.911788</v>
      </c>
      <c r="K2829" s="36" t="n">
        <f aca="false">cust_sh*tk_cx_gb300*cf_cx+(1-cust_sh)*((1-Sens!$K$2826)*tk_cx_gb300+Sens!$K$2826*tk_cx_vr200)</f>
        <v>34.911788</v>
      </c>
      <c r="L2829" s="36" t="n">
        <f aca="false">cust_sh*tk_cx_gb300*cf_cx+(1-cust_sh)*((1-Sens!$L$2826)*tk_cx_gb300+Sens!$L$2826*tk_cx_vr200)</f>
        <v>34.911788</v>
      </c>
      <c r="M2829" s="36" t="n">
        <f aca="false">cust_sh*tk_cx_gb300*cf_cx+(1-cust_sh)*((1-Sens!$M$2826)*tk_cx_gb300+Sens!$M$2826*tk_cx_vr200)</f>
        <v>34.911788</v>
      </c>
    </row>
    <row r="2830" customFormat="false" ht="17.15" hidden="false" customHeight="false" outlineLevel="0" collapsed="false">
      <c r="A2830" s="5" t="s">
        <v>564</v>
      </c>
      <c r="B2830" s="0" t="s">
        <v>108</v>
      </c>
      <c r="F2830" s="33" t="n">
        <f aca="false">Sens!$F$2820-mw_open</f>
        <v>1817.15</v>
      </c>
      <c r="G2830" s="33" t="n">
        <f aca="false">Sens!$F$2830</f>
        <v>1817.15</v>
      </c>
      <c r="H2830" s="33" t="n">
        <f aca="false">Sens!$H$2820-mw_open</f>
        <v>5451.45</v>
      </c>
      <c r="I2830" s="33" t="n">
        <f aca="false">Sens!$I$2820-mw_open</f>
        <v>9085.75</v>
      </c>
      <c r="J2830" s="33" t="n">
        <f aca="false">Sens!$J$2820-mw_open</f>
        <v>12720.05</v>
      </c>
      <c r="K2830" s="33" t="n">
        <f aca="false">Sens!$K$2820-mw_open</f>
        <v>16354.35</v>
      </c>
      <c r="L2830" s="33" t="n">
        <f aca="false">Sens!$L$2820-mw_open</f>
        <v>19988.65</v>
      </c>
      <c r="M2830" s="33" t="n">
        <f aca="false">Sens!$M$2820-mw_open</f>
        <v>23622.95</v>
      </c>
    </row>
    <row r="2831" customFormat="false" ht="17.15" hidden="false" customHeight="false" outlineLevel="0" collapsed="false">
      <c r="A2831" s="0" t="s">
        <v>565</v>
      </c>
      <c r="B2831" s="0" t="s">
        <v>566</v>
      </c>
      <c r="F2831" s="33" t="n">
        <f aca="false">Sens!$F$2823*Sens!$F$2827</f>
        <v>19782.2417524844</v>
      </c>
      <c r="G2831" s="33" t="n">
        <f aca="false">Sens!$F$2831</f>
        <v>19782.2417524844</v>
      </c>
      <c r="H2831" s="33" t="n">
        <f aca="false">Sens!$G$2831+Sens!$H$2823*Sens!$H$2827</f>
        <v>60563.3616992009</v>
      </c>
      <c r="I2831" s="33" t="n">
        <f aca="false">Sens!$H$2831+Sens!$I$2823*Sens!$I$2827</f>
        <v>102561.118087665</v>
      </c>
      <c r="J2831" s="33" t="n">
        <f aca="false">Sens!$I$2831+Sens!$J$2823*Sens!$J$2827</f>
        <v>144558.87447613</v>
      </c>
      <c r="K2831" s="33" t="n">
        <f aca="false">Sens!$J$2831+Sens!$K$2823*Sens!$K$2827</f>
        <v>186556.630864594</v>
      </c>
      <c r="L2831" s="33" t="n">
        <f aca="false">Sens!$K$2831+Sens!$L$2823*Sens!$L$2827</f>
        <v>228554.387253058</v>
      </c>
      <c r="M2831" s="33" t="n">
        <f aca="false">Sens!$L$2831+Sens!$M$2823*Sens!$M$2827</f>
        <v>270552.143641523</v>
      </c>
    </row>
    <row r="2832" customFormat="false" ht="17.15" hidden="false" customHeight="false" outlineLevel="0" collapsed="false">
      <c r="A2832" s="0" t="s">
        <v>567</v>
      </c>
      <c r="B2832" s="0" t="s">
        <v>566</v>
      </c>
      <c r="F2832" s="33" t="n">
        <f aca="false">Sens!$F$2823*Sens!$F$2828</f>
        <v>3602.74485070566</v>
      </c>
      <c r="G2832" s="33" t="n">
        <f aca="false">Sens!$F$2832</f>
        <v>3602.74485070566</v>
      </c>
      <c r="H2832" s="33" t="n">
        <f aca="false">Sens!$G$2832+Sens!$H$2823*Sens!$H$2828</f>
        <v>10908.9598445736</v>
      </c>
      <c r="I2832" s="33" t="n">
        <f aca="false">Sens!$H$2832+Sens!$I$2823*Sens!$I$2828</f>
        <v>18315.9001308981</v>
      </c>
      <c r="J2832" s="33" t="n">
        <f aca="false">Sens!$I$2832+Sens!$J$2823*Sens!$J$2828</f>
        <v>25722.8404172225</v>
      </c>
      <c r="K2832" s="33" t="n">
        <f aca="false">Sens!$J$2832+Sens!$K$2823*Sens!$K$2828</f>
        <v>33129.780703547</v>
      </c>
      <c r="L2832" s="33" t="n">
        <f aca="false">Sens!$K$2832+Sens!$L$2823*Sens!$L$2828</f>
        <v>40536.7209898715</v>
      </c>
      <c r="M2832" s="33" t="n">
        <f aca="false">Sens!$L$2832+Sens!$M$2823*Sens!$M$2828</f>
        <v>47943.661276196</v>
      </c>
    </row>
    <row r="2833" customFormat="false" ht="17.15" hidden="false" customHeight="false" outlineLevel="0" collapsed="false">
      <c r="A2833" s="5" t="s">
        <v>568</v>
      </c>
      <c r="B2833" s="0" t="s">
        <v>151</v>
      </c>
      <c r="F2833" s="36" t="n">
        <f aca="false">IF(Sens!$F$2830&gt;0,Sens!$F$2831/Sens!$F$2830,Sens!$F$2827)</f>
        <v>10.8864110021101</v>
      </c>
      <c r="G2833" s="36" t="n">
        <f aca="false">IF(Sens!$G$2830&gt;0,Sens!$G$2831/Sens!$G$2830,Sens!$G$2827)</f>
        <v>10.8864110021101</v>
      </c>
      <c r="H2833" s="36" t="n">
        <f aca="false">IF(Sens!$H$2830&gt;0,Sens!$H$2831/Sens!$H$2830,Sens!$H$2827)</f>
        <v>11.1095876691891</v>
      </c>
      <c r="I2833" s="36" t="n">
        <f aca="false">IF(Sens!$I$2830&gt;0,Sens!$I$2831/Sens!$I$2830,Sens!$I$2827)</f>
        <v>11.2881290028523</v>
      </c>
      <c r="J2833" s="36" t="n">
        <f aca="false">IF(Sens!$J$2830&gt;0,Sens!$J$2831/Sens!$J$2830,Sens!$J$2827)</f>
        <v>11.3646467172794</v>
      </c>
      <c r="K2833" s="36" t="n">
        <f aca="false">IF(Sens!$K$2830&gt;0,Sens!$K$2831/Sens!$K$2830,Sens!$K$2827)</f>
        <v>11.4071565586278</v>
      </c>
      <c r="L2833" s="36" t="n">
        <f aca="false">IF(Sens!$L$2830&gt;0,Sens!$L$2831/Sens!$L$2830,Sens!$L$2827)</f>
        <v>11.4342082758495</v>
      </c>
      <c r="M2833" s="36" t="n">
        <f aca="false">IF(Sens!$M$2830&gt;0,Sens!$M$2831/Sens!$M$2830,Sens!$M$2827)</f>
        <v>11.4529363877722</v>
      </c>
    </row>
    <row r="2834" customFormat="false" ht="17.15" hidden="false" customHeight="false" outlineLevel="0" collapsed="false">
      <c r="A2834" s="5" t="s">
        <v>569</v>
      </c>
      <c r="B2834" s="0" t="s">
        <v>151</v>
      </c>
      <c r="F2834" s="36" t="n">
        <f aca="false">IF(Sens!$F$2830&gt;0,Sens!$F$2832/Sens!$F$2830,Sens!$F$2828)</f>
        <v>1.98263481314457</v>
      </c>
      <c r="G2834" s="36" t="n">
        <f aca="false">IF(Sens!$G$2830&gt;0,Sens!$G$2832/Sens!$G$2830,Sens!$G$2828)</f>
        <v>1.98263481314457</v>
      </c>
      <c r="H2834" s="36" t="n">
        <f aca="false">IF(Sens!$H$2830&gt;0,Sens!$H$2832/Sens!$H$2830,Sens!$H$2828)</f>
        <v>2.00111160233948</v>
      </c>
      <c r="I2834" s="36" t="n">
        <f aca="false">IF(Sens!$I$2830&gt;0,Sens!$I$2832/Sens!$I$2830,Sens!$I$2828)</f>
        <v>2.01589303369541</v>
      </c>
      <c r="J2834" s="36" t="n">
        <f aca="false">IF(Sens!$J$2830&gt;0,Sens!$J$2832/Sens!$J$2830,Sens!$J$2828)</f>
        <v>2.02222793284795</v>
      </c>
      <c r="K2834" s="36" t="n">
        <f aca="false">IF(Sens!$K$2830&gt;0,Sens!$K$2832/Sens!$K$2830,Sens!$K$2828)</f>
        <v>2.02574732126603</v>
      </c>
      <c r="L2834" s="36" t="n">
        <f aca="false">IF(Sens!$L$2830&gt;0,Sens!$L$2832/Sens!$L$2830,Sens!$L$2828)</f>
        <v>2.02798693207753</v>
      </c>
      <c r="M2834" s="36" t="n">
        <f aca="false">IF(Sens!$M$2830&gt;0,Sens!$M$2832/Sens!$M$2830,Sens!$M$2828)</f>
        <v>2.02953743187011</v>
      </c>
    </row>
    <row r="2835" customFormat="false" ht="17.15" hidden="false" customHeight="false" outlineLevel="0" collapsed="false">
      <c r="A2835" s="14" t="s">
        <v>570</v>
      </c>
      <c r="B2835" s="13" t="s">
        <v>151</v>
      </c>
      <c r="C2835" s="13"/>
      <c r="D2835" s="13"/>
      <c r="E2835" s="13"/>
      <c r="F2835" s="37" t="n">
        <f aca="false">Sens!$F$2833*k_B</f>
        <v>10.7987645808025</v>
      </c>
      <c r="G2835" s="37" t="n">
        <f aca="false">Sens!$G$2833*k_B</f>
        <v>10.7987645808025</v>
      </c>
      <c r="H2835" s="37" t="n">
        <f aca="false">Sens!$H$2833*k_B</f>
        <v>11.0201444540452</v>
      </c>
      <c r="I2835" s="37" t="n">
        <f aca="false">Sens!$I$2833*k_B</f>
        <v>11.1972483526393</v>
      </c>
      <c r="J2835" s="37" t="n">
        <f aca="false">Sens!$J$2833*k_B</f>
        <v>11.2731500234653</v>
      </c>
      <c r="K2835" s="37" t="n">
        <f aca="false">Sens!$K$2833*k_B</f>
        <v>11.3153176183687</v>
      </c>
      <c r="L2835" s="37" t="n">
        <f aca="false">Sens!$L$2833*k_B</f>
        <v>11.3421515423981</v>
      </c>
      <c r="M2835" s="37" t="n">
        <f aca="false">Sens!$M$2833*k_B</f>
        <v>11.3607288744184</v>
      </c>
      <c r="N2835" s="13"/>
      <c r="O2835" s="13"/>
      <c r="P2835" s="5" t="s">
        <v>571</v>
      </c>
    </row>
    <row r="2836" customFormat="false" ht="17.15" hidden="false" customHeight="false" outlineLevel="0" collapsed="false">
      <c r="A2836" s="5" t="s">
        <v>572</v>
      </c>
      <c r="B2836" s="0" t="s">
        <v>108</v>
      </c>
      <c r="F2836" s="33" t="n">
        <f aca="false">Sens!$F$2830/2</f>
        <v>908.575</v>
      </c>
      <c r="H2836" s="33" t="n">
        <f aca="false">(Sens!$G$2830+Sens!$H$2830)/2</f>
        <v>3634.3</v>
      </c>
      <c r="I2836" s="33" t="n">
        <f aca="false">(Sens!$H$2830+Sens!$I$2830)/2</f>
        <v>7268.6</v>
      </c>
      <c r="J2836" s="33" t="n">
        <f aca="false">(Sens!$I$2830+Sens!$J$2830)/2</f>
        <v>10902.9</v>
      </c>
      <c r="K2836" s="33" t="n">
        <f aca="false">(Sens!$J$2830+Sens!$K$2830)/2</f>
        <v>14537.2</v>
      </c>
      <c r="L2836" s="33" t="n">
        <f aca="false">(Sens!$K$2830+Sens!$L$2830)/2</f>
        <v>18171.5</v>
      </c>
      <c r="M2836" s="33" t="n">
        <f aca="false">(Sens!$L$2830+Sens!$M$2830)/2</f>
        <v>21805.8</v>
      </c>
    </row>
    <row r="2837" customFormat="false" ht="17.15" hidden="false" customHeight="false" outlineLevel="0" collapsed="false">
      <c r="A2837" s="1" t="s">
        <v>573</v>
      </c>
    </row>
    <row r="2838" customFormat="false" ht="17.15" hidden="false" customHeight="false" outlineLevel="0" collapsed="false">
      <c r="A2838" s="1" t="s">
        <v>574</v>
      </c>
      <c r="B2838" s="8" t="s">
        <v>73</v>
      </c>
      <c r="C2838" s="38" t="n">
        <f aca="false">Sens!$C$2821*rpm_open*Sens!$C$2822/1000</f>
        <v>2.32100535697364</v>
      </c>
      <c r="D2838" s="38" t="n">
        <f aca="false">Sens!$D$2821*rpm_open*Sens!$D$2822/1000</f>
        <v>8.70377008865116</v>
      </c>
      <c r="E2838" s="38" t="n">
        <f aca="false">Sens!$E$2821*rpm_open*Sens!$E$2822/1000</f>
        <v>8.51035297557002</v>
      </c>
      <c r="F2838" s="38" t="n">
        <f aca="false">(mw_open*rpm_open+Sens!$F$2836*Sens!$F$2835)*Sens!$F$2822/1000</f>
        <v>14.9634336447205</v>
      </c>
      <c r="G2838" s="38" t="n">
        <f aca="false">Sens!$E$2838+Sens!$F$2838</f>
        <v>23.4737866202905</v>
      </c>
      <c r="H2838" s="38" t="n">
        <f aca="false">(mw_open*rpm_open+Sens!$H$2836*Sens!$H$2835)/1000</f>
        <v>60.1658907497746</v>
      </c>
      <c r="I2838" s="38" t="n">
        <f aca="false">(mw_open*rpm_open+Sens!$I$2836*Sens!$I$2835)/1000</f>
        <v>101.503699136432</v>
      </c>
      <c r="J2838" s="38" t="n">
        <f aca="false">(mw_open*rpm_open+Sens!$J$2836*Sens!$J$2835)/1000</f>
        <v>143.025407151278</v>
      </c>
      <c r="K2838" s="38" t="n">
        <f aca="false">(mw_open*rpm_open+Sens!$K$2836*Sens!$K$2835)/1000</f>
        <v>184.608415042187</v>
      </c>
      <c r="L2838" s="38" t="n">
        <f aca="false">(mw_open*rpm_open+Sens!$L$2836*Sens!$L$2835)/1000</f>
        <v>226.219286513125</v>
      </c>
      <c r="M2838" s="38" t="n">
        <f aca="false">(mw_open*rpm_open+Sens!$M$2836*Sens!$M$2835)/1000</f>
        <v>267.845161450232</v>
      </c>
      <c r="N2838" s="38" t="n">
        <f aca="false">Sens!$N$2821*rpm_open*Sens!$N$2822/1000</f>
        <v>3.04631953102791</v>
      </c>
      <c r="O2838" s="38" t="n">
        <f aca="false">Sens!$O$2821*rpm_open*Sens!$O$2822/1000</f>
        <v>5.65745055762326</v>
      </c>
      <c r="P2838" s="5" t="s">
        <v>575</v>
      </c>
    </row>
    <row r="2839" customFormat="false" ht="17.15" hidden="false" customHeight="false" outlineLevel="0" collapsed="false">
      <c r="A2839" s="5" t="s">
        <v>576</v>
      </c>
      <c r="B2839" s="0" t="s">
        <v>151</v>
      </c>
      <c r="C2839" s="36" t="n">
        <f aca="false">Sens!$C$2838*1000/(Sens!$C$2821*Sens!$C$2822)</f>
        <v>9.67085565405685</v>
      </c>
      <c r="D2839" s="36" t="n">
        <f aca="false">Sens!$D$2838*1000/(Sens!$D$2821*Sens!$D$2822)</f>
        <v>9.67085565405685</v>
      </c>
      <c r="E2839" s="36" t="n">
        <f aca="false">Sens!$E$2838*1000/(Sens!$E$2821*Sens!$E$2822)</f>
        <v>9.67085565405685</v>
      </c>
      <c r="F2839" s="36" t="n">
        <f aca="false">Sens!$F$2838*1000/(Sens!$F$2821*Sens!$F$2822)</f>
        <v>10.0137581588017</v>
      </c>
      <c r="G2839" s="36" t="n">
        <f aca="false">Sens!$G$2838*1000/(Sens!$G$2821*Sens!$G$2822)</f>
        <v>9.88666562928478</v>
      </c>
      <c r="H2839" s="36" t="n">
        <f aca="false">Sens!$H$2838*1000/(Sens!$H$2821*Sens!$H$2822)</f>
        <v>10.5290045586992</v>
      </c>
      <c r="I2839" s="36" t="n">
        <f aca="false">Sens!$I$2838*1000/(Sens!$I$2821*Sens!$I$2822)</f>
        <v>10.8576363451674</v>
      </c>
      <c r="J2839" s="36" t="n">
        <f aca="false">Sens!$J$2838*1000/(Sens!$J$2821*Sens!$J$2822)</f>
        <v>11.0164452588619</v>
      </c>
      <c r="K2839" s="36" t="n">
        <f aca="false">Sens!$K$2838*1000/(Sens!$K$2821*Sens!$K$2822)</f>
        <v>11.1094778327388</v>
      </c>
      <c r="L2839" s="36" t="n">
        <f aca="false">Sens!$L$2838*1000/(Sens!$L$2821*Sens!$L$2822)</f>
        <v>11.1704953466718</v>
      </c>
      <c r="M2839" s="36" t="n">
        <f aca="false">Sens!$M$2838*1000/(Sens!$M$2821*Sens!$M$2822)</f>
        <v>11.2135729785158</v>
      </c>
      <c r="N2839" s="36" t="n">
        <f aca="false">Sens!$N$2838*1000/(Sens!$N$2821*Sens!$N$2822)</f>
        <v>9.67085565405685</v>
      </c>
      <c r="O2839" s="36" t="n">
        <f aca="false">Sens!$O$2838*1000/(Sens!$O$2821*Sens!$O$2822)</f>
        <v>9.67085565405685</v>
      </c>
    </row>
    <row r="2840" customFormat="false" ht="17.15" hidden="false" customHeight="false" outlineLevel="0" collapsed="false">
      <c r="A2840" s="0" t="s">
        <v>577</v>
      </c>
      <c r="B2840" s="0" t="s">
        <v>73</v>
      </c>
      <c r="C2840" s="38" t="n">
        <f aca="false">Sens!$C$2821/ext_sh*(ox_open+rent_mw)*Sens!$C$2822/1000</f>
        <v>0.642569210675032</v>
      </c>
      <c r="D2840" s="38" t="n">
        <f aca="false">Sens!$D$2821/ext_sh*(ox_open+rent_mw)*Sens!$D$2822/1000</f>
        <v>2.40963454003137</v>
      </c>
      <c r="E2840" s="38" t="n">
        <f aca="false">Sens!$E$2821/ext_sh*(ox_open+rent_mw)*Sens!$E$2822/1000</f>
        <v>2.35608710580845</v>
      </c>
      <c r="F2840" s="38" t="n">
        <f aca="false">((mw_open*ox_open+Sens!$F$2836*Sens!$F$2834)/ext_sh+Sens!$F$2821/ext_sh*rent_mw)*Sens!$F$2822/1000</f>
        <v>4.05421991106232</v>
      </c>
      <c r="G2840" s="38" t="n">
        <f aca="false">Sens!$E$2840+Sens!$F$2840</f>
        <v>6.41030701687077</v>
      </c>
      <c r="H2840" s="38" t="n">
        <f aca="false">((mw_open*ox_open+Sens!$H$2836*Sens!$H$2834)/ext_sh+Sens!$H$2821/ext_sh*rent_mw)*Sens!$H$2822/1000</f>
        <v>15.8108975546616</v>
      </c>
      <c r="I2840" s="38" t="n">
        <f aca="false">((mw_open*ox_open+Sens!$I$2836*Sens!$I$2834)/ext_sh+Sens!$I$2821/ext_sh*rent_mw)*Sens!$I$2822/1000</f>
        <v>26.1871623400817</v>
      </c>
      <c r="J2840" s="38" t="n">
        <f aca="false">((mw_open*ox_open+Sens!$J$2836*Sens!$J$2834)/ext_sh+Sens!$J$2821/ext_sh*rent_mw)*Sens!$J$2822/1000</f>
        <v>36.5826128954935</v>
      </c>
      <c r="K2840" s="38" t="n">
        <f aca="false">((mw_open*ox_open+Sens!$K$2836*Sens!$K$2834)/ext_sh+Sens!$K$2821/ext_sh*rent_mw)*Sens!$K$2822/1000</f>
        <v>46.9844587075692</v>
      </c>
      <c r="L2840" s="38" t="n">
        <f aca="false">((mw_open*ox_open+Sens!$L$2836*Sens!$L$2834)/ext_sh+Sens!$L$2821/ext_sh*rent_mw)*Sens!$L$2822/1000</f>
        <v>57.3892114544922</v>
      </c>
      <c r="M2840" s="38" t="n">
        <f aca="false">((mw_open*ox_open+Sens!$M$2836*Sens!$M$2834)/ext_sh+Sens!$M$2821/ext_sh*rent_mw)*Sens!$M$2822/1000</f>
        <v>67.7955294740252</v>
      </c>
      <c r="N2840" s="38" t="n">
        <f aca="false">Sens!$N$2821/ext_sh*(ox_open+rent_mw)*Sens!$N$2822/1000</f>
        <v>0.84337208901098</v>
      </c>
      <c r="O2840" s="38" t="n">
        <f aca="false">Sens!$O$2821/ext_sh*(ox_open+rent_mw)*Sens!$O$2822/1000</f>
        <v>1.56626245102039</v>
      </c>
    </row>
    <row r="2841" customFormat="false" ht="17.15" hidden="false" customHeight="false" outlineLevel="0" collapsed="false">
      <c r="A2841" s="0" t="s">
        <v>578</v>
      </c>
      <c r="B2841" s="0" t="s">
        <v>73</v>
      </c>
      <c r="C2841" s="38" t="n">
        <f aca="false">Q!$D$7</f>
        <v>107.556</v>
      </c>
      <c r="D2841" s="38" t="n">
        <f aca="false">Q!$E$7</f>
        <v>128.725</v>
      </c>
      <c r="E2841" s="38" t="n">
        <f aca="false">Q!$P$7</f>
        <v>79.819</v>
      </c>
      <c r="N2841" s="38" t="n">
        <f aca="false">Q!$N$7</f>
        <v>60.14</v>
      </c>
      <c r="O2841" s="38" t="n">
        <f aca="false">Q!$O$7</f>
        <v>68.585</v>
      </c>
    </row>
    <row r="2842" customFormat="false" ht="17.15" hidden="false" customHeight="false" outlineLevel="0" collapsed="false">
      <c r="A2842" s="1" t="s">
        <v>579</v>
      </c>
      <c r="B2842" s="8" t="s">
        <v>73</v>
      </c>
      <c r="C2842" s="38" t="n">
        <f aca="false">Sens!$C$2841-Sens!$C$2838</f>
        <v>105.234994643026</v>
      </c>
      <c r="D2842" s="38" t="n">
        <f aca="false">Sens!$D$2841-Sens!$D$2838</f>
        <v>120.021229911349</v>
      </c>
      <c r="E2842" s="38" t="n">
        <f aca="false">Sens!$E$2841-Sens!$E$2838</f>
        <v>71.30864702443</v>
      </c>
      <c r="F2842" s="38" t="n">
        <f aca="false">Sens!$O$2842*(1+Sens!$F$2843)</f>
        <v>78.5950104186653</v>
      </c>
      <c r="G2842" s="38" t="n">
        <f aca="false">Sens!$E$2842+Sens!$F$2842</f>
        <v>149.903657443095</v>
      </c>
      <c r="H2842" s="38" t="n">
        <f aca="false">Sens!$G$2842*(1+Sens!$H$2843)</f>
        <v>182.017838198965</v>
      </c>
      <c r="I2842" s="38" t="n">
        <f aca="false">Sens!$H$2842*(1+Sens!$I$2843)</f>
        <v>214.687872466932</v>
      </c>
      <c r="J2842" s="38" t="n">
        <f aca="false">Sens!$I$2842*(1+Sens!$J$2843)</f>
        <v>245.762663624989</v>
      </c>
      <c r="K2842" s="38" t="n">
        <f aca="false">Sens!$J$2842*(1+Sens!$K$2843)</f>
        <v>272.796556623738</v>
      </c>
      <c r="L2842" s="38" t="n">
        <f aca="false">Sens!$K$2842*(1+Sens!$L$2843)</f>
        <v>302.804177852349</v>
      </c>
      <c r="M2842" s="38" t="n">
        <f aca="false">Sens!$L$2842*(1+Sens!$M$2843)</f>
        <v>336.112637416108</v>
      </c>
      <c r="N2842" s="38" t="n">
        <f aca="false">Sens!$N$2841-Sens!$N$2838</f>
        <v>57.0936804689721</v>
      </c>
      <c r="O2842" s="38" t="n">
        <f aca="false">Sens!$O$2841-Sens!$O$2838</f>
        <v>62.9275494423768</v>
      </c>
      <c r="P2842" s="5" t="s">
        <v>580</v>
      </c>
    </row>
    <row r="2843" customFormat="false" ht="17.15" hidden="false" customHeight="false" outlineLevel="0" collapsed="false">
      <c r="A2843" s="0" t="s">
        <v>581</v>
      </c>
      <c r="B2843" s="0" t="s">
        <v>52</v>
      </c>
      <c r="E2843" s="12" t="n">
        <f aca="false">Sens!$E$2842/Sens!$N$2842-1</f>
        <v>0.248976181579029</v>
      </c>
      <c r="F2843" s="12" t="n">
        <f aca="false">Sens!$E$2843</f>
        <v>0.248976181579029</v>
      </c>
      <c r="G2843" s="12" t="n">
        <f aca="false">Sens!$G$2842/Sens!$D$2842-1</f>
        <v>0.248976181579029</v>
      </c>
      <c r="H2843" s="12" t="n">
        <f aca="false">Sens!$E$2843+(g_awso_lt_hi-Sens!$E$2843)*1/4</f>
        <v>0.214232136184272</v>
      </c>
      <c r="I2843" s="12" t="n">
        <f aca="false">Sens!$E$2843+(g_awso_lt_hi-Sens!$E$2843)*2/4</f>
        <v>0.179488090789515</v>
      </c>
      <c r="J2843" s="12" t="n">
        <f aca="false">Sens!$E$2843+(g_awso_lt_hi-Sens!$E$2843)*3/4</f>
        <v>0.144744045394757</v>
      </c>
      <c r="K2843" s="12" t="n">
        <f aca="false">Sens!$E$2843+(g_awso_lt_hi-Sens!$E$2843)*4/4</f>
        <v>0.11</v>
      </c>
      <c r="L2843" s="12" t="n">
        <f aca="false">g_awso_lt_hi</f>
        <v>0.11</v>
      </c>
      <c r="M2843" s="12" t="n">
        <f aca="false">g_awso_lt_hi</f>
        <v>0.11</v>
      </c>
      <c r="P2843" s="8" t="s">
        <v>582</v>
      </c>
    </row>
    <row r="2844" customFormat="false" ht="17.15" hidden="false" customHeight="false" outlineLevel="0" collapsed="false">
      <c r="A2844" s="1" t="s">
        <v>583</v>
      </c>
    </row>
    <row r="2845" customFormat="false" ht="17.15" hidden="false" customHeight="false" outlineLevel="0" collapsed="false">
      <c r="A2845" s="0" t="s">
        <v>584</v>
      </c>
      <c r="B2845" s="0" t="s">
        <v>73</v>
      </c>
      <c r="F2845" s="38" t="n">
        <f aca="false">cx_rt*Sens!$F$2811+cx_awso*Sens!$F$2842</f>
        <v>36.8045765066526</v>
      </c>
    </row>
    <row r="2846" customFormat="false" ht="17.15" hidden="false" customHeight="false" outlineLevel="0" collapsed="false">
      <c r="A2846" s="0" t="s">
        <v>585</v>
      </c>
      <c r="B2846" s="0" t="s">
        <v>52</v>
      </c>
      <c r="C2846" s="12" t="n">
        <f aca="false">tk_cx_h100/(tk_cx_h100+tk_fac*(1-colo_sh))</f>
        <v>0.730756458006641</v>
      </c>
      <c r="D2846" s="12" t="n">
        <f aca="false">tk_cx_h100/(tk_cx_h100+tk_fac*(1-colo_sh))</f>
        <v>0.730756458006641</v>
      </c>
      <c r="E2846" s="12" t="n">
        <f aca="false">Sens!$F$2846</f>
        <v>0.760792334328868</v>
      </c>
      <c r="F2846" s="12" t="n">
        <f aca="false">Sens!$F$2829/(Sens!$F$2829+tk_fac*(1-colo_sh))</f>
        <v>0.760792334328868</v>
      </c>
      <c r="G2846" s="12" t="n">
        <f aca="false">Sens!$G$2829/(Sens!$G$2829+tk_fac*(1-colo_sh))</f>
        <v>0.760792334328868</v>
      </c>
      <c r="H2846" s="12" t="n">
        <f aca="false">Sens!$H$2829/(Sens!$H$2829+tk_fac*(1-colo_sh))</f>
        <v>0.768110668862996</v>
      </c>
      <c r="I2846" s="12" t="n">
        <f aca="false">Sens!$I$2829/(Sens!$I$2829+tk_fac*(1-colo_sh))</f>
        <v>0.77499450139483</v>
      </c>
      <c r="J2846" s="12" t="n">
        <f aca="false">Sens!$J$2829/(Sens!$J$2829+tk_fac*(1-colo_sh))</f>
        <v>0.77499450139483</v>
      </c>
      <c r="K2846" s="12" t="n">
        <f aca="false">Sens!$K$2829/(Sens!$K$2829+tk_fac*(1-colo_sh))</f>
        <v>0.77499450139483</v>
      </c>
      <c r="L2846" s="12" t="n">
        <f aca="false">Sens!$L$2829/(Sens!$L$2829+tk_fac*(1-colo_sh))</f>
        <v>0.77499450139483</v>
      </c>
      <c r="M2846" s="12" t="n">
        <f aca="false">Sens!$M$2829/(Sens!$M$2829+tk_fac*(1-colo_sh))</f>
        <v>0.77499450139483</v>
      </c>
    </row>
    <row r="2847" customFormat="false" ht="17.15" hidden="false" customHeight="false" outlineLevel="0" collapsed="false">
      <c r="A2847" s="1" t="s">
        <v>586</v>
      </c>
      <c r="B2847" s="8" t="s">
        <v>73</v>
      </c>
      <c r="C2847" s="38" t="n">
        <f aca="false">Q!$D$46-cx_rt*Q!$D$16-cx_awso*Sens!$C$2842</f>
        <v>25.2781053077374</v>
      </c>
      <c r="D2847" s="38" t="n">
        <f aca="false">Q!$E$46-cx_rt*Q!$E$16-cx_awso*Sens!$D$2842</f>
        <v>69.5686316310026</v>
      </c>
      <c r="E2847" s="38" t="n">
        <f aca="false">Q!$P$46-cx_rt*Q!$P$16-cx_awso*Sens!$E$2842</f>
        <v>64.1899206485108</v>
      </c>
      <c r="F2847" s="38" t="n">
        <f aca="false">MAX(Sens!$F$2824*(Sens!$F$2829+tk_fac*(1-colo_sh))/1000,capex_g26-Q!$P$46-Sens!$F$2845)</f>
        <v>96.2481299895</v>
      </c>
      <c r="G2847" s="38" t="n">
        <f aca="false">Sens!$E$2847+Sens!$F$2847</f>
        <v>160.438050638011</v>
      </c>
      <c r="H2847" s="38" t="n">
        <f aca="false">Sens!$H$2824*(Sens!$H$2829+tk_fac*(1-colo_sh))/1000+Sens!$H$2848</f>
        <v>198.57136494475</v>
      </c>
      <c r="I2847" s="38" t="n">
        <f aca="false">Sens!$I$2824*(Sens!$I$2829+tk_fac*(1-colo_sh))/1000+Sens!$I$2848</f>
        <v>204.6464699105</v>
      </c>
      <c r="J2847" s="38" t="n">
        <f aca="false">Sens!$J$2824*(Sens!$J$2829+tk_fac*(1-colo_sh))/1000+Sens!$J$2848</f>
        <v>209.8832381105</v>
      </c>
      <c r="K2847" s="38" t="n">
        <f aca="false">Sens!$K$2824*(Sens!$K$2829+tk_fac*(1-colo_sh))/1000+Sens!$K$2848</f>
        <v>215.1200063105</v>
      </c>
      <c r="L2847" s="38" t="n">
        <f aca="false">Sens!$L$2824*(Sens!$L$2829+tk_fac*(1-colo_sh))/1000+Sens!$L$2848</f>
        <v>251.7773837105</v>
      </c>
      <c r="M2847" s="38" t="n">
        <f aca="false">Sens!$M$2824*(Sens!$M$2829+tk_fac*(1-colo_sh))/1000+Sens!$M$2848</f>
        <v>311.87584476575</v>
      </c>
      <c r="P2847" s="5" t="s">
        <v>587</v>
      </c>
      <c r="R2847" s="38" t="n">
        <f aca="false">Q!$C$46-cx_rt*Q!$C$16-cx_awso*(Q!$C$7-mw_ye23/2*rpm_open/1000)</f>
        <v>1.50429979529945</v>
      </c>
      <c r="S2847" s="38" t="n">
        <f aca="false">Sens!$C$2847</f>
        <v>25.2781053077374</v>
      </c>
      <c r="T2847" s="38" t="n">
        <f aca="false">Sens!$D$2847</f>
        <v>69.5686316310026</v>
      </c>
      <c r="U2847" s="38" t="n">
        <f aca="false">Sens!$G$2847</f>
        <v>160.438050638011</v>
      </c>
      <c r="V2847" s="38" t="n">
        <f aca="false">Sens!$H$2847</f>
        <v>198.57136494475</v>
      </c>
      <c r="W2847" s="38" t="n">
        <f aca="false">Sens!$I$2847</f>
        <v>204.6464699105</v>
      </c>
      <c r="X2847" s="38" t="n">
        <f aca="false">Sens!$J$2847</f>
        <v>209.8832381105</v>
      </c>
      <c r="Y2847" s="38" t="n">
        <f aca="false">Sens!$K$2847</f>
        <v>215.1200063105</v>
      </c>
      <c r="Z2847" s="38" t="n">
        <f aca="false">Sens!$L$2847</f>
        <v>251.7773837105</v>
      </c>
      <c r="AA2847" s="38" t="n">
        <f aca="false">Sens!$M$2847</f>
        <v>311.87584476575</v>
      </c>
    </row>
    <row r="2848" customFormat="false" ht="17.15" hidden="false" customHeight="false" outlineLevel="0" collapsed="false">
      <c r="A2848" s="0" t="s">
        <v>588</v>
      </c>
      <c r="B2848" s="0" t="s">
        <v>73</v>
      </c>
      <c r="H2848" s="38" t="n">
        <f aca="false">SUMPRODUCT(--(Sens!$R$2818:$AA$2818=2027-tk_life),Sens!$R$2824:$AA$2824)*Sens!$H$2829/1000</f>
        <v>0</v>
      </c>
      <c r="I2848" s="38" t="n">
        <f aca="false">SUMPRODUCT(--(Sens!$R$2818:$AA$2818=2028-tk_life),Sens!$R$2824:$AA$2824)*Sens!$I$2829/1000</f>
        <v>0</v>
      </c>
      <c r="J2848" s="38" t="n">
        <f aca="false">SUMPRODUCT(--(Sens!$R$2818:$AA$2818=2029-tk_life),Sens!$R$2824:$AA$2824)*Sens!$J$2829/1000</f>
        <v>5.2367682</v>
      </c>
      <c r="K2848" s="38" t="n">
        <f aca="false">SUMPRODUCT(--(Sens!$R$2818:$AA$2818=2030-tk_life),Sens!$R$2824:$AA$2824)*Sens!$K$2829/1000</f>
        <v>10.4735364</v>
      </c>
      <c r="L2848" s="38" t="n">
        <f aca="false">SUMPRODUCT(--(Sens!$R$2818:$AA$2818=2031-tk_life),Sens!$R$2824:$AA$2824)*Sens!$L$2829/1000</f>
        <v>47.1309138</v>
      </c>
      <c r="M2848" s="38" t="n">
        <f aca="false">SUMPRODUCT(--(Sens!$R$2818:$AA$2818=2032-tk_life),Sens!$R$2824:$AA$2824)*Sens!$M$2829/1000</f>
        <v>107.22937485525</v>
      </c>
    </row>
    <row r="2849" customFormat="false" ht="17.15" hidden="false" customHeight="false" outlineLevel="0" collapsed="false">
      <c r="A2849" s="5" t="s">
        <v>589</v>
      </c>
      <c r="B2849" s="0" t="s">
        <v>73</v>
      </c>
      <c r="C2849" s="38" t="n">
        <f aca="false">Sens!$C$2847*Sens!$C$2846</f>
        <v>18.472138699801</v>
      </c>
      <c r="D2849" s="38" t="n">
        <f aca="false">Sens!$D$2847*Sens!$D$2846</f>
        <v>50.8377268390402</v>
      </c>
      <c r="E2849" s="38" t="n">
        <f aca="false">Sens!$E$2847*Sens!$E$2846</f>
        <v>48.8351995705653</v>
      </c>
      <c r="F2849" s="38" t="n">
        <f aca="false">Sens!$F$2847*Sens!$F$2846</f>
        <v>73.2248394895</v>
      </c>
      <c r="G2849" s="38" t="n">
        <f aca="false">Sens!$E$2849+Sens!$F$2849</f>
        <v>122.060039060065</v>
      </c>
      <c r="H2849" s="38" t="n">
        <f aca="false">(Sens!$H$2847-Sens!$H$2848)*Sens!$H$2846+Sens!$H$2848</f>
        <v>152.52478394475</v>
      </c>
      <c r="I2849" s="38" t="n">
        <f aca="false">(Sens!$I$2847-Sens!$I$2848)*Sens!$I$2846+Sens!$I$2848</f>
        <v>158.5998889105</v>
      </c>
      <c r="J2849" s="38" t="n">
        <f aca="false">(Sens!$J$2847-Sens!$J$2848)*Sens!$J$2846+Sens!$J$2848</f>
        <v>163.8366571105</v>
      </c>
      <c r="K2849" s="38" t="n">
        <f aca="false">(Sens!$K$2847-Sens!$K$2848)*Sens!$K$2846+Sens!$K$2848</f>
        <v>169.0734253105</v>
      </c>
      <c r="L2849" s="38" t="n">
        <f aca="false">(Sens!$L$2847-Sens!$L$2848)*Sens!$L$2846+Sens!$L$2848</f>
        <v>205.7308027105</v>
      </c>
      <c r="M2849" s="38" t="n">
        <f aca="false">(Sens!$M$2847-Sens!$M$2848)*Sens!$M$2846+Sens!$M$2848</f>
        <v>265.82926376575</v>
      </c>
      <c r="R2849" s="38" t="n">
        <f aca="false">Sens!$R$2847*Sens!$C$2846</f>
        <v>1.09927679019314</v>
      </c>
      <c r="S2849" s="38" t="n">
        <f aca="false">Sens!$C$2849</f>
        <v>18.472138699801</v>
      </c>
      <c r="T2849" s="38" t="n">
        <f aca="false">Sens!$D$2849</f>
        <v>50.8377268390402</v>
      </c>
      <c r="U2849" s="38" t="n">
        <f aca="false">Sens!$G$2849</f>
        <v>122.060039060065</v>
      </c>
      <c r="V2849" s="38" t="n">
        <f aca="false">Sens!$H$2849</f>
        <v>152.52478394475</v>
      </c>
      <c r="W2849" s="38" t="n">
        <f aca="false">Sens!$I$2849</f>
        <v>158.5998889105</v>
      </c>
      <c r="X2849" s="38" t="n">
        <f aca="false">Sens!$J$2849</f>
        <v>163.8366571105</v>
      </c>
      <c r="Y2849" s="38" t="n">
        <f aca="false">Sens!$K$2849</f>
        <v>169.0734253105</v>
      </c>
      <c r="Z2849" s="38" t="n">
        <f aca="false">Sens!$L$2849</f>
        <v>205.7308027105</v>
      </c>
      <c r="AA2849" s="38" t="n">
        <f aca="false">Sens!$M$2849</f>
        <v>265.82926376575</v>
      </c>
    </row>
    <row r="2850" customFormat="false" ht="15" hidden="false" customHeight="false" outlineLevel="0" collapsed="false">
      <c r="A2850" s="5" t="s">
        <v>590</v>
      </c>
      <c r="B2850" s="0" t="s">
        <v>73</v>
      </c>
      <c r="R2850" s="38" t="n">
        <f aca="false">Sens!$R$2847-Sens!$R$2849</f>
        <v>0.405023005106309</v>
      </c>
      <c r="S2850" s="38" t="n">
        <f aca="false">Sens!$S$2847-Sens!$S$2849</f>
        <v>6.80596660793636</v>
      </c>
      <c r="T2850" s="38" t="n">
        <f aca="false">Sens!$T$2847-Sens!$T$2849</f>
        <v>18.7309047919624</v>
      </c>
      <c r="U2850" s="38" t="n">
        <f aca="false">Sens!$U$2847-Sens!$U$2849</f>
        <v>38.3780115779455</v>
      </c>
      <c r="V2850" s="38" t="n">
        <f aca="false">Sens!$V$2847-Sens!$V$2849</f>
        <v>46.046581</v>
      </c>
      <c r="W2850" s="38" t="n">
        <f aca="false">Sens!$W$2847-Sens!$W$2849</f>
        <v>46.046581</v>
      </c>
      <c r="X2850" s="38" t="n">
        <f aca="false">Sens!$X$2847-Sens!$X$2849</f>
        <v>46.046581</v>
      </c>
      <c r="Y2850" s="38" t="n">
        <f aca="false">Sens!$Y$2847-Sens!$Y$2849</f>
        <v>46.046581</v>
      </c>
      <c r="Z2850" s="38" t="n">
        <f aca="false">Sens!$Z$2847-Sens!$Z$2849</f>
        <v>46.046581</v>
      </c>
      <c r="AA2850" s="38" t="n">
        <f aca="false">Sens!$AA$2847-Sens!$AA$2849</f>
        <v>46.046581</v>
      </c>
    </row>
    <row r="2851" customFormat="false" ht="17.15" hidden="false" customHeight="false" outlineLevel="0" collapsed="false">
      <c r="A2851" s="0" t="s">
        <v>591</v>
      </c>
      <c r="B2851" s="0" t="s">
        <v>73</v>
      </c>
      <c r="C2851" s="38" t="n">
        <f aca="false">Sens!$S$2851</f>
        <v>0.183212798365523</v>
      </c>
      <c r="D2851" s="38" t="n">
        <f aca="false">Sens!$T$2851</f>
        <v>3.2619025816657</v>
      </c>
      <c r="E2851" s="38" t="n">
        <f aca="false">Sens!$G$2851/2</f>
        <v>5.86742852741953</v>
      </c>
      <c r="F2851" s="38" t="n">
        <f aca="false">Sens!$G$2851/2</f>
        <v>5.86742852741953</v>
      </c>
      <c r="G2851" s="38" t="n">
        <f aca="false">Sens!$U$2851</f>
        <v>11.7348570548391</v>
      </c>
      <c r="H2851" s="38" t="n">
        <f aca="false">Sens!$V$2851</f>
        <v>32.0781968981833</v>
      </c>
      <c r="I2851" s="38" t="n">
        <f aca="false">Sens!$W$2851</f>
        <v>57.4989942223083</v>
      </c>
      <c r="J2851" s="38" t="n">
        <f aca="false">Sens!$X$2851</f>
        <v>83.932309040725</v>
      </c>
      <c r="K2851" s="38" t="n">
        <f aca="false">Sens!$Y$2851</f>
        <v>111.055205760776</v>
      </c>
      <c r="L2851" s="38" t="n">
        <f aca="false">Sens!$Z$2851</f>
        <v>136.155420195893</v>
      </c>
      <c r="M2851" s="38" t="n">
        <f aca="false">Sens!$AA$2851</f>
        <v>161.970932841136</v>
      </c>
      <c r="N2851" s="38" t="n">
        <f aca="false">Sens!$D$2851/2</f>
        <v>1.63095129083285</v>
      </c>
      <c r="O2851" s="38" t="n">
        <f aca="false">Sens!$D$2851/2</f>
        <v>1.63095129083285</v>
      </c>
      <c r="R2851" s="38" t="n">
        <f aca="false">SUMPRODUCT(--(Sens!$R$2818:$AA$2818&lt;Sens!R$2818),--(Sens!$R$2818:$AA$2818&gt;=Sens!R$2818-tk_life),Sens!$R$2849:$AA$2849)/tk_life</f>
        <v>0</v>
      </c>
      <c r="S2851" s="38" t="n">
        <f aca="false">SUMPRODUCT(--(Sens!$R$2818:$AA$2818&lt;Sens!S$2818),--(Sens!$R$2818:$AA$2818&gt;=Sens!S$2818-tk_life),Sens!$R$2849:$AA$2849)/tk_life</f>
        <v>0.183212798365523</v>
      </c>
      <c r="T2851" s="38" t="n">
        <f aca="false">SUMPRODUCT(--(Sens!$R$2818:$AA$2818&lt;Sens!T$2818),--(Sens!$R$2818:$AA$2818&gt;=Sens!T$2818-tk_life),Sens!$R$2849:$AA$2849)/tk_life</f>
        <v>3.2619025816657</v>
      </c>
      <c r="U2851" s="38" t="n">
        <f aca="false">SUMPRODUCT(--(Sens!$R$2818:$AA$2818&lt;Sens!U$2818),--(Sens!$R$2818:$AA$2818&gt;=Sens!U$2818-tk_life),Sens!$R$2849:$AA$2849)/tk_life</f>
        <v>11.7348570548391</v>
      </c>
      <c r="V2851" s="38" t="n">
        <f aca="false">SUMPRODUCT(--(Sens!$R$2818:$AA$2818&lt;Sens!V$2818),--(Sens!$R$2818:$AA$2818&gt;=Sens!V$2818-tk_life),Sens!$R$2849:$AA$2849)/tk_life</f>
        <v>32.0781968981833</v>
      </c>
      <c r="W2851" s="38" t="n">
        <f aca="false">SUMPRODUCT(--(Sens!$R$2818:$AA$2818&lt;Sens!W$2818),--(Sens!$R$2818:$AA$2818&gt;=Sens!W$2818-tk_life),Sens!$R$2849:$AA$2849)/tk_life</f>
        <v>57.4989942223083</v>
      </c>
      <c r="X2851" s="38" t="n">
        <f aca="false">SUMPRODUCT(--(Sens!$R$2818:$AA$2818&lt;Sens!X$2818),--(Sens!$R$2818:$AA$2818&gt;=Sens!X$2818-tk_life),Sens!$R$2849:$AA$2849)/tk_life</f>
        <v>83.932309040725</v>
      </c>
      <c r="Y2851" s="38" t="n">
        <f aca="false">SUMPRODUCT(--(Sens!$R$2818:$AA$2818&lt;Sens!Y$2818),--(Sens!$R$2818:$AA$2818&gt;=Sens!Y$2818-tk_life),Sens!$R$2849:$AA$2849)/tk_life</f>
        <v>111.055205760776</v>
      </c>
      <c r="Z2851" s="38" t="n">
        <f aca="false">SUMPRODUCT(--(Sens!$R$2818:$AA$2818&lt;Sens!Z$2818),--(Sens!$R$2818:$AA$2818&gt;=Sens!Z$2818-tk_life),Sens!$R$2849:$AA$2849)/tk_life</f>
        <v>136.155420195893</v>
      </c>
      <c r="AA2851" s="38" t="n">
        <f aca="false">SUMPRODUCT(--(Sens!$R$2818:$AA$2818&lt;Sens!AA$2818),--(Sens!$R$2818:$AA$2818&gt;=Sens!AA$2818-tk_life),Sens!$R$2849:$AA$2849)/tk_life</f>
        <v>161.970932841136</v>
      </c>
    </row>
    <row r="2852" customFormat="false" ht="17.15" hidden="false" customHeight="false" outlineLevel="0" collapsed="false">
      <c r="A2852" s="0" t="s">
        <v>592</v>
      </c>
      <c r="B2852" s="0" t="s">
        <v>73</v>
      </c>
      <c r="C2852" s="38" t="n">
        <f aca="false">Sens!$S$2852</f>
        <v>0.0202511502553155</v>
      </c>
      <c r="D2852" s="38" t="n">
        <f aca="false">Sens!$T$2852</f>
        <v>0.360549480652134</v>
      </c>
      <c r="E2852" s="38" t="n">
        <f aca="false">Sens!$G$2852/2</f>
        <v>0.648547360125127</v>
      </c>
      <c r="F2852" s="38" t="n">
        <f aca="false">Sens!$G$2852/2</f>
        <v>0.648547360125127</v>
      </c>
      <c r="G2852" s="38" t="n">
        <f aca="false">Sens!$U$2852</f>
        <v>1.29709472025025</v>
      </c>
      <c r="H2852" s="38" t="n">
        <f aca="false">Sens!$V$2852</f>
        <v>3.21599529914753</v>
      </c>
      <c r="I2852" s="38" t="n">
        <f aca="false">Sens!$W$2852</f>
        <v>5.51832434914753</v>
      </c>
      <c r="J2852" s="38" t="n">
        <f aca="false">Sens!$X$2852</f>
        <v>7.82065339914753</v>
      </c>
      <c r="K2852" s="38" t="n">
        <f aca="false">Sens!$Y$2852</f>
        <v>10.1229824491475</v>
      </c>
      <c r="L2852" s="38" t="n">
        <f aca="false">Sens!$Z$2852</f>
        <v>12.4253114991475</v>
      </c>
      <c r="M2852" s="38" t="n">
        <f aca="false">Sens!$AA$2852</f>
        <v>14.7276405491475</v>
      </c>
      <c r="N2852" s="38" t="n">
        <f aca="false">Sens!$D$2852/2</f>
        <v>0.180274740326067</v>
      </c>
      <c r="O2852" s="38" t="n">
        <f aca="false">Sens!$D$2852/2</f>
        <v>0.180274740326067</v>
      </c>
      <c r="R2852" s="38" t="n">
        <f aca="false">SUMPRODUCT(--(Sens!$R$2818:$AA$2818&lt;Sens!R$2818),Sens!$R$2850:$AA$2850)/fac_life</f>
        <v>0</v>
      </c>
      <c r="S2852" s="38" t="n">
        <f aca="false">SUMPRODUCT(--(Sens!$R$2818:$AA$2818&lt;Sens!S$2818),Sens!$R$2850:$AA$2850)/fac_life</f>
        <v>0.0202511502553155</v>
      </c>
      <c r="T2852" s="38" t="n">
        <f aca="false">SUMPRODUCT(--(Sens!$R$2818:$AA$2818&lt;Sens!T$2818),Sens!$R$2850:$AA$2850)/fac_life</f>
        <v>0.360549480652134</v>
      </c>
      <c r="U2852" s="38" t="n">
        <f aca="false">SUMPRODUCT(--(Sens!$R$2818:$AA$2818&lt;Sens!U$2818),Sens!$R$2850:$AA$2850)/fac_life</f>
        <v>1.29709472025025</v>
      </c>
      <c r="V2852" s="38" t="n">
        <f aca="false">SUMPRODUCT(--(Sens!$R$2818:$AA$2818&lt;Sens!V$2818),Sens!$R$2850:$AA$2850)/fac_life</f>
        <v>3.21599529914753</v>
      </c>
      <c r="W2852" s="38" t="n">
        <f aca="false">SUMPRODUCT(--(Sens!$R$2818:$AA$2818&lt;Sens!W$2818),Sens!$R$2850:$AA$2850)/fac_life</f>
        <v>5.51832434914753</v>
      </c>
      <c r="X2852" s="38" t="n">
        <f aca="false">SUMPRODUCT(--(Sens!$R$2818:$AA$2818&lt;Sens!X$2818),Sens!$R$2850:$AA$2850)/fac_life</f>
        <v>7.82065339914753</v>
      </c>
      <c r="Y2852" s="38" t="n">
        <f aca="false">SUMPRODUCT(--(Sens!$R$2818:$AA$2818&lt;Sens!Y$2818),Sens!$R$2850:$AA$2850)/fac_life</f>
        <v>10.1229824491475</v>
      </c>
      <c r="Z2852" s="38" t="n">
        <f aca="false">SUMPRODUCT(--(Sens!$R$2818:$AA$2818&lt;Sens!Z$2818),Sens!$R$2850:$AA$2850)/fac_life</f>
        <v>12.4253114991475</v>
      </c>
      <c r="AA2852" s="38" t="n">
        <f aca="false">SUMPRODUCT(--(Sens!$R$2818:$AA$2818&lt;Sens!AA$2818),Sens!$R$2850:$AA$2850)/fac_life</f>
        <v>14.7276405491475</v>
      </c>
    </row>
    <row r="2853" customFormat="false" ht="17.15" hidden="false" customHeight="false" outlineLevel="0" collapsed="false">
      <c r="A2853" s="1" t="s">
        <v>593</v>
      </c>
      <c r="B2853" s="8" t="s">
        <v>73</v>
      </c>
      <c r="C2853" s="38" t="n">
        <f aca="false">Sens!$C$2851+Sens!$C$2852</f>
        <v>0.203463948620839</v>
      </c>
      <c r="D2853" s="38" t="n">
        <f aca="false">Sens!$D$2851+Sens!$D$2852</f>
        <v>3.62245206231783</v>
      </c>
      <c r="E2853" s="38" t="n">
        <f aca="false">Sens!$E$2851+Sens!$E$2852</f>
        <v>6.51597588754466</v>
      </c>
      <c r="F2853" s="38" t="n">
        <f aca="false">Sens!$F$2851+Sens!$F$2852</f>
        <v>6.51597588754466</v>
      </c>
      <c r="G2853" s="38" t="n">
        <f aca="false">Sens!$G$2851+Sens!$G$2852</f>
        <v>13.0319517750893</v>
      </c>
      <c r="H2853" s="38" t="n">
        <f aca="false">Sens!$H$2851+Sens!$H$2852</f>
        <v>35.2941921973308</v>
      </c>
      <c r="I2853" s="38" t="n">
        <f aca="false">Sens!$I$2851+Sens!$I$2852</f>
        <v>63.0173185714558</v>
      </c>
      <c r="J2853" s="38" t="n">
        <f aca="false">Sens!$J$2851+Sens!$J$2852</f>
        <v>91.7529624398725</v>
      </c>
      <c r="K2853" s="38" t="n">
        <f aca="false">Sens!$K$2851+Sens!$K$2852</f>
        <v>121.178188209924</v>
      </c>
      <c r="L2853" s="38" t="n">
        <f aca="false">Sens!$L$2851+Sens!$L$2852</f>
        <v>148.58073169504</v>
      </c>
      <c r="M2853" s="38" t="n">
        <f aca="false">Sens!$M$2851+Sens!$M$2852</f>
        <v>176.698573390283</v>
      </c>
      <c r="N2853" s="38" t="n">
        <f aca="false">Sens!$N$2851+Sens!$N$2852</f>
        <v>1.81122603115892</v>
      </c>
      <c r="O2853" s="38" t="n">
        <f aca="false">Sens!$O$2851+Sens!$O$2852</f>
        <v>1.81122603115892</v>
      </c>
      <c r="R2853" s="38" t="n">
        <f aca="false">Sens!$R$2851+Sens!$R$2852</f>
        <v>0</v>
      </c>
      <c r="S2853" s="38" t="n">
        <f aca="false">Sens!$S$2851+Sens!$S$2852</f>
        <v>0.203463948620839</v>
      </c>
      <c r="T2853" s="38" t="n">
        <f aca="false">Sens!$T$2851+Sens!$T$2852</f>
        <v>3.62245206231783</v>
      </c>
      <c r="U2853" s="38" t="n">
        <f aca="false">Sens!$U$2851+Sens!$U$2852</f>
        <v>13.0319517750893</v>
      </c>
      <c r="V2853" s="38" t="n">
        <f aca="false">Sens!$V$2851+Sens!$V$2852</f>
        <v>35.2941921973308</v>
      </c>
      <c r="W2853" s="38" t="n">
        <f aca="false">Sens!$W$2851+Sens!$W$2852</f>
        <v>63.0173185714558</v>
      </c>
      <c r="X2853" s="38" t="n">
        <f aca="false">Sens!$X$2851+Sens!$X$2852</f>
        <v>91.7529624398725</v>
      </c>
      <c r="Y2853" s="38" t="n">
        <f aca="false">Sens!$Y$2851+Sens!$Y$2852</f>
        <v>121.178188209924</v>
      </c>
      <c r="Z2853" s="38" t="n">
        <f aca="false">Sens!$Z$2851+Sens!$Z$2852</f>
        <v>148.58073169504</v>
      </c>
      <c r="AA2853" s="38" t="n">
        <f aca="false">Sens!$AA$2851+Sens!$AA$2852</f>
        <v>176.698573390283</v>
      </c>
    </row>
    <row r="2854" customFormat="false" ht="17.15" hidden="false" customHeight="false" outlineLevel="0" collapsed="false">
      <c r="A2854" s="0" t="s">
        <v>594</v>
      </c>
      <c r="B2854" s="0" t="s">
        <v>73</v>
      </c>
      <c r="C2854" s="38" t="n">
        <f aca="false">Sens!$S$2854</f>
        <v>26.578941154416</v>
      </c>
      <c r="D2854" s="38" t="n">
        <f aca="false">Sens!$T$2854</f>
        <v>92.5251207231008</v>
      </c>
      <c r="G2854" s="38" t="n">
        <f aca="false">Sens!$U$2854</f>
        <v>239.931219586022</v>
      </c>
      <c r="H2854" s="38" t="n">
        <f aca="false">Sens!$V$2854</f>
        <v>403.208392333442</v>
      </c>
      <c r="I2854" s="38" t="n">
        <f aca="false">Sens!$W$2854</f>
        <v>544.837543672486</v>
      </c>
      <c r="J2854" s="38" t="n">
        <f aca="false">Sens!$X$2854</f>
        <v>662.967819343113</v>
      </c>
      <c r="K2854" s="38" t="n">
        <f aca="false">Sens!$Y$2854</f>
        <v>756.90963744369</v>
      </c>
      <c r="L2854" s="38" t="n">
        <f aca="false">Sens!$Z$2854</f>
        <v>860.10628945915</v>
      </c>
      <c r="M2854" s="38" t="n">
        <f aca="false">Sens!$AA$2854</f>
        <v>995.283560834616</v>
      </c>
      <c r="R2854" s="38" t="n">
        <f aca="false">SUM(Sens!$R$2847:$R$2847)-SUM(Sens!$R$2853:$R$2853)</f>
        <v>1.50429979529945</v>
      </c>
      <c r="S2854" s="38" t="n">
        <f aca="false">SUM(Sens!$R$2847:$S$2847)-SUM(Sens!$R$2853:$S$2853)</f>
        <v>26.578941154416</v>
      </c>
      <c r="T2854" s="38" t="n">
        <f aca="false">SUM(Sens!$R$2847:$T$2847)-SUM(Sens!$R$2853:$T$2853)</f>
        <v>92.5251207231008</v>
      </c>
      <c r="U2854" s="38" t="n">
        <f aca="false">SUM(Sens!$R$2847:$U$2847)-SUM(Sens!$R$2853:$U$2853)</f>
        <v>239.931219586022</v>
      </c>
      <c r="V2854" s="38" t="n">
        <f aca="false">SUM(Sens!$R$2847:$V$2847)-SUM(Sens!$R$2853:$V$2853)</f>
        <v>403.208392333442</v>
      </c>
      <c r="W2854" s="38" t="n">
        <f aca="false">SUM(Sens!$R$2847:$W$2847)-SUM(Sens!$R$2853:$W$2853)</f>
        <v>544.837543672486</v>
      </c>
      <c r="X2854" s="38" t="n">
        <f aca="false">SUM(Sens!$R$2847:$X$2847)-SUM(Sens!$R$2853:$X$2853)</f>
        <v>662.967819343113</v>
      </c>
      <c r="Y2854" s="38" t="n">
        <f aca="false">SUM(Sens!$R$2847:$Y$2847)-SUM(Sens!$R$2853:$Y$2853)</f>
        <v>756.90963744369</v>
      </c>
      <c r="Z2854" s="38" t="n">
        <f aca="false">SUM(Sens!$R$2847:$Z$2847)-SUM(Sens!$R$2853:$Z$2853)</f>
        <v>860.10628945915</v>
      </c>
      <c r="AA2854" s="38" t="n">
        <f aca="false">SUM(Sens!$R$2847:$AA$2847)-SUM(Sens!$R$2853:$AA$2853)</f>
        <v>995.283560834616</v>
      </c>
    </row>
    <row r="2855" customFormat="false" ht="17.15" hidden="false" customHeight="false" outlineLevel="0" collapsed="false">
      <c r="A2855" s="1" t="s">
        <v>595</v>
      </c>
    </row>
    <row r="2856" customFormat="false" ht="17.15" hidden="false" customHeight="false" outlineLevel="0" collapsed="false">
      <c r="A2856" s="0" t="s">
        <v>596</v>
      </c>
      <c r="B2856" s="0" t="s">
        <v>73</v>
      </c>
      <c r="C2856" s="38" t="n">
        <f aca="false">Sens!$C$2838-ext_sh*Sens!$C$2840</f>
        <v>1.80694998843362</v>
      </c>
      <c r="D2856" s="38" t="n">
        <f aca="false">Sens!$D$2838-ext_sh*Sens!$D$2840</f>
        <v>6.77606245662607</v>
      </c>
      <c r="E2856" s="38" t="n">
        <f aca="false">Sens!$E$2838-ext_sh*Sens!$E$2840</f>
        <v>6.62548329092326</v>
      </c>
      <c r="F2856" s="38" t="n">
        <f aca="false">Sens!$F$2838-ext_sh*Sens!$F$2840</f>
        <v>11.7200577158706</v>
      </c>
      <c r="G2856" s="38" t="n">
        <f aca="false">Sens!$G$2838-ext_sh*Sens!$G$2840</f>
        <v>18.3455410067939</v>
      </c>
      <c r="H2856" s="38" t="n">
        <f aca="false">Sens!$H$2838-ext_sh*Sens!$H$2840</f>
        <v>47.5171727060453</v>
      </c>
      <c r="I2856" s="38" t="n">
        <f aca="false">Sens!$I$2838-ext_sh*Sens!$I$2840</f>
        <v>80.5539692643667</v>
      </c>
      <c r="J2856" s="38" t="n">
        <f aca="false">Sens!$J$2838-ext_sh*Sens!$J$2840</f>
        <v>113.759316834883</v>
      </c>
      <c r="K2856" s="38" t="n">
        <f aca="false">Sens!$K$2838-ext_sh*Sens!$K$2840</f>
        <v>147.020848076132</v>
      </c>
      <c r="L2856" s="38" t="n">
        <f aca="false">Sens!$L$2838-ext_sh*Sens!$L$2840</f>
        <v>180.307917349531</v>
      </c>
      <c r="M2856" s="38" t="n">
        <f aca="false">Sens!$M$2838-ext_sh*Sens!$M$2840</f>
        <v>213.608737871012</v>
      </c>
      <c r="N2856" s="38" t="n">
        <f aca="false">Sens!$N$2838-ext_sh*Sens!$N$2840</f>
        <v>2.37162185981912</v>
      </c>
      <c r="O2856" s="38" t="n">
        <f aca="false">Sens!$O$2838-ext_sh*Sens!$O$2840</f>
        <v>4.40444059680694</v>
      </c>
    </row>
    <row r="2857" customFormat="false" ht="17.15" hidden="false" customHeight="false" outlineLevel="0" collapsed="false">
      <c r="A2857" s="1" t="s">
        <v>597</v>
      </c>
      <c r="B2857" s="8" t="s">
        <v>73</v>
      </c>
      <c r="C2857" s="38" t="n">
        <f aca="false">Sens!$C$2856-ext_sh*Sens!$C$2853</f>
        <v>1.64417882953695</v>
      </c>
      <c r="D2857" s="38" t="n">
        <f aca="false">Sens!$D$2856-ext_sh*Sens!$D$2853</f>
        <v>3.8781008067718</v>
      </c>
      <c r="E2857" s="38" t="n">
        <f aca="false">Sens!$E$2856-ext_sh*Sens!$E$2853</f>
        <v>1.41270258088753</v>
      </c>
      <c r="F2857" s="38" t="n">
        <f aca="false">Sens!$F$2856-ext_sh*Sens!$F$2853</f>
        <v>6.50727700583486</v>
      </c>
      <c r="G2857" s="38" t="n">
        <f aca="false">Sens!$G$2856-ext_sh*Sens!$G$2853</f>
        <v>7.9199795867224</v>
      </c>
      <c r="H2857" s="38" t="n">
        <f aca="false">Sens!$H$2856-ext_sh*Sens!$H$2853</f>
        <v>19.2818189481807</v>
      </c>
      <c r="I2857" s="38" t="n">
        <f aca="false">Sens!$I$2856-ext_sh*Sens!$I$2853</f>
        <v>30.140114407202</v>
      </c>
      <c r="J2857" s="38" t="n">
        <f aca="false">Sens!$J$2856-ext_sh*Sens!$J$2853</f>
        <v>40.3569468829854</v>
      </c>
      <c r="K2857" s="38" t="n">
        <f aca="false">Sens!$K$2856-ext_sh*Sens!$K$2853</f>
        <v>50.0782975081929</v>
      </c>
      <c r="L2857" s="38" t="n">
        <f aca="false">Sens!$L$2856-ext_sh*Sens!$L$2853</f>
        <v>61.443331993499</v>
      </c>
      <c r="M2857" s="38" t="n">
        <f aca="false">Sens!$M$2856-ext_sh*Sens!$M$2853</f>
        <v>72.2498791587849</v>
      </c>
      <c r="N2857" s="38" t="n">
        <f aca="false">Sens!$N$2856-ext_sh*Sens!$N$2853</f>
        <v>0.92264103489199</v>
      </c>
      <c r="O2857" s="38" t="n">
        <f aca="false">Sens!$O$2856-ext_sh*Sens!$O$2853</f>
        <v>2.95545977187981</v>
      </c>
    </row>
    <row r="2858" customFormat="false" ht="17.15" hidden="false" customHeight="false" outlineLevel="0" collapsed="false">
      <c r="A2858" s="0" t="s">
        <v>598</v>
      </c>
      <c r="B2858" s="0" t="s">
        <v>52</v>
      </c>
      <c r="C2858" s="12" t="n">
        <f aca="false">Sens!$C$2857/Sens!$C$2838</f>
        <v>0.708390794789371</v>
      </c>
      <c r="D2858" s="12" t="n">
        <f aca="false">Sens!$D$2857/Sens!$D$2838</f>
        <v>0.445565630441968</v>
      </c>
      <c r="E2858" s="12" t="n">
        <f aca="false">Sens!$E$2857/Sens!$E$2838</f>
        <v>0.165998118402711</v>
      </c>
      <c r="F2858" s="12" t="n">
        <f aca="false">Sens!$F$2857/Sens!$F$2838</f>
        <v>0.434878595403858</v>
      </c>
      <c r="G2858" s="12" t="n">
        <f aca="false">Sens!$G$2857/Sens!$G$2838</f>
        <v>0.3373967615381</v>
      </c>
      <c r="H2858" s="12" t="n">
        <f aca="false">Sens!$H$2857/Sens!$H$2838</f>
        <v>0.320477578041224</v>
      </c>
      <c r="I2858" s="12" t="n">
        <f aca="false">Sens!$I$2857/Sens!$I$2838</f>
        <v>0.296936118226494</v>
      </c>
      <c r="J2858" s="12" t="n">
        <f aca="false">Sens!$J$2857/Sens!$J$2838</f>
        <v>0.282166278613001</v>
      </c>
      <c r="K2858" s="12" t="n">
        <f aca="false">Sens!$K$2857/Sens!$K$2838</f>
        <v>0.271267685694333</v>
      </c>
      <c r="L2858" s="12" t="n">
        <f aca="false">Sens!$L$2857/Sens!$L$2838</f>
        <v>0.27160960915653</v>
      </c>
      <c r="M2858" s="12" t="n">
        <f aca="false">Sens!$M$2857/Sens!$M$2838</f>
        <v>0.26974494804234</v>
      </c>
      <c r="N2858" s="12" t="n">
        <f aca="false">Sens!$N$2857/Sens!$N$2838</f>
        <v>0.302870734830849</v>
      </c>
      <c r="O2858" s="12" t="n">
        <f aca="false">Sens!$O$2857/Sens!$O$2838</f>
        <v>0.52240134346334</v>
      </c>
    </row>
    <row r="2859" customFormat="false" ht="17.15" hidden="false" customHeight="false" outlineLevel="0" collapsed="false">
      <c r="A2859" s="5" t="s">
        <v>599</v>
      </c>
      <c r="B2859" s="0" t="s">
        <v>73</v>
      </c>
      <c r="C2859" s="38" t="n">
        <f aca="false">rd2*(1-ext_sh)/ext_sh*Sens!$C$2821*he_open*Sens!$C$2822/1000</f>
        <v>0</v>
      </c>
      <c r="D2859" s="38" t="n">
        <f aca="false">rd2*(1-ext_sh)/ext_sh*Sens!$D$2821*he_open*Sens!$D$2822/1000</f>
        <v>0</v>
      </c>
      <c r="E2859" s="38" t="n">
        <f aca="false">rd2*(1-ext_sh)/ext_sh*Sens!$E$2821*he_open*Sens!$E$2822/1000</f>
        <v>0</v>
      </c>
      <c r="F2859" s="38" t="n">
        <f aca="false">rd2*(1-ext_sh)/ext_sh*(mw_open*he_open+Sens!$F$2836*Sens!$F$2833)*Sens!$F$2822/1000</f>
        <v>0</v>
      </c>
      <c r="G2859" s="38" t="n">
        <f aca="false">Sens!$E$2859+Sens!$F$2859</f>
        <v>0</v>
      </c>
      <c r="H2859" s="38" t="n">
        <f aca="false">rd2*(1-ext_sh)/ext_sh*(mw_open*he_open+Sens!$H$2836*Sens!$H$2833)*Sens!$H$2822/1000</f>
        <v>0</v>
      </c>
      <c r="I2859" s="38" t="n">
        <f aca="false">rd2*(1-ext_sh)/ext_sh*(mw_open*he_open+Sens!$I$2836*Sens!$I$2833)*Sens!$I$2822/1000</f>
        <v>0</v>
      </c>
      <c r="J2859" s="38" t="n">
        <f aca="false">rd2*(1-ext_sh)/ext_sh*(mw_open*he_open+Sens!$J$2836*Sens!$J$2833)*Sens!$J$2822/1000</f>
        <v>0</v>
      </c>
      <c r="K2859" s="38" t="n">
        <f aca="false">rd2*(1-ext_sh)/ext_sh*(mw_open*he_open+Sens!$K$2836*Sens!$K$2833)*Sens!$K$2822/1000</f>
        <v>0</v>
      </c>
      <c r="L2859" s="38" t="n">
        <f aca="false">rd2*(1-ext_sh)/ext_sh*(mw_open*he_open+Sens!$L$2836*Sens!$L$2833)*Sens!$L$2822/1000</f>
        <v>0</v>
      </c>
      <c r="M2859" s="38" t="n">
        <f aca="false">rd2*(1-ext_sh)/ext_sh*(mw_open*he_open+Sens!$M$2836*Sens!$M$2833)*Sens!$M$2822/1000</f>
        <v>0</v>
      </c>
      <c r="N2859" s="38" t="n">
        <f aca="false">rd2*(1-ext_sh)/ext_sh*Sens!$N$2821*he_open*Sens!$N$2822/1000</f>
        <v>0</v>
      </c>
      <c r="O2859" s="38" t="n">
        <f aca="false">rd2*(1-ext_sh)/ext_sh*Sens!$O$2821*he_open*Sens!$O$2822/1000</f>
        <v>0</v>
      </c>
      <c r="P2859" s="8" t="s">
        <v>600</v>
      </c>
    </row>
    <row r="2860" customFormat="false" ht="17.15" hidden="false" customHeight="false" outlineLevel="0" collapsed="false">
      <c r="A2860" s="5" t="s">
        <v>601</v>
      </c>
      <c r="B2860" s="0" t="s">
        <v>73</v>
      </c>
      <c r="C2860" s="38" t="n">
        <f aca="false">(1-ext_sh)*(Sens!$C$2840+Sens!$C$2853)-Sens!$C$2859</f>
        <v>0.169206631859174</v>
      </c>
      <c r="D2860" s="38" t="n">
        <f aca="false">(1-ext_sh)*(Sens!$D$2840+Sens!$D$2853)-Sens!$D$2859</f>
        <v>1.20641732046984</v>
      </c>
      <c r="E2860" s="38" t="n">
        <f aca="false">(1-ext_sh)*(Sens!$E$2840+Sens!$E$2853)-Sens!$E$2859</f>
        <v>1.77441259867062</v>
      </c>
      <c r="F2860" s="38" t="n">
        <f aca="false">(1-ext_sh)*(Sens!$F$2840+Sens!$F$2853)-Sens!$F$2859</f>
        <v>2.1140391597214</v>
      </c>
      <c r="G2860" s="38" t="n">
        <f aca="false">(1-ext_sh)*(Sens!$G$2840+Sens!$G$2853)-Sens!$G$2859</f>
        <v>3.88845175839202</v>
      </c>
      <c r="H2860" s="38" t="n">
        <f aca="false">(1-ext_sh)*(Sens!$H$2840+Sens!$H$2853)-Sens!$H$2859</f>
        <v>10.2210179503985</v>
      </c>
      <c r="I2860" s="38" t="n">
        <f aca="false">(1-ext_sh)*(Sens!$I$2840+Sens!$I$2853)-Sens!$I$2859</f>
        <v>17.8408961823075</v>
      </c>
      <c r="J2860" s="38" t="n">
        <f aca="false">(1-ext_sh)*(Sens!$J$2840+Sens!$J$2853)-Sens!$J$2859</f>
        <v>25.6671150670732</v>
      </c>
      <c r="K2860" s="38" t="n">
        <f aca="false">(1-ext_sh)*(Sens!$K$2840+Sens!$K$2853)-Sens!$K$2859</f>
        <v>33.6325293834986</v>
      </c>
      <c r="L2860" s="38" t="n">
        <f aca="false">(1-ext_sh)*(Sens!$L$2840+Sens!$L$2853)-Sens!$L$2859</f>
        <v>41.1939886299065</v>
      </c>
      <c r="M2860" s="38" t="n">
        <f aca="false">(1-ext_sh)*(Sens!$M$2840+Sens!$M$2853)-Sens!$M$2859</f>
        <v>48.8988205728617</v>
      </c>
      <c r="N2860" s="38" t="n">
        <f aca="false">(1-ext_sh)*(Sens!$N$2840+Sens!$N$2853)-Sens!$N$2859</f>
        <v>0.530919624033979</v>
      </c>
      <c r="O2860" s="38" t="n">
        <f aca="false">(1-ext_sh)*(Sens!$O$2840+Sens!$O$2853)-Sens!$O$2859</f>
        <v>0.675497696435861</v>
      </c>
    </row>
    <row r="2861" customFormat="false" ht="17.15" hidden="false" customHeight="false" outlineLevel="0" collapsed="false">
      <c r="A2861" s="0" t="s">
        <v>602</v>
      </c>
      <c r="B2861" s="0" t="s">
        <v>73</v>
      </c>
      <c r="C2861" s="38" t="n">
        <f aca="false">Q!$D$24</f>
        <v>39.834</v>
      </c>
      <c r="D2861" s="38" t="n">
        <f aca="false">Q!$E$24</f>
        <v>45.606</v>
      </c>
      <c r="E2861" s="38" t="n">
        <f aca="false">Q!$P$24</f>
        <v>30.782</v>
      </c>
      <c r="N2861" s="38" t="n">
        <f aca="false">Q!$N$24</f>
        <v>21.707</v>
      </c>
      <c r="O2861" s="38" t="n">
        <f aca="false">Q!$O$24</f>
        <v>23.899</v>
      </c>
    </row>
    <row r="2862" customFormat="false" ht="17.15" hidden="false" customHeight="false" outlineLevel="0" collapsed="false">
      <c r="A2862" s="0" t="s">
        <v>603</v>
      </c>
      <c r="B2862" s="0" t="s">
        <v>73</v>
      </c>
      <c r="C2862" s="38" t="n">
        <f aca="false">Sens!$C$2861-Sens!$C$2857</f>
        <v>38.1898211704631</v>
      </c>
      <c r="D2862" s="38" t="n">
        <f aca="false">Sens!$D$2861-Sens!$D$2857</f>
        <v>41.7278991932282</v>
      </c>
      <c r="E2862" s="38" t="n">
        <f aca="false">Sens!$E$2861-Sens!$E$2857</f>
        <v>29.3692974191125</v>
      </c>
      <c r="F2862" s="38" t="n">
        <f aca="false">Sens!$F$2842*Sens!$F$2863</f>
        <v>29.458060516894</v>
      </c>
      <c r="G2862" s="38" t="n">
        <f aca="false">Sens!$E$2862+Sens!$F$2862</f>
        <v>58.8273579360065</v>
      </c>
      <c r="H2862" s="38" t="n">
        <f aca="false">Sens!$H$2842*Sens!$H$2863</f>
        <v>68.2217925063847</v>
      </c>
      <c r="I2862" s="38" t="n">
        <f aca="false">Sens!$I$2842*Sens!$I$2863</f>
        <v>80.4667917935941</v>
      </c>
      <c r="J2862" s="38" t="n">
        <f aca="false">Sens!$J$2842*Sens!$J$2863</f>
        <v>92.1138807577366</v>
      </c>
      <c r="K2862" s="38" t="n">
        <f aca="false">Sens!$K$2842*Sens!$K$2863</f>
        <v>102.246407641088</v>
      </c>
      <c r="L2862" s="38" t="n">
        <f aca="false">Sens!$L$2842*Sens!$L$2863</f>
        <v>113.493512481607</v>
      </c>
      <c r="M2862" s="38" t="n">
        <f aca="false">Sens!$M$2842*Sens!$M$2863</f>
        <v>125.977798854584</v>
      </c>
      <c r="N2862" s="38" t="n">
        <f aca="false">Sens!$N$2861-Sens!$N$2857</f>
        <v>20.784358965108</v>
      </c>
      <c r="O2862" s="38" t="n">
        <f aca="false">Sens!$O$2861-Sens!$O$2857</f>
        <v>20.9435402281202</v>
      </c>
      <c r="P2862" s="5" t="s">
        <v>604</v>
      </c>
    </row>
    <row r="2863" customFormat="false" ht="17.15" hidden="false" customHeight="false" outlineLevel="0" collapsed="false">
      <c r="A2863" s="0" t="s">
        <v>605</v>
      </c>
      <c r="B2863" s="0" t="s">
        <v>52</v>
      </c>
      <c r="C2863" s="12" t="n">
        <f aca="false">Sens!$C$2862/Sens!$C$2842</f>
        <v>0.362900395443635</v>
      </c>
      <c r="D2863" s="12" t="n">
        <f aca="false">Sens!$D$2862/Sens!$D$2842</f>
        <v>0.34767098474203</v>
      </c>
      <c r="E2863" s="12" t="n">
        <f aca="false">Sens!$E$2862/Sens!$E$2842</f>
        <v>0.411861655558416</v>
      </c>
      <c r="F2863" s="12" t="n">
        <f aca="false">(Sens!$O$2862+Sens!$E$2862)/(Sens!$O$2842+Sens!$E$2842)</f>
        <v>0.37480827803158</v>
      </c>
      <c r="G2863" s="12" t="n">
        <f aca="false">Sens!$G$2862/Sens!$G$2842</f>
        <v>0.392434440489471</v>
      </c>
      <c r="H2863" s="12" t="n">
        <f aca="false">Sens!$F$2863</f>
        <v>0.37480827803158</v>
      </c>
      <c r="I2863" s="12" t="n">
        <f aca="false">Sens!$F$2863</f>
        <v>0.37480827803158</v>
      </c>
      <c r="J2863" s="12" t="n">
        <f aca="false">Sens!$F$2863</f>
        <v>0.37480827803158</v>
      </c>
      <c r="K2863" s="12" t="n">
        <f aca="false">Sens!$F$2863</f>
        <v>0.37480827803158</v>
      </c>
      <c r="L2863" s="12" t="n">
        <f aca="false">Sens!$F$2863</f>
        <v>0.37480827803158</v>
      </c>
      <c r="M2863" s="12" t="n">
        <f aca="false">Sens!$F$2863</f>
        <v>0.37480827803158</v>
      </c>
      <c r="N2863" s="12" t="n">
        <f aca="false">Sens!$N$2862/Sens!$N$2842</f>
        <v>0.364039571356823</v>
      </c>
      <c r="O2863" s="12" t="n">
        <f aca="false">Sens!$O$2862/Sens!$O$2842</f>
        <v>0.332819892300086</v>
      </c>
      <c r="P2863" s="8" t="s">
        <v>606</v>
      </c>
    </row>
    <row r="2864" customFormat="false" ht="17.15" hidden="false" customHeight="false" outlineLevel="0" collapsed="false">
      <c r="A2864" s="0" t="s">
        <v>607</v>
      </c>
      <c r="B2864" s="0" t="s">
        <v>52</v>
      </c>
      <c r="D2864" s="12" t="n">
        <f aca="false">(Q!$E$31-ext_sh*Sens!$D$2853)/Sens!$D$2842</f>
        <v>0.154572973163571</v>
      </c>
    </row>
    <row r="2865" customFormat="false" ht="17.15" hidden="false" customHeight="false" outlineLevel="0" collapsed="false">
      <c r="A2865" s="0" t="s">
        <v>608</v>
      </c>
      <c r="B2865" s="0" t="s">
        <v>73</v>
      </c>
      <c r="C2865" s="38" t="n">
        <f aca="false">Q!$D$31</f>
        <v>13.32</v>
      </c>
      <c r="D2865" s="38" t="n">
        <f aca="false">Q!$E$31</f>
        <v>21.45</v>
      </c>
      <c r="E2865" s="38" t="n">
        <f aca="false">Q!$P$31</f>
        <v>15.353</v>
      </c>
      <c r="F2865" s="38" t="n">
        <f aca="false">ext_sh*Sens!$F$2853+Sens!$D$2864*Sens!$F$2842</f>
        <v>17.3614451462707</v>
      </c>
      <c r="G2865" s="38" t="n">
        <f aca="false">Sens!$E$2865+Sens!$F$2865</f>
        <v>32.7144451462707</v>
      </c>
      <c r="H2865" s="38" t="n">
        <f aca="false">ext_sh*Sens!$H$2853+Sens!$D$2864*Sens!$H$2842</f>
        <v>56.3703921770845</v>
      </c>
      <c r="I2865" s="38" t="n">
        <f aca="false">ext_sh*Sens!$I$2853+Sens!$D$2864*Sens!$I$2842</f>
        <v>83.5987976065399</v>
      </c>
      <c r="J2865" s="38" t="n">
        <f aca="false">ext_sh*Sens!$J$2853+Sens!$D$2864*Sens!$J$2842</f>
        <v>111.390635561011</v>
      </c>
      <c r="K2865" s="38" t="n">
        <f aca="false">ext_sh*Sens!$K$2853+Sens!$D$2864*Sens!$K$2842</f>
        <v>139.109525394055</v>
      </c>
      <c r="L2865" s="38" t="n">
        <f aca="false">ext_sh*Sens!$L$2853+Sens!$D$2864*Sens!$L$2842</f>
        <v>165.669927413021</v>
      </c>
      <c r="M2865" s="38" t="n">
        <f aca="false">ext_sh*Sens!$M$2853+Sens!$D$2864*Sens!$M$2842</f>
        <v>193.312788395484</v>
      </c>
      <c r="N2865" s="38" t="n">
        <f aca="false">Q!$N$31</f>
        <v>9.234</v>
      </c>
      <c r="O2865" s="38" t="n">
        <f aca="false">Q!$O$31</f>
        <v>12.216</v>
      </c>
    </row>
    <row r="2866" customFormat="false" ht="17.15" hidden="false" customHeight="false" outlineLevel="0" collapsed="false">
      <c r="A2866" s="1" t="s">
        <v>609</v>
      </c>
    </row>
    <row r="2867" customFormat="false" ht="17.15" hidden="false" customHeight="false" outlineLevel="0" collapsed="false">
      <c r="A2867" s="14" t="s">
        <v>610</v>
      </c>
      <c r="B2867" s="13" t="s">
        <v>52</v>
      </c>
      <c r="C2867" s="13"/>
      <c r="D2867" s="13"/>
      <c r="E2867" s="13"/>
      <c r="F2867" s="13"/>
      <c r="G2867" s="16" t="n">
        <f aca="false">Sens!$G$2857*(1-tax)/(ext_sh*(Sens!$D$2854+Sens!$G$2854)/2)</f>
        <v>0.0492184452944045</v>
      </c>
      <c r="H2867" s="16" t="n">
        <f aca="false">Sens!$H$2857*(1-tax)/(ext_sh*(Sens!$G$2854+Sens!$H$2854)/2)</f>
        <v>0.0619414246858107</v>
      </c>
      <c r="I2867" s="16" t="n">
        <f aca="false">Sens!$I$2857*(1-tax)/(ext_sh*(Sens!$H$2854+Sens!$I$2854)/2)</f>
        <v>0.0656831488051666</v>
      </c>
      <c r="J2867" s="16" t="n">
        <f aca="false">Sens!$J$2857*(1-tax)/(ext_sh*(Sens!$I$2854+Sens!$J$2854)/2)</f>
        <v>0.0690334849962116</v>
      </c>
      <c r="K2867" s="16" t="n">
        <f aca="false">Sens!$K$2857*(1-tax)/(ext_sh*(Sens!$J$2854+Sens!$K$2854)/2)</f>
        <v>0.0728680488295485</v>
      </c>
      <c r="L2867" s="16" t="n">
        <f aca="false">Sens!$L$2857*(1-tax)/(ext_sh*(Sens!$K$2854+Sens!$L$2854)/2)</f>
        <v>0.0785052878122331</v>
      </c>
      <c r="M2867" s="16" t="n">
        <f aca="false">Sens!$M$2857*(1-tax)/(ext_sh*(Sens!$L$2854+Sens!$M$2854)/2)</f>
        <v>0.0804526580722741</v>
      </c>
      <c r="N2867" s="13"/>
      <c r="O2867" s="13"/>
      <c r="P2867" s="8" t="s">
        <v>611</v>
      </c>
    </row>
    <row r="2868" customFormat="false" ht="17.15" hidden="false" customHeight="false" outlineLevel="0" collapsed="false">
      <c r="A2868" s="5" t="s">
        <v>612</v>
      </c>
      <c r="B2868" s="0" t="s">
        <v>57</v>
      </c>
      <c r="H2868" s="36" t="n">
        <f aca="false">Sens!$H$2838*1000/(mw_open*he_open+Sens!$H$2836*Sens!$H$2833)</f>
        <v>0.991949006767191</v>
      </c>
      <c r="I2868" s="36" t="n">
        <f aca="false">Sens!$I$2838*1000/(mw_open*he_open+Sens!$I$2836*Sens!$I$2833)</f>
        <v>0.991949006767191</v>
      </c>
      <c r="J2868" s="36" t="n">
        <f aca="false">Sens!$J$2838*1000/(mw_open*he_open+Sens!$J$2836*Sens!$J$2833)</f>
        <v>0.991949006767191</v>
      </c>
      <c r="K2868" s="36" t="n">
        <f aca="false">Sens!$K$2838*1000/(mw_open*he_open+Sens!$K$2836*Sens!$K$2833)</f>
        <v>0.991949006767191</v>
      </c>
      <c r="L2868" s="36" t="n">
        <f aca="false">Sens!$L$2838*1000/(mw_open*he_open+Sens!$L$2836*Sens!$L$2833)</f>
        <v>0.991949006767191</v>
      </c>
      <c r="M2868" s="36" t="n">
        <f aca="false">Sens!$M$2838*1000/(mw_open*he_open+Sens!$M$2836*Sens!$M$2833)</f>
        <v>0.991949006767192</v>
      </c>
    </row>
    <row r="2869" customFormat="false" ht="17.15" hidden="false" customHeight="false" outlineLevel="0" collapsed="false">
      <c r="A2869" s="5" t="s">
        <v>613</v>
      </c>
      <c r="B2869" s="0" t="s">
        <v>57</v>
      </c>
      <c r="H2869" s="36" t="n">
        <f aca="false">Sens!$H$2868*(Sens!$H$2838+wacc*ext_sh*(Sens!$G$2854+Sens!$H$2854)/2/(1-tax)-Sens!$H$2857)/Sens!$H$2838</f>
        <v>1.3149781212103</v>
      </c>
      <c r="I2869" s="36" t="n">
        <f aca="false">Sens!$I$2868*(Sens!$I$2838+wacc*ext_sh*(Sens!$H$2854+Sens!$I$2854)/2/(1-tax)-Sens!$I$2857)/Sens!$I$2838</f>
        <v>1.25742005569107</v>
      </c>
      <c r="J2869" s="36" t="n">
        <f aca="false">Sens!$J$2868*(Sens!$J$2838+wacc*ext_sh*(Sens!$I$2854+Sens!$J$2854)/2/(1-tax)-Sens!$J$2857)/Sens!$J$2838</f>
        <v>1.21838845868559</v>
      </c>
      <c r="K2869" s="36" t="n">
        <f aca="false">Sens!$K$2868*(Sens!$K$2838+wacc*ext_sh*(Sens!$J$2854+Sens!$K$2854)/2/(1-tax)-Sens!$K$2857)/Sens!$K$2838</f>
        <v>1.18402644209548</v>
      </c>
      <c r="L2869" s="36" t="n">
        <f aca="false">Sens!$L$2868*(Sens!$L$2838+wacc*ext_sh*(Sens!$K$2854+Sens!$L$2854)/2/(1-tax)-Sens!$L$2857)/Sens!$L$2838</f>
        <v>1.15111215322059</v>
      </c>
      <c r="M2869" s="36" t="n">
        <f aca="false">Sens!$M$2868*(Sens!$M$2838+wacc*ext_sh*(Sens!$L$2854+Sens!$M$2854)/2/(1-tax)-Sens!$M$2857)/Sens!$M$2838</f>
        <v>1.1397166845677</v>
      </c>
    </row>
    <row r="2870" customFormat="false" ht="17.15" hidden="false" customHeight="false" outlineLevel="0" collapsed="false">
      <c r="A2870" s="5" t="s">
        <v>614</v>
      </c>
      <c r="B2870" s="0" t="s">
        <v>52</v>
      </c>
      <c r="C2870" s="12" t="n">
        <f aca="false">Sens!$C$2839/tk_pq</f>
        <v>0.195316432429398</v>
      </c>
      <c r="D2870" s="12" t="n">
        <f aca="false">Sens!$D$2839/tk_pq</f>
        <v>0.195316432429398</v>
      </c>
      <c r="E2870" s="12" t="n">
        <f aca="false">Sens!$E$2839/tk_pq</f>
        <v>0.195316432429398</v>
      </c>
      <c r="F2870" s="12" t="n">
        <f aca="false">Sens!$F$2839/tk_pq</f>
        <v>0.202241827274866</v>
      </c>
      <c r="G2870" s="12" t="n">
        <f aca="false">Sens!$G$2839/tk_pq</f>
        <v>0.199675016194063</v>
      </c>
      <c r="H2870" s="12" t="n">
        <f aca="false">Sens!$H$2839/tk_pq</f>
        <v>0.212647947710325</v>
      </c>
      <c r="I2870" s="12" t="n">
        <f aca="false">Sens!$I$2839/tk_pq</f>
        <v>0.219285125475351</v>
      </c>
      <c r="J2870" s="12" t="n">
        <f aca="false">Sens!$J$2839/tk_pq</f>
        <v>0.222492493217189</v>
      </c>
      <c r="K2870" s="12" t="n">
        <f aca="false">Sens!$K$2839/tk_pq</f>
        <v>0.224371415939166</v>
      </c>
      <c r="L2870" s="12" t="n">
        <f aca="false">Sens!$L$2839/tk_pq</f>
        <v>0.225603749825993</v>
      </c>
      <c r="M2870" s="12" t="n">
        <f aca="false">Sens!$M$2839/tk_pq</f>
        <v>0.22647376274628</v>
      </c>
      <c r="N2870" s="12" t="n">
        <f aca="false">Sens!$N$2839/tk_pq</f>
        <v>0.195316432429398</v>
      </c>
      <c r="O2870" s="12" t="n">
        <f aca="false">Sens!$O$2839/tk_pq</f>
        <v>0.195316432429398</v>
      </c>
      <c r="P2870" s="5" t="s">
        <v>615</v>
      </c>
    </row>
    <row r="2873" customFormat="false" ht="17.15" hidden="false" customHeight="false" outlineLevel="0" collapsed="false">
      <c r="A2873" s="1" t="s">
        <v>642</v>
      </c>
    </row>
    <row r="2874" customFormat="false" ht="17.15" hidden="false" customHeight="false" outlineLevel="0" collapsed="false">
      <c r="A2874" s="0" t="s">
        <v>643</v>
      </c>
      <c r="B2874" s="0" t="s">
        <v>73</v>
      </c>
      <c r="C2874" s="38" t="n">
        <f aca="false">Sens!$C$2838</f>
        <v>2.32100535697364</v>
      </c>
      <c r="D2874" s="38" t="n">
        <f aca="false">Sens!$D$2838</f>
        <v>8.70377008865116</v>
      </c>
      <c r="E2874" s="38" t="n">
        <f aca="false">Sens!$E$2838</f>
        <v>8.51035297557002</v>
      </c>
      <c r="F2874" s="38" t="n">
        <f aca="false">Sens!$F$2838</f>
        <v>14.9634336447205</v>
      </c>
      <c r="G2874" s="38" t="n">
        <f aca="false">Sens!$G$2838</f>
        <v>23.4737866202905</v>
      </c>
      <c r="H2874" s="38" t="n">
        <f aca="false">Sens!$H$2838</f>
        <v>60.1658907497746</v>
      </c>
      <c r="I2874" s="38" t="n">
        <f aca="false">Sens!$I$2838</f>
        <v>101.503699136432</v>
      </c>
      <c r="J2874" s="38" t="n">
        <f aca="false">Sens!$J$2838</f>
        <v>143.025407151278</v>
      </c>
      <c r="K2874" s="38" t="n">
        <f aca="false">Sens!$K$2838</f>
        <v>184.608415042187</v>
      </c>
      <c r="L2874" s="38" t="n">
        <f aca="false">Sens!$L$2838</f>
        <v>226.219286513125</v>
      </c>
      <c r="M2874" s="38" t="n">
        <f aca="false">Sens!$M$2838</f>
        <v>267.845161450232</v>
      </c>
      <c r="N2874" s="38" t="n">
        <f aca="false">Sens!$N$2838</f>
        <v>3.04631953102791</v>
      </c>
      <c r="O2874" s="38" t="n">
        <f aca="false">Sens!$O$2838</f>
        <v>5.65745055762326</v>
      </c>
      <c r="P2874" s="8" t="s">
        <v>644</v>
      </c>
    </row>
    <row r="2875" customFormat="false" ht="17.15" hidden="false" customHeight="false" outlineLevel="0" collapsed="false">
      <c r="A2875" s="0" t="s">
        <v>645</v>
      </c>
      <c r="B2875" s="0" t="s">
        <v>73</v>
      </c>
      <c r="C2875" s="38" t="n">
        <f aca="false">Sens!$C$2842</f>
        <v>105.234994643026</v>
      </c>
      <c r="D2875" s="38" t="n">
        <f aca="false">Sens!$D$2842</f>
        <v>120.021229911349</v>
      </c>
      <c r="E2875" s="38" t="n">
        <f aca="false">Sens!$E$2842</f>
        <v>71.30864702443</v>
      </c>
      <c r="F2875" s="38" t="n">
        <f aca="false">Sens!$F$2842</f>
        <v>78.5950104186653</v>
      </c>
      <c r="G2875" s="38" t="n">
        <f aca="false">Sens!$G$2842</f>
        <v>149.903657443095</v>
      </c>
      <c r="H2875" s="38" t="n">
        <f aca="false">Sens!$H$2842</f>
        <v>182.017838198965</v>
      </c>
      <c r="I2875" s="38" t="n">
        <f aca="false">Sens!$I$2842</f>
        <v>214.687872466932</v>
      </c>
      <c r="J2875" s="38" t="n">
        <f aca="false">Sens!$J$2842</f>
        <v>245.762663624989</v>
      </c>
      <c r="K2875" s="38" t="n">
        <f aca="false">Sens!$K$2842</f>
        <v>272.796556623738</v>
      </c>
      <c r="L2875" s="38" t="n">
        <f aca="false">Sens!$L$2842</f>
        <v>302.804177852349</v>
      </c>
      <c r="M2875" s="38" t="n">
        <f aca="false">Sens!$M$2842</f>
        <v>336.112637416108</v>
      </c>
      <c r="N2875" s="38" t="n">
        <f aca="false">Sens!$N$2842</f>
        <v>57.0936804689721</v>
      </c>
      <c r="O2875" s="38" t="n">
        <f aca="false">Sens!$O$2842</f>
        <v>62.9275494423768</v>
      </c>
      <c r="P2875" s="8" t="s">
        <v>644</v>
      </c>
    </row>
    <row r="2876" customFormat="false" ht="17.15" hidden="false" customHeight="false" outlineLevel="0" collapsed="false">
      <c r="A2876" s="1" t="s">
        <v>476</v>
      </c>
      <c r="B2876" s="8" t="s">
        <v>73</v>
      </c>
      <c r="C2876" s="38" t="n">
        <f aca="false">Q!$D$7</f>
        <v>107.556</v>
      </c>
      <c r="D2876" s="38" t="n">
        <f aca="false">Q!$E$7</f>
        <v>128.725</v>
      </c>
      <c r="E2876" s="38" t="n">
        <f aca="false">Q!$P$7</f>
        <v>79.819</v>
      </c>
      <c r="F2876" s="38" t="n">
        <f aca="false">Sens!$F$2874+Sens!$F$2875</f>
        <v>93.5584440633857</v>
      </c>
      <c r="G2876" s="38" t="n">
        <f aca="false">Sens!$G$2874+Sens!$G$2875</f>
        <v>173.377444063386</v>
      </c>
      <c r="H2876" s="38" t="n">
        <f aca="false">Sens!$H$2874+Sens!$H$2875</f>
        <v>242.183728948739</v>
      </c>
      <c r="I2876" s="38" t="n">
        <f aca="false">Sens!$I$2874+Sens!$I$2875</f>
        <v>316.191571603364</v>
      </c>
      <c r="J2876" s="38" t="n">
        <f aca="false">Sens!$J$2874+Sens!$J$2875</f>
        <v>388.788070776268</v>
      </c>
      <c r="K2876" s="38" t="n">
        <f aca="false">Sens!$K$2874+Sens!$K$2875</f>
        <v>457.404971665925</v>
      </c>
      <c r="L2876" s="38" t="n">
        <f aca="false">Sens!$L$2874+Sens!$L$2875</f>
        <v>529.023464365474</v>
      </c>
      <c r="M2876" s="38" t="n">
        <f aca="false">Sens!$M$2874+Sens!$M$2875</f>
        <v>603.95779886634</v>
      </c>
      <c r="N2876" s="38" t="n">
        <f aca="false">Q!$N$7</f>
        <v>60.14</v>
      </c>
      <c r="O2876" s="38" t="n">
        <f aca="false">Q!$O$7</f>
        <v>68.585</v>
      </c>
      <c r="P2876" s="5" t="s">
        <v>646</v>
      </c>
    </row>
    <row r="2877" customFormat="false" ht="15" hidden="false" customHeight="false" outlineLevel="0" collapsed="false">
      <c r="A2877" s="3" t="s">
        <v>647</v>
      </c>
      <c r="B2877" s="8" t="s">
        <v>73</v>
      </c>
      <c r="C2877" s="38" t="n">
        <f aca="false">Q!$D$8</f>
        <v>637.959</v>
      </c>
      <c r="D2877" s="38" t="n">
        <f aca="false">Q!$E$8</f>
        <v>716.924</v>
      </c>
      <c r="E2877" s="38" t="n">
        <f aca="false">Q!$P$8</f>
        <v>382.125</v>
      </c>
      <c r="F2877" s="38" t="n">
        <f aca="false">Sens!$F$2811+Sens!$F$2876</f>
        <v>450.494873271816</v>
      </c>
      <c r="G2877" s="38" t="n">
        <f aca="false">Sens!$G$2811+Sens!$G$2876</f>
        <v>832.619873271816</v>
      </c>
      <c r="H2877" s="38" t="n">
        <f aca="false">Sens!$H$2811+Sens!$H$2876</f>
        <v>972.11946657044</v>
      </c>
      <c r="I2877" s="38" t="n">
        <f aca="false">Sens!$I$2811+Sens!$I$2876</f>
        <v>1114.48714130124</v>
      </c>
      <c r="J2877" s="38" t="n">
        <f aca="false">Sens!$J$2811+Sens!$J$2876</f>
        <v>1250.52489310205</v>
      </c>
      <c r="K2877" s="38" t="n">
        <f aca="false">Sens!$K$2811+Sens!$K$2876</f>
        <v>1374.96246376785</v>
      </c>
      <c r="L2877" s="38" t="n">
        <f aca="false">Sens!$L$2811+Sens!$L$2876</f>
        <v>1506.30855410864</v>
      </c>
      <c r="M2877" s="38" t="n">
        <f aca="false">Sens!$M$2811+Sens!$M$2876</f>
        <v>1645.17181740984</v>
      </c>
      <c r="N2877" s="38" t="n">
        <f aca="false">Q!$N$8</f>
        <v>323.369</v>
      </c>
      <c r="O2877" s="38" t="n">
        <f aca="false">Q!$O$8</f>
        <v>393.555</v>
      </c>
    </row>
    <row r="2878" customFormat="false" ht="17.15" hidden="false" customHeight="false" outlineLevel="0" collapsed="false">
      <c r="A2878" s="24" t="s">
        <v>655</v>
      </c>
      <c r="B2878" s="25" t="s">
        <v>73</v>
      </c>
      <c r="C2878" s="39" t="n">
        <f aca="false">Sens!$C$2811-(Sens!$C$2813+Sens!$C$2814)</f>
        <v>0</v>
      </c>
      <c r="D2878" s="39" t="n">
        <f aca="false">Sens!$D$2811-(Sens!$D$2813+Sens!$D$2814)</f>
        <v>0</v>
      </c>
      <c r="E2878" s="39" t="n">
        <f aca="false">Sens!$E$2811-(Sens!$E$2813+Sens!$E$2814)</f>
        <v>0</v>
      </c>
      <c r="F2878" s="39" t="n">
        <f aca="false">Sens!$F$2811-(Sens!$F$2813+Sens!$F$2814)</f>
        <v>0</v>
      </c>
      <c r="G2878" s="39" t="n">
        <f aca="false">Sens!$G$2811-(Sens!$G$2813+Sens!$G$2814)</f>
        <v>0</v>
      </c>
      <c r="H2878" s="39" t="n">
        <f aca="false">Sens!$H$2811-(Sens!$H$2813+Sens!$H$2814)</f>
        <v>0</v>
      </c>
      <c r="I2878" s="39" t="n">
        <f aca="false">Sens!$I$2811-(Sens!$I$2813+Sens!$I$2814)</f>
        <v>0</v>
      </c>
      <c r="J2878" s="39" t="n">
        <f aca="false">Sens!$J$2811-(Sens!$J$2813+Sens!$J$2814)</f>
        <v>0</v>
      </c>
      <c r="K2878" s="39" t="n">
        <f aca="false">Sens!$K$2811-(Sens!$K$2813+Sens!$K$2814)</f>
        <v>0</v>
      </c>
      <c r="L2878" s="39" t="n">
        <f aca="false">Sens!$L$2811-(Sens!$L$2813+Sens!$L$2814)</f>
        <v>0</v>
      </c>
      <c r="M2878" s="39" t="n">
        <f aca="false">Sens!$M$2811-(Sens!$M$2813+Sens!$M$2814)</f>
        <v>0</v>
      </c>
      <c r="N2878" s="39" t="n">
        <f aca="false">Sens!$N$2811-(Sens!$N$2813+Sens!$N$2814)</f>
        <v>0</v>
      </c>
      <c r="O2878" s="39" t="n">
        <f aca="false">Sens!$O$2811-(Sens!$O$2813+Sens!$O$2814)</f>
        <v>0</v>
      </c>
    </row>
    <row r="2879" customFormat="false" ht="17.15" hidden="false" customHeight="false" outlineLevel="0" collapsed="false">
      <c r="A2879" s="24" t="s">
        <v>656</v>
      </c>
      <c r="B2879" s="25" t="s">
        <v>73</v>
      </c>
      <c r="C2879" s="39" t="n">
        <f aca="false">Sens!$C$2874+Sens!$C$2875-Sens!$C$2876</f>
        <v>0</v>
      </c>
      <c r="D2879" s="39" t="n">
        <f aca="false">Sens!$D$2874+Sens!$D$2875-Sens!$D$2876</f>
        <v>0</v>
      </c>
      <c r="E2879" s="39" t="n">
        <f aca="false">Sens!$E$2874+Sens!$E$2875-Sens!$E$2876</f>
        <v>0</v>
      </c>
      <c r="F2879" s="39" t="n">
        <f aca="false">Sens!$F$2874+Sens!$F$2875-Sens!$F$2876</f>
        <v>0</v>
      </c>
      <c r="G2879" s="39" t="n">
        <f aca="false">Sens!$G$2874+Sens!$G$2875-Sens!$G$2876</f>
        <v>0</v>
      </c>
      <c r="H2879" s="39" t="n">
        <f aca="false">Sens!$H$2874+Sens!$H$2875-Sens!$H$2876</f>
        <v>0</v>
      </c>
      <c r="I2879" s="39" t="n">
        <f aca="false">Sens!$I$2874+Sens!$I$2875-Sens!$I$2876</f>
        <v>0</v>
      </c>
      <c r="J2879" s="39" t="n">
        <f aca="false">Sens!$J$2874+Sens!$J$2875-Sens!$J$2876</f>
        <v>0</v>
      </c>
      <c r="K2879" s="39" t="n">
        <f aca="false">Sens!$K$2874+Sens!$K$2875-Sens!$K$2876</f>
        <v>0</v>
      </c>
      <c r="L2879" s="39" t="n">
        <f aca="false">Sens!$L$2874+Sens!$L$2875-Sens!$L$2876</f>
        <v>0</v>
      </c>
      <c r="M2879" s="39" t="n">
        <f aca="false">Sens!$M$2874+Sens!$M$2875-Sens!$M$2876</f>
        <v>0</v>
      </c>
      <c r="N2879" s="39" t="n">
        <f aca="false">Sens!$N$2874+Sens!$N$2875-Sens!$N$2876</f>
        <v>0</v>
      </c>
      <c r="O2879" s="39" t="n">
        <f aca="false">Sens!$O$2874+Sens!$O$2875-Sens!$O$2876</f>
        <v>0</v>
      </c>
    </row>
    <row r="2880" customFormat="false" ht="17.15" hidden="false" customHeight="false" outlineLevel="0" collapsed="false">
      <c r="A2880" s="24" t="s">
        <v>657</v>
      </c>
      <c r="B2880" s="25" t="s">
        <v>73</v>
      </c>
      <c r="C2880" s="39" t="n">
        <f aca="false">Sens!$C$2813+Sens!$C$2814+Sens!$C$2876-Sens!$C$2877</f>
        <v>0</v>
      </c>
      <c r="D2880" s="39" t="n">
        <f aca="false">Sens!$D$2813+Sens!$D$2814+Sens!$D$2876-Sens!$D$2877</f>
        <v>0</v>
      </c>
      <c r="E2880" s="39" t="n">
        <f aca="false">Sens!$E$2813+Sens!$E$2814+Sens!$E$2876-Sens!$E$2877</f>
        <v>0</v>
      </c>
      <c r="F2880" s="39" t="n">
        <f aca="false">Sens!$F$2813+Sens!$F$2814+Sens!$F$2876-Sens!$F$2877</f>
        <v>0</v>
      </c>
      <c r="G2880" s="39" t="n">
        <f aca="false">Sens!$G$2813+Sens!$G$2814+Sens!$G$2876-Sens!$G$2877</f>
        <v>0</v>
      </c>
      <c r="H2880" s="39" t="n">
        <f aca="false">Sens!$H$2813+Sens!$H$2814+Sens!$H$2876-Sens!$H$2877</f>
        <v>0</v>
      </c>
      <c r="I2880" s="39" t="n">
        <f aca="false">Sens!$I$2813+Sens!$I$2814+Sens!$I$2876-Sens!$I$2877</f>
        <v>0</v>
      </c>
      <c r="J2880" s="39" t="n">
        <f aca="false">Sens!$J$2813+Sens!$J$2814+Sens!$J$2876-Sens!$J$2877</f>
        <v>0</v>
      </c>
      <c r="K2880" s="39" t="n">
        <f aca="false">Sens!$K$2813+Sens!$K$2814+Sens!$K$2876-Sens!$K$2877</f>
        <v>0</v>
      </c>
      <c r="L2880" s="39" t="n">
        <f aca="false">Sens!$L$2813+Sens!$L$2814+Sens!$L$2876-Sens!$L$2877</f>
        <v>0</v>
      </c>
      <c r="M2880" s="39" t="n">
        <f aca="false">Sens!$M$2813+Sens!$M$2814+Sens!$M$2876-Sens!$M$2877</f>
        <v>0</v>
      </c>
      <c r="N2880" s="39" t="n">
        <f aca="false">Sens!$N$2813+Sens!$N$2814+Sens!$N$2876-Sens!$N$2877</f>
        <v>0</v>
      </c>
      <c r="O2880" s="39" t="n">
        <f aca="false">Sens!$O$2813+Sens!$O$2814+Sens!$O$2876-Sens!$O$2877</f>
        <v>0</v>
      </c>
    </row>
    <row r="2881" customFormat="false" ht="15" hidden="false" customHeight="false" outlineLevel="0" collapsed="false">
      <c r="A2881" s="5" t="s">
        <v>651</v>
      </c>
      <c r="B2881" s="0" t="s">
        <v>52</v>
      </c>
      <c r="G2881" s="12" t="n">
        <f aca="false">Sens!$G$2877/Sens!$D$2877-1</f>
        <v>0.161378156222718</v>
      </c>
      <c r="H2881" s="12" t="n">
        <f aca="false">Sens!$H$2877/Sens!$G$2877-1</f>
        <v>0.167542954206047</v>
      </c>
      <c r="I2881" s="12" t="n">
        <f aca="false">Sens!$I$2877/Sens!$H$2877-1</f>
        <v>0.146450801189136</v>
      </c>
      <c r="J2881" s="12" t="n">
        <f aca="false">Sens!$J$2877/Sens!$I$2877-1</f>
        <v>0.122063096790855</v>
      </c>
      <c r="K2881" s="12" t="n">
        <f aca="false">Sens!$K$2877/Sens!$J$2877-1</f>
        <v>0.0995082715683633</v>
      </c>
      <c r="L2881" s="12" t="n">
        <f aca="false">Sens!$L$2877/Sens!$K$2877-1</f>
        <v>0.0955270371387864</v>
      </c>
      <c r="M2881" s="12" t="n">
        <f aca="false">Sens!$M$2877/Sens!$L$2877-1</f>
        <v>0.0921877944080161</v>
      </c>
    </row>
    <row r="2882" customFormat="false" ht="17.15" hidden="false" customHeight="false" outlineLevel="0" collapsed="false">
      <c r="A2882" s="0" t="s">
        <v>652</v>
      </c>
      <c r="B2882" s="0" t="s">
        <v>52</v>
      </c>
      <c r="C2882" s="12" t="n">
        <f aca="false">Sens!$C$2876/Sens!$C$2877</f>
        <v>0.168593906504964</v>
      </c>
      <c r="D2882" s="12" t="n">
        <f aca="false">Sens!$D$2876/Sens!$D$2877</f>
        <v>0.179551807444025</v>
      </c>
      <c r="E2882" s="12" t="n">
        <f aca="false">Sens!$E$2876/Sens!$E$2877</f>
        <v>0.208881910369643</v>
      </c>
      <c r="F2882" s="12" t="n">
        <f aca="false">Sens!$F$2876/Sens!$F$2877</f>
        <v>0.207679264769203</v>
      </c>
      <c r="G2882" s="12" t="n">
        <f aca="false">Sens!$G$2876/Sens!$G$2877</f>
        <v>0.208231210458731</v>
      </c>
      <c r="H2882" s="12" t="n">
        <f aca="false">Sens!$H$2876/Sens!$H$2877</f>
        <v>0.249129594949008</v>
      </c>
      <c r="I2882" s="12" t="n">
        <f aca="false">Sens!$I$2876/Sens!$I$2877</f>
        <v>0.283710381112329</v>
      </c>
      <c r="J2882" s="12" t="n">
        <f aca="false">Sens!$J$2876/Sens!$J$2877</f>
        <v>0.310899905248459</v>
      </c>
      <c r="K2882" s="12" t="n">
        <f aca="false">Sens!$K$2876/Sens!$K$2877</f>
        <v>0.332667242720565</v>
      </c>
      <c r="L2882" s="12" t="n">
        <f aca="false">Sens!$L$2876/Sens!$L$2877</f>
        <v>0.351205244717292</v>
      </c>
      <c r="M2882" s="12" t="n">
        <f aca="false">Sens!$M$2876/Sens!$M$2877</f>
        <v>0.36710925416727</v>
      </c>
      <c r="N2882" s="12" t="n">
        <f aca="false">Sens!$N$2876/Sens!$N$2877</f>
        <v>0.185979484737251</v>
      </c>
      <c r="O2882" s="12" t="n">
        <f aca="false">Sens!$O$2876/Sens!$O$2877</f>
        <v>0.174270432341096</v>
      </c>
    </row>
    <row r="2883" customFormat="false" ht="17.15" hidden="false" customHeight="false" outlineLevel="0" collapsed="false">
      <c r="A2883" s="0" t="s">
        <v>653</v>
      </c>
      <c r="B2883" s="0" t="s">
        <v>52</v>
      </c>
      <c r="C2883" s="12" t="n">
        <f aca="false">Sens!$C$2874/Sens!$C$2876</f>
        <v>0.0215795060896058</v>
      </c>
      <c r="D2883" s="12" t="n">
        <f aca="false">Sens!$D$2874/Sens!$D$2876</f>
        <v>0.0676152269462122</v>
      </c>
      <c r="E2883" s="12" t="n">
        <f aca="false">Sens!$E$2874/Sens!$E$2876</f>
        <v>0.106620641395783</v>
      </c>
      <c r="F2883" s="12" t="n">
        <f aca="false">Sens!$F$2874/Sens!$F$2876</f>
        <v>0.159936751776064</v>
      </c>
      <c r="G2883" s="12" t="n">
        <f aca="false">Sens!$G$2874/Sens!$G$2876</f>
        <v>0.135391237003751</v>
      </c>
      <c r="H2883" s="12" t="n">
        <f aca="false">Sens!$H$2874/Sens!$H$2876</f>
        <v>0.248430772004957</v>
      </c>
      <c r="I2883" s="12" t="n">
        <f aca="false">Sens!$I$2874/Sens!$I$2876</f>
        <v>0.32101962307762</v>
      </c>
      <c r="J2883" s="12" t="n">
        <f aca="false">Sens!$J$2874/Sens!$J$2876</f>
        <v>0.36787498871997</v>
      </c>
      <c r="K2883" s="12" t="n">
        <f aca="false">Sens!$K$2874/Sens!$K$2876</f>
        <v>0.403599493835453</v>
      </c>
      <c r="L2883" s="12" t="n">
        <f aca="false">Sens!$L$2874/Sens!$L$2876</f>
        <v>0.427616734891823</v>
      </c>
      <c r="M2883" s="12" t="n">
        <f aca="false">Sens!$M$2874/Sens!$M$2876</f>
        <v>0.443483239976355</v>
      </c>
      <c r="N2883" s="12" t="n">
        <f aca="false">Sens!$N$2874/Sens!$N$2876</f>
        <v>0.0506537999838362</v>
      </c>
      <c r="O2883" s="12" t="n">
        <f aca="false">Sens!$O$2874/Sens!$O$2876</f>
        <v>0.0824881615167056</v>
      </c>
    </row>
    <row r="2886" customFormat="false" ht="19.4" hidden="false" customHeight="false" outlineLevel="0" collapsed="false">
      <c r="A2886" s="31" t="s">
        <v>1105</v>
      </c>
    </row>
    <row r="2887" customFormat="false" ht="17.15" hidden="false" customHeight="false" outlineLevel="0" collapsed="false">
      <c r="A2887" s="6" t="s">
        <v>16</v>
      </c>
      <c r="B2887" s="6" t="s">
        <v>17</v>
      </c>
      <c r="C2887" s="20" t="s">
        <v>457</v>
      </c>
      <c r="D2887" s="20" t="s">
        <v>458</v>
      </c>
      <c r="E2887" s="20" t="s">
        <v>540</v>
      </c>
      <c r="F2887" s="20" t="s">
        <v>541</v>
      </c>
      <c r="G2887" s="20" t="s">
        <v>542</v>
      </c>
      <c r="H2887" s="20" t="s">
        <v>543</v>
      </c>
      <c r="I2887" s="20" t="s">
        <v>544</v>
      </c>
      <c r="J2887" s="20" t="s">
        <v>545</v>
      </c>
      <c r="K2887" s="20" t="s">
        <v>546</v>
      </c>
      <c r="L2887" s="20" t="s">
        <v>547</v>
      </c>
      <c r="M2887" s="20" t="s">
        <v>548</v>
      </c>
      <c r="N2887" s="20" t="s">
        <v>549</v>
      </c>
      <c r="O2887" s="20" t="s">
        <v>550</v>
      </c>
      <c r="P2887" s="6" t="s">
        <v>23</v>
      </c>
      <c r="R2887" s="20" t="n">
        <v>2023</v>
      </c>
      <c r="S2887" s="20" t="n">
        <v>2024</v>
      </c>
      <c r="T2887" s="20" t="n">
        <v>2025</v>
      </c>
      <c r="U2887" s="20" t="n">
        <v>2026</v>
      </c>
      <c r="V2887" s="20" t="n">
        <v>2027</v>
      </c>
      <c r="W2887" s="20" t="n">
        <v>2028</v>
      </c>
      <c r="X2887" s="20" t="n">
        <v>2029</v>
      </c>
      <c r="Y2887" s="20" t="n">
        <v>2030</v>
      </c>
      <c r="Z2887" s="20" t="n">
        <v>2031</v>
      </c>
      <c r="AA2887" s="20" t="n">
        <v>2032</v>
      </c>
    </row>
    <row r="2888" customFormat="false" ht="17.15" hidden="false" customHeight="false" outlineLevel="0" collapsed="false">
      <c r="A2888" s="1" t="s">
        <v>668</v>
      </c>
    </row>
    <row r="2889" customFormat="false" ht="15" hidden="false" customHeight="false" outlineLevel="0" collapsed="false">
      <c r="A2889" s="0" t="s">
        <v>479</v>
      </c>
      <c r="B2889" s="0" t="s">
        <v>73</v>
      </c>
      <c r="C2889" s="38" t="n">
        <f aca="false">Sens!$C$2799</f>
        <v>247.029</v>
      </c>
      <c r="D2889" s="38" t="n">
        <f aca="false">Sens!$D$2799</f>
        <v>269.287</v>
      </c>
      <c r="E2889" s="38" t="n">
        <f aca="false">Sens!$E$2799</f>
        <v>134.686</v>
      </c>
      <c r="F2889" s="38" t="n">
        <f aca="false">Sens!$F$2799</f>
        <v>160.728085930082</v>
      </c>
      <c r="G2889" s="38" t="n">
        <f aca="false">Sens!$G$2799</f>
        <v>295.414085930082</v>
      </c>
      <c r="H2889" s="38" t="n">
        <f aca="false">Sens!$H$2799</f>
        <v>320.828163943375</v>
      </c>
      <c r="I2889" s="38" t="n">
        <f aca="false">Sens!$I$2799</f>
        <v>344.575578072228</v>
      </c>
      <c r="J2889" s="38" t="n">
        <f aca="false">Sens!$J$2799</f>
        <v>365.942555779681</v>
      </c>
      <c r="K2889" s="38" t="n">
        <f aca="false">Sens!$K$2799</f>
        <v>384.239683568665</v>
      </c>
      <c r="L2889" s="38" t="n">
        <f aca="false">Sens!$L$2799</f>
        <v>403.451667747098</v>
      </c>
      <c r="M2889" s="38" t="n">
        <f aca="false">Sens!$M$2799</f>
        <v>423.624251134453</v>
      </c>
      <c r="N2889" s="38" t="n">
        <f aca="false">Sens!$N$2799</f>
        <v>118.892</v>
      </c>
      <c r="O2889" s="38" t="n">
        <f aca="false">Sens!$O$2799</f>
        <v>150.395</v>
      </c>
    </row>
    <row r="2890" customFormat="false" ht="15" hidden="false" customHeight="false" outlineLevel="0" collapsed="false">
      <c r="A2890" s="0" t="s">
        <v>480</v>
      </c>
      <c r="B2890" s="0" t="s">
        <v>73</v>
      </c>
      <c r="C2890" s="38" t="n">
        <f aca="false">Sens!$C$2801</f>
        <v>21.215</v>
      </c>
      <c r="D2890" s="38" t="n">
        <f aca="false">Sens!$D$2801</f>
        <v>22.561</v>
      </c>
      <c r="E2890" s="38" t="n">
        <f aca="false">Sens!$E$2801</f>
        <v>11.579</v>
      </c>
      <c r="F2890" s="38" t="n">
        <f aca="false">Sens!$F$2801</f>
        <v>12.0952613121125</v>
      </c>
      <c r="G2890" s="38" t="n">
        <f aca="false">Sens!$G$2801</f>
        <v>23.6742613121125</v>
      </c>
      <c r="H2890" s="38" t="n">
        <f aca="false">Sens!$H$2801</f>
        <v>24.8803243963206</v>
      </c>
      <c r="I2890" s="38" t="n">
        <f aca="false">Sens!$I$2801</f>
        <v>25.9741308664154</v>
      </c>
      <c r="J2890" s="38" t="n">
        <f aca="false">Sens!$J$2801</f>
        <v>26.9346894124267</v>
      </c>
      <c r="K2890" s="38" t="n">
        <f aca="false">Sens!$K$2801</f>
        <v>27.7427300947995</v>
      </c>
      <c r="L2890" s="38" t="n">
        <f aca="false">Sens!$L$2801</f>
        <v>28.5750119976435</v>
      </c>
      <c r="M2890" s="38" t="n">
        <f aca="false">Sens!$M$2801</f>
        <v>29.4322623575728</v>
      </c>
      <c r="N2890" s="38" t="n">
        <f aca="false">Sens!$N$2801</f>
        <v>11.128</v>
      </c>
      <c r="O2890" s="38" t="n">
        <f aca="false">Sens!$O$2801</f>
        <v>11.433</v>
      </c>
    </row>
    <row r="2891" customFormat="false" ht="15" hidden="false" customHeight="false" outlineLevel="0" collapsed="false">
      <c r="A2891" s="0" t="s">
        <v>481</v>
      </c>
      <c r="B2891" s="0" t="s">
        <v>73</v>
      </c>
      <c r="C2891" s="38" t="n">
        <f aca="false">Sens!$C$2803</f>
        <v>156.146</v>
      </c>
      <c r="D2891" s="38" t="n">
        <f aca="false">Sens!$D$2803</f>
        <v>172.162</v>
      </c>
      <c r="E2891" s="38" t="n">
        <f aca="false">Sens!$E$2803</f>
        <v>88.358</v>
      </c>
      <c r="F2891" s="38" t="n">
        <f aca="false">Sens!$F$2803</f>
        <v>103.62028337149</v>
      </c>
      <c r="G2891" s="38" t="n">
        <f aca="false">Sens!$G$2803</f>
        <v>191.97828337149</v>
      </c>
      <c r="H2891" s="38" t="n">
        <f aca="false">Sens!$H$2803</f>
        <v>212.128608444755</v>
      </c>
      <c r="I2891" s="38" t="n">
        <f aca="false">Sens!$I$2803</f>
        <v>231.92183134134</v>
      </c>
      <c r="J2891" s="38" t="n">
        <f aca="false">Sens!$J$2803</f>
        <v>250.859136487863</v>
      </c>
      <c r="K2891" s="38" t="n">
        <f aca="false">Sens!$K$2803</f>
        <v>268.419276042014</v>
      </c>
      <c r="L2891" s="38" t="n">
        <f aca="false">Sens!$L$2803</f>
        <v>287.208625364954</v>
      </c>
      <c r="M2891" s="38" t="n">
        <f aca="false">Sens!$M$2803</f>
        <v>307.313229140501</v>
      </c>
      <c r="N2891" s="38" t="n">
        <f aca="false">Sens!$N$2803</f>
        <v>76.86</v>
      </c>
      <c r="O2891" s="38" t="n">
        <f aca="false">Sens!$O$2803</f>
        <v>95.302</v>
      </c>
    </row>
    <row r="2892" customFormat="false" ht="15" hidden="false" customHeight="false" outlineLevel="0" collapsed="false">
      <c r="A2892" s="0" t="s">
        <v>482</v>
      </c>
      <c r="B2892" s="0" t="s">
        <v>73</v>
      </c>
      <c r="C2892" s="38" t="n">
        <f aca="false">Sens!$C$2805</f>
        <v>56.214</v>
      </c>
      <c r="D2892" s="38" t="n">
        <f aca="false">Sens!$D$2805</f>
        <v>68.635</v>
      </c>
      <c r="E2892" s="38" t="n">
        <f aca="false">Sens!$E$2805</f>
        <v>37.052</v>
      </c>
      <c r="F2892" s="38" t="n">
        <f aca="false">Sens!$F$2805</f>
        <v>48.1533381827382</v>
      </c>
      <c r="G2892" s="38" t="n">
        <f aca="false">Sens!$G$2805</f>
        <v>85.2053381827382</v>
      </c>
      <c r="H2892" s="38" t="n">
        <f aca="false">Sens!$H$2805</f>
        <v>102.29336185894</v>
      </c>
      <c r="I2892" s="38" t="n">
        <f aca="false">Sens!$I$2805</f>
        <v>119.379837585241</v>
      </c>
      <c r="J2892" s="38" t="n">
        <f aca="false">Sens!$J$2805</f>
        <v>135.319079048844</v>
      </c>
      <c r="K2892" s="38" t="n">
        <f aca="false">Sens!$K$2805</f>
        <v>148.850986953729</v>
      </c>
      <c r="L2892" s="38" t="n">
        <f aca="false">Sens!$L$2805</f>
        <v>163.736085649102</v>
      </c>
      <c r="M2892" s="38" t="n">
        <f aca="false">Sens!$M$2805</f>
        <v>180.109694214012</v>
      </c>
      <c r="N2892" s="38" t="n">
        <f aca="false">Sens!$N$2805</f>
        <v>29.615</v>
      </c>
      <c r="O2892" s="38" t="n">
        <f aca="false">Sens!$O$2805</f>
        <v>39.02</v>
      </c>
    </row>
    <row r="2893" customFormat="false" ht="15" hidden="false" customHeight="false" outlineLevel="0" collapsed="false">
      <c r="A2893" s="0" t="s">
        <v>483</v>
      </c>
      <c r="B2893" s="0" t="s">
        <v>73</v>
      </c>
      <c r="C2893" s="38" t="n">
        <f aca="false">Sens!$C$2807</f>
        <v>44.374</v>
      </c>
      <c r="D2893" s="38" t="n">
        <f aca="false">Sens!$D$2807</f>
        <v>49.619</v>
      </c>
      <c r="E2893" s="38" t="n">
        <f aca="false">Sens!$E$2807</f>
        <v>27.157</v>
      </c>
      <c r="F2893" s="38" t="n">
        <f aca="false">Sens!$F$2807</f>
        <v>28.9776360923374</v>
      </c>
      <c r="G2893" s="38" t="n">
        <f aca="false">Sens!$G$2807</f>
        <v>56.1346360923374</v>
      </c>
      <c r="H2893" s="38" t="n">
        <f aca="false">Sens!$H$2807</f>
        <v>62.4937078946075</v>
      </c>
      <c r="I2893" s="38" t="n">
        <f aca="false">Sens!$I$2807</f>
        <v>68.6715233062498</v>
      </c>
      <c r="J2893" s="38" t="n">
        <f aca="false">Sens!$J$2807</f>
        <v>74.4692882949818</v>
      </c>
      <c r="K2893" s="38" t="n">
        <f aca="false">Sens!$K$2807</f>
        <v>79.6821384756306</v>
      </c>
      <c r="L2893" s="38" t="n">
        <f aca="false">Sens!$L$2807</f>
        <v>85.2598881689247</v>
      </c>
      <c r="M2893" s="38" t="n">
        <f aca="false">Sens!$M$2807</f>
        <v>91.2280803407494</v>
      </c>
      <c r="N2893" s="38" t="n">
        <f aca="false">Sens!$N$2807</f>
        <v>23.923</v>
      </c>
      <c r="O2893" s="38" t="n">
        <f aca="false">Sens!$O$2807</f>
        <v>25.696</v>
      </c>
    </row>
    <row r="2894" customFormat="false" ht="15" hidden="false" customHeight="false" outlineLevel="0" collapsed="false">
      <c r="A2894" s="0" t="s">
        <v>484</v>
      </c>
      <c r="B2894" s="0" t="s">
        <v>73</v>
      </c>
      <c r="C2894" s="38" t="n">
        <f aca="false">Sens!$C$2809</f>
        <v>5.425</v>
      </c>
      <c r="D2894" s="38" t="n">
        <f aca="false">Sens!$D$2809</f>
        <v>5.935</v>
      </c>
      <c r="E2894" s="38" t="n">
        <f aca="false">Sens!$E$2809</f>
        <v>3.474</v>
      </c>
      <c r="F2894" s="38" t="n">
        <f aca="false">Sens!$F$2809</f>
        <v>3.36182431966931</v>
      </c>
      <c r="G2894" s="38" t="n">
        <f aca="false">Sens!$G$2809</f>
        <v>6.83582431966931</v>
      </c>
      <c r="H2894" s="38" t="n">
        <f aca="false">Sens!$H$2809</f>
        <v>7.31157108370141</v>
      </c>
      <c r="I2894" s="38" t="n">
        <f aca="false">Sens!$I$2809</f>
        <v>7.77266852639815</v>
      </c>
      <c r="J2894" s="38" t="n">
        <f aca="false">Sens!$J$2809</f>
        <v>8.2120733019884</v>
      </c>
      <c r="K2894" s="38" t="n">
        <f aca="false">Sens!$K$2809</f>
        <v>8.62267696708783</v>
      </c>
      <c r="L2894" s="38" t="n">
        <f aca="false">Sens!$L$2809</f>
        <v>9.05381081544222</v>
      </c>
      <c r="M2894" s="38" t="n">
        <f aca="false">Sens!$M$2809</f>
        <v>9.50650135621433</v>
      </c>
      <c r="N2894" s="38" t="n">
        <f aca="false">Sens!$N$2809</f>
        <v>2.811</v>
      </c>
      <c r="O2894" s="38" t="n">
        <f aca="false">Sens!$O$2809</f>
        <v>3.124</v>
      </c>
    </row>
    <row r="2895" customFormat="false" ht="17.15" hidden="false" customHeight="false" outlineLevel="0" collapsed="false">
      <c r="A2895" s="0" t="s">
        <v>669</v>
      </c>
      <c r="B2895" s="0" t="s">
        <v>73</v>
      </c>
      <c r="C2895" s="38" t="n">
        <f aca="false">Sens!$C$2876</f>
        <v>107.556</v>
      </c>
      <c r="D2895" s="38" t="n">
        <f aca="false">Sens!$D$2876</f>
        <v>128.725</v>
      </c>
      <c r="E2895" s="38" t="n">
        <f aca="false">Sens!$E$2876</f>
        <v>79.819</v>
      </c>
      <c r="F2895" s="38" t="n">
        <f aca="false">Sens!$F$2876</f>
        <v>93.5584440633857</v>
      </c>
      <c r="G2895" s="38" t="n">
        <f aca="false">Sens!$G$2876</f>
        <v>173.377444063386</v>
      </c>
      <c r="H2895" s="38" t="n">
        <f aca="false">Sens!$H$2876</f>
        <v>242.183728948739</v>
      </c>
      <c r="I2895" s="38" t="n">
        <f aca="false">Sens!$I$2876</f>
        <v>316.191571603364</v>
      </c>
      <c r="J2895" s="38" t="n">
        <f aca="false">Sens!$J$2876</f>
        <v>388.788070776268</v>
      </c>
      <c r="K2895" s="38" t="n">
        <f aca="false">Sens!$K$2876</f>
        <v>457.404971665925</v>
      </c>
      <c r="L2895" s="38" t="n">
        <f aca="false">Sens!$L$2876</f>
        <v>529.023464365474</v>
      </c>
      <c r="M2895" s="38" t="n">
        <f aca="false">Sens!$M$2876</f>
        <v>603.95779886634</v>
      </c>
      <c r="N2895" s="38" t="n">
        <f aca="false">Sens!$N$2876</f>
        <v>60.14</v>
      </c>
      <c r="O2895" s="38" t="n">
        <f aca="false">Sens!$O$2876</f>
        <v>68.585</v>
      </c>
    </row>
    <row r="2896" customFormat="false" ht="15" hidden="false" customHeight="false" outlineLevel="0" collapsed="false">
      <c r="A2896" s="1" t="s">
        <v>472</v>
      </c>
      <c r="B2896" s="8" t="s">
        <v>73</v>
      </c>
      <c r="C2896" s="38" t="n">
        <f aca="false">Sens!$C$2813</f>
        <v>387.497</v>
      </c>
      <c r="D2896" s="38" t="n">
        <f aca="false">Sens!$D$2813</f>
        <v>426.305</v>
      </c>
      <c r="E2896" s="38" t="n">
        <f aca="false">Sens!$E$2813</f>
        <v>220.32</v>
      </c>
      <c r="F2896" s="38" t="n">
        <f aca="false">Sens!$F$2813</f>
        <v>256.304015003807</v>
      </c>
      <c r="G2896" s="38" t="n">
        <f aca="false">Sens!$G$2813</f>
        <v>476.624015003807</v>
      </c>
      <c r="H2896" s="38" t="n">
        <f aca="false">Sens!$H$2813</f>
        <v>527.734391091543</v>
      </c>
      <c r="I2896" s="38" t="n">
        <f aca="false">Sens!$I$2813</f>
        <v>577.157693029577</v>
      </c>
      <c r="J2896" s="38" t="n">
        <f aca="false">Sens!$J$2813</f>
        <v>623.024923663827</v>
      </c>
      <c r="K2896" s="38" t="n">
        <f aca="false">Sens!$K$2813</f>
        <v>663.382568393781</v>
      </c>
      <c r="L2896" s="38" t="n">
        <f aca="false">Sens!$L$2813</f>
        <v>706.564873010432</v>
      </c>
      <c r="M2896" s="38" t="n">
        <f aca="false">Sens!$M$2813</f>
        <v>752.784687406019</v>
      </c>
      <c r="N2896" s="38" t="n">
        <f aca="false">Sens!$N$2813</f>
        <v>192.955</v>
      </c>
      <c r="O2896" s="38" t="n">
        <f aca="false">Sens!$O$2813</f>
        <v>233.35</v>
      </c>
    </row>
    <row r="2897" customFormat="false" ht="15" hidden="false" customHeight="false" outlineLevel="0" collapsed="false">
      <c r="A2897" s="1" t="s">
        <v>475</v>
      </c>
      <c r="B2897" s="8" t="s">
        <v>73</v>
      </c>
      <c r="C2897" s="38" t="n">
        <f aca="false">Sens!$C$2814</f>
        <v>142.906</v>
      </c>
      <c r="D2897" s="38" t="n">
        <f aca="false">Sens!$D$2814</f>
        <v>161.894</v>
      </c>
      <c r="E2897" s="38" t="n">
        <f aca="false">Sens!$E$2814</f>
        <v>81.986</v>
      </c>
      <c r="F2897" s="38" t="n">
        <f aca="false">Sens!$F$2814</f>
        <v>100.632414204623</v>
      </c>
      <c r="G2897" s="38" t="n">
        <f aca="false">Sens!$G$2814</f>
        <v>182.618414204623</v>
      </c>
      <c r="H2897" s="38" t="n">
        <f aca="false">Sens!$H$2814</f>
        <v>202.201346530158</v>
      </c>
      <c r="I2897" s="38" t="n">
        <f aca="false">Sens!$I$2814</f>
        <v>221.137876668296</v>
      </c>
      <c r="J2897" s="38" t="n">
        <f aca="false">Sens!$J$2814</f>
        <v>238.711898661958</v>
      </c>
      <c r="K2897" s="38" t="n">
        <f aca="false">Sens!$K$2814</f>
        <v>254.174923708144</v>
      </c>
      <c r="L2897" s="38" t="n">
        <f aca="false">Sens!$L$2814</f>
        <v>270.720216732733</v>
      </c>
      <c r="M2897" s="38" t="n">
        <f aca="false">Sens!$M$2814</f>
        <v>288.429331137484</v>
      </c>
      <c r="N2897" s="38" t="n">
        <f aca="false">Sens!$N$2814</f>
        <v>70.274</v>
      </c>
      <c r="O2897" s="38" t="n">
        <f aca="false">Sens!$O$2814</f>
        <v>91.62</v>
      </c>
    </row>
    <row r="2898" customFormat="false" ht="15" hidden="false" customHeight="false" outlineLevel="0" collapsed="false">
      <c r="A2898" s="1" t="s">
        <v>476</v>
      </c>
      <c r="B2898" s="8" t="s">
        <v>73</v>
      </c>
      <c r="C2898" s="38" t="n">
        <f aca="false">Sens!$C$2876</f>
        <v>107.556</v>
      </c>
      <c r="D2898" s="38" t="n">
        <f aca="false">Sens!$D$2876</f>
        <v>128.725</v>
      </c>
      <c r="E2898" s="38" t="n">
        <f aca="false">Sens!$E$2876</f>
        <v>79.819</v>
      </c>
      <c r="F2898" s="38" t="n">
        <f aca="false">Sens!$F$2876</f>
        <v>93.5584440633857</v>
      </c>
      <c r="G2898" s="38" t="n">
        <f aca="false">Sens!$G$2876</f>
        <v>173.377444063386</v>
      </c>
      <c r="H2898" s="38" t="n">
        <f aca="false">Sens!$H$2876</f>
        <v>242.183728948739</v>
      </c>
      <c r="I2898" s="38" t="n">
        <f aca="false">Sens!$I$2876</f>
        <v>316.191571603364</v>
      </c>
      <c r="J2898" s="38" t="n">
        <f aca="false">Sens!$J$2876</f>
        <v>388.788070776268</v>
      </c>
      <c r="K2898" s="38" t="n">
        <f aca="false">Sens!$K$2876</f>
        <v>457.404971665925</v>
      </c>
      <c r="L2898" s="38" t="n">
        <f aca="false">Sens!$L$2876</f>
        <v>529.023464365474</v>
      </c>
      <c r="M2898" s="38" t="n">
        <f aca="false">Sens!$M$2876</f>
        <v>603.95779886634</v>
      </c>
      <c r="N2898" s="38" t="n">
        <f aca="false">Sens!$N$2876</f>
        <v>60.14</v>
      </c>
      <c r="O2898" s="38" t="n">
        <f aca="false">Sens!$O$2876</f>
        <v>68.585</v>
      </c>
    </row>
    <row r="2899" customFormat="false" ht="17.15" hidden="false" customHeight="false" outlineLevel="0" collapsed="false">
      <c r="A2899" s="0" t="s">
        <v>643</v>
      </c>
      <c r="B2899" s="0" t="s">
        <v>73</v>
      </c>
      <c r="C2899" s="38" t="n">
        <f aca="false">Sens!$C$2874</f>
        <v>2.32100535697364</v>
      </c>
      <c r="D2899" s="38" t="n">
        <f aca="false">Sens!$D$2874</f>
        <v>8.70377008865116</v>
      </c>
      <c r="E2899" s="38" t="n">
        <f aca="false">Sens!$E$2874</f>
        <v>8.51035297557002</v>
      </c>
      <c r="F2899" s="38" t="n">
        <f aca="false">Sens!$F$2874</f>
        <v>14.9634336447205</v>
      </c>
      <c r="G2899" s="38" t="n">
        <f aca="false">Sens!$G$2874</f>
        <v>23.4737866202905</v>
      </c>
      <c r="H2899" s="38" t="n">
        <f aca="false">Sens!$H$2874</f>
        <v>60.1658907497746</v>
      </c>
      <c r="I2899" s="38" t="n">
        <f aca="false">Sens!$I$2874</f>
        <v>101.503699136432</v>
      </c>
      <c r="J2899" s="38" t="n">
        <f aca="false">Sens!$J$2874</f>
        <v>143.025407151278</v>
      </c>
      <c r="K2899" s="38" t="n">
        <f aca="false">Sens!$K$2874</f>
        <v>184.608415042187</v>
      </c>
      <c r="L2899" s="38" t="n">
        <f aca="false">Sens!$L$2874</f>
        <v>226.219286513125</v>
      </c>
      <c r="M2899" s="38" t="n">
        <f aca="false">Sens!$M$2874</f>
        <v>267.845161450232</v>
      </c>
      <c r="N2899" s="38" t="n">
        <f aca="false">Sens!$N$2874</f>
        <v>3.04631953102791</v>
      </c>
      <c r="O2899" s="38" t="n">
        <f aca="false">Sens!$O$2874</f>
        <v>5.65745055762326</v>
      </c>
    </row>
    <row r="2900" customFormat="false" ht="17.15" hidden="false" customHeight="false" outlineLevel="0" collapsed="false">
      <c r="A2900" s="0" t="s">
        <v>645</v>
      </c>
      <c r="B2900" s="0" t="s">
        <v>73</v>
      </c>
      <c r="C2900" s="38" t="n">
        <f aca="false">Sens!$C$2875</f>
        <v>105.234994643026</v>
      </c>
      <c r="D2900" s="38" t="n">
        <f aca="false">Sens!$D$2875</f>
        <v>120.021229911349</v>
      </c>
      <c r="E2900" s="38" t="n">
        <f aca="false">Sens!$E$2875</f>
        <v>71.30864702443</v>
      </c>
      <c r="F2900" s="38" t="n">
        <f aca="false">Sens!$F$2875</f>
        <v>78.5950104186653</v>
      </c>
      <c r="G2900" s="38" t="n">
        <f aca="false">Sens!$G$2875</f>
        <v>149.903657443095</v>
      </c>
      <c r="H2900" s="38" t="n">
        <f aca="false">Sens!$H$2875</f>
        <v>182.017838198965</v>
      </c>
      <c r="I2900" s="38" t="n">
        <f aca="false">Sens!$I$2875</f>
        <v>214.687872466932</v>
      </c>
      <c r="J2900" s="38" t="n">
        <f aca="false">Sens!$J$2875</f>
        <v>245.762663624989</v>
      </c>
      <c r="K2900" s="38" t="n">
        <f aca="false">Sens!$K$2875</f>
        <v>272.796556623738</v>
      </c>
      <c r="L2900" s="38" t="n">
        <f aca="false">Sens!$L$2875</f>
        <v>302.804177852349</v>
      </c>
      <c r="M2900" s="38" t="n">
        <f aca="false">Sens!$M$2875</f>
        <v>336.112637416108</v>
      </c>
      <c r="N2900" s="38" t="n">
        <f aca="false">Sens!$N$2875</f>
        <v>57.0936804689721</v>
      </c>
      <c r="O2900" s="38" t="n">
        <f aca="false">Sens!$O$2875</f>
        <v>62.9275494423768</v>
      </c>
    </row>
    <row r="2901" customFormat="false" ht="15" hidden="false" customHeight="false" outlineLevel="0" collapsed="false">
      <c r="A2901" s="3" t="s">
        <v>477</v>
      </c>
      <c r="B2901" s="8" t="s">
        <v>73</v>
      </c>
      <c r="C2901" s="38" t="n">
        <f aca="false">Sens!$C$2877</f>
        <v>637.959</v>
      </c>
      <c r="D2901" s="38" t="n">
        <f aca="false">Sens!$D$2877</f>
        <v>716.924</v>
      </c>
      <c r="E2901" s="38" t="n">
        <f aca="false">Sens!$E$2877</f>
        <v>382.125</v>
      </c>
      <c r="F2901" s="38" t="n">
        <f aca="false">Sens!$F$2877</f>
        <v>450.494873271816</v>
      </c>
      <c r="G2901" s="38" t="n">
        <f aca="false">Sens!$G$2877</f>
        <v>832.619873271816</v>
      </c>
      <c r="H2901" s="38" t="n">
        <f aca="false">Sens!$H$2877</f>
        <v>972.11946657044</v>
      </c>
      <c r="I2901" s="38" t="n">
        <f aca="false">Sens!$I$2877</f>
        <v>1114.48714130124</v>
      </c>
      <c r="J2901" s="38" t="n">
        <f aca="false">Sens!$J$2877</f>
        <v>1250.52489310205</v>
      </c>
      <c r="K2901" s="38" t="n">
        <f aca="false">Sens!$K$2877</f>
        <v>1374.96246376785</v>
      </c>
      <c r="L2901" s="38" t="n">
        <f aca="false">Sens!$L$2877</f>
        <v>1506.30855410864</v>
      </c>
      <c r="M2901" s="38" t="n">
        <f aca="false">Sens!$M$2877</f>
        <v>1645.17181740984</v>
      </c>
      <c r="N2901" s="38" t="n">
        <f aca="false">Sens!$N$2877</f>
        <v>323.369</v>
      </c>
      <c r="O2901" s="38" t="n">
        <f aca="false">Sens!$O$2877</f>
        <v>393.555</v>
      </c>
    </row>
    <row r="2902" customFormat="false" ht="17.15" hidden="false" customHeight="false" outlineLevel="0" collapsed="false">
      <c r="A2902" s="24" t="s">
        <v>655</v>
      </c>
      <c r="B2902" s="25" t="s">
        <v>73</v>
      </c>
      <c r="C2902" s="39" t="n">
        <f aca="false">Sens!$C$2889+Sens!$C$2890+Sens!$C$2891+Sens!$C$2892+Sens!$C$2893+Sens!$C$2894-(Sens!$C$2896+Sens!$C$2897)</f>
        <v>0</v>
      </c>
      <c r="D2902" s="39" t="n">
        <f aca="false">Sens!$D$2889+Sens!$D$2890+Sens!$D$2891+Sens!$D$2892+Sens!$D$2893+Sens!$D$2894-(Sens!$D$2896+Sens!$D$2897)</f>
        <v>0</v>
      </c>
      <c r="E2902" s="39" t="n">
        <f aca="false">Sens!$E$2889+Sens!$E$2890+Sens!$E$2891+Sens!$E$2892+Sens!$E$2893+Sens!$E$2894-(Sens!$E$2896+Sens!$E$2897)</f>
        <v>0</v>
      </c>
      <c r="F2902" s="39" t="n">
        <f aca="false">Sens!$F$2889+Sens!$F$2890+Sens!$F$2891+Sens!$F$2892+Sens!$F$2893+Sens!$F$2894-(Sens!$F$2896+Sens!$F$2897)</f>
        <v>0</v>
      </c>
      <c r="G2902" s="39" t="n">
        <f aca="false">Sens!$G$2889+Sens!$G$2890+Sens!$G$2891+Sens!$G$2892+Sens!$G$2893+Sens!$G$2894-(Sens!$G$2896+Sens!$G$2897)</f>
        <v>0</v>
      </c>
      <c r="H2902" s="39" t="n">
        <f aca="false">Sens!$H$2889+Sens!$H$2890+Sens!$H$2891+Sens!$H$2892+Sens!$H$2893+Sens!$H$2894-(Sens!$H$2896+Sens!$H$2897)</f>
        <v>0</v>
      </c>
      <c r="I2902" s="39" t="n">
        <f aca="false">Sens!$I$2889+Sens!$I$2890+Sens!$I$2891+Sens!$I$2892+Sens!$I$2893+Sens!$I$2894-(Sens!$I$2896+Sens!$I$2897)</f>
        <v>0</v>
      </c>
      <c r="J2902" s="39" t="n">
        <f aca="false">Sens!$J$2889+Sens!$J$2890+Sens!$J$2891+Sens!$J$2892+Sens!$J$2893+Sens!$J$2894-(Sens!$J$2896+Sens!$J$2897)</f>
        <v>0</v>
      </c>
      <c r="K2902" s="39" t="n">
        <f aca="false">Sens!$K$2889+Sens!$K$2890+Sens!$K$2891+Sens!$K$2892+Sens!$K$2893+Sens!$K$2894-(Sens!$K$2896+Sens!$K$2897)</f>
        <v>0</v>
      </c>
      <c r="L2902" s="39" t="n">
        <f aca="false">Sens!$L$2889+Sens!$L$2890+Sens!$L$2891+Sens!$L$2892+Sens!$L$2893+Sens!$L$2894-(Sens!$L$2896+Sens!$L$2897)</f>
        <v>0</v>
      </c>
      <c r="M2902" s="39" t="n">
        <f aca="false">Sens!$M$2889+Sens!$M$2890+Sens!$M$2891+Sens!$M$2892+Sens!$M$2893+Sens!$M$2894-(Sens!$M$2896+Sens!$M$2897)</f>
        <v>0</v>
      </c>
      <c r="N2902" s="39" t="n">
        <f aca="false">Sens!$N$2889+Sens!$N$2890+Sens!$N$2891+Sens!$N$2892+Sens!$N$2893+Sens!$N$2894-(Sens!$N$2896+Sens!$N$2897)</f>
        <v>0</v>
      </c>
      <c r="O2902" s="39" t="n">
        <f aca="false">Sens!$O$2889+Sens!$O$2890+Sens!$O$2891+Sens!$O$2892+Sens!$O$2893+Sens!$O$2894-(Sens!$O$2896+Sens!$O$2897)</f>
        <v>0</v>
      </c>
    </row>
    <row r="2903" customFormat="false" ht="17.15" hidden="false" customHeight="false" outlineLevel="0" collapsed="false">
      <c r="A2903" s="24" t="s">
        <v>656</v>
      </c>
      <c r="B2903" s="25" t="s">
        <v>73</v>
      </c>
      <c r="C2903" s="39" t="n">
        <f aca="false">Sens!$C$2899+Sens!$C$2900-Sens!$C$2898</f>
        <v>0</v>
      </c>
      <c r="D2903" s="39" t="n">
        <f aca="false">Sens!$D$2899+Sens!$D$2900-Sens!$D$2898</f>
        <v>0</v>
      </c>
      <c r="E2903" s="39" t="n">
        <f aca="false">Sens!$E$2899+Sens!$E$2900-Sens!$E$2898</f>
        <v>0</v>
      </c>
      <c r="F2903" s="39" t="n">
        <f aca="false">Sens!$F$2899+Sens!$F$2900-Sens!$F$2898</f>
        <v>0</v>
      </c>
      <c r="G2903" s="39" t="n">
        <f aca="false">Sens!$G$2899+Sens!$G$2900-Sens!$G$2898</f>
        <v>0</v>
      </c>
      <c r="H2903" s="39" t="n">
        <f aca="false">Sens!$H$2899+Sens!$H$2900-Sens!$H$2898</f>
        <v>0</v>
      </c>
      <c r="I2903" s="39" t="n">
        <f aca="false">Sens!$I$2899+Sens!$I$2900-Sens!$I$2898</f>
        <v>0</v>
      </c>
      <c r="J2903" s="39" t="n">
        <f aca="false">Sens!$J$2899+Sens!$J$2900-Sens!$J$2898</f>
        <v>0</v>
      </c>
      <c r="K2903" s="39" t="n">
        <f aca="false">Sens!$K$2899+Sens!$K$2900-Sens!$K$2898</f>
        <v>0</v>
      </c>
      <c r="L2903" s="39" t="n">
        <f aca="false">Sens!$L$2899+Sens!$L$2900-Sens!$L$2898</f>
        <v>0</v>
      </c>
      <c r="M2903" s="39" t="n">
        <f aca="false">Sens!$M$2899+Sens!$M$2900-Sens!$M$2898</f>
        <v>0</v>
      </c>
      <c r="N2903" s="39" t="n">
        <f aca="false">Sens!$N$2899+Sens!$N$2900-Sens!$N$2898</f>
        <v>0</v>
      </c>
      <c r="O2903" s="39" t="n">
        <f aca="false">Sens!$O$2899+Sens!$O$2900-Sens!$O$2898</f>
        <v>0</v>
      </c>
    </row>
    <row r="2904" customFormat="false" ht="17.15" hidden="false" customHeight="false" outlineLevel="0" collapsed="false">
      <c r="A2904" s="24" t="s">
        <v>710</v>
      </c>
      <c r="B2904" s="25" t="s">
        <v>73</v>
      </c>
      <c r="C2904" s="39" t="n">
        <f aca="false">Sens!$C$2889+Sens!$C$2890+Sens!$C$2891+Sens!$C$2892+Sens!$C$2893+Sens!$C$2894+Sens!$C$2895-Sens!$C$2901</f>
        <v>0</v>
      </c>
      <c r="D2904" s="39" t="n">
        <f aca="false">Sens!$D$2889+Sens!$D$2890+Sens!$D$2891+Sens!$D$2892+Sens!$D$2893+Sens!$D$2894+Sens!$D$2895-Sens!$D$2901</f>
        <v>0</v>
      </c>
      <c r="E2904" s="39" t="n">
        <f aca="false">Sens!$E$2889+Sens!$E$2890+Sens!$E$2891+Sens!$E$2892+Sens!$E$2893+Sens!$E$2894+Sens!$E$2895-Sens!$E$2901</f>
        <v>0</v>
      </c>
      <c r="F2904" s="39" t="n">
        <f aca="false">Sens!$F$2889+Sens!$F$2890+Sens!$F$2891+Sens!$F$2892+Sens!$F$2893+Sens!$F$2894+Sens!$F$2895-Sens!$F$2901</f>
        <v>0</v>
      </c>
      <c r="G2904" s="39" t="n">
        <f aca="false">Sens!$G$2889+Sens!$G$2890+Sens!$G$2891+Sens!$G$2892+Sens!$G$2893+Sens!$G$2894+Sens!$G$2895-Sens!$G$2901</f>
        <v>0</v>
      </c>
      <c r="H2904" s="39" t="n">
        <f aca="false">Sens!$H$2889+Sens!$H$2890+Sens!$H$2891+Sens!$H$2892+Sens!$H$2893+Sens!$H$2894+Sens!$H$2895-Sens!$H$2901</f>
        <v>0</v>
      </c>
      <c r="I2904" s="39" t="n">
        <f aca="false">Sens!$I$2889+Sens!$I$2890+Sens!$I$2891+Sens!$I$2892+Sens!$I$2893+Sens!$I$2894+Sens!$I$2895-Sens!$I$2901</f>
        <v>0</v>
      </c>
      <c r="J2904" s="39" t="n">
        <f aca="false">Sens!$J$2889+Sens!$J$2890+Sens!$J$2891+Sens!$J$2892+Sens!$J$2893+Sens!$J$2894+Sens!$J$2895-Sens!$J$2901</f>
        <v>0</v>
      </c>
      <c r="K2904" s="39" t="n">
        <f aca="false">Sens!$K$2889+Sens!$K$2890+Sens!$K$2891+Sens!$K$2892+Sens!$K$2893+Sens!$K$2894+Sens!$K$2895-Sens!$K$2901</f>
        <v>0</v>
      </c>
      <c r="L2904" s="39" t="n">
        <f aca="false">Sens!$L$2889+Sens!$L$2890+Sens!$L$2891+Sens!$L$2892+Sens!$L$2893+Sens!$L$2894+Sens!$L$2895-Sens!$L$2901</f>
        <v>0</v>
      </c>
      <c r="M2904" s="39" t="n">
        <f aca="false">Sens!$M$2889+Sens!$M$2890+Sens!$M$2891+Sens!$M$2892+Sens!$M$2893+Sens!$M$2894+Sens!$M$2895-Sens!$M$2901</f>
        <v>0</v>
      </c>
      <c r="N2904" s="39" t="n">
        <f aca="false">Sens!$N$2889+Sens!$N$2890+Sens!$N$2891+Sens!$N$2892+Sens!$N$2893+Sens!$N$2894+Sens!$N$2895-Sens!$N$2901</f>
        <v>0</v>
      </c>
      <c r="O2904" s="39" t="n">
        <f aca="false">Sens!$O$2889+Sens!$O$2890+Sens!$O$2891+Sens!$O$2892+Sens!$O$2893+Sens!$O$2894+Sens!$O$2895-Sens!$O$2901</f>
        <v>0</v>
      </c>
    </row>
    <row r="2905" customFormat="false" ht="17.15" hidden="false" customHeight="false" outlineLevel="0" collapsed="false">
      <c r="A2905" s="24" t="s">
        <v>657</v>
      </c>
      <c r="B2905" s="25" t="s">
        <v>73</v>
      </c>
      <c r="C2905" s="39" t="n">
        <f aca="false">Sens!$C$2896+Sens!$C$2897+Sens!$C$2898-Sens!$C$2901</f>
        <v>0</v>
      </c>
      <c r="D2905" s="39" t="n">
        <f aca="false">Sens!$D$2896+Sens!$D$2897+Sens!$D$2898-Sens!$D$2901</f>
        <v>0</v>
      </c>
      <c r="E2905" s="39" t="n">
        <f aca="false">Sens!$E$2896+Sens!$E$2897+Sens!$E$2898-Sens!$E$2901</f>
        <v>0</v>
      </c>
      <c r="F2905" s="39" t="n">
        <f aca="false">Sens!$F$2896+Sens!$F$2897+Sens!$F$2898-Sens!$F$2901</f>
        <v>0</v>
      </c>
      <c r="G2905" s="39" t="n">
        <f aca="false">Sens!$G$2896+Sens!$G$2897+Sens!$G$2898-Sens!$G$2901</f>
        <v>0</v>
      </c>
      <c r="H2905" s="39" t="n">
        <f aca="false">Sens!$H$2896+Sens!$H$2897+Sens!$H$2898-Sens!$H$2901</f>
        <v>0</v>
      </c>
      <c r="I2905" s="39" t="n">
        <f aca="false">Sens!$I$2896+Sens!$I$2897+Sens!$I$2898-Sens!$I$2901</f>
        <v>0</v>
      </c>
      <c r="J2905" s="39" t="n">
        <f aca="false">Sens!$J$2896+Sens!$J$2897+Sens!$J$2898-Sens!$J$2901</f>
        <v>0</v>
      </c>
      <c r="K2905" s="39" t="n">
        <f aca="false">Sens!$K$2896+Sens!$K$2897+Sens!$K$2898-Sens!$K$2901</f>
        <v>0</v>
      </c>
      <c r="L2905" s="39" t="n">
        <f aca="false">Sens!$L$2896+Sens!$L$2897+Sens!$L$2898-Sens!$L$2901</f>
        <v>0</v>
      </c>
      <c r="M2905" s="39" t="n">
        <f aca="false">Sens!$M$2896+Sens!$M$2897+Sens!$M$2898-Sens!$M$2901</f>
        <v>0</v>
      </c>
      <c r="N2905" s="39" t="n">
        <f aca="false">Sens!$N$2896+Sens!$N$2897+Sens!$N$2898-Sens!$N$2901</f>
        <v>0</v>
      </c>
      <c r="O2905" s="39" t="n">
        <f aca="false">Sens!$O$2896+Sens!$O$2897+Sens!$O$2898-Sens!$O$2901</f>
        <v>0</v>
      </c>
    </row>
    <row r="2906" customFormat="false" ht="17.15" hidden="false" customHeight="false" outlineLevel="0" collapsed="false">
      <c r="A2906" s="1" t="s">
        <v>671</v>
      </c>
    </row>
    <row r="2907" customFormat="false" ht="17.15" hidden="false" customHeight="false" outlineLevel="0" collapsed="false">
      <c r="A2907" s="0" t="s">
        <v>672</v>
      </c>
      <c r="B2907" s="0" t="s">
        <v>73</v>
      </c>
      <c r="C2907" s="38" t="n">
        <f aca="false">Sens!$C$2815*m_ad</f>
        <v>20.5341564414228</v>
      </c>
      <c r="D2907" s="38" t="n">
        <f aca="false">Sens!$D$2815*m_ad</f>
        <v>24.8720617299587</v>
      </c>
      <c r="E2907" s="38" t="n">
        <f aca="false">Sens!$E$2815*m_ad</f>
        <v>13.5017112462207</v>
      </c>
      <c r="F2907" s="38" t="n">
        <f aca="false">Sens!$F$2815*m_ad</f>
        <v>17.2886442824599</v>
      </c>
      <c r="G2907" s="38" t="n">
        <f aca="false">Sens!$G$2815*m_ad</f>
        <v>30.8011958765886</v>
      </c>
      <c r="H2907" s="38" t="n">
        <f aca="false">Sens!$H$2815*m_ad</f>
        <v>36.978409366026</v>
      </c>
      <c r="I2907" s="38" t="n">
        <f aca="false">Sens!$I$2815*m_ad</f>
        <v>43.155063281273</v>
      </c>
      <c r="J2907" s="38" t="n">
        <f aca="false">Sens!$J$2815*m_ad</f>
        <v>48.9169991988532</v>
      </c>
      <c r="K2907" s="38" t="n">
        <f aca="false">Sens!$K$2815*m_ad</f>
        <v>53.8086991187386</v>
      </c>
      <c r="L2907" s="38" t="n">
        <f aca="false">Sens!$L$2815*m_ad</f>
        <v>59.1895690306124</v>
      </c>
      <c r="M2907" s="38" t="n">
        <f aca="false">Sens!$M$2815*m_ad</f>
        <v>65.1085259336737</v>
      </c>
      <c r="N2907" s="38" t="n">
        <f aca="false">Sens!$N$2815*m_ad</f>
        <v>10.8543555706248</v>
      </c>
      <c r="O2907" s="38" t="n">
        <f aca="false">Sens!$O$2815*m_ad</f>
        <v>14.0094731821399</v>
      </c>
    </row>
    <row r="2908" customFormat="false" ht="17.15" hidden="false" customHeight="false" outlineLevel="0" collapsed="false">
      <c r="A2908" s="0" t="s">
        <v>673</v>
      </c>
      <c r="B2908" s="0" t="s">
        <v>73</v>
      </c>
      <c r="C2908" s="38" t="n">
        <f aca="false">Sens!$C$2813-Sens!$C$2815</f>
        <v>346.428687117154</v>
      </c>
      <c r="D2908" s="38" t="n">
        <f aca="false">Sens!$D$2813-Sens!$D$2815</f>
        <v>376.560876540083</v>
      </c>
      <c r="E2908" s="38" t="n">
        <f aca="false">Sens!$E$2813-Sens!$E$2815</f>
        <v>193.316577507559</v>
      </c>
      <c r="F2908" s="38" t="n">
        <f aca="false">Sens!$F$2813-Sens!$F$2815</f>
        <v>221.726726438887</v>
      </c>
      <c r="G2908" s="38" t="n">
        <f aca="false">Sens!$G$2813-Sens!$G$2815</f>
        <v>415.02162325063</v>
      </c>
      <c r="H2908" s="38" t="n">
        <f aca="false">Sens!$H$2813-Sens!$H$2815</f>
        <v>453.777572359491</v>
      </c>
      <c r="I2908" s="38" t="n">
        <f aca="false">Sens!$I$2813-Sens!$I$2815</f>
        <v>490.847566467031</v>
      </c>
      <c r="J2908" s="38" t="n">
        <f aca="false">Sens!$J$2813-Sens!$J$2815</f>
        <v>525.190925266121</v>
      </c>
      <c r="K2908" s="38" t="n">
        <f aca="false">Sens!$K$2813-Sens!$K$2815</f>
        <v>555.765170156304</v>
      </c>
      <c r="L2908" s="38" t="n">
        <f aca="false">Sens!$L$2813-Sens!$L$2815</f>
        <v>588.185734949207</v>
      </c>
      <c r="M2908" s="38" t="n">
        <f aca="false">Sens!$M$2813-Sens!$M$2815</f>
        <v>622.567635538672</v>
      </c>
      <c r="N2908" s="38" t="n">
        <f aca="false">Sens!$N$2813-Sens!$N$2815</f>
        <v>171.24628885875</v>
      </c>
      <c r="O2908" s="38" t="n">
        <f aca="false">Sens!$O$2813-Sens!$O$2815</f>
        <v>205.33105363572</v>
      </c>
    </row>
    <row r="2909" customFormat="false" ht="17.15" hidden="false" customHeight="false" outlineLevel="0" collapsed="false">
      <c r="A2909" s="0" t="s">
        <v>674</v>
      </c>
      <c r="B2909" s="0" t="s">
        <v>73</v>
      </c>
      <c r="C2909" s="38" t="n">
        <f aca="false">Sens!$C$2860*Sens!$C$2812</f>
        <v>0.123617442257179</v>
      </c>
      <c r="D2909" s="38" t="n">
        <f aca="false">Sens!$D$2860*Sens!$D$2812</f>
        <v>0.874366899302609</v>
      </c>
      <c r="E2909" s="38" t="n">
        <f aca="false">Sens!$E$2860*Sens!$E$2812</f>
        <v>1.29318830502574</v>
      </c>
      <c r="F2909" s="38" t="n">
        <f aca="false">Sens!$F$2860*Sens!$F$2812</f>
        <v>1.51802024162534</v>
      </c>
      <c r="G2909" s="38" t="n">
        <f aca="false">Sens!$G$2860*Sens!$G$2812</f>
        <v>2.81130189308167</v>
      </c>
      <c r="H2909" s="38" t="n">
        <f aca="false">Sens!$H$2860*Sens!$H$2812</f>
        <v>7.38966789318209</v>
      </c>
      <c r="I2909" s="38" t="n">
        <f aca="false">Sens!$I$2860*Sens!$I$2812</f>
        <v>12.8987443661473</v>
      </c>
      <c r="J2909" s="38" t="n">
        <f aca="false">Sens!$J$2860*Sens!$J$2812</f>
        <v>18.5570025453645</v>
      </c>
      <c r="K2909" s="38" t="n">
        <f aca="false">Sens!$K$2860*Sens!$K$2812</f>
        <v>24.3158972773405</v>
      </c>
      <c r="L2909" s="38" t="n">
        <f aca="false">Sens!$L$2860*Sens!$L$2812</f>
        <v>29.7827375558674</v>
      </c>
      <c r="M2909" s="38" t="n">
        <f aca="false">Sens!$M$2860*Sens!$M$2812</f>
        <v>35.3532344973194</v>
      </c>
      <c r="N2909" s="38" t="n">
        <f aca="false">Sens!$N$2860*Sens!$N$2812</f>
        <v>0.389180508437431</v>
      </c>
      <c r="O2909" s="38" t="n">
        <f aca="false">Sens!$O$2860*Sens!$O$2812</f>
        <v>0.485052120082802</v>
      </c>
    </row>
    <row r="2910" customFormat="false" ht="17.15" hidden="false" customHeight="false" outlineLevel="0" collapsed="false">
      <c r="A2910" s="0" t="s">
        <v>675</v>
      </c>
      <c r="B2910" s="0" t="s">
        <v>52</v>
      </c>
      <c r="C2910" s="28" t="n">
        <f aca="false">(Sens!$C$2911-Sens!$C$2907+Sens!$C$2909)/Sens!$C$2908</f>
        <v>0.0131526665379575</v>
      </c>
      <c r="D2910" s="28" t="n">
        <f aca="false">(Sens!$D$2911-Sens!$D$2907+Sens!$D$2909)/Sens!$D$2908</f>
        <v>0.0149280116962589</v>
      </c>
      <c r="E2910" s="28" t="n">
        <f aca="false">(Sens!$E$2911-Sens!$E$2907+Sens!$E$2909)/Sens!$E$2908</f>
        <v>0.0268030663774938</v>
      </c>
      <c r="F2910" s="28" t="n">
        <f aca="false">Sens!$O$2910+(Sens!$E$2910-Sens!$N$2910)</f>
        <v>0.0232379346966962</v>
      </c>
      <c r="G2910" s="28" t="n">
        <f aca="false">(Sens!$G$2911-Sens!$G$2907+Sens!$G$2909)/Sens!$G$2908</f>
        <v>0.0248738876928168</v>
      </c>
      <c r="H2910" s="28" t="n">
        <f aca="false">Sens!$G$2910+step_na</f>
        <v>0.0278738876928168</v>
      </c>
      <c r="I2910" s="28" t="n">
        <f aca="false">Sens!$H$2910+step_na</f>
        <v>0.0308738876928168</v>
      </c>
      <c r="J2910" s="28" t="n">
        <f aca="false">Sens!$I$2910+step_na</f>
        <v>0.0338738876928168</v>
      </c>
      <c r="K2910" s="28" t="n">
        <f aca="false">Sens!$J$2910+step_na</f>
        <v>0.0368738876928168</v>
      </c>
      <c r="L2910" s="28" t="n">
        <f aca="false">Sens!$K$2910</f>
        <v>0.0368738876928168</v>
      </c>
      <c r="M2910" s="28" t="n">
        <f aca="false">Sens!$L$2910</f>
        <v>0.0368738876928168</v>
      </c>
      <c r="N2910" s="28" t="n">
        <f aca="false">(Sens!$N$2911-Sens!$N$2907+Sens!$N$2909)/Sens!$N$2908</f>
        <v>0.0168927744775755</v>
      </c>
      <c r="O2910" s="28" t="n">
        <f aca="false">(Sens!$O$2911-Sens!$O$2907+Sens!$O$2909)/Sens!$O$2908</f>
        <v>0.0133276427967779</v>
      </c>
      <c r="P2910" s="8" t="s">
        <v>676</v>
      </c>
    </row>
    <row r="2911" customFormat="false" ht="17.15" hidden="false" customHeight="false" outlineLevel="0" collapsed="false">
      <c r="A2911" s="1" t="s">
        <v>677</v>
      </c>
      <c r="B2911" s="8" t="s">
        <v>73</v>
      </c>
      <c r="C2911" s="38" t="n">
        <f aca="false">Q!$D$22</f>
        <v>24.967</v>
      </c>
      <c r="D2911" s="38" t="n">
        <f aca="false">Q!$E$22</f>
        <v>29.619</v>
      </c>
      <c r="E2911" s="38" t="n">
        <f aca="false">Q!$P$22</f>
        <v>17.39</v>
      </c>
      <c r="F2911" s="38" t="n">
        <f aca="false">Sens!$F$2907+Sens!$F$2908*Sens!$F$2910-Sens!$F$2909</f>
        <v>20.9230952303336</v>
      </c>
      <c r="G2911" s="38" t="n">
        <f aca="false">Sens!$E$2911+Sens!$F$2911</f>
        <v>38.3130952303336</v>
      </c>
      <c r="H2911" s="38" t="n">
        <f aca="false">Sens!$H$2907+Sens!$H$2908*Sens!$H$2910-Sens!$H$2909</f>
        <v>42.2372865623114</v>
      </c>
      <c r="I2911" s="38" t="n">
        <f aca="false">Sens!$I$2907+Sens!$I$2908*Sens!$I$2910-Sens!$I$2909</f>
        <v>45.4106915565213</v>
      </c>
      <c r="J2911" s="38" t="n">
        <f aca="false">Sens!$J$2907+Sens!$J$2908*Sens!$J$2910-Sens!$J$2909</f>
        <v>48.1502550732398</v>
      </c>
      <c r="K2911" s="38" t="n">
        <f aca="false">Sens!$K$2907+Sens!$K$2908*Sens!$K$2910-Sens!$K$2909</f>
        <v>49.9860243093208</v>
      </c>
      <c r="L2911" s="38" t="n">
        <f aca="false">Sens!$L$2907+Sens!$L$2908*Sens!$L$2910-Sens!$L$2909</f>
        <v>51.095526207779</v>
      </c>
      <c r="M2911" s="38" t="n">
        <f aca="false">Sens!$M$2907+Sens!$M$2908*Sens!$M$2910-Sens!$M$2909</f>
        <v>52.7117805103898</v>
      </c>
      <c r="N2911" s="38" t="n">
        <f aca="false">Q!$N$22</f>
        <v>13.358</v>
      </c>
      <c r="O2911" s="38" t="n">
        <f aca="false">Q!$O$22</f>
        <v>16.261</v>
      </c>
    </row>
    <row r="2912" customFormat="false" ht="17.15" hidden="false" customHeight="false" outlineLevel="0" collapsed="false">
      <c r="A2912" s="0" t="s">
        <v>678</v>
      </c>
      <c r="B2912" s="0" t="s">
        <v>73</v>
      </c>
      <c r="C2912" s="38" t="n">
        <f aca="false">Sens!$C$2816*m_ad</f>
        <v>7.57284355857716</v>
      </c>
      <c r="D2912" s="38" t="n">
        <f aca="false">Sens!$D$2816*m_ad</f>
        <v>9.44543827004127</v>
      </c>
      <c r="E2912" s="38" t="n">
        <f aca="false">Sens!$E$2816*m_ad</f>
        <v>5.02428875377928</v>
      </c>
      <c r="F2912" s="38" t="n">
        <f aca="false">Sens!$F$2816*m_ad</f>
        <v>6.78802480890925</v>
      </c>
      <c r="G2912" s="38" t="n">
        <f aca="false">Sens!$G$2816*m_ad</f>
        <v>11.8014732147805</v>
      </c>
      <c r="H2912" s="38" t="n">
        <f aca="false">Sens!$H$2816*m_ad</f>
        <v>14.1682715634442</v>
      </c>
      <c r="I2912" s="38" t="n">
        <f aca="false">Sens!$I$2816*m_ad</f>
        <v>16.5348555113474</v>
      </c>
      <c r="J2912" s="38" t="n">
        <f aca="false">Sens!$J$2816*m_ad</f>
        <v>18.7425403255689</v>
      </c>
      <c r="K2912" s="38" t="n">
        <f aca="false">Sens!$K$2816*m_ad</f>
        <v>20.6167943581258</v>
      </c>
      <c r="L2912" s="38" t="n">
        <f aca="false">Sens!$L$2816*m_ad</f>
        <v>22.6784737939383</v>
      </c>
      <c r="M2912" s="38" t="n">
        <f aca="false">Sens!$M$2816*m_ad</f>
        <v>24.9463211733322</v>
      </c>
      <c r="N2912" s="38" t="n">
        <f aca="false">Sens!$N$2816*m_ad</f>
        <v>3.95314442937518</v>
      </c>
      <c r="O2912" s="38" t="n">
        <f aca="false">Sens!$O$2816*m_ad</f>
        <v>5.50052681786011</v>
      </c>
    </row>
    <row r="2913" customFormat="false" ht="17.15" hidden="false" customHeight="false" outlineLevel="0" collapsed="false">
      <c r="A2913" s="0" t="s">
        <v>679</v>
      </c>
      <c r="B2913" s="0" t="s">
        <v>73</v>
      </c>
      <c r="C2913" s="38" t="n">
        <f aca="false">Sens!$C$2814-Sens!$C$2816</f>
        <v>127.760312882846</v>
      </c>
      <c r="D2913" s="38" t="n">
        <f aca="false">Sens!$D$2814-Sens!$D$2816</f>
        <v>143.003123459917</v>
      </c>
      <c r="E2913" s="38" t="n">
        <f aca="false">Sens!$E$2814-Sens!$E$2816</f>
        <v>71.9374224924414</v>
      </c>
      <c r="F2913" s="38" t="n">
        <f aca="false">Sens!$F$2814-Sens!$F$2816</f>
        <v>87.0563645868046</v>
      </c>
      <c r="G2913" s="38" t="n">
        <f aca="false">Sens!$G$2814-Sens!$G$2816</f>
        <v>159.015467775062</v>
      </c>
      <c r="H2913" s="38" t="n">
        <f aca="false">Sens!$H$2814-Sens!$H$2816</f>
        <v>173.864803403269</v>
      </c>
      <c r="I2913" s="38" t="n">
        <f aca="false">Sens!$I$2814-Sens!$I$2816</f>
        <v>188.068165645601</v>
      </c>
      <c r="J2913" s="38" t="n">
        <f aca="false">Sens!$J$2814-Sens!$J$2816</f>
        <v>201.22681801082</v>
      </c>
      <c r="K2913" s="38" t="n">
        <f aca="false">Sens!$K$2814-Sens!$K$2816</f>
        <v>212.941334991893</v>
      </c>
      <c r="L2913" s="38" t="n">
        <f aca="false">Sens!$L$2814-Sens!$L$2816</f>
        <v>225.363269144856</v>
      </c>
      <c r="M2913" s="38" t="n">
        <f aca="false">Sens!$M$2814-Sens!$M$2816</f>
        <v>238.536688790819</v>
      </c>
      <c r="N2913" s="38" t="n">
        <f aca="false">Sens!$N$2814-Sens!$N$2816</f>
        <v>62.3677111412496</v>
      </c>
      <c r="O2913" s="38" t="n">
        <f aca="false">Sens!$O$2814-Sens!$O$2816</f>
        <v>80.6189463642798</v>
      </c>
    </row>
    <row r="2914" customFormat="false" ht="17.15" hidden="false" customHeight="false" outlineLevel="0" collapsed="false">
      <c r="A2914" s="0" t="s">
        <v>680</v>
      </c>
      <c r="B2914" s="0" t="s">
        <v>73</v>
      </c>
      <c r="C2914" s="38" t="n">
        <f aca="false">Sens!$C$2860*(1-Sens!$C$2812)</f>
        <v>0.0455891896019953</v>
      </c>
      <c r="D2914" s="38" t="n">
        <f aca="false">Sens!$D$2860*(1-Sens!$D$2812)</f>
        <v>0.332050421167231</v>
      </c>
      <c r="E2914" s="38" t="n">
        <f aca="false">Sens!$E$2860*(1-Sens!$E$2812)</f>
        <v>0.481224293644882</v>
      </c>
      <c r="F2914" s="38" t="n">
        <f aca="false">Sens!$F$2860*(1-Sens!$F$2812)</f>
        <v>0.596018918096053</v>
      </c>
      <c r="G2914" s="38" t="n">
        <f aca="false">Sens!$G$2860*(1-Sens!$G$2812)</f>
        <v>1.07714986531035</v>
      </c>
      <c r="H2914" s="38" t="n">
        <f aca="false">Sens!$H$2860*(1-Sens!$H$2812)</f>
        <v>2.83135005721638</v>
      </c>
      <c r="I2914" s="38" t="n">
        <f aca="false">Sens!$I$2860*(1-Sens!$I$2812)</f>
        <v>4.9421518161602</v>
      </c>
      <c r="J2914" s="38" t="n">
        <f aca="false">Sens!$J$2860*(1-Sens!$J$2812)</f>
        <v>7.11011252170866</v>
      </c>
      <c r="K2914" s="38" t="n">
        <f aca="false">Sens!$K$2860*(1-Sens!$K$2812)</f>
        <v>9.31663210615807</v>
      </c>
      <c r="L2914" s="38" t="n">
        <f aca="false">Sens!$L$2860*(1-Sens!$L$2812)</f>
        <v>11.411251074039</v>
      </c>
      <c r="M2914" s="38" t="n">
        <f aca="false">Sens!$M$2860*(1-Sens!$M$2812)</f>
        <v>13.5455860755423</v>
      </c>
      <c r="N2914" s="38" t="n">
        <f aca="false">Sens!$N$2860*(1-Sens!$N$2812)</f>
        <v>0.141739115596548</v>
      </c>
      <c r="O2914" s="38" t="n">
        <f aca="false">Sens!$O$2860*(1-Sens!$O$2812)</f>
        <v>0.190445576353059</v>
      </c>
    </row>
    <row r="2915" customFormat="false" ht="17.15" hidden="false" customHeight="false" outlineLevel="0" collapsed="false">
      <c r="A2915" s="0" t="s">
        <v>681</v>
      </c>
      <c r="B2915" s="0" t="s">
        <v>52</v>
      </c>
      <c r="C2915" s="28" t="n">
        <f aca="false">(Sens!$C$2916-Sens!$C$2912+Sens!$C$2914)/Sens!$C$2913</f>
        <v>-0.0292364215826579</v>
      </c>
      <c r="D2915" s="28" t="n">
        <f aca="false">(Sens!$D$2916-Sens!$D$2912+Sens!$D$2914)/Sens!$D$2913</f>
        <v>-0.0305125352740778</v>
      </c>
      <c r="E2915" s="28" t="n">
        <f aca="false">(Sens!$E$2916-Sens!$E$2912+Sens!$E$2914)/Sens!$E$2913</f>
        <v>-0.019490056934994</v>
      </c>
      <c r="F2915" s="28" t="n">
        <f aca="false">Sens!$O$2915+(Sens!$E$2915-Sens!$N$2915)</f>
        <v>-0.0367332293992226</v>
      </c>
      <c r="G2915" s="28" t="n">
        <f aca="false">(Sens!$G$2916-Sens!$G$2912+Sens!$G$2914)/Sens!$G$2913</f>
        <v>-0.0288599526442178</v>
      </c>
      <c r="H2915" s="28" t="n">
        <f aca="false">Sens!$G$2915+step_in</f>
        <v>-0.0288599526442178</v>
      </c>
      <c r="I2915" s="28" t="n">
        <f aca="false">Sens!$H$2915+step_in</f>
        <v>-0.0288599526442178</v>
      </c>
      <c r="J2915" s="28" t="n">
        <f aca="false">Sens!$I$2915+step_in</f>
        <v>-0.0288599526442178</v>
      </c>
      <c r="K2915" s="28" t="n">
        <f aca="false">Sens!$J$2915+step_in</f>
        <v>-0.0288599526442178</v>
      </c>
      <c r="L2915" s="28" t="n">
        <f aca="false">Sens!$K$2915</f>
        <v>-0.0288599526442178</v>
      </c>
      <c r="M2915" s="28" t="n">
        <f aca="false">Sens!$L$2915</f>
        <v>-0.0288599526442178</v>
      </c>
      <c r="N2915" s="28" t="n">
        <f aca="false">(Sens!$N$2916-Sens!$N$2912+Sens!$N$2914)/Sens!$N$2913</f>
        <v>-0.02085061789158</v>
      </c>
      <c r="O2915" s="28" t="n">
        <f aca="false">(Sens!$O$2916-Sens!$O$2912+Sens!$O$2914)/Sens!$O$2913</f>
        <v>-0.0380937903558086</v>
      </c>
      <c r="P2915" s="8" t="s">
        <v>676</v>
      </c>
    </row>
    <row r="2916" customFormat="false" ht="17.15" hidden="false" customHeight="false" outlineLevel="0" collapsed="false">
      <c r="A2916" s="1" t="s">
        <v>682</v>
      </c>
      <c r="B2916" s="8" t="s">
        <v>73</v>
      </c>
      <c r="C2916" s="38" t="n">
        <f aca="false">Q!$D$23</f>
        <v>3.792</v>
      </c>
      <c r="D2916" s="38" t="n">
        <f aca="false">Q!$E$23</f>
        <v>4.75</v>
      </c>
      <c r="E2916" s="38" t="n">
        <f aca="false">Q!$P$23</f>
        <v>3.141</v>
      </c>
      <c r="F2916" s="38" t="n">
        <f aca="false">Sens!$F$2912+Sens!$F$2913*Sens!$F$2915-Sens!$F$2914</f>
        <v>2.99414447978375</v>
      </c>
      <c r="G2916" s="38" t="n">
        <f aca="false">Sens!$E$2916+Sens!$F$2916</f>
        <v>6.13514447978375</v>
      </c>
      <c r="H2916" s="38" t="n">
        <f aca="false">Sens!$H$2912+Sens!$H$2913*Sens!$H$2915-Sens!$H$2914</f>
        <v>6.31919151351322</v>
      </c>
      <c r="I2916" s="38" t="n">
        <f aca="false">Sens!$I$2912+Sens!$I$2913*Sens!$I$2915-Sens!$I$2914</f>
        <v>6.16506534077027</v>
      </c>
      <c r="J2916" s="38" t="n">
        <f aca="false">Sens!$J$2912+Sens!$J$2913*Sens!$J$2915-Sens!$J$2914</f>
        <v>5.8250313653213</v>
      </c>
      <c r="K2916" s="38" t="n">
        <f aca="false">Sens!$K$2912+Sens!$K$2913*Sens!$K$2915-Sens!$K$2914</f>
        <v>5.15468540810514</v>
      </c>
      <c r="L2916" s="38" t="n">
        <f aca="false">Sens!$L$2912+Sens!$L$2913*Sens!$L$2915-Sens!$L$2914</f>
        <v>4.76324944463266</v>
      </c>
      <c r="M2916" s="38" t="n">
        <f aca="false">Sens!$M$2912+Sens!$M$2913*Sens!$M$2915-Sens!$M$2914</f>
        <v>4.51657755537829</v>
      </c>
      <c r="N2916" s="38" t="n">
        <f aca="false">Q!$N$23</f>
        <v>2.511</v>
      </c>
      <c r="O2916" s="38" t="n">
        <f aca="false">Q!$O$23</f>
        <v>2.239</v>
      </c>
    </row>
    <row r="2917" customFormat="false" ht="17.15" hidden="false" customHeight="false" outlineLevel="0" collapsed="false">
      <c r="A2917" s="0" t="s">
        <v>683</v>
      </c>
      <c r="B2917" s="0" t="s">
        <v>73</v>
      </c>
      <c r="C2917" s="38" t="n">
        <f aca="false">Sens!$C$2857</f>
        <v>1.64417882953695</v>
      </c>
      <c r="D2917" s="38" t="n">
        <f aca="false">Sens!$D$2857</f>
        <v>3.8781008067718</v>
      </c>
      <c r="E2917" s="38" t="n">
        <f aca="false">Sens!$E$2857</f>
        <v>1.41270258088753</v>
      </c>
      <c r="F2917" s="38" t="n">
        <f aca="false">Sens!$F$2857</f>
        <v>6.50727700583486</v>
      </c>
      <c r="G2917" s="38" t="n">
        <f aca="false">Sens!$G$2857</f>
        <v>7.9199795867224</v>
      </c>
      <c r="H2917" s="38" t="n">
        <f aca="false">Sens!$H$2857</f>
        <v>19.2818189481807</v>
      </c>
      <c r="I2917" s="38" t="n">
        <f aca="false">Sens!$I$2857</f>
        <v>30.140114407202</v>
      </c>
      <c r="J2917" s="38" t="n">
        <f aca="false">Sens!$J$2857</f>
        <v>40.3569468829854</v>
      </c>
      <c r="K2917" s="38" t="n">
        <f aca="false">Sens!$K$2857</f>
        <v>50.0782975081929</v>
      </c>
      <c r="L2917" s="38" t="n">
        <f aca="false">Sens!$L$2857</f>
        <v>61.443331993499</v>
      </c>
      <c r="M2917" s="38" t="n">
        <f aca="false">Sens!$M$2857</f>
        <v>72.2498791587849</v>
      </c>
      <c r="N2917" s="38" t="n">
        <f aca="false">Sens!$N$2857</f>
        <v>0.92264103489199</v>
      </c>
      <c r="O2917" s="38" t="n">
        <f aca="false">Sens!$O$2857</f>
        <v>2.95545977187981</v>
      </c>
    </row>
    <row r="2918" customFormat="false" ht="17.15" hidden="false" customHeight="false" outlineLevel="0" collapsed="false">
      <c r="A2918" s="0" t="s">
        <v>603</v>
      </c>
      <c r="B2918" s="0" t="s">
        <v>73</v>
      </c>
      <c r="C2918" s="38" t="n">
        <f aca="false">Sens!$C$2862</f>
        <v>38.1898211704631</v>
      </c>
      <c r="D2918" s="38" t="n">
        <f aca="false">Sens!$D$2862</f>
        <v>41.7278991932282</v>
      </c>
      <c r="E2918" s="38" t="n">
        <f aca="false">Sens!$E$2862</f>
        <v>29.3692974191125</v>
      </c>
      <c r="F2918" s="38" t="n">
        <f aca="false">Sens!$F$2862</f>
        <v>29.458060516894</v>
      </c>
      <c r="G2918" s="38" t="n">
        <f aca="false">Sens!$G$2862</f>
        <v>58.8273579360065</v>
      </c>
      <c r="H2918" s="38" t="n">
        <f aca="false">Sens!$H$2862</f>
        <v>68.2217925063847</v>
      </c>
      <c r="I2918" s="38" t="n">
        <f aca="false">Sens!$I$2862</f>
        <v>80.4667917935941</v>
      </c>
      <c r="J2918" s="38" t="n">
        <f aca="false">Sens!$J$2862</f>
        <v>92.1138807577366</v>
      </c>
      <c r="K2918" s="38" t="n">
        <f aca="false">Sens!$K$2862</f>
        <v>102.246407641088</v>
      </c>
      <c r="L2918" s="38" t="n">
        <f aca="false">Sens!$L$2862</f>
        <v>113.493512481607</v>
      </c>
      <c r="M2918" s="38" t="n">
        <f aca="false">Sens!$M$2862</f>
        <v>125.977798854584</v>
      </c>
      <c r="N2918" s="38" t="n">
        <f aca="false">Sens!$N$2862</f>
        <v>20.784358965108</v>
      </c>
      <c r="O2918" s="38" t="n">
        <f aca="false">Sens!$O$2862</f>
        <v>20.9435402281202</v>
      </c>
    </row>
    <row r="2919" customFormat="false" ht="17.15" hidden="false" customHeight="false" outlineLevel="0" collapsed="false">
      <c r="A2919" s="1" t="s">
        <v>684</v>
      </c>
      <c r="B2919" s="8" t="s">
        <v>73</v>
      </c>
      <c r="C2919" s="38" t="n">
        <f aca="false">Q!$D$24</f>
        <v>39.834</v>
      </c>
      <c r="D2919" s="38" t="n">
        <f aca="false">Q!$E$24</f>
        <v>45.606</v>
      </c>
      <c r="E2919" s="38" t="n">
        <f aca="false">Q!$P$24</f>
        <v>30.782</v>
      </c>
      <c r="F2919" s="38" t="n">
        <f aca="false">Sens!$F$2917+Sens!$F$2918</f>
        <v>35.9653375227289</v>
      </c>
      <c r="G2919" s="38" t="n">
        <f aca="false">Sens!$G$2917+Sens!$G$2918</f>
        <v>66.7473375227289</v>
      </c>
      <c r="H2919" s="38" t="n">
        <f aca="false">Sens!$H$2917+Sens!$H$2918</f>
        <v>87.5036114545654</v>
      </c>
      <c r="I2919" s="38" t="n">
        <f aca="false">Sens!$I$2917+Sens!$I$2918</f>
        <v>110.606906200796</v>
      </c>
      <c r="J2919" s="38" t="n">
        <f aca="false">Sens!$J$2917+Sens!$J$2918</f>
        <v>132.470827640722</v>
      </c>
      <c r="K2919" s="38" t="n">
        <f aca="false">Sens!$K$2917+Sens!$K$2918</f>
        <v>152.324705149281</v>
      </c>
      <c r="L2919" s="38" t="n">
        <f aca="false">Sens!$L$2917+Sens!$L$2918</f>
        <v>174.936844475106</v>
      </c>
      <c r="M2919" s="38" t="n">
        <f aca="false">Sens!$M$2917+Sens!$M$2918</f>
        <v>198.227678013369</v>
      </c>
      <c r="N2919" s="38" t="n">
        <f aca="false">Q!$N$24</f>
        <v>21.707</v>
      </c>
      <c r="O2919" s="38" t="n">
        <f aca="false">Q!$O$24</f>
        <v>23.899</v>
      </c>
    </row>
    <row r="2920" customFormat="false" ht="17.15" hidden="false" customHeight="false" outlineLevel="0" collapsed="false">
      <c r="A2920" s="5" t="s">
        <v>685</v>
      </c>
      <c r="B2920" s="0" t="s">
        <v>73</v>
      </c>
      <c r="C2920" s="38" t="n">
        <f aca="false">Q!$D$26</f>
        <v>0</v>
      </c>
      <c r="D2920" s="38" t="n">
        <f aca="false">Q!$E$26</f>
        <v>0</v>
      </c>
      <c r="E2920" s="38" t="n">
        <f aca="false">Q!$P$26</f>
        <v>0</v>
      </c>
      <c r="F2920" s="41" t="n">
        <v>0</v>
      </c>
      <c r="G2920" s="38" t="n">
        <f aca="false">Sens!$E$2920+Sens!$F$2920</f>
        <v>0</v>
      </c>
      <c r="H2920" s="41" t="n">
        <v>0</v>
      </c>
      <c r="I2920" s="41" t="n">
        <v>0</v>
      </c>
      <c r="J2920" s="41" t="n">
        <v>0</v>
      </c>
      <c r="K2920" s="41" t="n">
        <v>0</v>
      </c>
      <c r="L2920" s="41" t="n">
        <v>0</v>
      </c>
      <c r="M2920" s="41" t="n">
        <v>0</v>
      </c>
      <c r="N2920" s="38" t="n">
        <f aca="false">Q!$N$26</f>
        <v>0</v>
      </c>
      <c r="O2920" s="38" t="n">
        <f aca="false">Q!$O$26</f>
        <v>0</v>
      </c>
    </row>
    <row r="2921" customFormat="false" ht="15" hidden="false" customHeight="false" outlineLevel="0" collapsed="false">
      <c r="A2921" s="3" t="s">
        <v>494</v>
      </c>
      <c r="B2921" s="8" t="s">
        <v>73</v>
      </c>
      <c r="C2921" s="38" t="n">
        <f aca="false">Q!$D$25</f>
        <v>68.593</v>
      </c>
      <c r="D2921" s="38" t="n">
        <f aca="false">Q!$E$25</f>
        <v>79.975</v>
      </c>
      <c r="E2921" s="38" t="n">
        <f aca="false">Q!$P$25</f>
        <v>51.313</v>
      </c>
      <c r="F2921" s="38" t="n">
        <f aca="false">Sens!$F$2911+Sens!$F$2916+Sens!$F$2919+Sens!$F$2920</f>
        <v>59.8825772328462</v>
      </c>
      <c r="G2921" s="38" t="n">
        <f aca="false">Sens!$G$2911+Sens!$G$2916+Sens!$G$2919+Sens!$G$2920</f>
        <v>111.195577232846</v>
      </c>
      <c r="H2921" s="38" t="n">
        <f aca="false">Sens!$H$2911+Sens!$H$2916+Sens!$H$2919+Sens!$H$2920</f>
        <v>136.06008953039</v>
      </c>
      <c r="I2921" s="38" t="n">
        <f aca="false">Sens!$I$2911+Sens!$I$2916+Sens!$I$2919+Sens!$I$2920</f>
        <v>162.182663098088</v>
      </c>
      <c r="J2921" s="38" t="n">
        <f aca="false">Sens!$J$2911+Sens!$J$2916+Sens!$J$2919+Sens!$J$2920</f>
        <v>186.446114079283</v>
      </c>
      <c r="K2921" s="38" t="n">
        <f aca="false">Sens!$K$2911+Sens!$K$2916+Sens!$K$2919+Sens!$K$2920</f>
        <v>207.465414866707</v>
      </c>
      <c r="L2921" s="38" t="n">
        <f aca="false">Sens!$L$2911+Sens!$L$2916+Sens!$L$2919+Sens!$L$2920</f>
        <v>230.795620127518</v>
      </c>
      <c r="M2921" s="38" t="n">
        <f aca="false">Sens!$M$2911+Sens!$M$2916+Sens!$M$2919+Sens!$M$2920</f>
        <v>255.456036079137</v>
      </c>
      <c r="N2921" s="38" t="n">
        <f aca="false">Q!$N$25</f>
        <v>37.576</v>
      </c>
      <c r="O2921" s="38" t="n">
        <f aca="false">Q!$O$25</f>
        <v>42.399</v>
      </c>
    </row>
    <row r="2922" customFormat="false" ht="17.15" hidden="false" customHeight="false" outlineLevel="0" collapsed="false">
      <c r="A2922" s="24" t="s">
        <v>711</v>
      </c>
      <c r="B2922" s="25" t="s">
        <v>73</v>
      </c>
      <c r="C2922" s="39" t="n">
        <f aca="false">Sens!$C$2911+Sens!$C$2916+Sens!$C$2919+Sens!$C$2920-Sens!$C$2921</f>
        <v>0</v>
      </c>
      <c r="D2922" s="39" t="n">
        <f aca="false">Sens!$D$2911+Sens!$D$2916+Sens!$D$2919+Sens!$D$2920-Sens!$D$2921</f>
        <v>0</v>
      </c>
      <c r="E2922" s="39" t="n">
        <f aca="false">Sens!$E$2911+Sens!$E$2916+Sens!$E$2919+Sens!$E$2920-Sens!$E$2921</f>
        <v>0</v>
      </c>
      <c r="F2922" s="39" t="n">
        <f aca="false">Sens!$F$2911+Sens!$F$2916+Sens!$F$2919+Sens!$F$2920-Sens!$F$2921</f>
        <v>0</v>
      </c>
      <c r="G2922" s="39" t="n">
        <f aca="false">Sens!$G$2911+Sens!$G$2916+Sens!$G$2919+Sens!$G$2920-Sens!$G$2921</f>
        <v>0</v>
      </c>
      <c r="H2922" s="39" t="n">
        <f aca="false">Sens!$H$2911+Sens!$H$2916+Sens!$H$2919+Sens!$H$2920-Sens!$H$2921</f>
        <v>0</v>
      </c>
      <c r="I2922" s="39" t="n">
        <f aca="false">Sens!$I$2911+Sens!$I$2916+Sens!$I$2919+Sens!$I$2920-Sens!$I$2921</f>
        <v>0</v>
      </c>
      <c r="J2922" s="39" t="n">
        <f aca="false">Sens!$J$2911+Sens!$J$2916+Sens!$J$2919+Sens!$J$2920-Sens!$J$2921</f>
        <v>0</v>
      </c>
      <c r="K2922" s="39" t="n">
        <f aca="false">Sens!$K$2911+Sens!$K$2916+Sens!$K$2919+Sens!$K$2920-Sens!$K$2921</f>
        <v>0</v>
      </c>
      <c r="L2922" s="39" t="n">
        <f aca="false">Sens!$L$2911+Sens!$L$2916+Sens!$L$2919+Sens!$L$2920-Sens!$L$2921</f>
        <v>0</v>
      </c>
      <c r="M2922" s="39" t="n">
        <f aca="false">Sens!$M$2911+Sens!$M$2916+Sens!$M$2919+Sens!$M$2920-Sens!$M$2921</f>
        <v>0</v>
      </c>
      <c r="N2922" s="39" t="n">
        <f aca="false">Sens!$N$2911+Sens!$N$2916+Sens!$N$2919+Sens!$N$2920-Sens!$N$2921</f>
        <v>0</v>
      </c>
      <c r="O2922" s="39" t="n">
        <f aca="false">Sens!$O$2911+Sens!$O$2916+Sens!$O$2919+Sens!$O$2920-Sens!$O$2921</f>
        <v>0</v>
      </c>
    </row>
    <row r="2923" customFormat="false" ht="17.15" hidden="false" customHeight="false" outlineLevel="0" collapsed="false">
      <c r="A2923" s="0" t="s">
        <v>687</v>
      </c>
      <c r="B2923" s="0" t="s">
        <v>52</v>
      </c>
      <c r="C2923" s="12" t="n">
        <f aca="false">Sens!$C$2911/Sens!$C$2896</f>
        <v>0.0644314665661928</v>
      </c>
      <c r="D2923" s="12" t="n">
        <f aca="false">Sens!$D$2911/Sens!$D$2896</f>
        <v>0.0694784250712518</v>
      </c>
      <c r="E2923" s="12" t="n">
        <f aca="false">Sens!$E$2911/Sens!$E$2896</f>
        <v>0.0789306463326071</v>
      </c>
      <c r="F2923" s="12" t="n">
        <f aca="false">Sens!$F$2911/Sens!$F$2896</f>
        <v>0.0816338957078875</v>
      </c>
      <c r="G2923" s="12" t="n">
        <f aca="false">Sens!$G$2911/Sens!$G$2896</f>
        <v>0.080384315570057</v>
      </c>
      <c r="H2923" s="12" t="n">
        <f aca="false">Sens!$H$2911/Sens!$H$2896</f>
        <v>0.080035122355679</v>
      </c>
      <c r="I2923" s="12" t="n">
        <f aca="false">Sens!$I$2911/Sens!$I$2896</f>
        <v>0.0786798687862144</v>
      </c>
      <c r="J2923" s="12" t="n">
        <f aca="false">Sens!$J$2911/Sens!$J$2896</f>
        <v>0.0772846370095153</v>
      </c>
      <c r="K2923" s="12" t="n">
        <f aca="false">Sens!$K$2911/Sens!$K$2896</f>
        <v>0.0753502227686655</v>
      </c>
      <c r="L2923" s="12" t="n">
        <f aca="false">Sens!$L$2911/Sens!$L$2896</f>
        <v>0.0723154067793922</v>
      </c>
      <c r="M2923" s="12" t="n">
        <f aca="false">Sens!$M$2911/Sens!$M$2896</f>
        <v>0.070022386735876</v>
      </c>
      <c r="N2923" s="12" t="n">
        <f aca="false">Sens!$N$2911/Sens!$N$2896</f>
        <v>0.069228576611127</v>
      </c>
      <c r="O2923" s="12" t="n">
        <f aca="false">Sens!$O$2911/Sens!$O$2896</f>
        <v>0.069685022498393</v>
      </c>
    </row>
    <row r="2924" customFormat="false" ht="17.15" hidden="false" customHeight="false" outlineLevel="0" collapsed="false">
      <c r="A2924" s="0" t="s">
        <v>688</v>
      </c>
      <c r="B2924" s="0" t="s">
        <v>52</v>
      </c>
      <c r="C2924" s="12" t="n">
        <f aca="false">Sens!$C$2916/Sens!$C$2897</f>
        <v>0.026534925055631</v>
      </c>
      <c r="D2924" s="12" t="n">
        <f aca="false">Sens!$D$2916/Sens!$D$2897</f>
        <v>0.0293401855535103</v>
      </c>
      <c r="E2924" s="12" t="n">
        <f aca="false">Sens!$E$2916/Sens!$E$2897</f>
        <v>0.03831141902276</v>
      </c>
      <c r="F2924" s="12" t="n">
        <f aca="false">Sens!$F$2916/Sens!$F$2897</f>
        <v>0.0297532808235678</v>
      </c>
      <c r="G2924" s="12" t="n">
        <f aca="false">Sens!$G$2916/Sens!$G$2897</f>
        <v>0.0335954317997163</v>
      </c>
      <c r="H2924" s="12" t="n">
        <f aca="false">Sens!$H$2916/Sens!$H$2897</f>
        <v>0.0312519754292078</v>
      </c>
      <c r="I2924" s="12" t="n">
        <f aca="false">Sens!$I$2916/Sens!$I$2897</f>
        <v>0.0278788303191397</v>
      </c>
      <c r="J2924" s="12" t="n">
        <f aca="false">Sens!$J$2916/Sens!$J$2897</f>
        <v>0.0244019313573061</v>
      </c>
      <c r="K2924" s="12" t="n">
        <f aca="false">Sens!$K$2916/Sens!$K$2897</f>
        <v>0.020280070641524</v>
      </c>
      <c r="L2924" s="12" t="n">
        <f aca="false">Sens!$L$2916/Sens!$L$2897</f>
        <v>0.0175947312030086</v>
      </c>
      <c r="M2924" s="12" t="n">
        <f aca="false">Sens!$M$2916/Sens!$M$2897</f>
        <v>0.0156592172424565</v>
      </c>
      <c r="N2924" s="12" t="n">
        <f aca="false">Sens!$N$2916/Sens!$N$2897</f>
        <v>0.0357315650169337</v>
      </c>
      <c r="O2924" s="12" t="n">
        <f aca="false">Sens!$O$2916/Sens!$O$2897</f>
        <v>0.0244378956559703</v>
      </c>
    </row>
    <row r="2925" customFormat="false" ht="17.15" hidden="false" customHeight="false" outlineLevel="0" collapsed="false">
      <c r="A2925" s="13" t="s">
        <v>689</v>
      </c>
      <c r="B2925" s="13" t="s">
        <v>52</v>
      </c>
      <c r="C2925" s="16" t="n">
        <f aca="false">Sens!$C$2919/Sens!$C$2898</f>
        <v>0.370355907620217</v>
      </c>
      <c r="D2925" s="16" t="n">
        <f aca="false">Sens!$D$2919/Sens!$D$2898</f>
        <v>0.35429015342785</v>
      </c>
      <c r="E2925" s="16" t="n">
        <f aca="false">Sens!$E$2919/Sens!$E$2898</f>
        <v>0.385647527531039</v>
      </c>
      <c r="F2925" s="16" t="n">
        <f aca="false">Sens!$F$2919/Sens!$F$2898</f>
        <v>0.384415729470259</v>
      </c>
      <c r="G2925" s="16" t="n">
        <f aca="false">Sens!$G$2919/Sens!$G$2898</f>
        <v>0.38498282105443</v>
      </c>
      <c r="H2925" s="16" t="n">
        <f aca="false">Sens!$H$2919/Sens!$H$2898</f>
        <v>0.361310860289406</v>
      </c>
      <c r="I2925" s="16" t="n">
        <f aca="false">Sens!$I$2919/Sens!$I$2898</f>
        <v>0.349809786642711</v>
      </c>
      <c r="J2925" s="16" t="n">
        <f aca="false">Sens!$J$2919/Sens!$J$2898</f>
        <v>0.340727603540475</v>
      </c>
      <c r="K2925" s="16" t="n">
        <f aca="false">Sens!$K$2919/Sens!$K$2898</f>
        <v>0.333019347372844</v>
      </c>
      <c r="L2925" s="16" t="n">
        <f aca="false">Sens!$L$2919/Sens!$L$2898</f>
        <v>0.330678800202049</v>
      </c>
      <c r="M2925" s="16" t="n">
        <f aca="false">Sens!$M$2919/Sens!$M$2898</f>
        <v>0.328214452045247</v>
      </c>
      <c r="N2925" s="16" t="n">
        <f aca="false">Sens!$N$2919/Sens!$N$2898</f>
        <v>0.360941137346192</v>
      </c>
      <c r="O2925" s="16" t="n">
        <f aca="false">Sens!$O$2919/Sens!$O$2898</f>
        <v>0.348458117664212</v>
      </c>
    </row>
    <row r="2926" customFormat="false" ht="17.15" hidden="false" customHeight="false" outlineLevel="0" collapsed="false">
      <c r="A2926" s="0" t="s">
        <v>690</v>
      </c>
      <c r="B2926" s="0" t="s">
        <v>52</v>
      </c>
      <c r="C2926" s="12" t="n">
        <f aca="false">Sens!$C$2917/Sens!$C$2899</f>
        <v>0.708390794789371</v>
      </c>
      <c r="D2926" s="12" t="n">
        <f aca="false">Sens!$D$2917/Sens!$D$2899</f>
        <v>0.445565630441968</v>
      </c>
      <c r="E2926" s="12" t="n">
        <f aca="false">Sens!$E$2917/Sens!$E$2899</f>
        <v>0.165998118402711</v>
      </c>
      <c r="F2926" s="12" t="n">
        <f aca="false">Sens!$F$2917/Sens!$F$2899</f>
        <v>0.434878595403858</v>
      </c>
      <c r="G2926" s="12" t="n">
        <f aca="false">Sens!$G$2917/Sens!$G$2899</f>
        <v>0.3373967615381</v>
      </c>
      <c r="H2926" s="12" t="n">
        <f aca="false">Sens!$H$2917/Sens!$H$2899</f>
        <v>0.320477578041224</v>
      </c>
      <c r="I2926" s="12" t="n">
        <f aca="false">Sens!$I$2917/Sens!$I$2899</f>
        <v>0.296936118226494</v>
      </c>
      <c r="J2926" s="12" t="n">
        <f aca="false">Sens!$J$2917/Sens!$J$2899</f>
        <v>0.282166278613001</v>
      </c>
      <c r="K2926" s="12" t="n">
        <f aca="false">Sens!$K$2917/Sens!$K$2899</f>
        <v>0.271267685694333</v>
      </c>
      <c r="L2926" s="12" t="n">
        <f aca="false">Sens!$L$2917/Sens!$L$2899</f>
        <v>0.27160960915653</v>
      </c>
      <c r="M2926" s="12" t="n">
        <f aca="false">Sens!$M$2917/Sens!$M$2899</f>
        <v>0.26974494804234</v>
      </c>
      <c r="N2926" s="12" t="n">
        <f aca="false">Sens!$N$2917/Sens!$N$2899</f>
        <v>0.302870734830849</v>
      </c>
      <c r="O2926" s="12" t="n">
        <f aca="false">Sens!$O$2917/Sens!$O$2899</f>
        <v>0.52240134346334</v>
      </c>
    </row>
    <row r="2927" customFormat="false" ht="15" hidden="false" customHeight="false" outlineLevel="0" collapsed="false">
      <c r="A2927" s="5" t="s">
        <v>691</v>
      </c>
      <c r="B2927" s="0" t="s">
        <v>52</v>
      </c>
      <c r="C2927" s="12" t="n">
        <f aca="false">Sens!$C$2921/Sens!$C$2901</f>
        <v>0.107519448742004</v>
      </c>
      <c r="D2927" s="12" t="n">
        <f aca="false">Sens!$D$2921/Sens!$D$2901</f>
        <v>0.111552967957552</v>
      </c>
      <c r="E2927" s="12" t="n">
        <f aca="false">Sens!$E$2921/Sens!$E$2901</f>
        <v>0.13428328426562</v>
      </c>
      <c r="F2927" s="12" t="n">
        <f aca="false">Sens!$F$2921/Sens!$F$2901</f>
        <v>0.132926212451512</v>
      </c>
      <c r="G2927" s="12" t="n">
        <f aca="false">Sens!$G$2921/Sens!$G$2901</f>
        <v>0.133549030959228</v>
      </c>
      <c r="H2927" s="12" t="n">
        <f aca="false">Sens!$H$2921/Sens!$H$2901</f>
        <v>0.139962313490542</v>
      </c>
      <c r="I2927" s="12" t="n">
        <f aca="false">Sens!$I$2921/Sens!$I$2901</f>
        <v>0.145522238066138</v>
      </c>
      <c r="J2927" s="12" t="n">
        <f aca="false">Sens!$J$2921/Sens!$J$2901</f>
        <v>0.149094284414271</v>
      </c>
      <c r="K2927" s="12" t="n">
        <f aca="false">Sens!$K$2921/Sens!$K$2901</f>
        <v>0.150888057189709</v>
      </c>
      <c r="L2927" s="12" t="n">
        <f aca="false">Sens!$L$2921/Sens!$L$2901</f>
        <v>0.153219351704533</v>
      </c>
      <c r="M2927" s="12" t="n">
        <f aca="false">Sens!$M$2921/Sens!$M$2901</f>
        <v>0.155276204816909</v>
      </c>
      <c r="N2927" s="12" t="n">
        <f aca="false">Sens!$N$2921/Sens!$N$2901</f>
        <v>0.116201614873411</v>
      </c>
      <c r="O2927" s="12" t="n">
        <f aca="false">Sens!$O$2921/Sens!$O$2901</f>
        <v>0.107733353660861</v>
      </c>
    </row>
    <row r="2928" customFormat="false" ht="17.15" hidden="false" customHeight="false" outlineLevel="0" collapsed="false">
      <c r="A2928" s="1" t="s">
        <v>692</v>
      </c>
    </row>
    <row r="2929" customFormat="false" ht="17.15" hidden="false" customHeight="false" outlineLevel="0" collapsed="false">
      <c r="A2929" s="5" t="s">
        <v>693</v>
      </c>
      <c r="B2929" s="0" t="s">
        <v>52</v>
      </c>
      <c r="D2929" s="28" t="n">
        <f aca="false">(Q!$E$29+Q!$E$30-(1-ext_sh)*Sens!$D$2853)/Sens!$D$2811</f>
        <v>0.0334674312393194</v>
      </c>
    </row>
    <row r="2930" customFormat="false" ht="17.15" hidden="false" customHeight="false" outlineLevel="0" collapsed="false">
      <c r="A2930" s="0" t="s">
        <v>498</v>
      </c>
      <c r="B2930" s="0" t="s">
        <v>73</v>
      </c>
      <c r="C2930" s="38" t="n">
        <f aca="false">Q!$D$29</f>
        <v>14.285</v>
      </c>
      <c r="D2930" s="38" t="n">
        <f aca="false">Q!$E$29</f>
        <v>15.503</v>
      </c>
      <c r="E2930" s="38" t="n">
        <f aca="false">Q!$P$29</f>
        <v>8.78</v>
      </c>
      <c r="F2930" s="38" t="n">
        <f aca="false">(Sens!$D$2929*Sens!$F$2811+(1-ext_sh)*Sens!$F$2853)*Sens!$F$2812</f>
        <v>9.51361751569285</v>
      </c>
      <c r="G2930" s="38" t="n">
        <f aca="false">Sens!$E$2930+Sens!$F$2930</f>
        <v>18.2936175156929</v>
      </c>
      <c r="H2930" s="38" t="n">
        <f aca="false">(Sens!$D$2929*Sens!$H$2811+(1-ext_sh)*Sens!$H$2853)*Sens!$H$2812</f>
        <v>22.7653661801943</v>
      </c>
      <c r="I2930" s="38" t="n">
        <f aca="false">(Sens!$D$2929*Sens!$I$2811+(1-ext_sh)*Sens!$I$2853)*Sens!$I$2812</f>
        <v>28.4281317305062</v>
      </c>
      <c r="J2930" s="38" t="n">
        <f aca="false">(Sens!$D$2929*Sens!$J$2811+(1-ext_sh)*Sens!$J$2853)*Sens!$J$2812</f>
        <v>34.1182922009732</v>
      </c>
      <c r="K2930" s="38" t="n">
        <f aca="false">(Sens!$D$2929*Sens!$K$2811+(1-ext_sh)*Sens!$K$2853)*Sens!$K$2812</f>
        <v>39.7237727987046</v>
      </c>
      <c r="L2930" s="38" t="n">
        <f aca="false">(Sens!$D$2929*Sens!$L$2811+(1-ext_sh)*Sens!$L$2853)*Sens!$L$2812</f>
        <v>45.1313127180263</v>
      </c>
      <c r="M2930" s="38" t="n">
        <f aca="false">(Sens!$D$2929*Sens!$M$2811+(1-ext_sh)*Sens!$M$2853)*Sens!$M$2812</f>
        <v>50.743940615442</v>
      </c>
      <c r="N2930" s="38" t="n">
        <f aca="false">Q!$N$29</f>
        <v>7.272</v>
      </c>
      <c r="O2930" s="38" t="n">
        <f aca="false">Q!$O$29</f>
        <v>8.231</v>
      </c>
    </row>
    <row r="2931" customFormat="false" ht="17.15" hidden="false" customHeight="false" outlineLevel="0" collapsed="false">
      <c r="A2931" s="0" t="s">
        <v>500</v>
      </c>
      <c r="B2931" s="0" t="s">
        <v>73</v>
      </c>
      <c r="C2931" s="38" t="n">
        <f aca="false">Q!$D$30</f>
        <v>4.462</v>
      </c>
      <c r="D2931" s="38" t="n">
        <f aca="false">Q!$E$30</f>
        <v>4.907</v>
      </c>
      <c r="E2931" s="38" t="n">
        <f aca="false">Q!$P$30</f>
        <v>2.57</v>
      </c>
      <c r="F2931" s="38" t="n">
        <f aca="false">(Sens!$D$2929*Sens!$F$2811+(1-ext_sh)*Sens!$F$2853)*(1-Sens!$F$2812)</f>
        <v>3.7353230631574</v>
      </c>
      <c r="G2931" s="38" t="n">
        <f aca="false">Sens!$E$2931+Sens!$F$2931</f>
        <v>6.3053230631574</v>
      </c>
      <c r="H2931" s="38" t="n">
        <f aca="false">(Sens!$D$2929*Sens!$H$2811+(1-ext_sh)*Sens!$H$2853)*(1-Sens!$H$2812)</f>
        <v>8.72254636724805</v>
      </c>
      <c r="I2931" s="38" t="n">
        <f aca="false">(Sens!$D$2929*Sens!$I$2811+(1-ext_sh)*Sens!$I$2853)*(1-Sens!$I$2812)</f>
        <v>10.8922340713019</v>
      </c>
      <c r="J2931" s="38" t="n">
        <f aca="false">(Sens!$D$2929*Sens!$J$2811+(1-ext_sh)*Sens!$J$2853)*(1-Sens!$J$2812)</f>
        <v>13.0724181345791</v>
      </c>
      <c r="K2931" s="38" t="n">
        <f aca="false">(Sens!$D$2929*Sens!$K$2811+(1-ext_sh)*Sens!$K$2853)*(1-Sens!$K$2812)</f>
        <v>15.2201571183236</v>
      </c>
      <c r="L2931" s="38" t="n">
        <f aca="false">(Sens!$D$2929*Sens!$L$2811+(1-ext_sh)*Sens!$L$2853)*(1-Sens!$L$2812)</f>
        <v>17.2920551631732</v>
      </c>
      <c r="M2931" s="38" t="n">
        <f aca="false">(Sens!$D$2929*Sens!$M$2811+(1-ext_sh)*Sens!$M$2853)*(1-Sens!$M$2812)</f>
        <v>19.4425326336348</v>
      </c>
      <c r="N2931" s="38" t="n">
        <f aca="false">Q!$N$30</f>
        <v>2.316</v>
      </c>
      <c r="O2931" s="38" t="n">
        <f aca="false">Q!$O$30</f>
        <v>2.591</v>
      </c>
    </row>
    <row r="2932" customFormat="false" ht="17.15" hidden="false" customHeight="false" outlineLevel="0" collapsed="false">
      <c r="A2932" s="0" t="s">
        <v>501</v>
      </c>
      <c r="B2932" s="0" t="s">
        <v>73</v>
      </c>
      <c r="C2932" s="38" t="n">
        <f aca="false">Sens!$C$2865</f>
        <v>13.32</v>
      </c>
      <c r="D2932" s="38" t="n">
        <f aca="false">Sens!$D$2865</f>
        <v>21.45</v>
      </c>
      <c r="E2932" s="38" t="n">
        <f aca="false">Sens!$E$2865</f>
        <v>15.353</v>
      </c>
      <c r="F2932" s="38" t="n">
        <f aca="false">Sens!$F$2865</f>
        <v>17.3614451462707</v>
      </c>
      <c r="G2932" s="38" t="n">
        <f aca="false">Sens!$G$2865</f>
        <v>32.7144451462707</v>
      </c>
      <c r="H2932" s="38" t="n">
        <f aca="false">Sens!$H$2865</f>
        <v>56.3703921770845</v>
      </c>
      <c r="I2932" s="38" t="n">
        <f aca="false">Sens!$I$2865</f>
        <v>83.5987976065399</v>
      </c>
      <c r="J2932" s="38" t="n">
        <f aca="false">Sens!$J$2865</f>
        <v>111.390635561011</v>
      </c>
      <c r="K2932" s="38" t="n">
        <f aca="false">Sens!$K$2865</f>
        <v>139.109525394055</v>
      </c>
      <c r="L2932" s="38" t="n">
        <f aca="false">Sens!$L$2865</f>
        <v>165.669927413021</v>
      </c>
      <c r="M2932" s="38" t="n">
        <f aca="false">Sens!$M$2865</f>
        <v>193.312788395484</v>
      </c>
      <c r="N2932" s="38" t="n">
        <f aca="false">Sens!$N$2865</f>
        <v>9.234</v>
      </c>
      <c r="O2932" s="38" t="n">
        <f aca="false">Sens!$O$2865</f>
        <v>12.216</v>
      </c>
    </row>
    <row r="2933" customFormat="false" ht="17.15" hidden="false" customHeight="false" outlineLevel="0" collapsed="false">
      <c r="A2933" s="5" t="s">
        <v>694</v>
      </c>
      <c r="B2933" s="0" t="s">
        <v>73</v>
      </c>
      <c r="C2933" s="38" t="n">
        <f aca="false">Sens!$C$2930+Sens!$C$2931+Sens!$C$2932</f>
        <v>32.067</v>
      </c>
      <c r="D2933" s="38" t="n">
        <f aca="false">Sens!$D$2930+Sens!$D$2931+Sens!$D$2932</f>
        <v>41.86</v>
      </c>
      <c r="E2933" s="38" t="n">
        <f aca="false">Sens!$E$2930+Sens!$E$2931+Sens!$E$2932</f>
        <v>26.703</v>
      </c>
      <c r="F2933" s="38" t="n">
        <f aca="false">Sens!$F$2930+Sens!$F$2931+Sens!$F$2932</f>
        <v>30.6103857251209</v>
      </c>
      <c r="G2933" s="38" t="n">
        <f aca="false">Sens!$G$2930+Sens!$G$2931+Sens!$G$2932</f>
        <v>57.3133857251209</v>
      </c>
      <c r="H2933" s="38" t="n">
        <f aca="false">Sens!$H$2930+Sens!$H$2931+Sens!$H$2932</f>
        <v>87.8583047245268</v>
      </c>
      <c r="I2933" s="38" t="n">
        <f aca="false">Sens!$I$2930+Sens!$I$2931+Sens!$I$2932</f>
        <v>122.919163408348</v>
      </c>
      <c r="J2933" s="38" t="n">
        <f aca="false">Sens!$J$2930+Sens!$J$2931+Sens!$J$2932</f>
        <v>158.581345896564</v>
      </c>
      <c r="K2933" s="38" t="n">
        <f aca="false">Sens!$K$2930+Sens!$K$2931+Sens!$K$2932</f>
        <v>194.053455311083</v>
      </c>
      <c r="L2933" s="38" t="n">
        <f aca="false">Sens!$L$2930+Sens!$L$2931+Sens!$L$2932</f>
        <v>228.09329529422</v>
      </c>
      <c r="M2933" s="38" t="n">
        <f aca="false">Sens!$M$2930+Sens!$M$2931+Sens!$M$2932</f>
        <v>263.499261644561</v>
      </c>
      <c r="N2933" s="38" t="n">
        <f aca="false">Sens!$N$2930+Sens!$N$2931+Sens!$N$2932</f>
        <v>18.822</v>
      </c>
      <c r="O2933" s="38" t="n">
        <f aca="false">Sens!$O$2930+Sens!$O$2931+Sens!$O$2932</f>
        <v>23.038</v>
      </c>
    </row>
    <row r="2934" customFormat="false" ht="17.15" hidden="false" customHeight="false" outlineLevel="0" collapsed="false">
      <c r="A2934" s="0" t="s">
        <v>695</v>
      </c>
      <c r="B2934" s="0" t="s">
        <v>73</v>
      </c>
      <c r="C2934" s="38" t="n">
        <f aca="false">Sens!$C$2907+Sens!$C$2912</f>
        <v>28.107</v>
      </c>
      <c r="D2934" s="38" t="n">
        <f aca="false">Sens!$D$2907+Sens!$D$2912</f>
        <v>34.3175</v>
      </c>
      <c r="E2934" s="38" t="n">
        <f aca="false">Sens!$E$2907+Sens!$E$2912</f>
        <v>18.526</v>
      </c>
      <c r="F2934" s="38" t="n">
        <f aca="false">Sens!$F$2907+Sens!$F$2912</f>
        <v>24.0766690913691</v>
      </c>
      <c r="G2934" s="38" t="n">
        <f aca="false">Sens!$G$2907+Sens!$G$2912</f>
        <v>42.6026690913691</v>
      </c>
      <c r="H2934" s="38" t="n">
        <f aca="false">Sens!$H$2907+Sens!$H$2912</f>
        <v>51.1466809294702</v>
      </c>
      <c r="I2934" s="38" t="n">
        <f aca="false">Sens!$I$2907+Sens!$I$2912</f>
        <v>59.6899187926205</v>
      </c>
      <c r="J2934" s="38" t="n">
        <f aca="false">Sens!$J$2907+Sens!$J$2912</f>
        <v>67.6595395244221</v>
      </c>
      <c r="K2934" s="38" t="n">
        <f aca="false">Sens!$K$2907+Sens!$K$2912</f>
        <v>74.4254934768643</v>
      </c>
      <c r="L2934" s="38" t="n">
        <f aca="false">Sens!$L$2907+Sens!$L$2912</f>
        <v>81.8680428245508</v>
      </c>
      <c r="M2934" s="38" t="n">
        <f aca="false">Sens!$M$2907+Sens!$M$2912</f>
        <v>90.0548471070059</v>
      </c>
      <c r="N2934" s="38" t="n">
        <f aca="false">Sens!$N$2907+Sens!$N$2912</f>
        <v>14.8075</v>
      </c>
      <c r="O2934" s="38" t="n">
        <f aca="false">Sens!$O$2907+Sens!$O$2912</f>
        <v>19.51</v>
      </c>
    </row>
    <row r="2935" customFormat="false" ht="17.15" hidden="false" customHeight="false" outlineLevel="0" collapsed="false">
      <c r="A2935" s="0" t="s">
        <v>696</v>
      </c>
      <c r="B2935" s="0" t="s">
        <v>73</v>
      </c>
      <c r="C2935" s="38" t="n">
        <f aca="false">Sens!$C$2911+Sens!$C$2916+Sens!$C$2930+Sens!$C$2931-Sens!$C$2934</f>
        <v>19.399</v>
      </c>
      <c r="D2935" s="38" t="n">
        <f aca="false">Sens!$D$2911+Sens!$D$2916+Sens!$D$2930+Sens!$D$2931-Sens!$D$2934</f>
        <v>20.4615</v>
      </c>
      <c r="E2935" s="38" t="n">
        <f aca="false">Sens!$E$2911+Sens!$E$2916+Sens!$E$2930+Sens!$E$2931-Sens!$E$2934</f>
        <v>13.355</v>
      </c>
      <c r="F2935" s="38" t="n">
        <f aca="false">Sens!$F$2911+Sens!$F$2916+Sens!$F$2930+Sens!$F$2931-Sens!$F$2934</f>
        <v>13.0895111975985</v>
      </c>
      <c r="G2935" s="38" t="n">
        <f aca="false">Sens!$G$2911+Sens!$G$2916+Sens!$G$2930+Sens!$G$2931-Sens!$G$2934</f>
        <v>26.4445111975985</v>
      </c>
      <c r="H2935" s="38" t="n">
        <f aca="false">Sens!$H$2911+Sens!$H$2916+Sens!$H$2930+Sens!$H$2931-Sens!$H$2934</f>
        <v>28.8977096937968</v>
      </c>
      <c r="I2935" s="38" t="n">
        <f aca="false">Sens!$I$2911+Sens!$I$2916+Sens!$I$2930+Sens!$I$2931-Sens!$I$2934</f>
        <v>31.2062039064791</v>
      </c>
      <c r="J2935" s="38" t="n">
        <f aca="false">Sens!$J$2911+Sens!$J$2916+Sens!$J$2930+Sens!$J$2931-Sens!$J$2934</f>
        <v>33.5064572496913</v>
      </c>
      <c r="K2935" s="38" t="n">
        <f aca="false">Sens!$K$2911+Sens!$K$2916+Sens!$K$2930+Sens!$K$2931-Sens!$K$2934</f>
        <v>35.6591461575899</v>
      </c>
      <c r="L2935" s="38" t="n">
        <f aca="false">Sens!$L$2911+Sens!$L$2916+Sens!$L$2930+Sens!$L$2931-Sens!$L$2934</f>
        <v>36.4141007090604</v>
      </c>
      <c r="M2935" s="38" t="n">
        <f aca="false">Sens!$M$2911+Sens!$M$2916+Sens!$M$2930+Sens!$M$2931-Sens!$M$2934</f>
        <v>37.359984207839</v>
      </c>
      <c r="N2935" s="38" t="n">
        <f aca="false">Sens!$N$2911+Sens!$N$2916+Sens!$N$2930+Sens!$N$2931-Sens!$N$2934</f>
        <v>10.6495</v>
      </c>
      <c r="O2935" s="38" t="n">
        <f aca="false">Sens!$O$2911+Sens!$O$2916+Sens!$O$2930+Sens!$O$2931-Sens!$O$2934</f>
        <v>9.81200000000001</v>
      </c>
    </row>
    <row r="2936" customFormat="false" ht="17.15" hidden="false" customHeight="false" outlineLevel="0" collapsed="false">
      <c r="A2936" s="0" t="s">
        <v>697</v>
      </c>
      <c r="B2936" s="0" t="s">
        <v>73</v>
      </c>
      <c r="C2936" s="38" t="n">
        <f aca="false">Sens!$C$2918+Sens!$C$2932-ext_sh*Sens!$C$2853</f>
        <v>51.3470500115664</v>
      </c>
      <c r="D2936" s="38" t="n">
        <f aca="false">Sens!$D$2918+Sens!$D$2932-ext_sh*Sens!$D$2853</f>
        <v>60.2799375433739</v>
      </c>
      <c r="E2936" s="38" t="n">
        <f aca="false">Sens!$E$2918+Sens!$E$2932-ext_sh*Sens!$E$2853</f>
        <v>39.5095167090767</v>
      </c>
      <c r="F2936" s="38" t="n">
        <f aca="false">Sens!$F$2918+Sens!$F$2932-ext_sh*Sens!$F$2853</f>
        <v>41.606724953129</v>
      </c>
      <c r="G2936" s="38" t="n">
        <f aca="false">Sens!$G$2918+Sens!$G$2932-ext_sh*Sens!$G$2853</f>
        <v>81.1162416622057</v>
      </c>
      <c r="H2936" s="38" t="n">
        <f aca="false">Sens!$H$2918+Sens!$H$2932-ext_sh*Sens!$H$2853</f>
        <v>96.3568309256046</v>
      </c>
      <c r="I2936" s="38" t="n">
        <f aca="false">Sens!$I$2918+Sens!$I$2932-ext_sh*Sens!$I$2853</f>
        <v>113.651734542969</v>
      </c>
      <c r="J2936" s="38" t="n">
        <f aca="false">Sens!$J$2918+Sens!$J$2932-ext_sh*Sens!$J$2853</f>
        <v>130.10214636685</v>
      </c>
      <c r="K2936" s="38" t="n">
        <f aca="false">Sens!$K$2918+Sens!$K$2932-ext_sh*Sens!$K$2853</f>
        <v>144.413382467203</v>
      </c>
      <c r="L2936" s="38" t="n">
        <f aca="false">Sens!$L$2918+Sens!$L$2932-ext_sh*Sens!$L$2853</f>
        <v>160.298854538596</v>
      </c>
      <c r="M2936" s="38" t="n">
        <f aca="false">Sens!$M$2918+Sens!$M$2932-ext_sh*Sens!$M$2853</f>
        <v>177.931728537841</v>
      </c>
      <c r="N2936" s="38" t="n">
        <f aca="false">Sens!$N$2918+Sens!$N$2932-ext_sh*Sens!$N$2853</f>
        <v>28.5693781401809</v>
      </c>
      <c r="O2936" s="38" t="n">
        <f aca="false">Sens!$O$2918+Sens!$O$2932-ext_sh*Sens!$O$2853</f>
        <v>31.7105594031931</v>
      </c>
    </row>
    <row r="2937" customFormat="false" ht="17.15" hidden="false" customHeight="false" outlineLevel="0" collapsed="false">
      <c r="A2937" s="0" t="s">
        <v>698</v>
      </c>
      <c r="B2937" s="0" t="s">
        <v>73</v>
      </c>
      <c r="C2937" s="38" t="n">
        <f aca="false">Sens!$C$2856</f>
        <v>1.80694998843362</v>
      </c>
      <c r="D2937" s="38" t="n">
        <f aca="false">Sens!$D$2856</f>
        <v>6.77606245662607</v>
      </c>
      <c r="E2937" s="38" t="n">
        <f aca="false">Sens!$E$2856</f>
        <v>6.62548329092326</v>
      </c>
      <c r="F2937" s="38" t="n">
        <f aca="false">Sens!$F$2856</f>
        <v>11.7200577158706</v>
      </c>
      <c r="G2937" s="38" t="n">
        <f aca="false">Sens!$G$2856</f>
        <v>18.3455410067939</v>
      </c>
      <c r="H2937" s="38" t="n">
        <f aca="false">Sens!$H$2856</f>
        <v>47.5171727060453</v>
      </c>
      <c r="I2937" s="38" t="n">
        <f aca="false">Sens!$I$2856</f>
        <v>80.5539692643667</v>
      </c>
      <c r="J2937" s="38" t="n">
        <f aca="false">Sens!$J$2856</f>
        <v>113.759316834883</v>
      </c>
      <c r="K2937" s="38" t="n">
        <f aca="false">Sens!$K$2856</f>
        <v>147.020848076132</v>
      </c>
      <c r="L2937" s="38" t="n">
        <f aca="false">Sens!$L$2856</f>
        <v>180.307917349531</v>
      </c>
      <c r="M2937" s="38" t="n">
        <f aca="false">Sens!$M$2856</f>
        <v>213.608737871012</v>
      </c>
      <c r="N2937" s="38" t="n">
        <f aca="false">Sens!$N$2856</f>
        <v>2.37162185981912</v>
      </c>
      <c r="O2937" s="38" t="n">
        <f aca="false">Sens!$O$2856</f>
        <v>4.40444059680694</v>
      </c>
    </row>
    <row r="2938" customFormat="false" ht="17.15" hidden="false" customHeight="false" outlineLevel="0" collapsed="false">
      <c r="A2938" s="0" t="s">
        <v>699</v>
      </c>
      <c r="B2938" s="0" t="s">
        <v>73</v>
      </c>
      <c r="C2938" s="38" t="n">
        <f aca="false">Sens!$C$2921+Sens!$C$2933</f>
        <v>100.66</v>
      </c>
      <c r="D2938" s="38" t="n">
        <f aca="false">Sens!$D$2921+Sens!$D$2933</f>
        <v>121.835</v>
      </c>
      <c r="E2938" s="38" t="n">
        <f aca="false">Sens!$E$2921+Sens!$E$2933</f>
        <v>78.016</v>
      </c>
      <c r="F2938" s="38" t="n">
        <f aca="false">Sens!$F$2921+Sens!$F$2933</f>
        <v>90.4929629579672</v>
      </c>
      <c r="G2938" s="38" t="n">
        <f aca="false">Sens!$G$2921+Sens!$G$2933</f>
        <v>168.508962957967</v>
      </c>
      <c r="H2938" s="38" t="n">
        <f aca="false">Sens!$H$2921+Sens!$H$2933</f>
        <v>223.918394254917</v>
      </c>
      <c r="I2938" s="38" t="n">
        <f aca="false">Sens!$I$2921+Sens!$I$2933</f>
        <v>285.101826506436</v>
      </c>
      <c r="J2938" s="38" t="n">
        <f aca="false">Sens!$J$2921+Sens!$J$2933</f>
        <v>345.027459975847</v>
      </c>
      <c r="K2938" s="38" t="n">
        <f aca="false">Sens!$K$2921+Sens!$K$2933</f>
        <v>401.518870177789</v>
      </c>
      <c r="L2938" s="38" t="n">
        <f aca="false">Sens!$L$2921+Sens!$L$2933</f>
        <v>458.888915421738</v>
      </c>
      <c r="M2938" s="38" t="n">
        <f aca="false">Sens!$M$2921+Sens!$M$2933</f>
        <v>518.955297723698</v>
      </c>
      <c r="N2938" s="38" t="n">
        <f aca="false">Sens!$N$2921+Sens!$N$2933</f>
        <v>56.398</v>
      </c>
      <c r="O2938" s="38" t="n">
        <f aca="false">Sens!$O$2921+Sens!$O$2933</f>
        <v>65.437</v>
      </c>
    </row>
    <row r="2939" customFormat="false" ht="17.15" hidden="false" customHeight="false" outlineLevel="0" collapsed="false">
      <c r="A2939" s="1" t="s">
        <v>700</v>
      </c>
    </row>
    <row r="2940" customFormat="false" ht="15" hidden="false" customHeight="false" outlineLevel="0" collapsed="false">
      <c r="A2940" s="5" t="s">
        <v>504</v>
      </c>
      <c r="B2940" s="0" t="s">
        <v>73</v>
      </c>
      <c r="C2940" s="38" t="n">
        <f aca="false">Q!$D$34</f>
        <v>2.406</v>
      </c>
      <c r="D2940" s="38" t="n">
        <f aca="false">Q!$E$34</f>
        <v>2.274</v>
      </c>
      <c r="E2940" s="38" t="n">
        <f aca="false">Q!$P$34</f>
        <v>2.114</v>
      </c>
      <c r="F2940" s="38" t="n">
        <f aca="false">Sens!$F$2976</f>
        <v>3.24888964316061</v>
      </c>
      <c r="G2940" s="38" t="n">
        <f aca="false">Sens!$E$2940+Sens!$F$2940</f>
        <v>5.36288964316061</v>
      </c>
      <c r="H2940" s="38" t="n">
        <f aca="false">Sens!$H$2976</f>
        <v>7.42354178632123</v>
      </c>
      <c r="I2940" s="38" t="n">
        <f aca="false">Sens!$I$2976</f>
        <v>7.49684023768835</v>
      </c>
      <c r="J2940" s="38" t="n">
        <f aca="false">Sens!$J$2976</f>
        <v>7.67036594560656</v>
      </c>
      <c r="K2940" s="38" t="n">
        <f aca="false">Sens!$K$2976</f>
        <v>7.67036594560656</v>
      </c>
      <c r="L2940" s="38" t="n">
        <f aca="false">Sens!$L$2976</f>
        <v>7.67036594560656</v>
      </c>
      <c r="M2940" s="38" t="n">
        <f aca="false">Sens!$M$2976</f>
        <v>7.67036594560656</v>
      </c>
      <c r="N2940" s="38" t="n">
        <f aca="false">Q!$N$34</f>
        <v>1.057</v>
      </c>
      <c r="O2940" s="38" t="n">
        <f aca="false">Q!$O$34</f>
        <v>1.217</v>
      </c>
    </row>
    <row r="2941" customFormat="false" ht="15" hidden="false" customHeight="false" outlineLevel="0" collapsed="false">
      <c r="A2941" s="5" t="s">
        <v>701</v>
      </c>
      <c r="B2941" s="0" t="s">
        <v>73</v>
      </c>
      <c r="F2941" s="38" t="n">
        <f aca="false">Sens!$F$2977</f>
        <v>2.59</v>
      </c>
      <c r="H2941" s="38" t="n">
        <f aca="false">Sens!$H$2977</f>
        <v>4.00971603121774</v>
      </c>
      <c r="I2941" s="38" t="n">
        <f aca="false">Sens!$I$2977</f>
        <v>2.10589651022864</v>
      </c>
      <c r="J2941" s="38" t="n">
        <f aca="false">Sens!$J$2977</f>
        <v>2.10589651022864</v>
      </c>
      <c r="K2941" s="38" t="n">
        <f aca="false">Sens!$K$2977</f>
        <v>3.90211367417502</v>
      </c>
      <c r="L2941" s="38" t="n">
        <f aca="false">Sens!$L$2977</f>
        <v>7.59262188083602</v>
      </c>
      <c r="M2941" s="38" t="n">
        <f aca="false">Sens!$M$2977</f>
        <v>11.916057835239</v>
      </c>
    </row>
    <row r="2942" customFormat="false" ht="17.15" hidden="false" customHeight="false" outlineLevel="0" collapsed="false">
      <c r="A2942" s="5" t="s">
        <v>702</v>
      </c>
      <c r="B2942" s="0" t="s">
        <v>73</v>
      </c>
      <c r="C2942" s="38" t="n">
        <f aca="false">Q!$D$39</f>
        <v>2.427</v>
      </c>
      <c r="D2942" s="38" t="n">
        <f aca="false">Q!$E$39</f>
        <v>19.61</v>
      </c>
      <c r="E2942" s="38" t="n">
        <f aca="false">Q!$P$39</f>
        <v>71.492</v>
      </c>
      <c r="F2942" s="41" t="n">
        <v>0</v>
      </c>
      <c r="G2942" s="38" t="n">
        <f aca="false">Sens!$E$2942+Sens!$F$2942</f>
        <v>71.492</v>
      </c>
      <c r="H2942" s="41" t="n">
        <v>0</v>
      </c>
      <c r="I2942" s="41" t="n">
        <v>0</v>
      </c>
      <c r="J2942" s="41" t="n">
        <v>0</v>
      </c>
      <c r="K2942" s="41" t="n">
        <v>0</v>
      </c>
      <c r="L2942" s="41" t="n">
        <v>0</v>
      </c>
      <c r="M2942" s="41" t="n">
        <v>0</v>
      </c>
      <c r="N2942" s="38" t="n">
        <f aca="false">Q!$N$39</f>
        <v>6.017</v>
      </c>
      <c r="O2942" s="38" t="n">
        <f aca="false">Q!$O$39</f>
        <v>13.593</v>
      </c>
      <c r="P2942" s="5" t="s">
        <v>703</v>
      </c>
    </row>
    <row r="2943" customFormat="false" ht="15" hidden="false" customHeight="false" outlineLevel="0" collapsed="false">
      <c r="A2943" s="5" t="s">
        <v>507</v>
      </c>
      <c r="B2943" s="0" t="s">
        <v>73</v>
      </c>
      <c r="C2943" s="38" t="n">
        <f aca="false">Q!$D$36</f>
        <v>68.614</v>
      </c>
      <c r="D2943" s="38" t="n">
        <f aca="false">Q!$E$36</f>
        <v>97.311</v>
      </c>
      <c r="E2943" s="38" t="n">
        <f aca="false">Q!$P$36</f>
        <v>120.691</v>
      </c>
      <c r="F2943" s="38" t="n">
        <f aca="false">Sens!$F$2921-Sens!$F$2940+Sens!$F$2941+Sens!$F$2942</f>
        <v>59.2236875896856</v>
      </c>
      <c r="G2943" s="38" t="n">
        <f aca="false">Sens!$E$2943+Sens!$F$2943</f>
        <v>179.914687589686</v>
      </c>
      <c r="H2943" s="38" t="n">
        <f aca="false">Sens!$H$2921-Sens!$H$2940+Sens!$H$2941+Sens!$H$2942</f>
        <v>132.646263775287</v>
      </c>
      <c r="I2943" s="38" t="n">
        <f aca="false">Sens!$I$2921-Sens!$I$2940+Sens!$I$2941+Sens!$I$2942</f>
        <v>156.791719370628</v>
      </c>
      <c r="J2943" s="38" t="n">
        <f aca="false">Sens!$J$2921-Sens!$J$2940+Sens!$J$2941+Sens!$J$2942</f>
        <v>180.881644643905</v>
      </c>
      <c r="K2943" s="38" t="n">
        <f aca="false">Sens!$K$2921-Sens!$K$2940+Sens!$K$2941+Sens!$K$2942</f>
        <v>203.697162595275</v>
      </c>
      <c r="L2943" s="38" t="n">
        <f aca="false">Sens!$L$2921-Sens!$L$2940+Sens!$L$2941+Sens!$L$2942</f>
        <v>230.717876062747</v>
      </c>
      <c r="M2943" s="38" t="n">
        <f aca="false">Sens!$M$2921-Sens!$M$2940+Sens!$M$2941+Sens!$M$2942</f>
        <v>259.70172796877</v>
      </c>
      <c r="N2943" s="38" t="n">
        <f aca="false">Q!$N$36</f>
        <v>42.536</v>
      </c>
      <c r="O2943" s="38" t="n">
        <f aca="false">Q!$O$36</f>
        <v>54.775</v>
      </c>
    </row>
    <row r="2944" customFormat="false" ht="15" hidden="false" customHeight="false" outlineLevel="0" collapsed="false">
      <c r="A2944" s="5" t="s">
        <v>508</v>
      </c>
      <c r="B2944" s="0" t="s">
        <v>73</v>
      </c>
      <c r="C2944" s="38" t="n">
        <f aca="false">Q!$D$37</f>
        <v>9.265</v>
      </c>
      <c r="D2944" s="38" t="n">
        <f aca="false">Q!$E$37</f>
        <v>19.087</v>
      </c>
      <c r="E2944" s="38" t="n">
        <f aca="false">Q!$P$37</f>
        <v>27.759</v>
      </c>
      <c r="F2944" s="38" t="n">
        <f aca="false">Sens!$F$2943*tax</f>
        <v>10.2803157750071</v>
      </c>
      <c r="G2944" s="38" t="n">
        <f aca="false">Sens!$E$2944+Sens!$F$2944</f>
        <v>38.0393157750071</v>
      </c>
      <c r="H2944" s="38" t="n">
        <f aca="false">Sens!$H$2943*tax</f>
        <v>23.0253389054808</v>
      </c>
      <c r="I2944" s="38" t="n">
        <f aca="false">Sens!$I$2943*tax</f>
        <v>27.2166163850472</v>
      </c>
      <c r="J2944" s="38" t="n">
        <f aca="false">Sens!$J$2943*tax</f>
        <v>31.3982546599449</v>
      </c>
      <c r="K2944" s="38" t="n">
        <f aca="false">Sens!$K$2943*tax</f>
        <v>35.3586755431469</v>
      </c>
      <c r="L2944" s="38" t="n">
        <f aca="false">Sens!$L$2943*tax</f>
        <v>40.0490532993605</v>
      </c>
      <c r="M2944" s="38" t="n">
        <f aca="false">Sens!$M$2943*tax</f>
        <v>45.0802015121213</v>
      </c>
      <c r="N2944" s="38" t="n">
        <f aca="false">Q!$N$37</f>
        <v>7.231</v>
      </c>
      <c r="O2944" s="38" t="n">
        <f aca="false">Q!$O$37</f>
        <v>11.856</v>
      </c>
    </row>
    <row r="2945" customFormat="false" ht="15" hidden="false" customHeight="false" outlineLevel="0" collapsed="false">
      <c r="A2945" s="3" t="s">
        <v>509</v>
      </c>
      <c r="B2945" s="8" t="s">
        <v>73</v>
      </c>
      <c r="C2945" s="38" t="n">
        <f aca="false">Q!$D$38</f>
        <v>59.248</v>
      </c>
      <c r="D2945" s="38" t="n">
        <f aca="false">Q!$E$38</f>
        <v>77.67</v>
      </c>
      <c r="E2945" s="38" t="n">
        <f aca="false">Q!$P$38</f>
        <v>92.902</v>
      </c>
      <c r="F2945" s="38" t="n">
        <f aca="false">Sens!$F$2943-Sens!$F$2944</f>
        <v>48.9433718146785</v>
      </c>
      <c r="G2945" s="38" t="n">
        <f aca="false">Sens!$E$2945+Sens!$F$2945</f>
        <v>141.845371814679</v>
      </c>
      <c r="H2945" s="38" t="n">
        <f aca="false">Sens!$H$2943-Sens!$H$2944</f>
        <v>109.620924869806</v>
      </c>
      <c r="I2945" s="38" t="n">
        <f aca="false">Sens!$I$2943-Sens!$I$2944</f>
        <v>129.575102985581</v>
      </c>
      <c r="J2945" s="38" t="n">
        <f aca="false">Sens!$J$2943-Sens!$J$2944</f>
        <v>149.48338998396</v>
      </c>
      <c r="K2945" s="38" t="n">
        <f aca="false">Sens!$K$2943-Sens!$K$2944</f>
        <v>168.338487052128</v>
      </c>
      <c r="L2945" s="38" t="n">
        <f aca="false">Sens!$L$2943-Sens!$L$2944</f>
        <v>190.668822763387</v>
      </c>
      <c r="M2945" s="38" t="n">
        <f aca="false">Sens!$M$2943-Sens!$M$2944</f>
        <v>214.621526456648</v>
      </c>
      <c r="N2945" s="38" t="n">
        <f aca="false">Q!$N$38</f>
        <v>35.291</v>
      </c>
      <c r="O2945" s="38" t="n">
        <f aca="false">Q!$O$38</f>
        <v>42.379</v>
      </c>
    </row>
    <row r="2946" customFormat="false" ht="17.15" hidden="false" customHeight="false" outlineLevel="0" collapsed="false">
      <c r="A2946" s="5" t="s">
        <v>512</v>
      </c>
      <c r="B2946" s="5" t="s">
        <v>33</v>
      </c>
      <c r="C2946" s="22" t="n">
        <f aca="false">Q!$D$41</f>
        <v>10.721</v>
      </c>
      <c r="D2946" s="22" t="n">
        <f aca="false">Q!$E$41</f>
        <v>10.827</v>
      </c>
      <c r="E2946" s="22" t="n">
        <f aca="false">(Q!$L$41+Q!$M$41)/2</f>
        <v>10.8885</v>
      </c>
      <c r="F2946" s="22" t="n">
        <f aca="false">Sens!$G$2946</f>
        <v>10.924806</v>
      </c>
      <c r="G2946" s="22" t="n">
        <f aca="false">Q!$M$41*(1+sh_g*0.25)</f>
        <v>10.924806</v>
      </c>
      <c r="H2946" s="22" t="n">
        <f aca="false">Sens!$G$2946*(1+sh_g)</f>
        <v>11.012204448</v>
      </c>
      <c r="I2946" s="22" t="n">
        <f aca="false">Sens!$H$2946*(1+sh_g)</f>
        <v>11.100302083584</v>
      </c>
      <c r="J2946" s="22" t="n">
        <f aca="false">Sens!$I$2946*(1+sh_g)</f>
        <v>11.1891045002527</v>
      </c>
      <c r="K2946" s="22" t="n">
        <f aca="false">Sens!$J$2946*(1+sh_g)</f>
        <v>11.2786173362547</v>
      </c>
      <c r="L2946" s="22" t="n">
        <f aca="false">Sens!$K$2946*(1+sh_g)</f>
        <v>11.3688462749447</v>
      </c>
      <c r="M2946" s="22" t="n">
        <f aca="false">Sens!$L$2946*(1+sh_g)</f>
        <v>11.4597970451443</v>
      </c>
      <c r="P2946" s="5" t="s">
        <v>704</v>
      </c>
    </row>
    <row r="2947" customFormat="false" ht="17.15" hidden="false" customHeight="false" outlineLevel="0" collapsed="false">
      <c r="A2947" s="42" t="s">
        <v>705</v>
      </c>
      <c r="B2947" s="13" t="s">
        <v>27</v>
      </c>
      <c r="C2947" s="43" t="n">
        <f aca="false">Sens!$C$2945/Sens!$C$2946</f>
        <v>5.52635015390355</v>
      </c>
      <c r="D2947" s="43" t="n">
        <f aca="false">Sens!$D$2945/Sens!$D$2946</f>
        <v>7.1737323358271</v>
      </c>
      <c r="E2947" s="43" t="n">
        <f aca="false">Sens!$E$2945/Sens!$E$2946</f>
        <v>8.53212104513937</v>
      </c>
      <c r="F2947" s="13"/>
      <c r="G2947" s="43" t="n">
        <f aca="false">Sens!$G$2945/Sens!$G$2946</f>
        <v>12.9837886196495</v>
      </c>
      <c r="H2947" s="43" t="n">
        <f aca="false">Sens!$H$2945/Sens!$H$2946</f>
        <v>9.95449416031453</v>
      </c>
      <c r="I2947" s="43" t="n">
        <f aca="false">Sens!$I$2945/Sens!$I$2946</f>
        <v>11.6731150206449</v>
      </c>
      <c r="J2947" s="43" t="n">
        <f aca="false">Sens!$J$2945/Sens!$J$2946</f>
        <v>13.3597277584265</v>
      </c>
      <c r="K2947" s="43" t="n">
        <f aca="false">Sens!$K$2945/Sens!$K$2946</f>
        <v>14.9254542496987</v>
      </c>
      <c r="L2947" s="43" t="n">
        <f aca="false">Sens!$L$2945/Sens!$L$2946</f>
        <v>16.7711672892959</v>
      </c>
      <c r="M2947" s="43" t="n">
        <f aca="false">Sens!$M$2945/Sens!$M$2946</f>
        <v>18.7282135635715</v>
      </c>
      <c r="N2947" s="13"/>
      <c r="O2947" s="13"/>
    </row>
    <row r="2948" customFormat="false" ht="17.15" hidden="false" customHeight="false" outlineLevel="0" collapsed="false">
      <c r="A2948" s="0" t="s">
        <v>706</v>
      </c>
      <c r="B2948" s="0" t="s">
        <v>27</v>
      </c>
      <c r="C2948" s="30" t="n">
        <f aca="false">(Sens!$C$2945-Sens!$C$2942*(1-tax))/Sens!$C$2946</f>
        <v>5.33926775917445</v>
      </c>
      <c r="D2948" s="30" t="n">
        <f aca="false">(Sens!$D$2945-Sens!$D$2942*(1-tax))/Sens!$D$2946</f>
        <v>5.67691812755503</v>
      </c>
      <c r="E2948" s="30" t="n">
        <f aca="false">(Sens!$E$2945-Sens!$E$2942*(1-tax))/Sens!$E$2946</f>
        <v>3.10602057006846</v>
      </c>
      <c r="G2948" s="30" t="n">
        <f aca="false">(Sens!$G$2945-Sens!$G$2942*(1-tax))/Sens!$G$2946</f>
        <v>7.57572050175252</v>
      </c>
      <c r="H2948" s="30" t="n">
        <f aca="false">(Sens!$H$2945-Sens!$H$2942*(1-tax))/Sens!$H$2946</f>
        <v>9.95449416031453</v>
      </c>
      <c r="I2948" s="30" t="n">
        <f aca="false">(Sens!$I$2945-Sens!$I$2942*(1-tax))/Sens!$I$2946</f>
        <v>11.6731150206449</v>
      </c>
      <c r="J2948" s="30" t="n">
        <f aca="false">(Sens!$J$2945-Sens!$J$2942*(1-tax))/Sens!$J$2946</f>
        <v>13.3597277584265</v>
      </c>
      <c r="K2948" s="30" t="n">
        <f aca="false">(Sens!$K$2945-Sens!$K$2942*(1-tax))/Sens!$K$2946</f>
        <v>14.9254542496987</v>
      </c>
      <c r="L2948" s="30" t="n">
        <f aca="false">(Sens!$L$2945-Sens!$L$2942*(1-tax))/Sens!$L$2946</f>
        <v>16.7711672892959</v>
      </c>
      <c r="M2948" s="30" t="n">
        <f aca="false">(Sens!$M$2945-Sens!$M$2942*(1-tax))/Sens!$M$2946</f>
        <v>18.7282135635715</v>
      </c>
      <c r="P2948" s="5" t="s">
        <v>707</v>
      </c>
    </row>
    <row r="2949" customFormat="false" ht="17.15" hidden="false" customHeight="false" outlineLevel="0" collapsed="false">
      <c r="A2949" s="0" t="s">
        <v>708</v>
      </c>
      <c r="B2949" s="0" t="s">
        <v>52</v>
      </c>
      <c r="H2949" s="12" t="n">
        <f aca="false">Sens!$H$2947/Sens!$G$2947-1</f>
        <v>-0.233313599603006</v>
      </c>
      <c r="I2949" s="12" t="n">
        <f aca="false">Sens!$I$2947/Sens!$H$2947-1</f>
        <v>0.172647734043788</v>
      </c>
      <c r="J2949" s="12" t="n">
        <f aca="false">Sens!$J$2947/Sens!$I$2947-1</f>
        <v>0.144486945840815</v>
      </c>
      <c r="K2949" s="12" t="n">
        <f aca="false">Sens!$K$2947/Sens!$J$2947-1</f>
        <v>0.117197484827837</v>
      </c>
      <c r="L2949" s="12" t="n">
        <f aca="false">Sens!$L$2947/Sens!$K$2947-1</f>
        <v>0.123662101582904</v>
      </c>
      <c r="M2949" s="12" t="n">
        <f aca="false">Sens!$M$2947/Sens!$L$2947-1</f>
        <v>0.116691118782452</v>
      </c>
    </row>
    <row r="2952" customFormat="false" ht="19.4" hidden="false" customHeight="false" outlineLevel="0" collapsed="false">
      <c r="A2952" s="31" t="s">
        <v>1106</v>
      </c>
    </row>
    <row r="2953" customFormat="false" ht="17.15" hidden="false" customHeight="false" outlineLevel="0" collapsed="false">
      <c r="A2953" s="6" t="s">
        <v>16</v>
      </c>
      <c r="B2953" s="6" t="s">
        <v>17</v>
      </c>
      <c r="C2953" s="20" t="s">
        <v>457</v>
      </c>
      <c r="D2953" s="20" t="s">
        <v>458</v>
      </c>
      <c r="E2953" s="20" t="s">
        <v>540</v>
      </c>
      <c r="F2953" s="20" t="s">
        <v>541</v>
      </c>
      <c r="G2953" s="20" t="s">
        <v>542</v>
      </c>
      <c r="H2953" s="20" t="s">
        <v>543</v>
      </c>
      <c r="I2953" s="20" t="s">
        <v>544</v>
      </c>
      <c r="J2953" s="20" t="s">
        <v>545</v>
      </c>
      <c r="K2953" s="20" t="s">
        <v>546</v>
      </c>
      <c r="L2953" s="20" t="s">
        <v>547</v>
      </c>
      <c r="M2953" s="20" t="s">
        <v>548</v>
      </c>
      <c r="N2953" s="20" t="s">
        <v>549</v>
      </c>
      <c r="O2953" s="20" t="s">
        <v>550</v>
      </c>
      <c r="P2953" s="6" t="s">
        <v>23</v>
      </c>
      <c r="R2953" s="20" t="n">
        <v>2023</v>
      </c>
      <c r="S2953" s="20" t="n">
        <v>2024</v>
      </c>
      <c r="T2953" s="20" t="n">
        <v>2025</v>
      </c>
      <c r="U2953" s="20" t="n">
        <v>2026</v>
      </c>
      <c r="V2953" s="20" t="n">
        <v>2027</v>
      </c>
      <c r="W2953" s="20" t="n">
        <v>2028</v>
      </c>
      <c r="X2953" s="20" t="n">
        <v>2029</v>
      </c>
      <c r="Y2953" s="20" t="n">
        <v>2030</v>
      </c>
      <c r="Z2953" s="20" t="n">
        <v>2031</v>
      </c>
      <c r="AA2953" s="20" t="n">
        <v>2032</v>
      </c>
    </row>
    <row r="2954" customFormat="false" ht="15" hidden="false" customHeight="false" outlineLevel="0" collapsed="false">
      <c r="A2954" s="5" t="s">
        <v>509</v>
      </c>
      <c r="B2954" s="0" t="s">
        <v>73</v>
      </c>
      <c r="C2954" s="38" t="n">
        <f aca="false">Sens!$C$2945</f>
        <v>59.248</v>
      </c>
      <c r="D2954" s="38" t="n">
        <f aca="false">Sens!$D$2945</f>
        <v>77.67</v>
      </c>
      <c r="E2954" s="38" t="n">
        <f aca="false">Sens!$E$2945</f>
        <v>92.902</v>
      </c>
      <c r="F2954" s="38" t="n">
        <f aca="false">Sens!$F$2945</f>
        <v>48.9433718146785</v>
      </c>
      <c r="G2954" s="38" t="n">
        <f aca="false">Sens!$G$2945</f>
        <v>141.845371814679</v>
      </c>
      <c r="H2954" s="38" t="n">
        <f aca="false">Sens!$H$2945</f>
        <v>109.620924869806</v>
      </c>
      <c r="I2954" s="38" t="n">
        <f aca="false">Sens!$I$2945</f>
        <v>129.575102985581</v>
      </c>
      <c r="J2954" s="38" t="n">
        <f aca="false">Sens!$J$2945</f>
        <v>149.48338998396</v>
      </c>
      <c r="K2954" s="38" t="n">
        <f aca="false">Sens!$K$2945</f>
        <v>168.338487052128</v>
      </c>
      <c r="L2954" s="38" t="n">
        <f aca="false">Sens!$L$2945</f>
        <v>190.668822763387</v>
      </c>
      <c r="M2954" s="38" t="n">
        <f aca="false">Sens!$M$2945</f>
        <v>214.621526456648</v>
      </c>
    </row>
    <row r="2955" customFormat="false" ht="17.15" hidden="false" customHeight="false" outlineLevel="0" collapsed="false">
      <c r="A2955" s="5" t="s">
        <v>730</v>
      </c>
      <c r="B2955" s="0" t="s">
        <v>73</v>
      </c>
      <c r="C2955" s="38" t="n">
        <f aca="false">Sens!$C$2933</f>
        <v>32.067</v>
      </c>
      <c r="D2955" s="38" t="n">
        <f aca="false">Sens!$D$2933</f>
        <v>41.86</v>
      </c>
      <c r="E2955" s="38" t="n">
        <f aca="false">Sens!$E$2933</f>
        <v>26.703</v>
      </c>
      <c r="F2955" s="38" t="n">
        <f aca="false">Sens!$F$2933</f>
        <v>30.6103857251209</v>
      </c>
      <c r="G2955" s="38" t="n">
        <f aca="false">Sens!$G$2933</f>
        <v>57.3133857251209</v>
      </c>
      <c r="H2955" s="38" t="n">
        <f aca="false">Sens!$H$2933</f>
        <v>87.8583047245268</v>
      </c>
      <c r="I2955" s="38" t="n">
        <f aca="false">Sens!$I$2933</f>
        <v>122.919163408348</v>
      </c>
      <c r="J2955" s="38" t="n">
        <f aca="false">Sens!$J$2933</f>
        <v>158.581345896564</v>
      </c>
      <c r="K2955" s="38" t="n">
        <f aca="false">Sens!$K$2933</f>
        <v>194.053455311083</v>
      </c>
      <c r="L2955" s="38" t="n">
        <f aca="false">Sens!$L$2933</f>
        <v>228.09329529422</v>
      </c>
      <c r="M2955" s="38" t="n">
        <f aca="false">Sens!$M$2933</f>
        <v>263.499261644561</v>
      </c>
    </row>
    <row r="2956" customFormat="false" ht="15" hidden="false" customHeight="false" outlineLevel="0" collapsed="false">
      <c r="A2956" s="5" t="s">
        <v>731</v>
      </c>
      <c r="B2956" s="0" t="s">
        <v>73</v>
      </c>
      <c r="C2956" s="38" t="n">
        <f aca="false">Q!$D$48</f>
        <v>22.011</v>
      </c>
      <c r="D2956" s="38" t="n">
        <f aca="false">Q!$E$48</f>
        <v>19.467</v>
      </c>
      <c r="E2956" s="38" t="n">
        <f aca="false">Q!$P$48</f>
        <v>10.07</v>
      </c>
      <c r="F2956" s="38" t="n">
        <f aca="false">sbc_r*Sens!$F$2877</f>
        <v>11.2170714500462</v>
      </c>
      <c r="G2956" s="38" t="n">
        <f aca="false">Sens!$E$2956+Sens!$F$2956</f>
        <v>21.2870714500462</v>
      </c>
      <c r="H2956" s="38" t="n">
        <f aca="false">sbc_r*Sens!$H$2877</f>
        <v>24.2052333144357</v>
      </c>
      <c r="I2956" s="38" t="n">
        <f aca="false">sbc_r*Sens!$I$2877</f>
        <v>27.7501091263048</v>
      </c>
      <c r="J2956" s="38" t="n">
        <f aca="false">sbc_r*Sens!$J$2877</f>
        <v>31.1373733825457</v>
      </c>
      <c r="K2956" s="38" t="n">
        <f aca="false">sbc_r*Sens!$K$2877</f>
        <v>34.2357995890216</v>
      </c>
      <c r="L2956" s="38" t="n">
        <f aca="false">sbc_r*Sens!$L$2877</f>
        <v>37.5062440878381</v>
      </c>
      <c r="M2956" s="38" t="n">
        <f aca="false">sbc_r*Sens!$M$2877</f>
        <v>40.9638620068246</v>
      </c>
    </row>
    <row r="2957" customFormat="false" ht="17.15" hidden="false" customHeight="false" outlineLevel="0" collapsed="false">
      <c r="A2957" s="5" t="s">
        <v>732</v>
      </c>
      <c r="B2957" s="0" t="s">
        <v>73</v>
      </c>
      <c r="C2957" s="38" t="n">
        <f aca="false">Q!$D$44-Sens!$C$2954-Sens!$C$2955-Sens!$C$2956</f>
        <v>2.551</v>
      </c>
      <c r="D2957" s="38" t="n">
        <f aca="false">Q!$E$44-Sens!$D$2954-Sens!$D$2955-Sens!$D$2956</f>
        <v>0.51700000000001</v>
      </c>
      <c r="E2957" s="38" t="n">
        <f aca="false">Q!$P$44-Sens!$E$2954-Sens!$E$2955-Sens!$E$2956</f>
        <v>-58.256</v>
      </c>
      <c r="F2957" s="38" t="n">
        <f aca="false">wc_2h26+oth_r*Sens!$F$2877</f>
        <v>7.34599241893378</v>
      </c>
      <c r="G2957" s="38" t="n">
        <f aca="false">Sens!$E$2957+Sens!$F$2957</f>
        <v>-50.9100075810662</v>
      </c>
      <c r="H2957" s="38" t="n">
        <f aca="false">oth_r*Sens!$H$2877</f>
        <v>11.6504447480027</v>
      </c>
      <c r="I2957" s="38" t="n">
        <f aca="false">oth_r*Sens!$I$2877</f>
        <v>13.3566617155574</v>
      </c>
      <c r="J2957" s="38" t="n">
        <f aca="false">oth_r*Sens!$J$2877</f>
        <v>14.9870172073462</v>
      </c>
      <c r="K2957" s="38" t="n">
        <f aca="false">oth_r*Sens!$K$2877</f>
        <v>16.4783493856146</v>
      </c>
      <c r="L2957" s="38" t="n">
        <f aca="false">oth_r*Sens!$L$2877</f>
        <v>18.0524772793601</v>
      </c>
      <c r="M2957" s="38" t="n">
        <f aca="false">oth_r*Sens!$M$2877</f>
        <v>19.7166953433451</v>
      </c>
      <c r="P2957" s="8" t="s">
        <v>733</v>
      </c>
    </row>
    <row r="2958" customFormat="false" ht="15" hidden="false" customHeight="false" outlineLevel="0" collapsed="false">
      <c r="A2958" s="3" t="s">
        <v>515</v>
      </c>
      <c r="B2958" s="8" t="s">
        <v>73</v>
      </c>
      <c r="C2958" s="38" t="n">
        <f aca="false">Q!$D$44</f>
        <v>115.877</v>
      </c>
      <c r="D2958" s="38" t="n">
        <f aca="false">Q!$E$44</f>
        <v>139.514</v>
      </c>
      <c r="E2958" s="38" t="n">
        <f aca="false">Q!$P$44</f>
        <v>71.419</v>
      </c>
      <c r="F2958" s="38" t="n">
        <f aca="false">Sens!$F$2954+Sens!$F$2955+Sens!$F$2956+Sens!$F$2957</f>
        <v>98.1168214087795</v>
      </c>
      <c r="G2958" s="38" t="n">
        <f aca="false">Sens!$E$2958+Sens!$F$2958</f>
        <v>169.535821408779</v>
      </c>
      <c r="H2958" s="38" t="n">
        <f aca="false">Sens!$H$2954+Sens!$H$2955+Sens!$H$2956+Sens!$H$2957</f>
        <v>233.334907656771</v>
      </c>
      <c r="I2958" s="38" t="n">
        <f aca="false">Sens!$I$2954+Sens!$I$2955+Sens!$I$2956+Sens!$I$2957</f>
        <v>293.601037235791</v>
      </c>
      <c r="J2958" s="38" t="n">
        <f aca="false">Sens!$J$2954+Sens!$J$2955+Sens!$J$2956+Sens!$J$2957</f>
        <v>354.189126470416</v>
      </c>
      <c r="K2958" s="38" t="n">
        <f aca="false">Sens!$K$2954+Sens!$K$2955+Sens!$K$2956+Sens!$K$2957</f>
        <v>413.106091337847</v>
      </c>
      <c r="L2958" s="38" t="n">
        <f aca="false">Sens!$L$2954+Sens!$L$2955+Sens!$L$2956+Sens!$L$2957</f>
        <v>474.320839424805</v>
      </c>
      <c r="M2958" s="38" t="n">
        <f aca="false">Sens!$M$2954+Sens!$M$2955+Sens!$M$2956+Sens!$M$2957</f>
        <v>538.801345451379</v>
      </c>
    </row>
    <row r="2959" customFormat="false" ht="17.15" hidden="false" customHeight="false" outlineLevel="0" collapsed="false">
      <c r="A2959" s="5" t="s">
        <v>734</v>
      </c>
      <c r="B2959" s="0" t="s">
        <v>73</v>
      </c>
      <c r="C2959" s="38" t="n">
        <f aca="false">Sens!$C$2847</f>
        <v>25.2781053077374</v>
      </c>
      <c r="D2959" s="38" t="n">
        <f aca="false">Sens!$D$2847</f>
        <v>69.5686316310026</v>
      </c>
      <c r="E2959" s="38" t="n">
        <f aca="false">Sens!$E$2847</f>
        <v>64.1899206485108</v>
      </c>
      <c r="F2959" s="38" t="n">
        <f aca="false">Sens!$F$2847</f>
        <v>96.2481299895</v>
      </c>
      <c r="G2959" s="38" t="n">
        <f aca="false">Sens!$G$2847</f>
        <v>160.438050638011</v>
      </c>
      <c r="H2959" s="38" t="n">
        <f aca="false">Sens!$H$2847</f>
        <v>198.57136494475</v>
      </c>
      <c r="I2959" s="38" t="n">
        <f aca="false">Sens!$I$2847</f>
        <v>204.6464699105</v>
      </c>
      <c r="J2959" s="38" t="n">
        <f aca="false">Sens!$J$2847</f>
        <v>209.8832381105</v>
      </c>
      <c r="K2959" s="38" t="n">
        <f aca="false">Sens!$K$2847</f>
        <v>215.1200063105</v>
      </c>
      <c r="L2959" s="38" t="n">
        <f aca="false">Sens!$L$2847</f>
        <v>251.7773837105</v>
      </c>
      <c r="M2959" s="38" t="n">
        <f aca="false">Sens!$M$2847</f>
        <v>311.87584476575</v>
      </c>
    </row>
    <row r="2960" customFormat="false" ht="17.15" hidden="false" customHeight="false" outlineLevel="0" collapsed="false">
      <c r="A2960" s="5" t="s">
        <v>735</v>
      </c>
      <c r="B2960" s="0" t="s">
        <v>73</v>
      </c>
      <c r="C2960" s="38" t="n">
        <f aca="false">cx_awso*Sens!$C$2875</f>
        <v>21.0469989286053</v>
      </c>
      <c r="D2960" s="38" t="n">
        <f aca="false">cx_awso*Sens!$D$2875</f>
        <v>24.0042459822698</v>
      </c>
      <c r="E2960" s="38" t="n">
        <f aca="false">cx_awso*Sens!$E$2875</f>
        <v>14.261729404886</v>
      </c>
      <c r="F2960" s="38" t="n">
        <f aca="false">cx_awso*Sens!$F$2875</f>
        <v>15.7190020837331</v>
      </c>
      <c r="G2960" s="38" t="n">
        <f aca="false">Sens!$E$2960+Sens!$F$2960</f>
        <v>29.9807314886191</v>
      </c>
      <c r="H2960" s="38" t="n">
        <f aca="false">cx_awso*Sens!$H$2875</f>
        <v>36.403567639793</v>
      </c>
      <c r="I2960" s="38" t="n">
        <f aca="false">cx_awso*Sens!$I$2875</f>
        <v>42.9375744933864</v>
      </c>
      <c r="J2960" s="38" t="n">
        <f aca="false">cx_awso*Sens!$J$2875</f>
        <v>49.1525327249979</v>
      </c>
      <c r="K2960" s="38" t="n">
        <f aca="false">cx_awso*Sens!$K$2875</f>
        <v>54.5593113247476</v>
      </c>
      <c r="L2960" s="38" t="n">
        <f aca="false">cx_awso*Sens!$L$2875</f>
        <v>60.5608355704699</v>
      </c>
      <c r="M2960" s="38" t="n">
        <f aca="false">cx_awso*Sens!$M$2875</f>
        <v>67.2225274832216</v>
      </c>
    </row>
    <row r="2961" customFormat="false" ht="17.15" hidden="false" customHeight="false" outlineLevel="0" collapsed="false">
      <c r="A2961" s="5" t="s">
        <v>736</v>
      </c>
      <c r="B2961" s="0" t="s">
        <v>73</v>
      </c>
      <c r="C2961" s="38" t="n">
        <f aca="false">Q!$D$46-Sens!$C$2959-Sens!$C$2960</f>
        <v>31.3328957636573</v>
      </c>
      <c r="D2961" s="38" t="n">
        <f aca="false">Q!$E$46-Sens!$D$2959-Sens!$D$2960</f>
        <v>34.7471223867276</v>
      </c>
      <c r="E2961" s="38" t="n">
        <f aca="false">Q!$P$46-Sens!$E$2959-Sens!$E$2960</f>
        <v>17.8583499466032</v>
      </c>
      <c r="F2961" s="38" t="n">
        <f aca="false">cx_rt*Sens!$F$2811</f>
        <v>21.0855744229195</v>
      </c>
      <c r="G2961" s="38" t="n">
        <f aca="false">Sens!$E$2961+Sens!$F$2961</f>
        <v>38.9439243695228</v>
      </c>
      <c r="H2961" s="38" t="n">
        <f aca="false">cx_rt*Sens!$H$2811</f>
        <v>43.1200434029767</v>
      </c>
      <c r="I2961" s="38" t="n">
        <f aca="false">cx_rt*Sens!$I$2811</f>
        <v>47.1583152318763</v>
      </c>
      <c r="J2961" s="38" t="n">
        <f aca="false">cx_rt*Sens!$J$2811</f>
        <v>50.9060281137911</v>
      </c>
      <c r="K2961" s="38" t="n">
        <f aca="false">cx_rt*Sens!$K$2811</f>
        <v>54.2035645673053</v>
      </c>
      <c r="L2961" s="38" t="n">
        <f aca="false">cx_rt*Sens!$L$2811</f>
        <v>57.7318979121519</v>
      </c>
      <c r="M2961" s="38" t="n">
        <f aca="false">cx_rt*Sens!$M$2811</f>
        <v>61.5084196557756</v>
      </c>
    </row>
    <row r="2962" customFormat="false" ht="15" hidden="false" customHeight="false" outlineLevel="0" collapsed="false">
      <c r="A2962" s="3" t="s">
        <v>737</v>
      </c>
      <c r="B2962" s="8" t="s">
        <v>73</v>
      </c>
      <c r="C2962" s="38" t="n">
        <f aca="false">Q!$D$46</f>
        <v>77.658</v>
      </c>
      <c r="D2962" s="38" t="n">
        <f aca="false">Q!$E$46</f>
        <v>128.32</v>
      </c>
      <c r="E2962" s="38" t="n">
        <f aca="false">Q!$P$46</f>
        <v>96.31</v>
      </c>
      <c r="F2962" s="38" t="n">
        <f aca="false">Sens!$F$2959+Sens!$F$2960+Sens!$F$2961</f>
        <v>133.052706496153</v>
      </c>
      <c r="G2962" s="38" t="n">
        <f aca="false">Sens!$E$2962+Sens!$F$2962</f>
        <v>229.362706496153</v>
      </c>
      <c r="H2962" s="38" t="n">
        <f aca="false">Sens!$H$2959+Sens!$H$2960+Sens!$H$2961</f>
        <v>278.09497598752</v>
      </c>
      <c r="I2962" s="38" t="n">
        <f aca="false">Sens!$I$2959+Sens!$I$2960+Sens!$I$2961</f>
        <v>294.742359635763</v>
      </c>
      <c r="J2962" s="38" t="n">
        <f aca="false">Sens!$J$2959+Sens!$J$2960+Sens!$J$2961</f>
        <v>309.941798949289</v>
      </c>
      <c r="K2962" s="38" t="n">
        <f aca="false">Sens!$K$2959+Sens!$K$2960+Sens!$K$2961</f>
        <v>323.882882202553</v>
      </c>
      <c r="L2962" s="38" t="n">
        <f aca="false">Sens!$L$2959+Sens!$L$2960+Sens!$L$2961</f>
        <v>370.070117193122</v>
      </c>
      <c r="M2962" s="38" t="n">
        <f aca="false">Sens!$M$2959+Sens!$M$2960+Sens!$M$2961</f>
        <v>440.606791904747</v>
      </c>
    </row>
    <row r="2963" customFormat="false" ht="17.15" hidden="false" customHeight="false" outlineLevel="0" collapsed="false">
      <c r="A2963" s="5" t="s">
        <v>523</v>
      </c>
      <c r="B2963" s="0" t="s">
        <v>73</v>
      </c>
      <c r="C2963" s="38" t="n">
        <f aca="false">Q!$D$50</f>
        <v>2.043</v>
      </c>
      <c r="D2963" s="38" t="n">
        <f aca="false">Q!$E$50</f>
        <v>1.557</v>
      </c>
      <c r="E2963" s="38" t="n">
        <f aca="false">lease_pr/2</f>
        <v>0.8</v>
      </c>
      <c r="F2963" s="38" t="n">
        <f aca="false">lease_pr/2</f>
        <v>0.8</v>
      </c>
      <c r="G2963" s="38" t="n">
        <f aca="false">Sens!$E$2963+Sens!$F$2963</f>
        <v>1.6</v>
      </c>
      <c r="H2963" s="38" t="n">
        <f aca="false">lease_pr</f>
        <v>1.6</v>
      </c>
      <c r="I2963" s="38" t="n">
        <f aca="false">lease_pr</f>
        <v>1.6</v>
      </c>
      <c r="J2963" s="38" t="n">
        <f aca="false">lease_pr</f>
        <v>1.6</v>
      </c>
      <c r="K2963" s="38" t="n">
        <f aca="false">lease_pr</f>
        <v>1.6</v>
      </c>
      <c r="L2963" s="38" t="n">
        <f aca="false">lease_pr</f>
        <v>1.6</v>
      </c>
      <c r="M2963" s="38" t="n">
        <f aca="false">lease_pr</f>
        <v>1.6</v>
      </c>
      <c r="P2963" s="8" t="s">
        <v>738</v>
      </c>
    </row>
    <row r="2964" customFormat="false" ht="15" hidden="false" customHeight="false" outlineLevel="0" collapsed="false">
      <c r="A2964" s="46" t="s">
        <v>739</v>
      </c>
      <c r="B2964" s="13" t="s">
        <v>73</v>
      </c>
      <c r="C2964" s="47" t="n">
        <f aca="false">Sens!$C$2958-Sens!$C$2962-Sens!$C$2963</f>
        <v>36.176</v>
      </c>
      <c r="D2964" s="47" t="n">
        <f aca="false">Sens!$D$2958-Sens!$D$2962-Sens!$D$2963</f>
        <v>9.63700000000002</v>
      </c>
      <c r="E2964" s="47" t="n">
        <f aca="false">Sens!$E$2958-Sens!$E$2962-Sens!$E$2963</f>
        <v>-25.691</v>
      </c>
      <c r="F2964" s="47" t="n">
        <f aca="false">Sens!$F$2958-Sens!$F$2962-Sens!$F$2963</f>
        <v>-35.7358850873731</v>
      </c>
      <c r="G2964" s="47" t="n">
        <f aca="false">Sens!$G$2958-Sens!$G$2962-Sens!$G$2963</f>
        <v>-61.4268850873731</v>
      </c>
      <c r="H2964" s="47" t="n">
        <f aca="false">Sens!$H$2958-Sens!$H$2962-Sens!$H$2963</f>
        <v>-46.3600683307489</v>
      </c>
      <c r="I2964" s="47" t="n">
        <f aca="false">Sens!$I$2958-Sens!$I$2962-Sens!$I$2963</f>
        <v>-2.74132239997167</v>
      </c>
      <c r="J2964" s="47" t="n">
        <f aca="false">Sens!$J$2958-Sens!$J$2962-Sens!$J$2963</f>
        <v>42.6473275211269</v>
      </c>
      <c r="K2964" s="47" t="n">
        <f aca="false">Sens!$K$2958-Sens!$K$2962-Sens!$K$2963</f>
        <v>87.6232091352941</v>
      </c>
      <c r="L2964" s="47" t="n">
        <f aca="false">Sens!$L$2958-Sens!$L$2962-Sens!$L$2963</f>
        <v>102.650722231683</v>
      </c>
      <c r="M2964" s="47" t="n">
        <f aca="false">Sens!$M$2958-Sens!$M$2962-Sens!$M$2963</f>
        <v>96.5945535466316</v>
      </c>
      <c r="N2964" s="13"/>
      <c r="O2964" s="13"/>
    </row>
    <row r="2965" customFormat="false" ht="17.15" hidden="false" customHeight="false" outlineLevel="0" collapsed="false">
      <c r="A2965" s="5" t="s">
        <v>740</v>
      </c>
      <c r="B2965" s="0" t="s">
        <v>73</v>
      </c>
      <c r="C2965" s="38" t="n">
        <f aca="false">dps*Sens!$C$2946</f>
        <v>0</v>
      </c>
      <c r="D2965" s="38" t="n">
        <f aca="false">dps*Sens!$D$2946</f>
        <v>0</v>
      </c>
      <c r="E2965" s="38" t="n">
        <f aca="false">dps*Sens!$E$2946</f>
        <v>0</v>
      </c>
      <c r="F2965" s="38" t="n">
        <f aca="false">0</f>
        <v>0</v>
      </c>
      <c r="G2965" s="38" t="n">
        <f aca="false">dps*Sens!$G$2946</f>
        <v>0</v>
      </c>
      <c r="H2965" s="38" t="n">
        <f aca="false">dps*Sens!$H$2946</f>
        <v>0</v>
      </c>
      <c r="I2965" s="38" t="n">
        <f aca="false">dps*Sens!$I$2946</f>
        <v>0</v>
      </c>
      <c r="J2965" s="38" t="n">
        <f aca="false">dps*Sens!$J$2946</f>
        <v>0</v>
      </c>
      <c r="K2965" s="38" t="n">
        <f aca="false">dps*Sens!$K$2946</f>
        <v>0</v>
      </c>
      <c r="L2965" s="38" t="n">
        <f aca="false">dps*Sens!$L$2946</f>
        <v>0</v>
      </c>
      <c r="M2965" s="38" t="n">
        <f aca="false">dps*Sens!$M$2946</f>
        <v>0</v>
      </c>
      <c r="P2965" s="8" t="s">
        <v>741</v>
      </c>
    </row>
    <row r="2966" customFormat="false" ht="17.15" hidden="false" customHeight="false" outlineLevel="0" collapsed="false">
      <c r="A2966" s="5" t="s">
        <v>742</v>
      </c>
      <c r="B2966" s="0" t="s">
        <v>73</v>
      </c>
      <c r="C2966" s="38" t="n">
        <f aca="false">0</f>
        <v>0</v>
      </c>
      <c r="D2966" s="38" t="n">
        <f aca="false">0</f>
        <v>0</v>
      </c>
      <c r="E2966" s="38" t="n">
        <f aca="false">0</f>
        <v>0</v>
      </c>
      <c r="F2966" s="38" t="n">
        <f aca="false">0</f>
        <v>0</v>
      </c>
      <c r="G2966" s="38" t="n">
        <f aca="false">0</f>
        <v>0</v>
      </c>
      <c r="H2966" s="38" t="n">
        <f aca="false">0</f>
        <v>0</v>
      </c>
      <c r="I2966" s="38" t="n">
        <f aca="false">0</f>
        <v>0</v>
      </c>
      <c r="J2966" s="38" t="n">
        <f aca="false">0</f>
        <v>0</v>
      </c>
      <c r="K2966" s="38" t="n">
        <f aca="false">0</f>
        <v>0</v>
      </c>
      <c r="L2966" s="38" t="n">
        <f aca="false">0</f>
        <v>0</v>
      </c>
      <c r="M2966" s="38" t="n">
        <f aca="false">0</f>
        <v>0</v>
      </c>
      <c r="P2966" s="8" t="s">
        <v>743</v>
      </c>
    </row>
    <row r="2967" customFormat="false" ht="15" hidden="false" customHeight="false" outlineLevel="0" collapsed="false">
      <c r="A2967" s="3" t="s">
        <v>744</v>
      </c>
      <c r="B2967" s="8" t="s">
        <v>73</v>
      </c>
      <c r="C2967" s="38" t="n">
        <f aca="false">Sens!$C$2964-Sens!$C$2965</f>
        <v>36.176</v>
      </c>
      <c r="D2967" s="38" t="n">
        <f aca="false">Sens!$D$2964-Sens!$D$2965</f>
        <v>9.63700000000002</v>
      </c>
      <c r="E2967" s="38" t="n">
        <f aca="false">Sens!$E$2964-Sens!$E$2965</f>
        <v>-25.691</v>
      </c>
      <c r="F2967" s="38" t="n">
        <f aca="false">Sens!$F$2964-Sens!$F$2965</f>
        <v>-35.7358850873731</v>
      </c>
      <c r="G2967" s="38" t="n">
        <f aca="false">Sens!$G$2964-Sens!$G$2965</f>
        <v>-61.4268850873731</v>
      </c>
      <c r="H2967" s="38" t="n">
        <f aca="false">Sens!$H$2964-Sens!$H$2965</f>
        <v>-46.3600683307489</v>
      </c>
      <c r="I2967" s="38" t="n">
        <f aca="false">Sens!$I$2964-Sens!$I$2965</f>
        <v>-2.74132239997167</v>
      </c>
      <c r="J2967" s="38" t="n">
        <f aca="false">Sens!$J$2964-Sens!$J$2965</f>
        <v>42.6473275211269</v>
      </c>
      <c r="K2967" s="38" t="n">
        <f aca="false">Sens!$K$2964-Sens!$K$2965</f>
        <v>87.6232091352941</v>
      </c>
      <c r="L2967" s="38" t="n">
        <f aca="false">Sens!$L$2964-Sens!$L$2965</f>
        <v>102.650722231683</v>
      </c>
      <c r="M2967" s="38" t="n">
        <f aca="false">Sens!$M$2964-Sens!$M$2965</f>
        <v>96.5945535466316</v>
      </c>
    </row>
    <row r="2968" customFormat="false" ht="17.15" hidden="false" customHeight="false" outlineLevel="0" collapsed="false">
      <c r="A2968" s="5" t="s">
        <v>745</v>
      </c>
      <c r="B2968" s="0" t="s">
        <v>73</v>
      </c>
      <c r="E2968" s="38" t="n">
        <f aca="false">Q!$P$53</f>
        <v>39.767</v>
      </c>
      <c r="F2968" s="38" t="n">
        <f aca="false">inv_2h26</f>
        <v>21.3</v>
      </c>
      <c r="G2968" s="38" t="n">
        <f aca="false">Sens!$E$2968+Sens!$F$2968</f>
        <v>61.067</v>
      </c>
      <c r="H2968" s="41" t="n">
        <v>0</v>
      </c>
      <c r="I2968" s="41" t="n">
        <v>0</v>
      </c>
      <c r="J2968" s="41" t="n">
        <v>0</v>
      </c>
      <c r="K2968" s="41" t="n">
        <v>0</v>
      </c>
      <c r="L2968" s="41" t="n">
        <v>0</v>
      </c>
      <c r="M2968" s="41" t="n">
        <v>0</v>
      </c>
    </row>
    <row r="2969" customFormat="false" ht="17.15" hidden="false" customHeight="false" outlineLevel="0" collapsed="false">
      <c r="A2969" s="5" t="s">
        <v>746</v>
      </c>
      <c r="B2969" s="0" t="s">
        <v>73</v>
      </c>
      <c r="F2969" s="38" t="n">
        <f aca="false">iss_2h26</f>
        <v>29.25</v>
      </c>
      <c r="G2969" s="38" t="n">
        <f aca="false">Sens!$F$2969</f>
        <v>29.25</v>
      </c>
      <c r="H2969" s="41" t="n">
        <v>0</v>
      </c>
      <c r="I2969" s="41" t="n">
        <v>0</v>
      </c>
      <c r="J2969" s="41" t="n">
        <v>0</v>
      </c>
      <c r="K2969" s="41" t="n">
        <v>0</v>
      </c>
      <c r="L2969" s="41" t="n">
        <v>0</v>
      </c>
      <c r="M2969" s="41" t="n">
        <v>0</v>
      </c>
    </row>
    <row r="2970" customFormat="false" ht="17.15" hidden="false" customHeight="false" outlineLevel="0" collapsed="false">
      <c r="A2970" s="5" t="s">
        <v>747</v>
      </c>
      <c r="B2970" s="0" t="s">
        <v>73</v>
      </c>
      <c r="F2970" s="38" t="n">
        <f aca="false">cash_q2</f>
        <v>122.988</v>
      </c>
      <c r="G2970" s="38" t="n">
        <f aca="false">cash_q2</f>
        <v>122.988</v>
      </c>
      <c r="H2970" s="38" t="n">
        <f aca="false">Sens!$G$2973</f>
        <v>95.2021149126269</v>
      </c>
      <c r="I2970" s="38" t="n">
        <f aca="false">Sens!$H$2973</f>
        <v>50</v>
      </c>
      <c r="J2970" s="38" t="n">
        <f aca="false">Sens!$I$2973</f>
        <v>50</v>
      </c>
      <c r="K2970" s="38" t="n">
        <f aca="false">Sens!$J$2973</f>
        <v>92.6473275211269</v>
      </c>
      <c r="L2970" s="38" t="n">
        <f aca="false">Sens!$K$2973</f>
        <v>180.270536656421</v>
      </c>
      <c r="M2970" s="38" t="n">
        <f aca="false">Sens!$L$2973</f>
        <v>282.921258888104</v>
      </c>
    </row>
    <row r="2971" customFormat="false" ht="15" hidden="false" customHeight="false" outlineLevel="0" collapsed="false">
      <c r="A2971" s="5" t="s">
        <v>748</v>
      </c>
      <c r="B2971" s="0" t="s">
        <v>73</v>
      </c>
      <c r="F2971" s="38" t="n">
        <f aca="false">Sens!$F$2970+Sens!$F$2967-Sens!$F$2966-Sens!$F$2968+Sens!$F$2969</f>
        <v>95.2021149126269</v>
      </c>
      <c r="H2971" s="38" t="n">
        <f aca="false">Sens!$H$2970+Sens!$H$2967-Sens!$H$2966-Sens!$H$2968+Sens!$H$2969</f>
        <v>48.842046581878</v>
      </c>
      <c r="I2971" s="38" t="n">
        <f aca="false">Sens!$I$2970+Sens!$I$2967-Sens!$I$2966-Sens!$I$2968+Sens!$I$2969</f>
        <v>47.2586776000283</v>
      </c>
      <c r="J2971" s="38" t="n">
        <f aca="false">Sens!$J$2970+Sens!$J$2967-Sens!$J$2966-Sens!$J$2968+Sens!$J$2969</f>
        <v>92.6473275211269</v>
      </c>
      <c r="K2971" s="38" t="n">
        <f aca="false">Sens!$K$2970+Sens!$K$2967-Sens!$K$2966-Sens!$K$2968+Sens!$K$2969</f>
        <v>180.270536656421</v>
      </c>
      <c r="L2971" s="38" t="n">
        <f aca="false">Sens!$L$2970+Sens!$L$2967-Sens!$L$2966-Sens!$L$2968+Sens!$L$2969</f>
        <v>282.921258888104</v>
      </c>
      <c r="M2971" s="38" t="n">
        <f aca="false">Sens!$M$2970+Sens!$M$2967-Sens!$M$2966-Sens!$M$2968+Sens!$M$2969</f>
        <v>379.515812434736</v>
      </c>
    </row>
    <row r="2972" customFormat="false" ht="17.15" hidden="false" customHeight="false" outlineLevel="0" collapsed="false">
      <c r="A2972" s="5" t="s">
        <v>749</v>
      </c>
      <c r="B2972" s="0" t="s">
        <v>73</v>
      </c>
      <c r="F2972" s="38" t="n">
        <f aca="false">MAX(0,min_cash-Sens!$F$2971)</f>
        <v>0</v>
      </c>
      <c r="G2972" s="38" t="n">
        <f aca="false">Sens!$F$2972</f>
        <v>0</v>
      </c>
      <c r="H2972" s="38" t="n">
        <f aca="false">MAX(0,min_cash-Sens!$H$2971)</f>
        <v>1.15795341812203</v>
      </c>
      <c r="I2972" s="38" t="n">
        <f aca="false">MAX(0,min_cash-Sens!$I$2971)</f>
        <v>2.74132239997167</v>
      </c>
      <c r="J2972" s="38" t="n">
        <f aca="false">MAX(0,min_cash-Sens!$J$2971)</f>
        <v>0</v>
      </c>
      <c r="K2972" s="38" t="n">
        <f aca="false">MAX(0,min_cash-Sens!$K$2971)</f>
        <v>0</v>
      </c>
      <c r="L2972" s="38" t="n">
        <f aca="false">MAX(0,min_cash-Sens!$L$2971)</f>
        <v>0</v>
      </c>
      <c r="M2972" s="38" t="n">
        <f aca="false">MAX(0,min_cash-Sens!$M$2971)</f>
        <v>0</v>
      </c>
      <c r="P2972" s="5" t="s">
        <v>750</v>
      </c>
    </row>
    <row r="2973" customFormat="false" ht="15" hidden="false" customHeight="false" outlineLevel="0" collapsed="false">
      <c r="A2973" s="5" t="s">
        <v>751</v>
      </c>
      <c r="B2973" s="0" t="s">
        <v>73</v>
      </c>
      <c r="D2973" s="38" t="n">
        <f aca="false">Q!$E$61</f>
        <v>123.029</v>
      </c>
      <c r="E2973" s="38" t="n">
        <f aca="false">Q!$M$61</f>
        <v>122.988</v>
      </c>
      <c r="F2973" s="38" t="n">
        <f aca="false">Sens!$F$2971+Sens!$F$2972</f>
        <v>95.2021149126269</v>
      </c>
      <c r="G2973" s="38" t="n">
        <f aca="false">Sens!$F$2973</f>
        <v>95.2021149126269</v>
      </c>
      <c r="H2973" s="38" t="n">
        <f aca="false">Sens!$H$2971+Sens!$H$2972</f>
        <v>50</v>
      </c>
      <c r="I2973" s="38" t="n">
        <f aca="false">Sens!$I$2971+Sens!$I$2972</f>
        <v>50</v>
      </c>
      <c r="J2973" s="38" t="n">
        <f aca="false">Sens!$J$2971+Sens!$J$2972</f>
        <v>92.6473275211269</v>
      </c>
      <c r="K2973" s="38" t="n">
        <f aca="false">Sens!$K$2971+Sens!$K$2972</f>
        <v>180.270536656421</v>
      </c>
      <c r="L2973" s="38" t="n">
        <f aca="false">Sens!$L$2971+Sens!$L$2972</f>
        <v>282.921258888104</v>
      </c>
      <c r="M2973" s="38" t="n">
        <f aca="false">Sens!$M$2971+Sens!$M$2972</f>
        <v>379.515812434736</v>
      </c>
    </row>
    <row r="2974" customFormat="false" ht="15" hidden="false" customHeight="false" outlineLevel="0" collapsed="false">
      <c r="A2974" s="5" t="s">
        <v>752</v>
      </c>
      <c r="B2974" s="0" t="s">
        <v>73</v>
      </c>
      <c r="D2974" s="38" t="n">
        <f aca="false">Q!$E$62</f>
        <v>68.836</v>
      </c>
      <c r="E2974" s="38" t="n">
        <f aca="false">Q!$M$62</f>
        <v>132.995</v>
      </c>
      <c r="F2974" s="38" t="n">
        <f aca="false">debt_q2+Sens!$F$2969+Sens!$F$2972</f>
        <v>162.245</v>
      </c>
      <c r="G2974" s="38" t="n">
        <f aca="false">Sens!$F$2974</f>
        <v>162.245</v>
      </c>
      <c r="H2974" s="38" t="n">
        <f aca="false">Sens!$G$2974+Sens!$H$2972</f>
        <v>163.402953418122</v>
      </c>
      <c r="I2974" s="38" t="n">
        <f aca="false">Sens!$H$2974+Sens!$I$2972</f>
        <v>166.144275818094</v>
      </c>
      <c r="J2974" s="38" t="n">
        <f aca="false">Sens!$I$2974+Sens!$J$2972</f>
        <v>166.144275818094</v>
      </c>
      <c r="K2974" s="38" t="n">
        <f aca="false">Sens!$J$2974+Sens!$K$2972</f>
        <v>166.144275818094</v>
      </c>
      <c r="L2974" s="38" t="n">
        <f aca="false">Sens!$K$2974+Sens!$L$2972</f>
        <v>166.144275818094</v>
      </c>
      <c r="M2974" s="38" t="n">
        <f aca="false">Sens!$L$2974+Sens!$M$2972</f>
        <v>166.144275818094</v>
      </c>
    </row>
    <row r="2975" customFormat="false" ht="15" hidden="false" customHeight="false" outlineLevel="0" collapsed="false">
      <c r="A2975" s="5" t="s">
        <v>753</v>
      </c>
      <c r="B2975" s="0" t="s">
        <v>73</v>
      </c>
      <c r="D2975" s="38" t="n">
        <f aca="false">Sens!$D$2974-Sens!$D$2973</f>
        <v>-54.193</v>
      </c>
      <c r="E2975" s="38" t="n">
        <f aca="false">Sens!$E$2974-Sens!$E$2973</f>
        <v>10.007</v>
      </c>
      <c r="F2975" s="38" t="n">
        <f aca="false">Sens!$F$2974-Sens!$F$2973</f>
        <v>67.0428850873731</v>
      </c>
      <c r="G2975" s="38" t="n">
        <f aca="false">Sens!$G$2974-Sens!$G$2973</f>
        <v>67.0428850873731</v>
      </c>
      <c r="H2975" s="38" t="n">
        <f aca="false">Sens!$H$2974-Sens!$H$2973</f>
        <v>113.402953418122</v>
      </c>
      <c r="I2975" s="38" t="n">
        <f aca="false">Sens!$I$2974-Sens!$I$2973</f>
        <v>116.144275818094</v>
      </c>
      <c r="J2975" s="38" t="n">
        <f aca="false">Sens!$J$2974-Sens!$J$2973</f>
        <v>73.4969482969668</v>
      </c>
      <c r="K2975" s="38" t="n">
        <f aca="false">Sens!$K$2974-Sens!$K$2973</f>
        <v>-14.1262608383273</v>
      </c>
      <c r="L2975" s="38" t="n">
        <f aca="false">Sens!$L$2974-Sens!$L$2973</f>
        <v>-116.776983070011</v>
      </c>
      <c r="M2975" s="38" t="n">
        <f aca="false">Sens!$M$2974-Sens!$M$2973</f>
        <v>-213.371536616642</v>
      </c>
    </row>
    <row r="2976" customFormat="false" ht="17.15" hidden="false" customHeight="false" outlineLevel="0" collapsed="false">
      <c r="A2976" s="5" t="s">
        <v>754</v>
      </c>
      <c r="B2976" s="0" t="s">
        <v>73</v>
      </c>
      <c r="F2976" s="38" t="n">
        <f aca="false">debt_q2*kd_book*0.5+iss_2h26*kd_new*0.25</f>
        <v>3.24888964316061</v>
      </c>
      <c r="H2976" s="38" t="n">
        <f aca="false">debt_q2*kd_book+(Sens!$G$2974-debt_q2)*kd_new</f>
        <v>7.42354178632123</v>
      </c>
      <c r="I2976" s="38" t="n">
        <f aca="false">debt_q2*kd_book+(Sens!$H$2974-debt_q2)*kd_new</f>
        <v>7.49684023768835</v>
      </c>
      <c r="J2976" s="38" t="n">
        <f aca="false">debt_q2*kd_book+(Sens!$I$2974-debt_q2)*kd_new</f>
        <v>7.67036594560656</v>
      </c>
      <c r="K2976" s="38" t="n">
        <f aca="false">debt_q2*kd_book+(Sens!$J$2974-debt_q2)*kd_new</f>
        <v>7.67036594560656</v>
      </c>
      <c r="L2976" s="38" t="n">
        <f aca="false">debt_q2*kd_book+(Sens!$K$2974-debt_q2)*kd_new</f>
        <v>7.67036594560656</v>
      </c>
      <c r="M2976" s="38" t="n">
        <f aca="false">debt_q2*kd_book+(Sens!$L$2974-debt_q2)*kd_new</f>
        <v>7.67036594560656</v>
      </c>
    </row>
    <row r="2977" customFormat="false" ht="17.15" hidden="false" customHeight="false" outlineLevel="0" collapsed="false">
      <c r="A2977" s="5" t="s">
        <v>755</v>
      </c>
      <c r="B2977" s="0" t="s">
        <v>73</v>
      </c>
      <c r="F2977" s="38" t="n">
        <f aca="false">cash_q2*y_cash*0.5</f>
        <v>2.59</v>
      </c>
      <c r="H2977" s="38" t="n">
        <f aca="false">Sens!$G$2973*y_cash</f>
        <v>4.00971603121774</v>
      </c>
      <c r="I2977" s="38" t="n">
        <f aca="false">Sens!$H$2973*y_cash</f>
        <v>2.10589651022864</v>
      </c>
      <c r="J2977" s="38" t="n">
        <f aca="false">Sens!$I$2973*y_cash</f>
        <v>2.10589651022864</v>
      </c>
      <c r="K2977" s="38" t="n">
        <f aca="false">Sens!$J$2973*y_cash</f>
        <v>3.90211367417502</v>
      </c>
      <c r="L2977" s="38" t="n">
        <f aca="false">Sens!$K$2973*y_cash</f>
        <v>7.59262188083602</v>
      </c>
      <c r="M2977" s="38" t="n">
        <f aca="false">Sens!$L$2973*y_cash</f>
        <v>11.916057835239</v>
      </c>
    </row>
    <row r="2978" customFormat="false" ht="17.15" hidden="false" customHeight="false" outlineLevel="0" collapsed="false">
      <c r="A2978" s="46" t="s">
        <v>756</v>
      </c>
      <c r="B2978" s="13" t="s">
        <v>73</v>
      </c>
      <c r="C2978" s="13"/>
      <c r="D2978" s="13"/>
      <c r="E2978" s="13"/>
      <c r="F2978" s="13"/>
      <c r="G2978" s="47" t="n">
        <f aca="false">SUM(Sens!$G$2967:$K$2967)</f>
        <v>19.7422608383272</v>
      </c>
      <c r="H2978" s="13"/>
      <c r="I2978" s="13"/>
      <c r="J2978" s="13"/>
      <c r="K2978" s="13"/>
      <c r="L2978" s="13"/>
      <c r="M2978" s="13"/>
      <c r="N2978" s="13"/>
      <c r="O2978" s="13"/>
    </row>
    <row r="2979" customFormat="false" ht="17.15" hidden="false" customHeight="false" outlineLevel="0" collapsed="false">
      <c r="A2979" s="0" t="s">
        <v>723</v>
      </c>
      <c r="B2979" s="0" t="s">
        <v>73</v>
      </c>
      <c r="G2979" s="38" t="n">
        <f aca="false">SUM(Sens!$G$2972:$K$2972)</f>
        <v>3.8992758180937</v>
      </c>
    </row>
    <row r="2982" customFormat="false" ht="19.4" hidden="false" customHeight="false" outlineLevel="0" collapsed="false">
      <c r="A2982" s="31" t="s">
        <v>1107</v>
      </c>
    </row>
    <row r="2983" customFormat="false" ht="17.15" hidden="false" customHeight="false" outlineLevel="0" collapsed="false">
      <c r="A2983" s="6" t="s">
        <v>16</v>
      </c>
      <c r="B2983" s="6" t="s">
        <v>17</v>
      </c>
      <c r="C2983" s="20" t="s">
        <v>457</v>
      </c>
      <c r="D2983" s="20" t="s">
        <v>458</v>
      </c>
      <c r="E2983" s="20" t="s">
        <v>540</v>
      </c>
      <c r="F2983" s="20" t="s">
        <v>541</v>
      </c>
      <c r="G2983" s="20" t="s">
        <v>542</v>
      </c>
      <c r="H2983" s="20" t="s">
        <v>543</v>
      </c>
      <c r="I2983" s="20" t="s">
        <v>544</v>
      </c>
      <c r="J2983" s="20" t="s">
        <v>545</v>
      </c>
      <c r="K2983" s="20" t="s">
        <v>546</v>
      </c>
      <c r="L2983" s="20" t="s">
        <v>547</v>
      </c>
      <c r="M2983" s="20" t="s">
        <v>548</v>
      </c>
      <c r="N2983" s="20" t="s">
        <v>549</v>
      </c>
      <c r="O2983" s="20" t="s">
        <v>550</v>
      </c>
      <c r="P2983" s="6" t="s">
        <v>23</v>
      </c>
      <c r="R2983" s="20" t="n">
        <v>2023</v>
      </c>
      <c r="S2983" s="20" t="n">
        <v>2024</v>
      </c>
      <c r="T2983" s="20" t="n">
        <v>2025</v>
      </c>
      <c r="U2983" s="20" t="n">
        <v>2026</v>
      </c>
      <c r="V2983" s="20" t="n">
        <v>2027</v>
      </c>
      <c r="W2983" s="20" t="n">
        <v>2028</v>
      </c>
      <c r="X2983" s="20" t="n">
        <v>2029</v>
      </c>
      <c r="Y2983" s="20" t="n">
        <v>2030</v>
      </c>
      <c r="Z2983" s="20" t="n">
        <v>2031</v>
      </c>
      <c r="AA2983" s="20" t="n">
        <v>2032</v>
      </c>
    </row>
    <row r="2984" customFormat="false" ht="17.15" hidden="false" customHeight="false" outlineLevel="0" collapsed="false">
      <c r="A2984" s="1" t="s">
        <v>851</v>
      </c>
    </row>
    <row r="2985" customFormat="false" ht="17.15" hidden="false" customHeight="false" outlineLevel="0" collapsed="false">
      <c r="A2985" s="0" t="s">
        <v>852</v>
      </c>
      <c r="B2985" s="0" t="s">
        <v>73</v>
      </c>
      <c r="H2985" s="38" t="n">
        <f aca="false">Sens!$H$2921*(1-tax)</f>
        <v>112.442163297243</v>
      </c>
      <c r="I2985" s="38" t="n">
        <f aca="false">Sens!$I$2921*(1-tax)</f>
        <v>134.030262298069</v>
      </c>
      <c r="J2985" s="38" t="n">
        <f aca="false">Sens!$J$2921*(1-tax)</f>
        <v>154.081953626501</v>
      </c>
      <c r="K2985" s="38" t="n">
        <f aca="false">Sens!$K$2921*(1-tax)</f>
        <v>171.452629036835</v>
      </c>
      <c r="L2985" s="38" t="n">
        <f aca="false">Sens!$L$2921*(1-tax)</f>
        <v>190.733071661477</v>
      </c>
      <c r="M2985" s="38" t="n">
        <f aca="false">Sens!$M$2921*(1-tax)</f>
        <v>211.112820983856</v>
      </c>
    </row>
    <row r="2986" customFormat="false" ht="15" hidden="false" customHeight="false" outlineLevel="0" collapsed="false">
      <c r="A2986" s="5" t="s">
        <v>853</v>
      </c>
      <c r="B2986" s="0" t="s">
        <v>73</v>
      </c>
      <c r="H2986" s="38" t="n">
        <f aca="false">Sens!$H$2933</f>
        <v>87.8583047245268</v>
      </c>
      <c r="I2986" s="38" t="n">
        <f aca="false">Sens!$I$2933</f>
        <v>122.919163408348</v>
      </c>
      <c r="J2986" s="38" t="n">
        <f aca="false">Sens!$J$2933</f>
        <v>158.581345896564</v>
      </c>
      <c r="K2986" s="38" t="n">
        <f aca="false">Sens!$K$2933</f>
        <v>194.053455311083</v>
      </c>
      <c r="L2986" s="38" t="n">
        <f aca="false">Sens!$L$2933</f>
        <v>228.09329529422</v>
      </c>
      <c r="M2986" s="38" t="n">
        <f aca="false">Sens!$M$2933</f>
        <v>263.499261644561</v>
      </c>
    </row>
    <row r="2987" customFormat="false" ht="15" hidden="false" customHeight="false" outlineLevel="0" collapsed="false">
      <c r="A2987" s="5" t="s">
        <v>854</v>
      </c>
      <c r="B2987" s="0" t="s">
        <v>73</v>
      </c>
      <c r="H2987" s="38" t="n">
        <f aca="false">Sens!$H$2962</f>
        <v>278.09497598752</v>
      </c>
      <c r="I2987" s="38" t="n">
        <f aca="false">Sens!$I$2962</f>
        <v>294.742359635763</v>
      </c>
      <c r="J2987" s="38" t="n">
        <f aca="false">Sens!$J$2962</f>
        <v>309.941798949289</v>
      </c>
      <c r="K2987" s="38" t="n">
        <f aca="false">Sens!$K$2962</f>
        <v>323.882882202553</v>
      </c>
      <c r="L2987" s="38" t="n">
        <f aca="false">Sens!$L$2962</f>
        <v>370.070117193122</v>
      </c>
      <c r="M2987" s="38" t="n">
        <f aca="false">Sens!$M$2962</f>
        <v>440.606791904747</v>
      </c>
    </row>
    <row r="2988" customFormat="false" ht="15" hidden="false" customHeight="false" outlineLevel="0" collapsed="false">
      <c r="A2988" s="5" t="s">
        <v>855</v>
      </c>
      <c r="B2988" s="0" t="s">
        <v>73</v>
      </c>
      <c r="H2988" s="38" t="n">
        <f aca="false">Sens!$H$2963</f>
        <v>1.6</v>
      </c>
      <c r="I2988" s="38" t="n">
        <f aca="false">Sens!$I$2963</f>
        <v>1.6</v>
      </c>
      <c r="J2988" s="38" t="n">
        <f aca="false">Sens!$J$2963</f>
        <v>1.6</v>
      </c>
      <c r="K2988" s="38" t="n">
        <f aca="false">Sens!$K$2963</f>
        <v>1.6</v>
      </c>
      <c r="L2988" s="38" t="n">
        <f aca="false">Sens!$L$2963</f>
        <v>1.6</v>
      </c>
      <c r="M2988" s="38" t="n">
        <f aca="false">Sens!$M$2963</f>
        <v>1.6</v>
      </c>
    </row>
    <row r="2989" customFormat="false" ht="15" hidden="false" customHeight="false" outlineLevel="0" collapsed="false">
      <c r="A2989" s="5" t="s">
        <v>856</v>
      </c>
      <c r="B2989" s="0" t="s">
        <v>73</v>
      </c>
      <c r="H2989" s="38" t="n">
        <f aca="false">Sens!$H$2957</f>
        <v>11.6504447480027</v>
      </c>
      <c r="I2989" s="38" t="n">
        <f aca="false">Sens!$I$2957</f>
        <v>13.3566617155574</v>
      </c>
      <c r="J2989" s="38" t="n">
        <f aca="false">Sens!$J$2957</f>
        <v>14.9870172073462</v>
      </c>
      <c r="K2989" s="38" t="n">
        <f aca="false">Sens!$K$2957</f>
        <v>16.4783493856146</v>
      </c>
      <c r="L2989" s="38" t="n">
        <f aca="false">Sens!$L$2957</f>
        <v>18.0524772793601</v>
      </c>
      <c r="M2989" s="38" t="n">
        <f aca="false">Sens!$M$2957</f>
        <v>19.7166953433451</v>
      </c>
    </row>
    <row r="2990" customFormat="false" ht="17.15" hidden="false" customHeight="false" outlineLevel="0" collapsed="false">
      <c r="A2990" s="1" t="s">
        <v>857</v>
      </c>
      <c r="B2990" s="8" t="s">
        <v>73</v>
      </c>
      <c r="H2990" s="38" t="n">
        <f aca="false">Sens!$H$2985+Sens!$H$2986-Sens!$H$2987-Sens!$H$2988+Sens!$H$2989</f>
        <v>-67.7440632177474</v>
      </c>
      <c r="I2990" s="38" t="n">
        <f aca="false">Sens!$I$2985+Sens!$I$2986-Sens!$I$2987-Sens!$I$2988+Sens!$I$2989</f>
        <v>-26.0362722137884</v>
      </c>
      <c r="J2990" s="38" t="n">
        <f aca="false">Sens!$J$2985+Sens!$J$2986-Sens!$J$2987-Sens!$J$2988+Sens!$J$2989</f>
        <v>16.1085177811218</v>
      </c>
      <c r="K2990" s="38" t="n">
        <f aca="false">Sens!$K$2985+Sens!$K$2986-Sens!$K$2987-Sens!$K$2988+Sens!$K$2989</f>
        <v>56.5015515309791</v>
      </c>
      <c r="L2990" s="38" t="n">
        <f aca="false">Sens!$L$2985+Sens!$L$2986-Sens!$L$2987-Sens!$L$2988+Sens!$L$2989</f>
        <v>65.208727041935</v>
      </c>
      <c r="M2990" s="38" t="n">
        <f aca="false">Sens!$M$2985+Sens!$M$2986-Sens!$M$2987-Sens!$M$2988+Sens!$M$2989</f>
        <v>52.121986067015</v>
      </c>
    </row>
    <row r="2991" customFormat="false" ht="15" hidden="false" customHeight="false" outlineLevel="0" collapsed="false">
      <c r="A2991" s="5" t="s">
        <v>858</v>
      </c>
      <c r="B2991" s="0" t="s">
        <v>57</v>
      </c>
      <c r="H2991" s="51" t="n">
        <f aca="false">1/(1+wacc)^(2027-2026-0.5)</f>
        <v>0.942858177653364</v>
      </c>
      <c r="I2991" s="51" t="n">
        <f aca="false">1/(1+wacc)^(2028-2026-0.5)</f>
        <v>0.838183517758688</v>
      </c>
      <c r="J2991" s="51" t="n">
        <f aca="false">1/(1+wacc)^(2029-2026-0.5)</f>
        <v>0.745129677074952</v>
      </c>
      <c r="K2991" s="51" t="n">
        <f aca="false">1/(1+wacc)^(2030-2026-0.5)</f>
        <v>0.662406530186232</v>
      </c>
      <c r="L2991" s="51" t="n">
        <f aca="false">1/(1+wacc)^(2031-2026-0.5)</f>
        <v>0.588867179409399</v>
      </c>
      <c r="M2991" s="51" t="n">
        <f aca="false">1/(1+wacc)^(2032-2026-0.5)</f>
        <v>0.52349205387225</v>
      </c>
    </row>
    <row r="2992" customFormat="false" ht="15" hidden="false" customHeight="false" outlineLevel="0" collapsed="false">
      <c r="A2992" s="5" t="s">
        <v>859</v>
      </c>
      <c r="B2992" s="0" t="s">
        <v>73</v>
      </c>
      <c r="H2992" s="38" t="n">
        <f aca="false">Sens!$H$2990*Sens!$H$2991</f>
        <v>-63.8730439923196</v>
      </c>
      <c r="I2992" s="38" t="n">
        <f aca="false">Sens!$I$2990*Sens!$I$2991</f>
        <v>-21.823174233476</v>
      </c>
      <c r="J2992" s="38" t="n">
        <f aca="false">Sens!$J$2990*Sens!$J$2991</f>
        <v>12.0029346524034</v>
      </c>
      <c r="K2992" s="38" t="n">
        <f aca="false">Sens!$K$2990*Sens!$K$2991</f>
        <v>37.4269966997744</v>
      </c>
      <c r="L2992" s="38" t="n">
        <f aca="false">Sens!$L$2990*Sens!$L$2991</f>
        <v>38.3992791660617</v>
      </c>
      <c r="M2992" s="38" t="n">
        <f aca="false">Sens!$M$2990*Sens!$M$2991</f>
        <v>27.2854455381225</v>
      </c>
    </row>
    <row r="2993" customFormat="false" ht="15" hidden="false" customHeight="false" outlineLevel="0" collapsed="false">
      <c r="A2993" s="5" t="s">
        <v>860</v>
      </c>
      <c r="B2993" s="0" t="s">
        <v>73</v>
      </c>
      <c r="C2993" s="38" t="n">
        <f aca="false">SUM(Sens!$H$2992:$M$2992)</f>
        <v>29.4184378305665</v>
      </c>
    </row>
    <row r="2994" customFormat="false" ht="17.15" hidden="false" customHeight="false" outlineLevel="0" collapsed="false">
      <c r="A2994" s="5" t="s">
        <v>861</v>
      </c>
      <c r="B2994" s="0" t="s">
        <v>73</v>
      </c>
      <c r="C2994" s="38" t="n">
        <f aca="false">Sens!$M$2985*(1+tg)*(1-tg/ronic)/(wacc-tg)</f>
        <v>1741.20293992535</v>
      </c>
    </row>
    <row r="2995" customFormat="false" ht="15" hidden="false" customHeight="false" outlineLevel="0" collapsed="false">
      <c r="A2995" s="5" t="s">
        <v>862</v>
      </c>
      <c r="B2995" s="0" t="s">
        <v>73</v>
      </c>
      <c r="C2995" s="38" t="n">
        <f aca="false">Sens!$C$2994/(1+wacc)^6</f>
        <v>859.420794839646</v>
      </c>
    </row>
    <row r="2996" customFormat="false" ht="17.15" hidden="false" customHeight="false" outlineLevel="0" collapsed="false">
      <c r="A2996" s="5" t="s">
        <v>863</v>
      </c>
      <c r="B2996" s="0" t="s">
        <v>73</v>
      </c>
      <c r="C2996" s="38" t="n">
        <f aca="false">Sens!$C$2993+Sens!$C$2995</f>
        <v>888.839232670212</v>
      </c>
    </row>
    <row r="2997" customFormat="false" ht="17.15" hidden="false" customHeight="false" outlineLevel="0" collapsed="false">
      <c r="A2997" s="5" t="s">
        <v>864</v>
      </c>
      <c r="B2997" s="0" t="s">
        <v>52</v>
      </c>
      <c r="C2997" s="12" t="n">
        <f aca="false">Sens!$C$2995/Sens!$C$2996</f>
        <v>0.966902408501716</v>
      </c>
    </row>
    <row r="2998" customFormat="false" ht="17.15" hidden="false" customHeight="false" outlineLevel="0" collapsed="false">
      <c r="A2998" s="5" t="s">
        <v>865</v>
      </c>
      <c r="B2998" s="0" t="s">
        <v>73</v>
      </c>
      <c r="C2998" s="38" t="n">
        <f aca="false">Sens!$G$2975</f>
        <v>67.0428850873731</v>
      </c>
    </row>
    <row r="2999" customFormat="false" ht="17.15" hidden="false" customHeight="false" outlineLevel="0" collapsed="false">
      <c r="A2999" s="5" t="s">
        <v>866</v>
      </c>
      <c r="B2999" s="0" t="s">
        <v>73</v>
      </c>
      <c r="C2999" s="38" t="n">
        <f aca="false">(ant_val*ant_sh+oai_val*oai_sh)*(1-liq_disc)</f>
        <v>178.944</v>
      </c>
    </row>
    <row r="3000" customFormat="false" ht="15" hidden="false" customHeight="false" outlineLevel="0" collapsed="false">
      <c r="A3000" s="5" t="s">
        <v>867</v>
      </c>
      <c r="B3000" s="0" t="s">
        <v>73</v>
      </c>
      <c r="C3000" s="38" t="n">
        <f aca="false">Sens!$C$2996-Sens!$C$2998+Sens!$C$2999</f>
        <v>1000.74034758284</v>
      </c>
    </row>
    <row r="3001" customFormat="false" ht="17.15" hidden="false" customHeight="false" outlineLevel="0" collapsed="false">
      <c r="A3001" s="5" t="s">
        <v>868</v>
      </c>
      <c r="B3001" s="0" t="s">
        <v>27</v>
      </c>
      <c r="C3001" s="30" t="n">
        <f aca="false">Sens!$C$3000/sh_val</f>
        <v>90.7263698551863</v>
      </c>
    </row>
    <row r="3002" customFormat="false" ht="17.15" hidden="false" customHeight="false" outlineLevel="0" collapsed="false">
      <c r="A3002" s="1" t="s">
        <v>869</v>
      </c>
      <c r="B3002" s="8" t="s">
        <v>27</v>
      </c>
      <c r="C3002" s="30" t="n">
        <f aca="false">Sens!$C$3001*(1+ke)^tp_yf</f>
        <v>100.202278334911</v>
      </c>
    </row>
    <row r="3003" customFormat="false" ht="17.15" hidden="false" customHeight="false" outlineLevel="0" collapsed="false">
      <c r="A3003" s="3" t="s">
        <v>870</v>
      </c>
    </row>
    <row r="3004" customFormat="false" ht="17.15" hidden="false" customHeight="false" outlineLevel="0" collapsed="false">
      <c r="A3004" s="5" t="s">
        <v>871</v>
      </c>
      <c r="B3004" s="0" t="s">
        <v>73</v>
      </c>
      <c r="C3004" s="38" t="n">
        <f aca="false">0.25*Sens!$H$2934+0.75*Sens!$I$2934</f>
        <v>57.5541093268329</v>
      </c>
    </row>
    <row r="3005" customFormat="false" ht="15" hidden="false" customHeight="false" outlineLevel="0" collapsed="false">
      <c r="A3005" s="5" t="s">
        <v>872</v>
      </c>
      <c r="B3005" s="0" t="s">
        <v>57</v>
      </c>
      <c r="C3005" s="30" t="n">
        <f aca="false">m_ads*m_x</f>
        <v>9.11</v>
      </c>
    </row>
    <row r="3006" customFormat="false" ht="17.15" hidden="false" customHeight="false" outlineLevel="0" collapsed="false">
      <c r="A3006" s="5" t="s">
        <v>873</v>
      </c>
      <c r="B3006" s="0" t="s">
        <v>73</v>
      </c>
      <c r="C3006" s="38" t="n">
        <f aca="false">Sens!$C$3004*Sens!$C$3005</f>
        <v>524.317935967448</v>
      </c>
    </row>
    <row r="3007" customFormat="false" ht="17.15" hidden="false" customHeight="false" outlineLevel="0" collapsed="false">
      <c r="A3007" s="5" t="s">
        <v>874</v>
      </c>
      <c r="B3007" s="0" t="s">
        <v>73</v>
      </c>
      <c r="C3007" s="38" t="n">
        <f aca="false">0.25*Sens!$H$2935+0.75*Sens!$I$2935</f>
        <v>30.6290803533085</v>
      </c>
    </row>
    <row r="3008" customFormat="false" ht="15" hidden="false" customHeight="false" outlineLevel="0" collapsed="false">
      <c r="A3008" s="5" t="s">
        <v>875</v>
      </c>
      <c r="B3008" s="0" t="s">
        <v>57</v>
      </c>
      <c r="C3008" s="30" t="n">
        <f aca="false">m_retail*m_x</f>
        <v>17.72</v>
      </c>
    </row>
    <row r="3009" customFormat="false" ht="17.15" hidden="false" customHeight="false" outlineLevel="0" collapsed="false">
      <c r="A3009" s="5" t="s">
        <v>876</v>
      </c>
      <c r="B3009" s="0" t="s">
        <v>73</v>
      </c>
      <c r="C3009" s="38" t="n">
        <f aca="false">Sens!$C$3007*Sens!$C$3008</f>
        <v>542.747303860627</v>
      </c>
    </row>
    <row r="3010" customFormat="false" ht="17.15" hidden="false" customHeight="false" outlineLevel="0" collapsed="false">
      <c r="A3010" s="0" t="s">
        <v>877</v>
      </c>
      <c r="B3010" s="0" t="s">
        <v>73</v>
      </c>
      <c r="C3010" s="38" t="n">
        <f aca="false">0.25*Sens!$H$2936+0.75*Sens!$I$2936</f>
        <v>109.328008638628</v>
      </c>
    </row>
    <row r="3011" customFormat="false" ht="17.15" hidden="false" customHeight="false" outlineLevel="0" collapsed="false">
      <c r="A3011" s="0" t="s">
        <v>878</v>
      </c>
      <c r="B3011" s="0" t="s">
        <v>57</v>
      </c>
      <c r="C3011" s="30" t="n">
        <f aca="false">m_cloud*m_x</f>
        <v>13.82</v>
      </c>
    </row>
    <row r="3012" customFormat="false" ht="17.15" hidden="false" customHeight="false" outlineLevel="0" collapsed="false">
      <c r="A3012" s="0" t="s">
        <v>879</v>
      </c>
      <c r="B3012" s="0" t="s">
        <v>73</v>
      </c>
      <c r="C3012" s="38" t="n">
        <f aca="false">Sens!$C$3010*Sens!$C$3011</f>
        <v>1510.91307938584</v>
      </c>
    </row>
    <row r="3013" customFormat="false" ht="17.15" hidden="false" customHeight="false" outlineLevel="0" collapsed="false">
      <c r="A3013" s="0" t="s">
        <v>880</v>
      </c>
      <c r="B3013" s="0" t="s">
        <v>73</v>
      </c>
      <c r="C3013" s="38" t="n">
        <f aca="false">0.25*Sens!$H$2937+0.75*Sens!$I$2937</f>
        <v>72.2947701247864</v>
      </c>
    </row>
    <row r="3014" customFormat="false" ht="17.15" hidden="false" customHeight="false" outlineLevel="0" collapsed="false">
      <c r="A3014" s="0" t="s">
        <v>881</v>
      </c>
      <c r="B3014" s="0" t="s">
        <v>57</v>
      </c>
      <c r="C3014" s="30" t="n">
        <f aca="false">m_ai</f>
        <v>6</v>
      </c>
    </row>
    <row r="3015" customFormat="false" ht="17.15" hidden="false" customHeight="false" outlineLevel="0" collapsed="false">
      <c r="A3015" s="0" t="s">
        <v>882</v>
      </c>
      <c r="B3015" s="0" t="s">
        <v>73</v>
      </c>
      <c r="C3015" s="38" t="n">
        <f aca="false">Sens!$C$3013*Sens!$C$3014</f>
        <v>433.768620748718</v>
      </c>
    </row>
    <row r="3016" customFormat="false" ht="17.15" hidden="false" customHeight="false" outlineLevel="0" collapsed="false">
      <c r="A3016" s="5" t="s">
        <v>883</v>
      </c>
      <c r="B3016" s="0" t="s">
        <v>73</v>
      </c>
      <c r="C3016" s="38" t="n">
        <f aca="false">Sens!$C$3006+Sens!$C$3009+Sens!$C$3012+Sens!$C$3015</f>
        <v>3011.74693996263</v>
      </c>
    </row>
    <row r="3017" customFormat="false" ht="17.15" hidden="false" customHeight="false" outlineLevel="0" collapsed="false">
      <c r="A3017" s="5" t="s">
        <v>884</v>
      </c>
      <c r="B3017" s="0" t="s">
        <v>73</v>
      </c>
      <c r="C3017" s="38" t="n">
        <f aca="false">Sens!$H$2975</f>
        <v>113.402953418122</v>
      </c>
    </row>
    <row r="3018" customFormat="false" ht="15" hidden="false" customHeight="false" outlineLevel="0" collapsed="false">
      <c r="A3018" s="5" t="s">
        <v>885</v>
      </c>
      <c r="B3018" s="0" t="s">
        <v>73</v>
      </c>
      <c r="C3018" s="38" t="n">
        <f aca="false">Sens!$C$3016-Sens!$C$3017+Sens!$C$2999</f>
        <v>3077.28798654451</v>
      </c>
    </row>
    <row r="3019" customFormat="false" ht="15" hidden="false" customHeight="false" outlineLevel="0" collapsed="false">
      <c r="A3019" s="3" t="s">
        <v>886</v>
      </c>
      <c r="B3019" s="8" t="s">
        <v>27</v>
      </c>
      <c r="C3019" s="30" t="n">
        <f aca="false">Sens!$C$3018/sh_val</f>
        <v>278.984622427296</v>
      </c>
    </row>
    <row r="3020" customFormat="false" ht="17.15" hidden="false" customHeight="false" outlineLevel="0" collapsed="false">
      <c r="A3020" s="46" t="s">
        <v>887</v>
      </c>
      <c r="B3020" s="13" t="s">
        <v>27</v>
      </c>
      <c r="C3020" s="43" t="n">
        <f aca="false">w_dcf*Sens!$C$3002+(1-w_dcf)*Sens!$C$3019</f>
        <v>189.593450381103</v>
      </c>
      <c r="D3020" s="13"/>
      <c r="E3020" s="13"/>
      <c r="F3020" s="13"/>
      <c r="G3020" s="13"/>
      <c r="H3020" s="13"/>
      <c r="I3020" s="13"/>
      <c r="J3020" s="13"/>
      <c r="K3020" s="13"/>
      <c r="L3020" s="13"/>
      <c r="M3020" s="13"/>
      <c r="N3020" s="13"/>
      <c r="O3020" s="13"/>
    </row>
    <row r="3021" customFormat="false" ht="17.15" hidden="false" customHeight="false" outlineLevel="0" collapsed="false">
      <c r="A3021" s="5" t="s">
        <v>888</v>
      </c>
      <c r="B3021" s="0" t="s">
        <v>27</v>
      </c>
      <c r="C3021" s="30" t="n">
        <f aca="false">0.45*Sens!$C$3002+0.55*Sens!$C$3019</f>
        <v>198.532567585723</v>
      </c>
    </row>
    <row r="3024" customFormat="false" ht="19.4" hidden="false" customHeight="false" outlineLevel="0" collapsed="false">
      <c r="A3024" s="31" t="s">
        <v>1108</v>
      </c>
    </row>
    <row r="3025" customFormat="false" ht="17.15" hidden="false" customHeight="false" outlineLevel="0" collapsed="false">
      <c r="A3025" s="6" t="s">
        <v>16</v>
      </c>
      <c r="B3025" s="6" t="s">
        <v>17</v>
      </c>
      <c r="C3025" s="20" t="s">
        <v>457</v>
      </c>
      <c r="D3025" s="20" t="s">
        <v>458</v>
      </c>
      <c r="E3025" s="20" t="s">
        <v>540</v>
      </c>
      <c r="F3025" s="20" t="s">
        <v>541</v>
      </c>
      <c r="G3025" s="20" t="s">
        <v>542</v>
      </c>
      <c r="H3025" s="20" t="s">
        <v>543</v>
      </c>
      <c r="I3025" s="20" t="s">
        <v>544</v>
      </c>
      <c r="J3025" s="20" t="s">
        <v>545</v>
      </c>
      <c r="K3025" s="20" t="s">
        <v>546</v>
      </c>
      <c r="L3025" s="20" t="s">
        <v>547</v>
      </c>
      <c r="M3025" s="20" t="s">
        <v>548</v>
      </c>
      <c r="N3025" s="20" t="s">
        <v>549</v>
      </c>
      <c r="O3025" s="20" t="s">
        <v>550</v>
      </c>
      <c r="P3025" s="6" t="s">
        <v>23</v>
      </c>
      <c r="R3025" s="20" t="n">
        <v>2023</v>
      </c>
      <c r="S3025" s="20" t="n">
        <v>2024</v>
      </c>
      <c r="T3025" s="20" t="n">
        <v>2025</v>
      </c>
      <c r="U3025" s="20" t="n">
        <v>2026</v>
      </c>
      <c r="V3025" s="20" t="n">
        <v>2027</v>
      </c>
      <c r="W3025" s="20" t="n">
        <v>2028</v>
      </c>
      <c r="X3025" s="20" t="n">
        <v>2029</v>
      </c>
      <c r="Y3025" s="20" t="n">
        <v>2030</v>
      </c>
      <c r="Z3025" s="20" t="n">
        <v>2031</v>
      </c>
      <c r="AA3025" s="20" t="n">
        <v>2032</v>
      </c>
    </row>
    <row r="3026" customFormat="false" ht="17.15" hidden="false" customHeight="false" outlineLevel="0" collapsed="false">
      <c r="A3026" s="1" t="s">
        <v>620</v>
      </c>
    </row>
    <row r="3027" customFormat="false" ht="17.15" hidden="false" customHeight="false" outlineLevel="0" collapsed="false">
      <c r="A3027" s="0" t="s">
        <v>479</v>
      </c>
      <c r="B3027" s="0" t="s">
        <v>73</v>
      </c>
      <c r="C3027" s="38" t="n">
        <f aca="false">Q!$D$10</f>
        <v>247.029</v>
      </c>
      <c r="D3027" s="38" t="n">
        <f aca="false">Q!$E$10</f>
        <v>269.287</v>
      </c>
      <c r="E3027" s="38" t="n">
        <f aca="false">Q!$P$10</f>
        <v>134.686</v>
      </c>
      <c r="F3027" s="38" t="n">
        <f aca="false">Sens!$O$3027*(1+Sens!$F$3028)-pd_amt*Q!$O$10/(Q!$O$10+Q!$O$12)</f>
        <v>160.728085930082</v>
      </c>
      <c r="G3027" s="38" t="n">
        <f aca="false">Sens!$E$3027+Sens!$F$3027</f>
        <v>295.414085930082</v>
      </c>
      <c r="H3027" s="38" t="n">
        <f aca="false">Sens!$G$3027*(1+Sens!$H$3028)</f>
        <v>320.828163943375</v>
      </c>
      <c r="I3027" s="38" t="n">
        <f aca="false">Sens!$H$3027*(1+Sens!$I$3028)</f>
        <v>344.575578072228</v>
      </c>
      <c r="J3027" s="38" t="n">
        <f aca="false">Sens!$I$3027*(1+Sens!$J$3028)</f>
        <v>365.942555779681</v>
      </c>
      <c r="K3027" s="38" t="n">
        <f aca="false">Sens!$J$3027*(1+Sens!$K$3028)</f>
        <v>384.239683568665</v>
      </c>
      <c r="L3027" s="38" t="n">
        <f aca="false">Sens!$K$3027*(1+Sens!$L$3028)</f>
        <v>403.451667747098</v>
      </c>
      <c r="M3027" s="38" t="n">
        <f aca="false">Sens!$L$3027*(1+Sens!$M$3028)</f>
        <v>423.624251134453</v>
      </c>
      <c r="N3027" s="38" t="n">
        <f aca="false">Q!$N$10</f>
        <v>118.892</v>
      </c>
      <c r="O3027" s="38" t="n">
        <f aca="false">Q!$O$10</f>
        <v>150.395</v>
      </c>
      <c r="P3027" s="8" t="s">
        <v>621</v>
      </c>
    </row>
    <row r="3028" customFormat="false" ht="17.15" hidden="false" customHeight="false" outlineLevel="0" collapsed="false">
      <c r="A3028" s="0" t="s">
        <v>622</v>
      </c>
      <c r="B3028" s="0" t="s">
        <v>52</v>
      </c>
      <c r="E3028" s="12" t="n">
        <f aca="false">Sens!$E$3027/Sens!$N$3027-1</f>
        <v>0.132843252699929</v>
      </c>
      <c r="F3028" s="12" t="n">
        <f aca="false">Sens!$O$3027/(Q!$F$10+Q!$G$10)-1</f>
        <v>0.0980382135842941</v>
      </c>
      <c r="G3028" s="12" t="n">
        <f aca="false">Sens!$G$3027/Sens!$D$3027-1</f>
        <v>0.0970231980380869</v>
      </c>
      <c r="H3028" s="12" t="n">
        <f aca="false">Sens!$F$3028+(g_os-Sens!$F$3028)*1/4</f>
        <v>0.0860286601882206</v>
      </c>
      <c r="I3028" s="12" t="n">
        <f aca="false">Sens!$F$3028+(g_os-Sens!$F$3028)*2/4</f>
        <v>0.074019106792147</v>
      </c>
      <c r="J3028" s="12" t="n">
        <f aca="false">Sens!$F$3028+(g_os-Sens!$F$3028)*3/4</f>
        <v>0.0620095533960735</v>
      </c>
      <c r="K3028" s="12" t="n">
        <f aca="false">Sens!$F$3028+(g_os-Sens!$F$3028)*4/4</f>
        <v>0.05</v>
      </c>
      <c r="L3028" s="12" t="n">
        <f aca="false">g_os</f>
        <v>0.05</v>
      </c>
      <c r="M3028" s="12" t="n">
        <f aca="false">g_os</f>
        <v>0.05</v>
      </c>
      <c r="P3028" s="8" t="s">
        <v>623</v>
      </c>
    </row>
    <row r="3029" customFormat="false" ht="17.15" hidden="false" customHeight="false" outlineLevel="0" collapsed="false">
      <c r="A3029" s="0" t="s">
        <v>480</v>
      </c>
      <c r="B3029" s="0" t="s">
        <v>73</v>
      </c>
      <c r="C3029" s="38" t="n">
        <f aca="false">Q!$D$11</f>
        <v>21.215</v>
      </c>
      <c r="D3029" s="38" t="n">
        <f aca="false">Q!$E$11</f>
        <v>22.561</v>
      </c>
      <c r="E3029" s="38" t="n">
        <f aca="false">Q!$P$11</f>
        <v>11.579</v>
      </c>
      <c r="F3029" s="38" t="n">
        <f aca="false">Sens!$O$3029*(1+Sens!$F$3030)</f>
        <v>12.0952613121125</v>
      </c>
      <c r="G3029" s="38" t="n">
        <f aca="false">Sens!$E$3029+Sens!$F$3029</f>
        <v>23.6742613121125</v>
      </c>
      <c r="H3029" s="38" t="n">
        <f aca="false">Sens!$G$3029*(1+Sens!$H$3030)</f>
        <v>24.8803243963206</v>
      </c>
      <c r="I3029" s="38" t="n">
        <f aca="false">Sens!$H$3029*(1+Sens!$I$3030)</f>
        <v>25.9741308664154</v>
      </c>
      <c r="J3029" s="38" t="n">
        <f aca="false">Sens!$I$3029*(1+Sens!$J$3030)</f>
        <v>26.9346894124267</v>
      </c>
      <c r="K3029" s="38" t="n">
        <f aca="false">Sens!$J$3029*(1+Sens!$K$3030)</f>
        <v>27.7427300947995</v>
      </c>
      <c r="L3029" s="38" t="n">
        <f aca="false">Sens!$K$3029*(1+Sens!$L$3030)</f>
        <v>28.5750119976435</v>
      </c>
      <c r="M3029" s="38" t="n">
        <f aca="false">Sens!$L$3029*(1+Sens!$M$3030)</f>
        <v>29.4322623575728</v>
      </c>
      <c r="N3029" s="38" t="n">
        <f aca="false">Q!$N$11</f>
        <v>11.128</v>
      </c>
      <c r="O3029" s="38" t="n">
        <f aca="false">Q!$O$11</f>
        <v>11.433</v>
      </c>
      <c r="P3029" s="8" t="s">
        <v>621</v>
      </c>
    </row>
    <row r="3030" customFormat="false" ht="17.15" hidden="false" customHeight="false" outlineLevel="0" collapsed="false">
      <c r="A3030" s="0" t="s">
        <v>624</v>
      </c>
      <c r="B3030" s="0" t="s">
        <v>52</v>
      </c>
      <c r="E3030" s="12" t="n">
        <f aca="false">Sens!$E$3029/Sens!$N$3029-1</f>
        <v>0.0405283968368082</v>
      </c>
      <c r="F3030" s="12" t="n">
        <f aca="false">Sens!$O$3029/(Q!$F$11+Q!$G$11)-1</f>
        <v>0.0579254187100955</v>
      </c>
      <c r="G3030" s="12" t="n">
        <f aca="false">Sens!$G$3029/Sens!$D$3029-1</f>
        <v>0.0493445021103904</v>
      </c>
      <c r="H3030" s="12" t="n">
        <f aca="false">Sens!$F$3030+(g_ps-Sens!$F$3030)*1/4</f>
        <v>0.0509440640325716</v>
      </c>
      <c r="I3030" s="12" t="n">
        <f aca="false">Sens!$F$3030+(g_ps-Sens!$F$3030)*2/4</f>
        <v>0.0439627093550477</v>
      </c>
      <c r="J3030" s="12" t="n">
        <f aca="false">Sens!$F$3030+(g_ps-Sens!$F$3030)*3/4</f>
        <v>0.0369813546775239</v>
      </c>
      <c r="K3030" s="12" t="n">
        <f aca="false">Sens!$F$3030+(g_ps-Sens!$F$3030)*4/4</f>
        <v>0.03</v>
      </c>
      <c r="L3030" s="12" t="n">
        <f aca="false">g_ps</f>
        <v>0.03</v>
      </c>
      <c r="M3030" s="12" t="n">
        <f aca="false">g_ps</f>
        <v>0.03</v>
      </c>
      <c r="P3030" s="8" t="s">
        <v>625</v>
      </c>
    </row>
    <row r="3031" customFormat="false" ht="17.15" hidden="false" customHeight="false" outlineLevel="0" collapsed="false">
      <c r="A3031" s="0" t="s">
        <v>481</v>
      </c>
      <c r="B3031" s="0" t="s">
        <v>73</v>
      </c>
      <c r="C3031" s="38" t="n">
        <f aca="false">Q!$D$12</f>
        <v>156.146</v>
      </c>
      <c r="D3031" s="38" t="n">
        <f aca="false">Q!$E$12</f>
        <v>172.162</v>
      </c>
      <c r="E3031" s="38" t="n">
        <f aca="false">Q!$P$12</f>
        <v>88.358</v>
      </c>
      <c r="F3031" s="38" t="n">
        <f aca="false">Sens!$O$3031*(1+Sens!$F$3032)-pd_amt*Q!$O$12/(Q!$O$10+Q!$O$12)</f>
        <v>103.62028337149</v>
      </c>
      <c r="G3031" s="38" t="n">
        <f aca="false">Sens!$E$3031+Sens!$F$3031</f>
        <v>191.97828337149</v>
      </c>
      <c r="H3031" s="38" t="n">
        <f aca="false">Sens!$G$3031*(1+Sens!$H$3032)</f>
        <v>212.128608444755</v>
      </c>
      <c r="I3031" s="38" t="n">
        <f aca="false">Sens!$H$3031*(1+Sens!$I$3032)</f>
        <v>231.92183134134</v>
      </c>
      <c r="J3031" s="38" t="n">
        <f aca="false">Sens!$I$3031*(1+Sens!$J$3032)</f>
        <v>250.859136487863</v>
      </c>
      <c r="K3031" s="38" t="n">
        <f aca="false">Sens!$J$3031*(1+Sens!$K$3032)</f>
        <v>268.419276042014</v>
      </c>
      <c r="L3031" s="38" t="n">
        <f aca="false">Sens!$K$3031*(1+Sens!$L$3032)</f>
        <v>287.208625364954</v>
      </c>
      <c r="M3031" s="38" t="n">
        <f aca="false">Sens!$L$3031*(1+Sens!$M$3032)</f>
        <v>307.313229140501</v>
      </c>
      <c r="N3031" s="38" t="n">
        <f aca="false">Q!$N$12</f>
        <v>76.86</v>
      </c>
      <c r="O3031" s="38" t="n">
        <f aca="false">Q!$O$12</f>
        <v>95.302</v>
      </c>
      <c r="P3031" s="8" t="s">
        <v>621</v>
      </c>
    </row>
    <row r="3032" customFormat="false" ht="17.15" hidden="false" customHeight="false" outlineLevel="0" collapsed="false">
      <c r="A3032" s="0" t="s">
        <v>626</v>
      </c>
      <c r="B3032" s="0" t="s">
        <v>52</v>
      </c>
      <c r="E3032" s="12" t="n">
        <f aca="false">Sens!$E$3031/Sens!$N$3031-1</f>
        <v>0.1495966692688</v>
      </c>
      <c r="F3032" s="12" t="n">
        <f aca="false">Sens!$O$3031/(Q!$F$12+Q!$G$12)-1</f>
        <v>0.11661530890813</v>
      </c>
      <c r="G3032" s="12" t="n">
        <f aca="false">Sens!$G$3031/Sens!$D$3031-1</f>
        <v>0.115102539303041</v>
      </c>
      <c r="H3032" s="12" t="n">
        <f aca="false">Sens!$F$3032+(g_sp-Sens!$F$3032)*1/4</f>
        <v>0.104961481681098</v>
      </c>
      <c r="I3032" s="12" t="n">
        <f aca="false">Sens!$F$3032+(g_sp-Sens!$F$3032)*2/4</f>
        <v>0.0933076544540651</v>
      </c>
      <c r="J3032" s="12" t="n">
        <f aca="false">Sens!$F$3032+(g_sp-Sens!$F$3032)*3/4</f>
        <v>0.0816538272270325</v>
      </c>
      <c r="K3032" s="12" t="n">
        <f aca="false">Sens!$F$3032+(g_sp-Sens!$F$3032)*4/4</f>
        <v>0.07</v>
      </c>
      <c r="L3032" s="12" t="n">
        <f aca="false">g_sp</f>
        <v>0.07</v>
      </c>
      <c r="M3032" s="12" t="n">
        <f aca="false">g_sp</f>
        <v>0.07</v>
      </c>
      <c r="P3032" s="8" t="s">
        <v>627</v>
      </c>
    </row>
    <row r="3033" customFormat="false" ht="17.15" hidden="false" customHeight="false" outlineLevel="0" collapsed="false">
      <c r="A3033" s="0" t="s">
        <v>482</v>
      </c>
      <c r="B3033" s="0" t="s">
        <v>73</v>
      </c>
      <c r="C3033" s="38" t="n">
        <f aca="false">Q!$D$13</f>
        <v>56.214</v>
      </c>
      <c r="D3033" s="38" t="n">
        <f aca="false">Q!$E$13</f>
        <v>68.635</v>
      </c>
      <c r="E3033" s="38" t="n">
        <f aca="false">Q!$P$13</f>
        <v>37.052</v>
      </c>
      <c r="F3033" s="38" t="n">
        <f aca="false">Sens!$O$3033*(1+Sens!$F$3034)</f>
        <v>48.1533381827382</v>
      </c>
      <c r="G3033" s="38" t="n">
        <f aca="false">Sens!$E$3033+Sens!$F$3033</f>
        <v>85.2053381827382</v>
      </c>
      <c r="H3033" s="38" t="n">
        <f aca="false">Sens!$G$3033*(1+Sens!$H$3034)</f>
        <v>102.29336185894</v>
      </c>
      <c r="I3033" s="38" t="n">
        <f aca="false">Sens!$H$3033*(1+Sens!$I$3034)</f>
        <v>119.379837585241</v>
      </c>
      <c r="J3033" s="38" t="n">
        <f aca="false">Sens!$I$3033*(1+Sens!$J$3034)</f>
        <v>135.319079048844</v>
      </c>
      <c r="K3033" s="38" t="n">
        <f aca="false">Sens!$J$3033*(1+Sens!$K$3034)</f>
        <v>148.850986953729</v>
      </c>
      <c r="L3033" s="38" t="n">
        <f aca="false">Sens!$K$3033*(1+Sens!$L$3034)</f>
        <v>163.736085649102</v>
      </c>
      <c r="M3033" s="38" t="n">
        <f aca="false">Sens!$L$3033*(1+Sens!$M$3034)</f>
        <v>180.109694214012</v>
      </c>
      <c r="N3033" s="38" t="n">
        <f aca="false">Q!$N$13</f>
        <v>29.615</v>
      </c>
      <c r="O3033" s="38" t="n">
        <f aca="false">Q!$O$13</f>
        <v>39.02</v>
      </c>
      <c r="P3033" s="8" t="s">
        <v>621</v>
      </c>
    </row>
    <row r="3034" customFormat="false" ht="17.15" hidden="false" customHeight="false" outlineLevel="0" collapsed="false">
      <c r="A3034" s="0" t="s">
        <v>628</v>
      </c>
      <c r="B3034" s="0" t="s">
        <v>52</v>
      </c>
      <c r="E3034" s="12" t="n">
        <f aca="false">Sens!$E$3033/Sens!$N$3033-1</f>
        <v>0.25112274185379</v>
      </c>
      <c r="F3034" s="12" t="n">
        <f aca="false">Sens!$O$3033/(Q!$F$13+Q!$G$13)-1</f>
        <v>0.234068123596572</v>
      </c>
      <c r="G3034" s="12" t="n">
        <f aca="false">Sens!$G$3033/Sens!$D$3033-1</f>
        <v>0.241426942270536</v>
      </c>
      <c r="H3034" s="12" t="n">
        <f aca="false">Sens!$F$3034+(g_ad-Sens!$F$3034)*1/4</f>
        <v>0.200551092697429</v>
      </c>
      <c r="I3034" s="12" t="n">
        <f aca="false">Sens!$F$3034+(g_ad-Sens!$F$3034)*2/4</f>
        <v>0.167034061798286</v>
      </c>
      <c r="J3034" s="12" t="n">
        <f aca="false">Sens!$F$3034+(g_ad-Sens!$F$3034)*3/4</f>
        <v>0.133517030899143</v>
      </c>
      <c r="K3034" s="12" t="n">
        <f aca="false">Sens!$F$3034+(g_ad-Sens!$F$3034)*4/4</f>
        <v>0.1</v>
      </c>
      <c r="L3034" s="12" t="n">
        <f aca="false">g_ad</f>
        <v>0.1</v>
      </c>
      <c r="M3034" s="12" t="n">
        <f aca="false">g_ad</f>
        <v>0.1</v>
      </c>
      <c r="P3034" s="8" t="s">
        <v>629</v>
      </c>
    </row>
    <row r="3035" customFormat="false" ht="17.15" hidden="false" customHeight="false" outlineLevel="0" collapsed="false">
      <c r="A3035" s="0" t="s">
        <v>483</v>
      </c>
      <c r="B3035" s="0" t="s">
        <v>73</v>
      </c>
      <c r="C3035" s="38" t="n">
        <f aca="false">Q!$D$14</f>
        <v>44.374</v>
      </c>
      <c r="D3035" s="38" t="n">
        <f aca="false">Q!$E$14</f>
        <v>49.619</v>
      </c>
      <c r="E3035" s="38" t="n">
        <f aca="false">Q!$P$14</f>
        <v>27.157</v>
      </c>
      <c r="F3035" s="38" t="n">
        <f aca="false">Sens!$O$3035*(1+Sens!$F$3036)</f>
        <v>28.9776360923374</v>
      </c>
      <c r="G3035" s="38" t="n">
        <f aca="false">Sens!$E$3035+Sens!$F$3035</f>
        <v>56.1346360923374</v>
      </c>
      <c r="H3035" s="38" t="n">
        <f aca="false">Sens!$G$3035*(1+Sens!$H$3036)</f>
        <v>62.4937078946075</v>
      </c>
      <c r="I3035" s="38" t="n">
        <f aca="false">Sens!$H$3035*(1+Sens!$I$3036)</f>
        <v>68.6715233062498</v>
      </c>
      <c r="J3035" s="38" t="n">
        <f aca="false">Sens!$I$3035*(1+Sens!$J$3036)</f>
        <v>74.4692882949818</v>
      </c>
      <c r="K3035" s="38" t="n">
        <f aca="false">Sens!$J$3035*(1+Sens!$K$3036)</f>
        <v>79.6821384756306</v>
      </c>
      <c r="L3035" s="38" t="n">
        <f aca="false">Sens!$K$3035*(1+Sens!$L$3036)</f>
        <v>85.2598881689247</v>
      </c>
      <c r="M3035" s="38" t="n">
        <f aca="false">Sens!$L$3035*(1+Sens!$M$3036)</f>
        <v>91.2280803407494</v>
      </c>
      <c r="N3035" s="38" t="n">
        <f aca="false">Q!$N$14</f>
        <v>23.923</v>
      </c>
      <c r="O3035" s="38" t="n">
        <f aca="false">Q!$O$14</f>
        <v>25.696</v>
      </c>
      <c r="P3035" s="8" t="s">
        <v>621</v>
      </c>
    </row>
    <row r="3036" customFormat="false" ht="17.15" hidden="false" customHeight="false" outlineLevel="0" collapsed="false">
      <c r="A3036" s="0" t="s">
        <v>630</v>
      </c>
      <c r="B3036" s="0" t="s">
        <v>52</v>
      </c>
      <c r="E3036" s="12" t="n">
        <f aca="false">Sens!$E$3035/Sens!$N$3035-1</f>
        <v>0.135183714417088</v>
      </c>
      <c r="F3036" s="12" t="n">
        <f aca="false">Sens!$O$3035/(Q!$F$14+Q!$G$14)-1</f>
        <v>0.127709997366804</v>
      </c>
      <c r="G3036" s="12" t="n">
        <f aca="false">Sens!$G$3035/Sens!$D$3035-1</f>
        <v>0.131313329416905</v>
      </c>
      <c r="H3036" s="12" t="n">
        <f aca="false">Sens!$F$3036+(g_sub-Sens!$F$3036)*1/4</f>
        <v>0.113282498025103</v>
      </c>
      <c r="I3036" s="12" t="n">
        <f aca="false">Sens!$F$3036+(g_sub-Sens!$F$3036)*2/4</f>
        <v>0.0988549986834021</v>
      </c>
      <c r="J3036" s="12" t="n">
        <f aca="false">Sens!$F$3036+(g_sub-Sens!$F$3036)*3/4</f>
        <v>0.084427499341701</v>
      </c>
      <c r="K3036" s="12" t="n">
        <f aca="false">Sens!$F$3036+(g_sub-Sens!$F$3036)*4/4</f>
        <v>0.07</v>
      </c>
      <c r="L3036" s="12" t="n">
        <f aca="false">g_sub</f>
        <v>0.07</v>
      </c>
      <c r="M3036" s="12" t="n">
        <f aca="false">g_sub</f>
        <v>0.07</v>
      </c>
      <c r="P3036" s="8" t="s">
        <v>631</v>
      </c>
    </row>
    <row r="3037" customFormat="false" ht="17.15" hidden="false" customHeight="false" outlineLevel="0" collapsed="false">
      <c r="A3037" s="0" t="s">
        <v>484</v>
      </c>
      <c r="B3037" s="0" t="s">
        <v>73</v>
      </c>
      <c r="C3037" s="38" t="n">
        <f aca="false">Q!$D$15</f>
        <v>5.425</v>
      </c>
      <c r="D3037" s="38" t="n">
        <f aca="false">Q!$E$15</f>
        <v>5.935</v>
      </c>
      <c r="E3037" s="38" t="n">
        <f aca="false">Q!$P$15</f>
        <v>3.474</v>
      </c>
      <c r="F3037" s="38" t="n">
        <f aca="false">Sens!$O$3037*(1+Sens!$F$3038)</f>
        <v>3.36182431966931</v>
      </c>
      <c r="G3037" s="38" t="n">
        <f aca="false">Sens!$E$3037+Sens!$F$3037</f>
        <v>6.83582431966931</v>
      </c>
      <c r="H3037" s="38" t="n">
        <f aca="false">Sens!$G$3037*(1+Sens!$H$3038)</f>
        <v>7.31157108370141</v>
      </c>
      <c r="I3037" s="38" t="n">
        <f aca="false">Sens!$H$3037*(1+Sens!$I$3038)</f>
        <v>7.77266852639815</v>
      </c>
      <c r="J3037" s="38" t="n">
        <f aca="false">Sens!$I$3037*(1+Sens!$J$3038)</f>
        <v>8.2120733019884</v>
      </c>
      <c r="K3037" s="38" t="n">
        <f aca="false">Sens!$J$3037*(1+Sens!$K$3038)</f>
        <v>8.62267696708783</v>
      </c>
      <c r="L3037" s="38" t="n">
        <f aca="false">Sens!$K$3037*(1+Sens!$L$3038)</f>
        <v>9.05381081544222</v>
      </c>
      <c r="M3037" s="38" t="n">
        <f aca="false">Sens!$L$3037*(1+Sens!$M$3038)</f>
        <v>9.50650135621433</v>
      </c>
      <c r="N3037" s="38" t="n">
        <f aca="false">Q!$N$15</f>
        <v>2.811</v>
      </c>
      <c r="O3037" s="38" t="n">
        <f aca="false">Q!$O$15</f>
        <v>3.124</v>
      </c>
      <c r="P3037" s="8" t="s">
        <v>621</v>
      </c>
    </row>
    <row r="3038" customFormat="false" ht="17.15" hidden="false" customHeight="false" outlineLevel="0" collapsed="false">
      <c r="A3038" s="0" t="s">
        <v>632</v>
      </c>
      <c r="B3038" s="0" t="s">
        <v>52</v>
      </c>
      <c r="E3038" s="12" t="n">
        <f aca="false">Sens!$E$3037/Sens!$N$3037-1</f>
        <v>0.235859124866596</v>
      </c>
      <c r="F3038" s="12" t="n">
        <f aca="false">Sens!$O$3037/(Q!$F$15+Q!$G$15)-1</f>
        <v>0.0761281433000345</v>
      </c>
      <c r="G3038" s="12" t="n">
        <f aca="false">Sens!$G$3037/Sens!$D$3037-1</f>
        <v>0.151781688234087</v>
      </c>
      <c r="H3038" s="12" t="n">
        <f aca="false">Sens!$F$3038+(g_ot-Sens!$F$3038)*1/4</f>
        <v>0.0695961074750259</v>
      </c>
      <c r="I3038" s="12" t="n">
        <f aca="false">Sens!$F$3038+(g_ot-Sens!$F$3038)*2/4</f>
        <v>0.0630640716500172</v>
      </c>
      <c r="J3038" s="12" t="n">
        <f aca="false">Sens!$F$3038+(g_ot-Sens!$F$3038)*3/4</f>
        <v>0.0565320358250086</v>
      </c>
      <c r="K3038" s="12" t="n">
        <f aca="false">Sens!$F$3038+(g_ot-Sens!$F$3038)*4/4</f>
        <v>0.05</v>
      </c>
      <c r="L3038" s="12" t="n">
        <f aca="false">g_ot</f>
        <v>0.05</v>
      </c>
      <c r="M3038" s="12" t="n">
        <f aca="false">g_ot</f>
        <v>0.05</v>
      </c>
      <c r="P3038" s="8" t="s">
        <v>633</v>
      </c>
    </row>
    <row r="3039" customFormat="false" ht="17.15" hidden="false" customHeight="false" outlineLevel="0" collapsed="false">
      <c r="A3039" s="3" t="s">
        <v>634</v>
      </c>
      <c r="B3039" s="8" t="s">
        <v>73</v>
      </c>
      <c r="C3039" s="38" t="n">
        <f aca="false">Sens!$C$3027+Sens!$C$3029+Sens!$C$3031+Sens!$C$3033+Sens!$C$3035+Sens!$C$3037</f>
        <v>530.403</v>
      </c>
      <c r="D3039" s="38" t="n">
        <f aca="false">Sens!$D$3027+Sens!$D$3029+Sens!$D$3031+Sens!$D$3033+Sens!$D$3035+Sens!$D$3037</f>
        <v>588.199</v>
      </c>
      <c r="E3039" s="38" t="n">
        <f aca="false">Sens!$E$3027+Sens!$E$3029+Sens!$E$3031+Sens!$E$3033+Sens!$E$3035+Sens!$E$3037</f>
        <v>302.306</v>
      </c>
      <c r="F3039" s="38" t="n">
        <f aca="false">Sens!$F$3027+Sens!$F$3029+Sens!$F$3031+Sens!$F$3033+Sens!$F$3035+Sens!$F$3037</f>
        <v>356.93642920843</v>
      </c>
      <c r="G3039" s="38" t="n">
        <f aca="false">Sens!$G$3027+Sens!$G$3029+Sens!$G$3031+Sens!$G$3033+Sens!$G$3035+Sens!$G$3037</f>
        <v>659.24242920843</v>
      </c>
      <c r="H3039" s="38" t="n">
        <f aca="false">Sens!$H$3027+Sens!$H$3029+Sens!$H$3031+Sens!$H$3033+Sens!$H$3035+Sens!$H$3037</f>
        <v>729.935737621701</v>
      </c>
      <c r="I3039" s="38" t="n">
        <f aca="false">Sens!$I$3027+Sens!$I$3029+Sens!$I$3031+Sens!$I$3033+Sens!$I$3035+Sens!$I$3037</f>
        <v>798.295569697873</v>
      </c>
      <c r="J3039" s="38" t="n">
        <f aca="false">Sens!$J$3027+Sens!$J$3029+Sens!$J$3031+Sens!$J$3033+Sens!$J$3035+Sens!$J$3037</f>
        <v>861.736822325785</v>
      </c>
      <c r="K3039" s="38" t="n">
        <f aca="false">Sens!$K$3027+Sens!$K$3029+Sens!$K$3031+Sens!$K$3033+Sens!$K$3035+Sens!$K$3037</f>
        <v>917.557492101925</v>
      </c>
      <c r="L3039" s="38" t="n">
        <f aca="false">Sens!$L$3027+Sens!$L$3029+Sens!$L$3031+Sens!$L$3033+Sens!$L$3035+Sens!$L$3037</f>
        <v>977.285089743165</v>
      </c>
      <c r="M3039" s="38" t="n">
        <f aca="false">Sens!$M$3027+Sens!$M$3029+Sens!$M$3031+Sens!$M$3033+Sens!$M$3035+Sens!$M$3037</f>
        <v>1041.2140185435</v>
      </c>
      <c r="N3039" s="38" t="n">
        <f aca="false">Sens!$N$3027+Sens!$N$3029+Sens!$N$3031+Sens!$N$3033+Sens!$N$3035+Sens!$N$3037</f>
        <v>263.229</v>
      </c>
      <c r="O3039" s="38" t="n">
        <f aca="false">Sens!$O$3027+Sens!$O$3029+Sens!$O$3031+Sens!$O$3033+Sens!$O$3035+Sens!$O$3037</f>
        <v>324.97</v>
      </c>
    </row>
    <row r="3040" customFormat="false" ht="17.15" hidden="false" customHeight="false" outlineLevel="0" collapsed="false">
      <c r="A3040" s="5" t="s">
        <v>635</v>
      </c>
      <c r="B3040" s="0" t="s">
        <v>52</v>
      </c>
      <c r="C3040" s="12" t="n">
        <f aca="false">Q!$D$5/(Q!$D$5+Q!$D$6)</f>
        <v>0.730570905519011</v>
      </c>
      <c r="D3040" s="12" t="n">
        <f aca="false">Q!$E$5/(Q!$E$5+Q!$E$6)</f>
        <v>0.724763217890544</v>
      </c>
      <c r="E3040" s="12" t="n">
        <f aca="false">Q!$P$5/(Q!$P$5+Q!$P$6)</f>
        <v>0.728797972914861</v>
      </c>
      <c r="F3040" s="12" t="n">
        <f aca="false">Sens!$O$3040</f>
        <v>0.718066283041511</v>
      </c>
      <c r="G3040" s="12" t="n">
        <f aca="false">Sens!$G$3041/Sens!$G$3039</f>
        <v>0.722987468473627</v>
      </c>
      <c r="H3040" s="12" t="n">
        <f aca="false">Sens!$G$3040</f>
        <v>0.722987468473627</v>
      </c>
      <c r="I3040" s="12" t="n">
        <f aca="false">Sens!$G$3040</f>
        <v>0.722987468473627</v>
      </c>
      <c r="J3040" s="12" t="n">
        <f aca="false">Sens!$G$3040</f>
        <v>0.722987468473627</v>
      </c>
      <c r="K3040" s="12" t="n">
        <f aca="false">Sens!$G$3040</f>
        <v>0.722987468473627</v>
      </c>
      <c r="L3040" s="12" t="n">
        <f aca="false">Sens!$G$3040</f>
        <v>0.722987468473627</v>
      </c>
      <c r="M3040" s="12" t="n">
        <f aca="false">Sens!$G$3040</f>
        <v>0.722987468473627</v>
      </c>
      <c r="N3040" s="12" t="n">
        <f aca="false">Q!$N$5/(Q!$N$5+Q!$N$6)</f>
        <v>0.733030935041352</v>
      </c>
      <c r="O3040" s="12" t="n">
        <f aca="false">Q!$O$5/(Q!$O$5+Q!$O$6)</f>
        <v>0.718066283041511</v>
      </c>
      <c r="P3040" s="8" t="s">
        <v>636</v>
      </c>
    </row>
    <row r="3041" customFormat="false" ht="17.15" hidden="false" customHeight="false" outlineLevel="0" collapsed="false">
      <c r="A3041" s="1" t="s">
        <v>472</v>
      </c>
      <c r="B3041" s="8" t="s">
        <v>73</v>
      </c>
      <c r="C3041" s="38" t="n">
        <f aca="false">Q!$D$5</f>
        <v>387.497</v>
      </c>
      <c r="D3041" s="38" t="n">
        <f aca="false">Q!$E$5</f>
        <v>426.305</v>
      </c>
      <c r="E3041" s="38" t="n">
        <f aca="false">Q!$P$5</f>
        <v>220.32</v>
      </c>
      <c r="F3041" s="38" t="n">
        <f aca="false">Sens!$F$3039*Sens!$F$3040</f>
        <v>256.304015003807</v>
      </c>
      <c r="G3041" s="38" t="n">
        <f aca="false">Sens!$E$3041+Sens!$F$3041</f>
        <v>476.624015003807</v>
      </c>
      <c r="H3041" s="38" t="n">
        <f aca="false">Sens!$H$3039*Sens!$H$3040</f>
        <v>527.734391091543</v>
      </c>
      <c r="I3041" s="38" t="n">
        <f aca="false">Sens!$I$3039*Sens!$I$3040</f>
        <v>577.157693029577</v>
      </c>
      <c r="J3041" s="38" t="n">
        <f aca="false">Sens!$J$3039*Sens!$J$3040</f>
        <v>623.024923663827</v>
      </c>
      <c r="K3041" s="38" t="n">
        <f aca="false">Sens!$K$3039*Sens!$K$3040</f>
        <v>663.382568393781</v>
      </c>
      <c r="L3041" s="38" t="n">
        <f aca="false">Sens!$L$3039*Sens!$L$3040</f>
        <v>706.564873010432</v>
      </c>
      <c r="M3041" s="38" t="n">
        <f aca="false">Sens!$M$3039*Sens!$M$3040</f>
        <v>752.784687406019</v>
      </c>
      <c r="N3041" s="38" t="n">
        <f aca="false">Q!$N$5</f>
        <v>192.955</v>
      </c>
      <c r="O3041" s="38" t="n">
        <f aca="false">Q!$O$5</f>
        <v>233.35</v>
      </c>
      <c r="P3041" s="5" t="s">
        <v>637</v>
      </c>
    </row>
    <row r="3042" customFormat="false" ht="17.15" hidden="false" customHeight="false" outlineLevel="0" collapsed="false">
      <c r="A3042" s="1" t="s">
        <v>475</v>
      </c>
      <c r="B3042" s="8" t="s">
        <v>73</v>
      </c>
      <c r="C3042" s="38" t="n">
        <f aca="false">Q!$D$6</f>
        <v>142.906</v>
      </c>
      <c r="D3042" s="38" t="n">
        <f aca="false">Q!$E$6</f>
        <v>161.894</v>
      </c>
      <c r="E3042" s="38" t="n">
        <f aca="false">Q!$P$6</f>
        <v>81.986</v>
      </c>
      <c r="F3042" s="38" t="n">
        <f aca="false">Sens!$F$3039*(1-Sens!$F$3040)</f>
        <v>100.632414204623</v>
      </c>
      <c r="G3042" s="38" t="n">
        <f aca="false">Sens!$E$3042+Sens!$F$3042</f>
        <v>182.618414204623</v>
      </c>
      <c r="H3042" s="38" t="n">
        <f aca="false">Sens!$H$3039*(1-Sens!$H$3040)</f>
        <v>202.201346530158</v>
      </c>
      <c r="I3042" s="38" t="n">
        <f aca="false">Sens!$I$3039*(1-Sens!$I$3040)</f>
        <v>221.137876668296</v>
      </c>
      <c r="J3042" s="38" t="n">
        <f aca="false">Sens!$J$3039*(1-Sens!$J$3040)</f>
        <v>238.711898661958</v>
      </c>
      <c r="K3042" s="38" t="n">
        <f aca="false">Sens!$K$3039*(1-Sens!$K$3040)</f>
        <v>254.174923708144</v>
      </c>
      <c r="L3042" s="38" t="n">
        <f aca="false">Sens!$L$3039*(1-Sens!$L$3040)</f>
        <v>270.720216732733</v>
      </c>
      <c r="M3042" s="38" t="n">
        <f aca="false">Sens!$M$3039*(1-Sens!$M$3040)</f>
        <v>288.429331137484</v>
      </c>
      <c r="N3042" s="38" t="n">
        <f aca="false">Q!$N$6</f>
        <v>70.274</v>
      </c>
      <c r="O3042" s="38" t="n">
        <f aca="false">Q!$O$6</f>
        <v>91.62</v>
      </c>
      <c r="P3042" s="5" t="s">
        <v>638</v>
      </c>
    </row>
    <row r="3043" customFormat="false" ht="17.15" hidden="false" customHeight="false" outlineLevel="0" collapsed="false">
      <c r="A3043" s="5" t="s">
        <v>639</v>
      </c>
      <c r="B3043" s="0" t="s">
        <v>73</v>
      </c>
      <c r="C3043" s="38" t="n">
        <f aca="false">Sens!$C$3033*Sens!$C$3040</f>
        <v>41.0683128828457</v>
      </c>
      <c r="D3043" s="38" t="n">
        <f aca="false">Sens!$D$3033*Sens!$D$3040</f>
        <v>49.7441234599175</v>
      </c>
      <c r="E3043" s="38" t="n">
        <f aca="false">Sens!$E$3033*Sens!$E$3040</f>
        <v>27.0034224924414</v>
      </c>
      <c r="F3043" s="38" t="n">
        <f aca="false">Sens!$F$3033*Sens!$F$3040</f>
        <v>34.5772885649197</v>
      </c>
      <c r="G3043" s="38" t="n">
        <f aca="false">Sens!$G$3033*Sens!$G$3040</f>
        <v>61.6023917531772</v>
      </c>
      <c r="H3043" s="38" t="n">
        <f aca="false">Sens!$H$3033*Sens!$H$3040</f>
        <v>73.9568187320519</v>
      </c>
      <c r="I3043" s="38" t="n">
        <f aca="false">Sens!$I$3033*Sens!$I$3040</f>
        <v>86.3101265625461</v>
      </c>
      <c r="J3043" s="38" t="n">
        <f aca="false">Sens!$J$3033*Sens!$J$3040</f>
        <v>97.8339983977065</v>
      </c>
      <c r="K3043" s="38" t="n">
        <f aca="false">Sens!$K$3033*Sens!$K$3040</f>
        <v>107.617398237477</v>
      </c>
      <c r="L3043" s="38" t="n">
        <f aca="false">Sens!$L$3033*Sens!$L$3040</f>
        <v>118.379138061225</v>
      </c>
      <c r="M3043" s="38" t="n">
        <f aca="false">Sens!$M$3033*Sens!$M$3040</f>
        <v>130.217051867347</v>
      </c>
      <c r="N3043" s="38" t="n">
        <f aca="false">Sens!$N$3033*Sens!$N$3040</f>
        <v>21.7087111412496</v>
      </c>
      <c r="O3043" s="38" t="n">
        <f aca="false">Sens!$O$3033*Sens!$O$3040</f>
        <v>28.0189463642798</v>
      </c>
      <c r="P3043" s="5" t="s">
        <v>640</v>
      </c>
    </row>
    <row r="3044" customFormat="false" ht="15" hidden="false" customHeight="false" outlineLevel="0" collapsed="false">
      <c r="A3044" s="5" t="s">
        <v>641</v>
      </c>
      <c r="B3044" s="0" t="s">
        <v>73</v>
      </c>
      <c r="C3044" s="38" t="n">
        <f aca="false">Sens!$C$3033-Sens!$C$3043</f>
        <v>15.1456871171543</v>
      </c>
      <c r="D3044" s="38" t="n">
        <f aca="false">Sens!$D$3033-Sens!$D$3043</f>
        <v>18.8908765400825</v>
      </c>
      <c r="E3044" s="38" t="n">
        <f aca="false">Sens!$E$3033-Sens!$E$3043</f>
        <v>10.0485775075586</v>
      </c>
      <c r="F3044" s="38" t="n">
        <f aca="false">Sens!$F$3033-Sens!$F$3043</f>
        <v>13.5760496178185</v>
      </c>
      <c r="G3044" s="38" t="n">
        <f aca="false">Sens!$G$3033-Sens!$G$3043</f>
        <v>23.6029464295611</v>
      </c>
      <c r="H3044" s="38" t="n">
        <f aca="false">Sens!$H$3033-Sens!$H$3043</f>
        <v>28.3365431268884</v>
      </c>
      <c r="I3044" s="38" t="n">
        <f aca="false">Sens!$I$3033-Sens!$I$3043</f>
        <v>33.0697110226949</v>
      </c>
      <c r="J3044" s="38" t="n">
        <f aca="false">Sens!$J$3033-Sens!$J$3043</f>
        <v>37.4850806511378</v>
      </c>
      <c r="K3044" s="38" t="n">
        <f aca="false">Sens!$K$3033-Sens!$K$3043</f>
        <v>41.2335887162515</v>
      </c>
      <c r="L3044" s="38" t="n">
        <f aca="false">Sens!$L$3033-Sens!$L$3043</f>
        <v>45.3569475878767</v>
      </c>
      <c r="M3044" s="38" t="n">
        <f aca="false">Sens!$M$3033-Sens!$M$3043</f>
        <v>49.8926423466644</v>
      </c>
      <c r="N3044" s="38" t="n">
        <f aca="false">Sens!$N$3033-Sens!$N$3043</f>
        <v>7.90628885875037</v>
      </c>
      <c r="O3044" s="38" t="n">
        <f aca="false">Sens!$O$3033-Sens!$O$3043</f>
        <v>11.0010536357202</v>
      </c>
    </row>
    <row r="3045" customFormat="false" ht="19.4" hidden="false" customHeight="false" outlineLevel="0" collapsed="false">
      <c r="A3045" s="31" t="s">
        <v>1109</v>
      </c>
    </row>
    <row r="3046" customFormat="false" ht="17.15" hidden="false" customHeight="false" outlineLevel="0" collapsed="false">
      <c r="A3046" s="6" t="s">
        <v>16</v>
      </c>
      <c r="B3046" s="6" t="s">
        <v>17</v>
      </c>
      <c r="C3046" s="20" t="s">
        <v>457</v>
      </c>
      <c r="D3046" s="20" t="s">
        <v>458</v>
      </c>
      <c r="E3046" s="20" t="s">
        <v>540</v>
      </c>
      <c r="F3046" s="20" t="s">
        <v>541</v>
      </c>
      <c r="G3046" s="20" t="s">
        <v>542</v>
      </c>
      <c r="H3046" s="20" t="s">
        <v>543</v>
      </c>
      <c r="I3046" s="20" t="s">
        <v>544</v>
      </c>
      <c r="J3046" s="20" t="s">
        <v>545</v>
      </c>
      <c r="K3046" s="20" t="s">
        <v>546</v>
      </c>
      <c r="L3046" s="20" t="s">
        <v>547</v>
      </c>
      <c r="M3046" s="20" t="s">
        <v>548</v>
      </c>
      <c r="N3046" s="20" t="s">
        <v>549</v>
      </c>
      <c r="O3046" s="20" t="s">
        <v>550</v>
      </c>
      <c r="P3046" s="6" t="s">
        <v>23</v>
      </c>
      <c r="R3046" s="20" t="n">
        <v>2023</v>
      </c>
      <c r="S3046" s="20" t="n">
        <v>2024</v>
      </c>
      <c r="T3046" s="20" t="n">
        <v>2025</v>
      </c>
      <c r="U3046" s="20" t="n">
        <v>2026</v>
      </c>
      <c r="V3046" s="20" t="n">
        <v>2027</v>
      </c>
      <c r="W3046" s="20" t="n">
        <v>2028</v>
      </c>
      <c r="X3046" s="20" t="n">
        <v>2029</v>
      </c>
      <c r="Y3046" s="20" t="n">
        <v>2030</v>
      </c>
      <c r="Z3046" s="20" t="n">
        <v>2031</v>
      </c>
      <c r="AA3046" s="20" t="n">
        <v>2032</v>
      </c>
    </row>
    <row r="3047" customFormat="false" ht="17.15" hidden="false" customHeight="false" outlineLevel="0" collapsed="false">
      <c r="A3047" s="1" t="s">
        <v>551</v>
      </c>
    </row>
    <row r="3048" customFormat="false" ht="17.15" hidden="false" customHeight="false" outlineLevel="0" collapsed="false">
      <c r="A3048" s="14" t="s">
        <v>552</v>
      </c>
      <c r="B3048" s="13" t="s">
        <v>108</v>
      </c>
      <c r="C3048" s="32" t="n">
        <f aca="false">mw_ye24</f>
        <v>360</v>
      </c>
      <c r="D3048" s="32" t="n">
        <f aca="false">mw_ye25</f>
        <v>1440</v>
      </c>
      <c r="E3048" s="32" t="n">
        <f aca="false">mw_open</f>
        <v>2080</v>
      </c>
      <c r="F3048" s="32" t="n">
        <f aca="false">Sens!$E$3048+pace_B*0.5</f>
        <v>3897.15</v>
      </c>
      <c r="G3048" s="32" t="n">
        <f aca="false">Sens!$F$3048</f>
        <v>3897.15</v>
      </c>
      <c r="H3048" s="32" t="n">
        <f aca="false">Sens!$G$3048+pace_B</f>
        <v>7531.45</v>
      </c>
      <c r="I3048" s="32" t="n">
        <f aca="false">Sens!$H$3048+pace_B</f>
        <v>11165.75</v>
      </c>
      <c r="J3048" s="32" t="n">
        <f aca="false">Sens!$I$3048+pace_B</f>
        <v>14800.05</v>
      </c>
      <c r="K3048" s="32" t="n">
        <f aca="false">Sens!$J$3048+pace_B</f>
        <v>18434.35</v>
      </c>
      <c r="L3048" s="32" t="n">
        <f aca="false">Sens!$K$3048+pace_B</f>
        <v>22068.65</v>
      </c>
      <c r="M3048" s="32" t="n">
        <f aca="false">Sens!$L$3048+pace_B</f>
        <v>25702.95</v>
      </c>
      <c r="N3048" s="32" t="n">
        <f aca="false">(mw_ye24+mw_ye25)/2</f>
        <v>900</v>
      </c>
      <c r="O3048" s="32" t="n">
        <f aca="false">mw_ye25</f>
        <v>1440</v>
      </c>
      <c r="P3048" s="5" t="s">
        <v>553</v>
      </c>
    </row>
    <row r="3049" customFormat="false" ht="17.15" hidden="false" customHeight="false" outlineLevel="0" collapsed="false">
      <c r="A3049" s="5" t="s">
        <v>554</v>
      </c>
      <c r="B3049" s="0" t="s">
        <v>108</v>
      </c>
      <c r="C3049" s="33" t="n">
        <f aca="false">(mw_ye23+mw_ye24)/2</f>
        <v>240</v>
      </c>
      <c r="D3049" s="33" t="n">
        <f aca="false">(Sens!$C$3048+Sens!$D$3048)/2</f>
        <v>900</v>
      </c>
      <c r="E3049" s="33" t="n">
        <f aca="false">(Sens!$D$3048+Sens!$E$3048)/2</f>
        <v>1760</v>
      </c>
      <c r="F3049" s="33" t="n">
        <f aca="false">(Sens!$E$3048+Sens!$F$3048)/2</f>
        <v>2988.575</v>
      </c>
      <c r="G3049" s="33" t="n">
        <f aca="false">(Sens!$E$3049+Sens!$F$3049)/2</f>
        <v>2374.2875</v>
      </c>
      <c r="H3049" s="33" t="n">
        <f aca="false">(Sens!$G$3048+Sens!$H$3048)/2</f>
        <v>5714.3</v>
      </c>
      <c r="I3049" s="33" t="n">
        <f aca="false">(Sens!$H$3048+Sens!$I$3048)/2</f>
        <v>9348.6</v>
      </c>
      <c r="J3049" s="33" t="n">
        <f aca="false">(Sens!$I$3048+Sens!$J$3048)/2</f>
        <v>12982.9</v>
      </c>
      <c r="K3049" s="33" t="n">
        <f aca="false">(Sens!$J$3048+Sens!$K$3048)/2</f>
        <v>16617.2</v>
      </c>
      <c r="L3049" s="33" t="n">
        <f aca="false">(Sens!$K$3048+Sens!$L$3048)/2</f>
        <v>20251.5</v>
      </c>
      <c r="M3049" s="33" t="n">
        <f aca="false">(Sens!$L$3048+Sens!$M$3048)/2</f>
        <v>23885.8</v>
      </c>
      <c r="N3049" s="33" t="n">
        <f aca="false">(Sens!$C$3048+Sens!$N$3048)/2</f>
        <v>630</v>
      </c>
      <c r="O3049" s="33" t="n">
        <f aca="false">(Sens!$N$3048+Sens!$O$3048)/2</f>
        <v>1170</v>
      </c>
    </row>
    <row r="3050" customFormat="false" ht="15" hidden="false" customHeight="false" outlineLevel="0" collapsed="false">
      <c r="A3050" s="5" t="s">
        <v>555</v>
      </c>
      <c r="B3050" s="5" t="s">
        <v>102</v>
      </c>
      <c r="C3050" s="34" t="n">
        <v>1</v>
      </c>
      <c r="D3050" s="34" t="n">
        <v>1</v>
      </c>
      <c r="E3050" s="34" t="n">
        <v>0.5</v>
      </c>
      <c r="F3050" s="34" t="n">
        <v>0.5</v>
      </c>
      <c r="G3050" s="34" t="n">
        <v>1</v>
      </c>
      <c r="H3050" s="34" t="n">
        <v>1</v>
      </c>
      <c r="I3050" s="34" t="n">
        <v>1</v>
      </c>
      <c r="J3050" s="34" t="n">
        <v>1</v>
      </c>
      <c r="K3050" s="34" t="n">
        <v>1</v>
      </c>
      <c r="L3050" s="34" t="n">
        <v>1</v>
      </c>
      <c r="M3050" s="34" t="n">
        <v>1</v>
      </c>
      <c r="N3050" s="34" t="n">
        <v>0.5</v>
      </c>
      <c r="O3050" s="34" t="n">
        <v>0.5</v>
      </c>
    </row>
    <row r="3051" customFormat="false" ht="17.15" hidden="false" customHeight="false" outlineLevel="0" collapsed="false">
      <c r="A3051" s="5" t="s">
        <v>556</v>
      </c>
      <c r="B3051" s="0" t="s">
        <v>108</v>
      </c>
      <c r="C3051" s="33" t="n">
        <f aca="false">Sens!$C$3048-mw_ye23</f>
        <v>240</v>
      </c>
      <c r="D3051" s="33" t="n">
        <f aca="false">Sens!$D$3048-Sens!$C$3048</f>
        <v>1080</v>
      </c>
      <c r="E3051" s="33" t="n">
        <f aca="false">Sens!$E$3048-Sens!$D$3048</f>
        <v>640</v>
      </c>
      <c r="F3051" s="33" t="n">
        <f aca="false">Sens!$F$3048-Sens!$E$3048</f>
        <v>1817.15</v>
      </c>
      <c r="G3051" s="33" t="n">
        <f aca="false">Sens!$E$3051+Sens!$F$3051</f>
        <v>2457.15</v>
      </c>
      <c r="H3051" s="33" t="n">
        <f aca="false">Sens!$H$3048-Sens!$G$3048</f>
        <v>3634.3</v>
      </c>
      <c r="I3051" s="33" t="n">
        <f aca="false">Sens!$I$3048-Sens!$H$3048</f>
        <v>3634.3</v>
      </c>
      <c r="J3051" s="33" t="n">
        <f aca="false">Sens!$J$3048-Sens!$I$3048</f>
        <v>3634.3</v>
      </c>
      <c r="K3051" s="33" t="n">
        <f aca="false">Sens!$K$3048-Sens!$J$3048</f>
        <v>3634.3</v>
      </c>
      <c r="L3051" s="33" t="n">
        <f aca="false">Sens!$L$3048-Sens!$K$3048</f>
        <v>3634.3</v>
      </c>
      <c r="M3051" s="33" t="n">
        <f aca="false">Sens!$M$3048-Sens!$L$3048</f>
        <v>3634.3</v>
      </c>
      <c r="N3051" s="33" t="n">
        <f aca="false">Sens!$N$3048-Sens!$C$3048</f>
        <v>540</v>
      </c>
      <c r="O3051" s="33" t="n">
        <f aca="false">Sens!$O$3048-Sens!$N$3048</f>
        <v>540</v>
      </c>
    </row>
    <row r="3052" customFormat="false" ht="17.15" hidden="false" customHeight="false" outlineLevel="0" collapsed="false">
      <c r="A3052" s="5" t="s">
        <v>557</v>
      </c>
      <c r="B3052" s="0" t="s">
        <v>108</v>
      </c>
      <c r="C3052" s="33" t="n">
        <f aca="false">Sens!$C$3051/ext_sh</f>
        <v>300</v>
      </c>
      <c r="D3052" s="33" t="n">
        <f aca="false">Sens!$D$3051/ext_sh</f>
        <v>1350</v>
      </c>
      <c r="E3052" s="33" t="n">
        <f aca="false">Sens!$E$3051/ext_sh</f>
        <v>800</v>
      </c>
      <c r="F3052" s="33" t="n">
        <f aca="false">Sens!$F$3051/ext_sh</f>
        <v>2271.4375</v>
      </c>
      <c r="G3052" s="33" t="n">
        <f aca="false">Sens!$G$3051/ext_sh</f>
        <v>3071.4375</v>
      </c>
      <c r="H3052" s="33" t="n">
        <f aca="false">Sens!$H$3051/ext_sh</f>
        <v>4542.875</v>
      </c>
      <c r="I3052" s="33" t="n">
        <f aca="false">Sens!$I$3051/ext_sh</f>
        <v>4542.875</v>
      </c>
      <c r="J3052" s="33" t="n">
        <f aca="false">Sens!$J$3051/ext_sh</f>
        <v>4542.875</v>
      </c>
      <c r="K3052" s="33" t="n">
        <f aca="false">Sens!$K$3051/ext_sh</f>
        <v>4542.875</v>
      </c>
      <c r="L3052" s="33" t="n">
        <f aca="false">Sens!$L$3051/ext_sh</f>
        <v>4542.875</v>
      </c>
      <c r="M3052" s="33" t="n">
        <f aca="false">Sens!$M$3051/ext_sh</f>
        <v>4542.875</v>
      </c>
      <c r="N3052" s="33" t="n">
        <f aca="false">Sens!$N$3051/ext_sh</f>
        <v>675</v>
      </c>
      <c r="O3052" s="33" t="n">
        <f aca="false">Sens!$O$3051/ext_sh</f>
        <v>675</v>
      </c>
      <c r="P3052" s="8" t="s">
        <v>558</v>
      </c>
      <c r="R3052" s="33" t="n">
        <f aca="false">mw_ye23/ext_sh</f>
        <v>150</v>
      </c>
      <c r="S3052" s="33" t="n">
        <f aca="false">Sens!$C$3052</f>
        <v>300</v>
      </c>
      <c r="T3052" s="33" t="n">
        <f aca="false">Sens!$D$3052</f>
        <v>1350</v>
      </c>
      <c r="U3052" s="33" t="n">
        <f aca="false">Sens!$G$3052</f>
        <v>3071.4375</v>
      </c>
      <c r="V3052" s="33" t="n">
        <f aca="false">Sens!$H$3052</f>
        <v>4542.875</v>
      </c>
      <c r="W3052" s="33" t="n">
        <f aca="false">Sens!$I$3052</f>
        <v>4542.875</v>
      </c>
      <c r="X3052" s="33" t="n">
        <f aca="false">Sens!$J$3052</f>
        <v>4542.875</v>
      </c>
      <c r="Y3052" s="33" t="n">
        <f aca="false">Sens!$K$3052</f>
        <v>4542.875</v>
      </c>
      <c r="Z3052" s="33" t="n">
        <f aca="false">Sens!$L$3052</f>
        <v>4542.875</v>
      </c>
      <c r="AA3052" s="33" t="n">
        <f aca="false">Sens!$M$3052</f>
        <v>4542.875</v>
      </c>
    </row>
    <row r="3053" customFormat="false" ht="17.15" hidden="false" customHeight="false" outlineLevel="0" collapsed="false">
      <c r="A3053" s="1" t="s">
        <v>559</v>
      </c>
    </row>
    <row r="3054" customFormat="false" ht="17.15" hidden="false" customHeight="false" outlineLevel="0" collapsed="false">
      <c r="A3054" s="0" t="s">
        <v>560</v>
      </c>
      <c r="B3054" s="0" t="s">
        <v>52</v>
      </c>
      <c r="F3054" s="35" t="n">
        <f aca="false">na_vr26</f>
        <v>0</v>
      </c>
      <c r="G3054" s="35" t="n">
        <f aca="false">na_vr26</f>
        <v>0</v>
      </c>
      <c r="H3054" s="35" t="n">
        <f aca="false">na_vr27</f>
        <v>0.5</v>
      </c>
      <c r="I3054" s="35" t="n">
        <f aca="false">na_vr28</f>
        <v>1</v>
      </c>
      <c r="J3054" s="35" t="n">
        <f aca="false">na_vr28</f>
        <v>1</v>
      </c>
      <c r="K3054" s="35" t="n">
        <f aca="false">na_vr28</f>
        <v>1</v>
      </c>
      <c r="L3054" s="35" t="n">
        <f aca="false">na_vr28</f>
        <v>1</v>
      </c>
      <c r="M3054" s="35" t="n">
        <f aca="false">na_vr28</f>
        <v>1</v>
      </c>
    </row>
    <row r="3055" customFormat="false" ht="17.15" hidden="false" customHeight="false" outlineLevel="0" collapsed="false">
      <c r="A3055" s="5" t="s">
        <v>561</v>
      </c>
      <c r="B3055" s="0" t="s">
        <v>151</v>
      </c>
      <c r="F3055" s="36" t="n">
        <f aca="false">cust_sh*tk_he_gb300*cf_chip+(1-cust_sh)*((1-Sens!$F$3054)*tk_he_gb300+Sens!$F$3054*tk_he_vr200)</f>
        <v>10.8864110021101</v>
      </c>
      <c r="G3055" s="36" t="n">
        <f aca="false">cust_sh*tk_he_gb300*cf_chip+(1-cust_sh)*((1-Sens!$G$3054)*tk_he_gb300+Sens!$G$3054*tk_he_vr200)</f>
        <v>10.8864110021101</v>
      </c>
      <c r="H3055" s="36" t="n">
        <f aca="false">cust_sh*tk_he_gb300*cf_chip+(1-cust_sh)*((1-Sens!$H$3054)*tk_he_gb300+Sens!$H$3054*tk_he_vr200)</f>
        <v>11.2211760027286</v>
      </c>
      <c r="I3055" s="36" t="n">
        <f aca="false">cust_sh*tk_he_gb300*cf_chip+(1-cust_sh)*((1-Sens!$I$3054)*tk_he_gb300+Sens!$I$3054*tk_he_vr200)</f>
        <v>11.5559410033471</v>
      </c>
      <c r="J3055" s="36" t="n">
        <f aca="false">cust_sh*tk_he_gb300*cf_chip+(1-cust_sh)*((1-Sens!$J$3054)*tk_he_gb300+Sens!$J$3054*tk_he_vr200)</f>
        <v>11.5559410033471</v>
      </c>
      <c r="K3055" s="36" t="n">
        <f aca="false">cust_sh*tk_he_gb300*cf_chip+(1-cust_sh)*((1-Sens!$K$3054)*tk_he_gb300+Sens!$K$3054*tk_he_vr200)</f>
        <v>11.5559410033471</v>
      </c>
      <c r="L3055" s="36" t="n">
        <f aca="false">cust_sh*tk_he_gb300*cf_chip+(1-cust_sh)*((1-Sens!$L$3054)*tk_he_gb300+Sens!$L$3054*tk_he_vr200)</f>
        <v>11.5559410033471</v>
      </c>
      <c r="M3055" s="36" t="n">
        <f aca="false">cust_sh*tk_he_gb300*cf_chip+(1-cust_sh)*((1-Sens!$M$3054)*tk_he_gb300+Sens!$M$3054*tk_he_vr200)</f>
        <v>11.5559410033471</v>
      </c>
    </row>
    <row r="3056" customFormat="false" ht="17.15" hidden="false" customHeight="false" outlineLevel="0" collapsed="false">
      <c r="A3056" s="5" t="s">
        <v>562</v>
      </c>
      <c r="B3056" s="0" t="s">
        <v>151</v>
      </c>
      <c r="F3056" s="36" t="n">
        <f aca="false">cust_sh*tk_ox_gb300+(1-cust_sh)*((1-Sens!$F$3054)*tk_ox_gb300+Sens!$F$3054*tk_ox_vr200)</f>
        <v>1.98263481314457</v>
      </c>
      <c r="G3056" s="36" t="n">
        <f aca="false">cust_sh*tk_ox_gb300+(1-cust_sh)*((1-Sens!$G$3054)*tk_ox_gb300+Sens!$G$3054*tk_ox_vr200)</f>
        <v>1.98263481314457</v>
      </c>
      <c r="H3056" s="36" t="n">
        <f aca="false">cust_sh*tk_ox_gb300+(1-cust_sh)*((1-Sens!$H$3054)*tk_ox_gb300+Sens!$H$3054*tk_ox_vr200)</f>
        <v>2.01034999693694</v>
      </c>
      <c r="I3056" s="36" t="n">
        <f aca="false">cust_sh*tk_ox_gb300+(1-cust_sh)*((1-Sens!$I$3054)*tk_ox_gb300+Sens!$I$3054*tk_ox_vr200)</f>
        <v>2.0380651807293</v>
      </c>
      <c r="J3056" s="36" t="n">
        <f aca="false">cust_sh*tk_ox_gb300+(1-cust_sh)*((1-Sens!$J$3054)*tk_ox_gb300+Sens!$J$3054*tk_ox_vr200)</f>
        <v>2.0380651807293</v>
      </c>
      <c r="K3056" s="36" t="n">
        <f aca="false">cust_sh*tk_ox_gb300+(1-cust_sh)*((1-Sens!$K$3054)*tk_ox_gb300+Sens!$K$3054*tk_ox_vr200)</f>
        <v>2.0380651807293</v>
      </c>
      <c r="L3056" s="36" t="n">
        <f aca="false">cust_sh*tk_ox_gb300+(1-cust_sh)*((1-Sens!$L$3054)*tk_ox_gb300+Sens!$L$3054*tk_ox_vr200)</f>
        <v>2.0380651807293</v>
      </c>
      <c r="M3056" s="36" t="n">
        <f aca="false">cust_sh*tk_ox_gb300+(1-cust_sh)*((1-Sens!$M$3054)*tk_ox_gb300+Sens!$M$3054*tk_ox_vr200)</f>
        <v>2.0380651807293</v>
      </c>
    </row>
    <row r="3057" customFormat="false" ht="17.15" hidden="false" customHeight="false" outlineLevel="0" collapsed="false">
      <c r="A3057" s="5" t="s">
        <v>563</v>
      </c>
      <c r="B3057" s="0" t="s">
        <v>170</v>
      </c>
      <c r="F3057" s="36" t="n">
        <f aca="false">cust_sh*tk_cx_gb300*cf_cx+(1-cust_sh)*((1-Sens!$F$3054)*tk_cx_gb300+Sens!$F$3054*tk_cx_vr200)</f>
        <v>32.237224</v>
      </c>
      <c r="G3057" s="36" t="n">
        <f aca="false">cust_sh*tk_cx_gb300*cf_cx+(1-cust_sh)*((1-Sens!$G$3054)*tk_cx_gb300+Sens!$G$3054*tk_cx_vr200)</f>
        <v>32.237224</v>
      </c>
      <c r="H3057" s="36" t="n">
        <f aca="false">cust_sh*tk_cx_gb300*cf_cx+(1-cust_sh)*((1-Sens!$H$3054)*tk_cx_gb300+Sens!$H$3054*tk_cx_vr200)</f>
        <v>33.574506</v>
      </c>
      <c r="I3057" s="36" t="n">
        <f aca="false">cust_sh*tk_cx_gb300*cf_cx+(1-cust_sh)*((1-Sens!$I$3054)*tk_cx_gb300+Sens!$I$3054*tk_cx_vr200)</f>
        <v>34.911788</v>
      </c>
      <c r="J3057" s="36" t="n">
        <f aca="false">cust_sh*tk_cx_gb300*cf_cx+(1-cust_sh)*((1-Sens!$J$3054)*tk_cx_gb300+Sens!$J$3054*tk_cx_vr200)</f>
        <v>34.911788</v>
      </c>
      <c r="K3057" s="36" t="n">
        <f aca="false">cust_sh*tk_cx_gb300*cf_cx+(1-cust_sh)*((1-Sens!$K$3054)*tk_cx_gb300+Sens!$K$3054*tk_cx_vr200)</f>
        <v>34.911788</v>
      </c>
      <c r="L3057" s="36" t="n">
        <f aca="false">cust_sh*tk_cx_gb300*cf_cx+(1-cust_sh)*((1-Sens!$L$3054)*tk_cx_gb300+Sens!$L$3054*tk_cx_vr200)</f>
        <v>34.911788</v>
      </c>
      <c r="M3057" s="36" t="n">
        <f aca="false">cust_sh*tk_cx_gb300*cf_cx+(1-cust_sh)*((1-Sens!$M$3054)*tk_cx_gb300+Sens!$M$3054*tk_cx_vr200)</f>
        <v>34.911788</v>
      </c>
    </row>
    <row r="3058" customFormat="false" ht="17.15" hidden="false" customHeight="false" outlineLevel="0" collapsed="false">
      <c r="A3058" s="5" t="s">
        <v>564</v>
      </c>
      <c r="B3058" s="0" t="s">
        <v>108</v>
      </c>
      <c r="F3058" s="33" t="n">
        <f aca="false">Sens!$F$3048-mw_open</f>
        <v>1817.15</v>
      </c>
      <c r="G3058" s="33" t="n">
        <f aca="false">Sens!$F$3058</f>
        <v>1817.15</v>
      </c>
      <c r="H3058" s="33" t="n">
        <f aca="false">Sens!$H$3048-mw_open</f>
        <v>5451.45</v>
      </c>
      <c r="I3058" s="33" t="n">
        <f aca="false">Sens!$I$3048-mw_open</f>
        <v>9085.75</v>
      </c>
      <c r="J3058" s="33" t="n">
        <f aca="false">Sens!$J$3048-mw_open</f>
        <v>12720.05</v>
      </c>
      <c r="K3058" s="33" t="n">
        <f aca="false">Sens!$K$3048-mw_open</f>
        <v>16354.35</v>
      </c>
      <c r="L3058" s="33" t="n">
        <f aca="false">Sens!$L$3048-mw_open</f>
        <v>19988.65</v>
      </c>
      <c r="M3058" s="33" t="n">
        <f aca="false">Sens!$M$3048-mw_open</f>
        <v>23622.95</v>
      </c>
    </row>
    <row r="3059" customFormat="false" ht="17.15" hidden="false" customHeight="false" outlineLevel="0" collapsed="false">
      <c r="A3059" s="0" t="s">
        <v>565</v>
      </c>
      <c r="B3059" s="0" t="s">
        <v>566</v>
      </c>
      <c r="F3059" s="33" t="n">
        <f aca="false">Sens!$F$3051*Sens!$F$3055</f>
        <v>19782.2417524844</v>
      </c>
      <c r="G3059" s="33" t="n">
        <f aca="false">Sens!$F$3059</f>
        <v>19782.2417524844</v>
      </c>
      <c r="H3059" s="33" t="n">
        <f aca="false">Sens!$G$3059+Sens!$H$3051*Sens!$H$3055</f>
        <v>60563.3616992009</v>
      </c>
      <c r="I3059" s="33" t="n">
        <f aca="false">Sens!$H$3059+Sens!$I$3051*Sens!$I$3055</f>
        <v>102561.118087665</v>
      </c>
      <c r="J3059" s="33" t="n">
        <f aca="false">Sens!$I$3059+Sens!$J$3051*Sens!$J$3055</f>
        <v>144558.87447613</v>
      </c>
      <c r="K3059" s="33" t="n">
        <f aca="false">Sens!$J$3059+Sens!$K$3051*Sens!$K$3055</f>
        <v>186556.630864594</v>
      </c>
      <c r="L3059" s="33" t="n">
        <f aca="false">Sens!$K$3059+Sens!$L$3051*Sens!$L$3055</f>
        <v>228554.387253058</v>
      </c>
      <c r="M3059" s="33" t="n">
        <f aca="false">Sens!$L$3059+Sens!$M$3051*Sens!$M$3055</f>
        <v>270552.143641523</v>
      </c>
    </row>
    <row r="3060" customFormat="false" ht="17.15" hidden="false" customHeight="false" outlineLevel="0" collapsed="false">
      <c r="A3060" s="0" t="s">
        <v>567</v>
      </c>
      <c r="B3060" s="0" t="s">
        <v>566</v>
      </c>
      <c r="F3060" s="33" t="n">
        <f aca="false">Sens!$F$3051*Sens!$F$3056</f>
        <v>3602.74485070566</v>
      </c>
      <c r="G3060" s="33" t="n">
        <f aca="false">Sens!$F$3060</f>
        <v>3602.74485070566</v>
      </c>
      <c r="H3060" s="33" t="n">
        <f aca="false">Sens!$G$3060+Sens!$H$3051*Sens!$H$3056</f>
        <v>10908.9598445736</v>
      </c>
      <c r="I3060" s="33" t="n">
        <f aca="false">Sens!$H$3060+Sens!$I$3051*Sens!$I$3056</f>
        <v>18315.9001308981</v>
      </c>
      <c r="J3060" s="33" t="n">
        <f aca="false">Sens!$I$3060+Sens!$J$3051*Sens!$J$3056</f>
        <v>25722.8404172225</v>
      </c>
      <c r="K3060" s="33" t="n">
        <f aca="false">Sens!$J$3060+Sens!$K$3051*Sens!$K$3056</f>
        <v>33129.780703547</v>
      </c>
      <c r="L3060" s="33" t="n">
        <f aca="false">Sens!$K$3060+Sens!$L$3051*Sens!$L$3056</f>
        <v>40536.7209898715</v>
      </c>
      <c r="M3060" s="33" t="n">
        <f aca="false">Sens!$L$3060+Sens!$M$3051*Sens!$M$3056</f>
        <v>47943.661276196</v>
      </c>
    </row>
    <row r="3061" customFormat="false" ht="17.15" hidden="false" customHeight="false" outlineLevel="0" collapsed="false">
      <c r="A3061" s="5" t="s">
        <v>568</v>
      </c>
      <c r="B3061" s="0" t="s">
        <v>151</v>
      </c>
      <c r="F3061" s="36" t="n">
        <f aca="false">IF(Sens!$F$3058&gt;0,Sens!$F$3059/Sens!$F$3058,Sens!$F$3055)</f>
        <v>10.8864110021101</v>
      </c>
      <c r="G3061" s="36" t="n">
        <f aca="false">IF(Sens!$G$3058&gt;0,Sens!$G$3059/Sens!$G$3058,Sens!$G$3055)</f>
        <v>10.8864110021101</v>
      </c>
      <c r="H3061" s="36" t="n">
        <f aca="false">IF(Sens!$H$3058&gt;0,Sens!$H$3059/Sens!$H$3058,Sens!$H$3055)</f>
        <v>11.1095876691891</v>
      </c>
      <c r="I3061" s="36" t="n">
        <f aca="false">IF(Sens!$I$3058&gt;0,Sens!$I$3059/Sens!$I$3058,Sens!$I$3055)</f>
        <v>11.2881290028523</v>
      </c>
      <c r="J3061" s="36" t="n">
        <f aca="false">IF(Sens!$J$3058&gt;0,Sens!$J$3059/Sens!$J$3058,Sens!$J$3055)</f>
        <v>11.3646467172794</v>
      </c>
      <c r="K3061" s="36" t="n">
        <f aca="false">IF(Sens!$K$3058&gt;0,Sens!$K$3059/Sens!$K$3058,Sens!$K$3055)</f>
        <v>11.4071565586278</v>
      </c>
      <c r="L3061" s="36" t="n">
        <f aca="false">IF(Sens!$L$3058&gt;0,Sens!$L$3059/Sens!$L$3058,Sens!$L$3055)</f>
        <v>11.4342082758495</v>
      </c>
      <c r="M3061" s="36" t="n">
        <f aca="false">IF(Sens!$M$3058&gt;0,Sens!$M$3059/Sens!$M$3058,Sens!$M$3055)</f>
        <v>11.4529363877722</v>
      </c>
    </row>
    <row r="3062" customFormat="false" ht="17.15" hidden="false" customHeight="false" outlineLevel="0" collapsed="false">
      <c r="A3062" s="5" t="s">
        <v>569</v>
      </c>
      <c r="B3062" s="0" t="s">
        <v>151</v>
      </c>
      <c r="F3062" s="36" t="n">
        <f aca="false">IF(Sens!$F$3058&gt;0,Sens!$F$3060/Sens!$F$3058,Sens!$F$3056)</f>
        <v>1.98263481314457</v>
      </c>
      <c r="G3062" s="36" t="n">
        <f aca="false">IF(Sens!$G$3058&gt;0,Sens!$G$3060/Sens!$G$3058,Sens!$G$3056)</f>
        <v>1.98263481314457</v>
      </c>
      <c r="H3062" s="36" t="n">
        <f aca="false">IF(Sens!$H$3058&gt;0,Sens!$H$3060/Sens!$H$3058,Sens!$H$3056)</f>
        <v>2.00111160233948</v>
      </c>
      <c r="I3062" s="36" t="n">
        <f aca="false">IF(Sens!$I$3058&gt;0,Sens!$I$3060/Sens!$I$3058,Sens!$I$3056)</f>
        <v>2.01589303369541</v>
      </c>
      <c r="J3062" s="36" t="n">
        <f aca="false">IF(Sens!$J$3058&gt;0,Sens!$J$3060/Sens!$J$3058,Sens!$J$3056)</f>
        <v>2.02222793284795</v>
      </c>
      <c r="K3062" s="36" t="n">
        <f aca="false">IF(Sens!$K$3058&gt;0,Sens!$K$3060/Sens!$K$3058,Sens!$K$3056)</f>
        <v>2.02574732126603</v>
      </c>
      <c r="L3062" s="36" t="n">
        <f aca="false">IF(Sens!$L$3058&gt;0,Sens!$L$3060/Sens!$L$3058,Sens!$L$3056)</f>
        <v>2.02798693207753</v>
      </c>
      <c r="M3062" s="36" t="n">
        <f aca="false">IF(Sens!$M$3058&gt;0,Sens!$M$3060/Sens!$M$3058,Sens!$M$3056)</f>
        <v>2.02953743187011</v>
      </c>
    </row>
    <row r="3063" customFormat="false" ht="17.15" hidden="false" customHeight="false" outlineLevel="0" collapsed="false">
      <c r="A3063" s="14" t="s">
        <v>570</v>
      </c>
      <c r="B3063" s="13" t="s">
        <v>151</v>
      </c>
      <c r="C3063" s="13"/>
      <c r="D3063" s="13"/>
      <c r="E3063" s="13"/>
      <c r="F3063" s="37" t="n">
        <f aca="false">Sens!$F$3061*k_B</f>
        <v>10.7987645808025</v>
      </c>
      <c r="G3063" s="37" t="n">
        <f aca="false">Sens!$G$3061*k_B</f>
        <v>10.7987645808025</v>
      </c>
      <c r="H3063" s="37" t="n">
        <f aca="false">Sens!$H$3061*k_B</f>
        <v>11.0201444540452</v>
      </c>
      <c r="I3063" s="37" t="n">
        <f aca="false">Sens!$I$3061*k_B</f>
        <v>11.1972483526393</v>
      </c>
      <c r="J3063" s="37" t="n">
        <f aca="false">Sens!$J$3061*k_B</f>
        <v>11.2731500234653</v>
      </c>
      <c r="K3063" s="37" t="n">
        <f aca="false">Sens!$K$3061*k_B</f>
        <v>11.3153176183687</v>
      </c>
      <c r="L3063" s="37" t="n">
        <f aca="false">Sens!$L$3061*k_B</f>
        <v>11.3421515423981</v>
      </c>
      <c r="M3063" s="37" t="n">
        <f aca="false">Sens!$M$3061*k_B</f>
        <v>11.3607288744184</v>
      </c>
      <c r="N3063" s="13"/>
      <c r="O3063" s="13"/>
      <c r="P3063" s="5" t="s">
        <v>571</v>
      </c>
    </row>
    <row r="3064" customFormat="false" ht="17.15" hidden="false" customHeight="false" outlineLevel="0" collapsed="false">
      <c r="A3064" s="5" t="s">
        <v>572</v>
      </c>
      <c r="B3064" s="0" t="s">
        <v>108</v>
      </c>
      <c r="F3064" s="33" t="n">
        <f aca="false">Sens!$F$3058/2</f>
        <v>908.575</v>
      </c>
      <c r="H3064" s="33" t="n">
        <f aca="false">(Sens!$G$3058+Sens!$H$3058)/2</f>
        <v>3634.3</v>
      </c>
      <c r="I3064" s="33" t="n">
        <f aca="false">(Sens!$H$3058+Sens!$I$3058)/2</f>
        <v>7268.6</v>
      </c>
      <c r="J3064" s="33" t="n">
        <f aca="false">(Sens!$I$3058+Sens!$J$3058)/2</f>
        <v>10902.9</v>
      </c>
      <c r="K3064" s="33" t="n">
        <f aca="false">(Sens!$J$3058+Sens!$K$3058)/2</f>
        <v>14537.2</v>
      </c>
      <c r="L3064" s="33" t="n">
        <f aca="false">(Sens!$K$3058+Sens!$L$3058)/2</f>
        <v>18171.5</v>
      </c>
      <c r="M3064" s="33" t="n">
        <f aca="false">(Sens!$L$3058+Sens!$M$3058)/2</f>
        <v>21805.8</v>
      </c>
    </row>
    <row r="3065" customFormat="false" ht="17.15" hidden="false" customHeight="false" outlineLevel="0" collapsed="false">
      <c r="A3065" s="1" t="s">
        <v>573</v>
      </c>
    </row>
    <row r="3066" customFormat="false" ht="17.15" hidden="false" customHeight="false" outlineLevel="0" collapsed="false">
      <c r="A3066" s="1" t="s">
        <v>574</v>
      </c>
      <c r="B3066" s="8" t="s">
        <v>73</v>
      </c>
      <c r="C3066" s="38" t="n">
        <f aca="false">Sens!$C$3049*rpm_open*Sens!$C$3050/1000</f>
        <v>2.32100535697364</v>
      </c>
      <c r="D3066" s="38" t="n">
        <f aca="false">Sens!$D$3049*rpm_open*Sens!$D$3050/1000</f>
        <v>8.70377008865116</v>
      </c>
      <c r="E3066" s="38" t="n">
        <f aca="false">Sens!$E$3049*rpm_open*Sens!$E$3050/1000</f>
        <v>8.51035297557002</v>
      </c>
      <c r="F3066" s="38" t="n">
        <f aca="false">(mw_open*rpm_open+Sens!$F$3064*Sens!$F$3063)*Sens!$F$3050/1000</f>
        <v>14.9634336447205</v>
      </c>
      <c r="G3066" s="38" t="n">
        <f aca="false">Sens!$E$3066+Sens!$F$3066</f>
        <v>23.4737866202905</v>
      </c>
      <c r="H3066" s="38" t="n">
        <f aca="false">(mw_open*rpm_open+Sens!$H$3064*Sens!$H$3063)/1000</f>
        <v>60.1658907497746</v>
      </c>
      <c r="I3066" s="38" t="n">
        <f aca="false">(mw_open*rpm_open+Sens!$I$3064*Sens!$I$3063)/1000</f>
        <v>101.503699136432</v>
      </c>
      <c r="J3066" s="38" t="n">
        <f aca="false">(mw_open*rpm_open+Sens!$J$3064*Sens!$J$3063)/1000</f>
        <v>143.025407151278</v>
      </c>
      <c r="K3066" s="38" t="n">
        <f aca="false">(mw_open*rpm_open+Sens!$K$3064*Sens!$K$3063)/1000</f>
        <v>184.608415042187</v>
      </c>
      <c r="L3066" s="38" t="n">
        <f aca="false">(mw_open*rpm_open+Sens!$L$3064*Sens!$L$3063)/1000</f>
        <v>226.219286513125</v>
      </c>
      <c r="M3066" s="38" t="n">
        <f aca="false">(mw_open*rpm_open+Sens!$M$3064*Sens!$M$3063)/1000</f>
        <v>267.845161450232</v>
      </c>
      <c r="N3066" s="38" t="n">
        <f aca="false">Sens!$N$3049*rpm_open*Sens!$N$3050/1000</f>
        <v>3.04631953102791</v>
      </c>
      <c r="O3066" s="38" t="n">
        <f aca="false">Sens!$O$3049*rpm_open*Sens!$O$3050/1000</f>
        <v>5.65745055762326</v>
      </c>
      <c r="P3066" s="5" t="s">
        <v>575</v>
      </c>
    </row>
    <row r="3067" customFormat="false" ht="17.15" hidden="false" customHeight="false" outlineLevel="0" collapsed="false">
      <c r="A3067" s="5" t="s">
        <v>576</v>
      </c>
      <c r="B3067" s="0" t="s">
        <v>151</v>
      </c>
      <c r="C3067" s="36" t="n">
        <f aca="false">Sens!$C$3066*1000/(Sens!$C$3049*Sens!$C$3050)</f>
        <v>9.67085565405685</v>
      </c>
      <c r="D3067" s="36" t="n">
        <f aca="false">Sens!$D$3066*1000/(Sens!$D$3049*Sens!$D$3050)</f>
        <v>9.67085565405685</v>
      </c>
      <c r="E3067" s="36" t="n">
        <f aca="false">Sens!$E$3066*1000/(Sens!$E$3049*Sens!$E$3050)</f>
        <v>9.67085565405685</v>
      </c>
      <c r="F3067" s="36" t="n">
        <f aca="false">Sens!$F$3066*1000/(Sens!$F$3049*Sens!$F$3050)</f>
        <v>10.0137581588017</v>
      </c>
      <c r="G3067" s="36" t="n">
        <f aca="false">Sens!$G$3066*1000/(Sens!$G$3049*Sens!$G$3050)</f>
        <v>9.88666562928478</v>
      </c>
      <c r="H3067" s="36" t="n">
        <f aca="false">Sens!$H$3066*1000/(Sens!$H$3049*Sens!$H$3050)</f>
        <v>10.5290045586992</v>
      </c>
      <c r="I3067" s="36" t="n">
        <f aca="false">Sens!$I$3066*1000/(Sens!$I$3049*Sens!$I$3050)</f>
        <v>10.8576363451674</v>
      </c>
      <c r="J3067" s="36" t="n">
        <f aca="false">Sens!$J$3066*1000/(Sens!$J$3049*Sens!$J$3050)</f>
        <v>11.0164452588619</v>
      </c>
      <c r="K3067" s="36" t="n">
        <f aca="false">Sens!$K$3066*1000/(Sens!$K$3049*Sens!$K$3050)</f>
        <v>11.1094778327388</v>
      </c>
      <c r="L3067" s="36" t="n">
        <f aca="false">Sens!$L$3066*1000/(Sens!$L$3049*Sens!$L$3050)</f>
        <v>11.1704953466718</v>
      </c>
      <c r="M3067" s="36" t="n">
        <f aca="false">Sens!$M$3066*1000/(Sens!$M$3049*Sens!$M$3050)</f>
        <v>11.2135729785158</v>
      </c>
      <c r="N3067" s="36" t="n">
        <f aca="false">Sens!$N$3066*1000/(Sens!$N$3049*Sens!$N$3050)</f>
        <v>9.67085565405685</v>
      </c>
      <c r="O3067" s="36" t="n">
        <f aca="false">Sens!$O$3066*1000/(Sens!$O$3049*Sens!$O$3050)</f>
        <v>9.67085565405685</v>
      </c>
    </row>
    <row r="3068" customFormat="false" ht="17.15" hidden="false" customHeight="false" outlineLevel="0" collapsed="false">
      <c r="A3068" s="0" t="s">
        <v>577</v>
      </c>
      <c r="B3068" s="0" t="s">
        <v>73</v>
      </c>
      <c r="C3068" s="38" t="n">
        <f aca="false">Sens!$C$3049/ext_sh*(ox_open+rent_mw)*Sens!$C$3050/1000</f>
        <v>0.642569210675032</v>
      </c>
      <c r="D3068" s="38" t="n">
        <f aca="false">Sens!$D$3049/ext_sh*(ox_open+rent_mw)*Sens!$D$3050/1000</f>
        <v>2.40963454003137</v>
      </c>
      <c r="E3068" s="38" t="n">
        <f aca="false">Sens!$E$3049/ext_sh*(ox_open+rent_mw)*Sens!$E$3050/1000</f>
        <v>2.35608710580845</v>
      </c>
      <c r="F3068" s="38" t="n">
        <f aca="false">((mw_open*ox_open+Sens!$F$3064*Sens!$F$3062)/ext_sh+Sens!$F$3049/ext_sh*rent_mw)*Sens!$F$3050/1000</f>
        <v>4.05421991106232</v>
      </c>
      <c r="G3068" s="38" t="n">
        <f aca="false">Sens!$E$3068+Sens!$F$3068</f>
        <v>6.41030701687077</v>
      </c>
      <c r="H3068" s="38" t="n">
        <f aca="false">((mw_open*ox_open+Sens!$H$3064*Sens!$H$3062)/ext_sh+Sens!$H$3049/ext_sh*rent_mw)*Sens!$H$3050/1000</f>
        <v>15.8108975546616</v>
      </c>
      <c r="I3068" s="38" t="n">
        <f aca="false">((mw_open*ox_open+Sens!$I$3064*Sens!$I$3062)/ext_sh+Sens!$I$3049/ext_sh*rent_mw)*Sens!$I$3050/1000</f>
        <v>26.1871623400817</v>
      </c>
      <c r="J3068" s="38" t="n">
        <f aca="false">((mw_open*ox_open+Sens!$J$3064*Sens!$J$3062)/ext_sh+Sens!$J$3049/ext_sh*rent_mw)*Sens!$J$3050/1000</f>
        <v>36.5826128954935</v>
      </c>
      <c r="K3068" s="38" t="n">
        <f aca="false">((mw_open*ox_open+Sens!$K$3064*Sens!$K$3062)/ext_sh+Sens!$K$3049/ext_sh*rent_mw)*Sens!$K$3050/1000</f>
        <v>46.9844587075692</v>
      </c>
      <c r="L3068" s="38" t="n">
        <f aca="false">((mw_open*ox_open+Sens!$L$3064*Sens!$L$3062)/ext_sh+Sens!$L$3049/ext_sh*rent_mw)*Sens!$L$3050/1000</f>
        <v>57.3892114544922</v>
      </c>
      <c r="M3068" s="38" t="n">
        <f aca="false">((mw_open*ox_open+Sens!$M$3064*Sens!$M$3062)/ext_sh+Sens!$M$3049/ext_sh*rent_mw)*Sens!$M$3050/1000</f>
        <v>67.7955294740252</v>
      </c>
      <c r="N3068" s="38" t="n">
        <f aca="false">Sens!$N$3049/ext_sh*(ox_open+rent_mw)*Sens!$N$3050/1000</f>
        <v>0.84337208901098</v>
      </c>
      <c r="O3068" s="38" t="n">
        <f aca="false">Sens!$O$3049/ext_sh*(ox_open+rent_mw)*Sens!$O$3050/1000</f>
        <v>1.56626245102039</v>
      </c>
    </row>
    <row r="3069" customFormat="false" ht="17.15" hidden="false" customHeight="false" outlineLevel="0" collapsed="false">
      <c r="A3069" s="0" t="s">
        <v>578</v>
      </c>
      <c r="B3069" s="0" t="s">
        <v>73</v>
      </c>
      <c r="C3069" s="38" t="n">
        <f aca="false">Q!$D$7</f>
        <v>107.556</v>
      </c>
      <c r="D3069" s="38" t="n">
        <f aca="false">Q!$E$7</f>
        <v>128.725</v>
      </c>
      <c r="E3069" s="38" t="n">
        <f aca="false">Q!$P$7</f>
        <v>79.819</v>
      </c>
      <c r="N3069" s="38" t="n">
        <f aca="false">Q!$N$7</f>
        <v>60.14</v>
      </c>
      <c r="O3069" s="38" t="n">
        <f aca="false">Q!$O$7</f>
        <v>68.585</v>
      </c>
    </row>
    <row r="3070" customFormat="false" ht="17.15" hidden="false" customHeight="false" outlineLevel="0" collapsed="false">
      <c r="A3070" s="1" t="s">
        <v>579</v>
      </c>
      <c r="B3070" s="8" t="s">
        <v>73</v>
      </c>
      <c r="C3070" s="38" t="n">
        <f aca="false">Sens!$C$3069-Sens!$C$3066</f>
        <v>105.234994643026</v>
      </c>
      <c r="D3070" s="38" t="n">
        <f aca="false">Sens!$D$3069-Sens!$D$3066</f>
        <v>120.021229911349</v>
      </c>
      <c r="E3070" s="38" t="n">
        <f aca="false">Sens!$E$3069-Sens!$E$3066</f>
        <v>71.30864702443</v>
      </c>
      <c r="F3070" s="38" t="n">
        <f aca="false">Sens!$O$3070*(1+Sens!$F$3071)</f>
        <v>78.5950104186653</v>
      </c>
      <c r="G3070" s="38" t="n">
        <f aca="false">Sens!$E$3070+Sens!$F$3070</f>
        <v>149.903657443095</v>
      </c>
      <c r="H3070" s="38" t="n">
        <f aca="false">Sens!$G$3070*(1+Sens!$H$3071)</f>
        <v>180.893560768142</v>
      </c>
      <c r="I3070" s="38" t="n">
        <f aca="false">Sens!$H$3070*(1+Sens!$I$3071)</f>
        <v>210.64839721501</v>
      </c>
      <c r="J3070" s="38" t="n">
        <f aca="false">Sens!$I$3070*(1+Sens!$J$3071)</f>
        <v>236.398909446495</v>
      </c>
      <c r="K3070" s="38" t="n">
        <f aca="false">Sens!$J$3070*(1+Sens!$K$3071)</f>
        <v>255.310822202215</v>
      </c>
      <c r="L3070" s="38" t="n">
        <f aca="false">Sens!$K$3070*(1+Sens!$L$3071)</f>
        <v>275.735687978392</v>
      </c>
      <c r="M3070" s="38" t="n">
        <f aca="false">Sens!$L$3070*(1+Sens!$M$3071)</f>
        <v>297.794543016663</v>
      </c>
      <c r="N3070" s="38" t="n">
        <f aca="false">Sens!$N$3069-Sens!$N$3066</f>
        <v>57.0936804689721</v>
      </c>
      <c r="O3070" s="38" t="n">
        <f aca="false">Sens!$O$3069-Sens!$O$3066</f>
        <v>62.9275494423768</v>
      </c>
      <c r="P3070" s="5" t="s">
        <v>580</v>
      </c>
    </row>
    <row r="3071" customFormat="false" ht="17.15" hidden="false" customHeight="false" outlineLevel="0" collapsed="false">
      <c r="A3071" s="0" t="s">
        <v>581</v>
      </c>
      <c r="B3071" s="0" t="s">
        <v>52</v>
      </c>
      <c r="E3071" s="12" t="n">
        <f aca="false">Sens!$E$3070/Sens!$N$3070-1</f>
        <v>0.248976181579029</v>
      </c>
      <c r="F3071" s="12" t="n">
        <f aca="false">Sens!$E$3071</f>
        <v>0.248976181579029</v>
      </c>
      <c r="G3071" s="12" t="n">
        <f aca="false">Sens!$G$3070/Sens!$D$3070-1</f>
        <v>0.248976181579029</v>
      </c>
      <c r="H3071" s="12" t="n">
        <f aca="false">Sens!$E$3071+(g_awso_lt-Sens!$E$3071)*1/4</f>
        <v>0.206732136184272</v>
      </c>
      <c r="I3071" s="12" t="n">
        <f aca="false">Sens!$E$3071+(g_awso_lt-Sens!$E$3071)*2/4</f>
        <v>0.164488090789515</v>
      </c>
      <c r="J3071" s="12" t="n">
        <f aca="false">Sens!$E$3071+(g_awso_lt-Sens!$E$3071)*3/4</f>
        <v>0.122244045394757</v>
      </c>
      <c r="K3071" s="12" t="n">
        <f aca="false">Sens!$E$3071+(g_awso_lt-Sens!$E$3071)*4/4</f>
        <v>0.08</v>
      </c>
      <c r="L3071" s="12" t="n">
        <f aca="false">g_awso_lt</f>
        <v>0.08</v>
      </c>
      <c r="M3071" s="12" t="n">
        <f aca="false">g_awso_lt</f>
        <v>0.08</v>
      </c>
      <c r="P3071" s="8" t="s">
        <v>582</v>
      </c>
    </row>
    <row r="3072" customFormat="false" ht="17.15" hidden="false" customHeight="false" outlineLevel="0" collapsed="false">
      <c r="A3072" s="1" t="s">
        <v>583</v>
      </c>
    </row>
    <row r="3073" customFormat="false" ht="17.15" hidden="false" customHeight="false" outlineLevel="0" collapsed="false">
      <c r="A3073" s="0" t="s">
        <v>584</v>
      </c>
      <c r="B3073" s="0" t="s">
        <v>73</v>
      </c>
      <c r="F3073" s="38" t="n">
        <f aca="false">cx_rt*Sens!$F$3039+cx_awso*Sens!$F$3070</f>
        <v>36.8045765066526</v>
      </c>
    </row>
    <row r="3074" customFormat="false" ht="17.15" hidden="false" customHeight="false" outlineLevel="0" collapsed="false">
      <c r="A3074" s="0" t="s">
        <v>585</v>
      </c>
      <c r="B3074" s="0" t="s">
        <v>52</v>
      </c>
      <c r="C3074" s="12" t="n">
        <f aca="false">tk_cx_h100/(tk_cx_h100+tk_fac*(1-colo_sh))</f>
        <v>0.730756458006641</v>
      </c>
      <c r="D3074" s="12" t="n">
        <f aca="false">tk_cx_h100/(tk_cx_h100+tk_fac*(1-colo_sh))</f>
        <v>0.730756458006641</v>
      </c>
      <c r="E3074" s="12" t="n">
        <f aca="false">Sens!$F$3074</f>
        <v>0.760792334328868</v>
      </c>
      <c r="F3074" s="12" t="n">
        <f aca="false">Sens!$F$3057/(Sens!$F$3057+tk_fac*(1-colo_sh))</f>
        <v>0.760792334328868</v>
      </c>
      <c r="G3074" s="12" t="n">
        <f aca="false">Sens!$G$3057/(Sens!$G$3057+tk_fac*(1-colo_sh))</f>
        <v>0.760792334328868</v>
      </c>
      <c r="H3074" s="12" t="n">
        <f aca="false">Sens!$H$3057/(Sens!$H$3057+tk_fac*(1-colo_sh))</f>
        <v>0.768110668862996</v>
      </c>
      <c r="I3074" s="12" t="n">
        <f aca="false">Sens!$I$3057/(Sens!$I$3057+tk_fac*(1-colo_sh))</f>
        <v>0.77499450139483</v>
      </c>
      <c r="J3074" s="12" t="n">
        <f aca="false">Sens!$J$3057/(Sens!$J$3057+tk_fac*(1-colo_sh))</f>
        <v>0.77499450139483</v>
      </c>
      <c r="K3074" s="12" t="n">
        <f aca="false">Sens!$K$3057/(Sens!$K$3057+tk_fac*(1-colo_sh))</f>
        <v>0.77499450139483</v>
      </c>
      <c r="L3074" s="12" t="n">
        <f aca="false">Sens!$L$3057/(Sens!$L$3057+tk_fac*(1-colo_sh))</f>
        <v>0.77499450139483</v>
      </c>
      <c r="M3074" s="12" t="n">
        <f aca="false">Sens!$M$3057/(Sens!$M$3057+tk_fac*(1-colo_sh))</f>
        <v>0.77499450139483</v>
      </c>
    </row>
    <row r="3075" customFormat="false" ht="17.15" hidden="false" customHeight="false" outlineLevel="0" collapsed="false">
      <c r="A3075" s="1" t="s">
        <v>586</v>
      </c>
      <c r="B3075" s="8" t="s">
        <v>73</v>
      </c>
      <c r="C3075" s="38" t="n">
        <f aca="false">Q!$D$46-cx_rt*Q!$D$16-cx_awso*Sens!$C$3070</f>
        <v>25.2781053077374</v>
      </c>
      <c r="D3075" s="38" t="n">
        <f aca="false">Q!$E$46-cx_rt*Q!$E$16-cx_awso*Sens!$D$3070</f>
        <v>69.5686316310026</v>
      </c>
      <c r="E3075" s="38" t="n">
        <f aca="false">Q!$P$46-cx_rt*Q!$P$16-cx_awso*Sens!$E$3070</f>
        <v>64.1899206485108</v>
      </c>
      <c r="F3075" s="38" t="n">
        <f aca="false">MAX(Sens!$F$3052*(Sens!$F$3057+tk_fac*(1-colo_sh))/1000,capex_g26-Q!$P$46-Sens!$F$3073)</f>
        <v>96.2481299895</v>
      </c>
      <c r="G3075" s="38" t="n">
        <f aca="false">Sens!$E$3075+Sens!$F$3075</f>
        <v>160.438050638011</v>
      </c>
      <c r="H3075" s="38" t="n">
        <f aca="false">Sens!$H$3052*(Sens!$H$3057+tk_fac*(1-colo_sh))/1000+Sens!$H$3076</f>
        <v>198.57136494475</v>
      </c>
      <c r="I3075" s="38" t="n">
        <f aca="false">Sens!$I$3052*(Sens!$I$3057+tk_fac*(1-colo_sh))/1000+Sens!$I$3076</f>
        <v>204.6464699105</v>
      </c>
      <c r="J3075" s="38" t="n">
        <f aca="false">Sens!$J$3052*(Sens!$J$3057+tk_fac*(1-colo_sh))/1000+Sens!$J$3076</f>
        <v>209.8832381105</v>
      </c>
      <c r="K3075" s="38" t="n">
        <f aca="false">Sens!$K$3052*(Sens!$K$3057+tk_fac*(1-colo_sh))/1000+Sens!$K$3076</f>
        <v>215.1200063105</v>
      </c>
      <c r="L3075" s="38" t="n">
        <f aca="false">Sens!$L$3052*(Sens!$L$3057+tk_fac*(1-colo_sh))/1000+Sens!$L$3076</f>
        <v>251.7773837105</v>
      </c>
      <c r="M3075" s="38" t="n">
        <f aca="false">Sens!$M$3052*(Sens!$M$3057+tk_fac*(1-colo_sh))/1000+Sens!$M$3076</f>
        <v>311.87584476575</v>
      </c>
      <c r="P3075" s="5" t="s">
        <v>587</v>
      </c>
      <c r="R3075" s="38" t="n">
        <f aca="false">Q!$C$46-cx_rt*Q!$C$16-cx_awso*(Q!$C$7-mw_ye23/2*rpm_open/1000)</f>
        <v>1.50429979529945</v>
      </c>
      <c r="S3075" s="38" t="n">
        <f aca="false">Sens!$C$3075</f>
        <v>25.2781053077374</v>
      </c>
      <c r="T3075" s="38" t="n">
        <f aca="false">Sens!$D$3075</f>
        <v>69.5686316310026</v>
      </c>
      <c r="U3075" s="38" t="n">
        <f aca="false">Sens!$G$3075</f>
        <v>160.438050638011</v>
      </c>
      <c r="V3075" s="38" t="n">
        <f aca="false">Sens!$H$3075</f>
        <v>198.57136494475</v>
      </c>
      <c r="W3075" s="38" t="n">
        <f aca="false">Sens!$I$3075</f>
        <v>204.6464699105</v>
      </c>
      <c r="X3075" s="38" t="n">
        <f aca="false">Sens!$J$3075</f>
        <v>209.8832381105</v>
      </c>
      <c r="Y3075" s="38" t="n">
        <f aca="false">Sens!$K$3075</f>
        <v>215.1200063105</v>
      </c>
      <c r="Z3075" s="38" t="n">
        <f aca="false">Sens!$L$3075</f>
        <v>251.7773837105</v>
      </c>
      <c r="AA3075" s="38" t="n">
        <f aca="false">Sens!$M$3075</f>
        <v>311.87584476575</v>
      </c>
    </row>
    <row r="3076" customFormat="false" ht="17.15" hidden="false" customHeight="false" outlineLevel="0" collapsed="false">
      <c r="A3076" s="0" t="s">
        <v>588</v>
      </c>
      <c r="B3076" s="0" t="s">
        <v>73</v>
      </c>
      <c r="H3076" s="38" t="n">
        <f aca="false">SUMPRODUCT(--(Sens!$R$3046:$AA$3046=2027-tk_life),Sens!$R$3052:$AA$3052)*Sens!$H$3057/1000</f>
        <v>0</v>
      </c>
      <c r="I3076" s="38" t="n">
        <f aca="false">SUMPRODUCT(--(Sens!$R$3046:$AA$3046=2028-tk_life),Sens!$R$3052:$AA$3052)*Sens!$I$3057/1000</f>
        <v>0</v>
      </c>
      <c r="J3076" s="38" t="n">
        <f aca="false">SUMPRODUCT(--(Sens!$R$3046:$AA$3046=2029-tk_life),Sens!$R$3052:$AA$3052)*Sens!$J$3057/1000</f>
        <v>5.2367682</v>
      </c>
      <c r="K3076" s="38" t="n">
        <f aca="false">SUMPRODUCT(--(Sens!$R$3046:$AA$3046=2030-tk_life),Sens!$R$3052:$AA$3052)*Sens!$K$3057/1000</f>
        <v>10.4735364</v>
      </c>
      <c r="L3076" s="38" t="n">
        <f aca="false">SUMPRODUCT(--(Sens!$R$3046:$AA$3046=2031-tk_life),Sens!$R$3052:$AA$3052)*Sens!$L$3057/1000</f>
        <v>47.1309138</v>
      </c>
      <c r="M3076" s="38" t="n">
        <f aca="false">SUMPRODUCT(--(Sens!$R$3046:$AA$3046=2032-tk_life),Sens!$R$3052:$AA$3052)*Sens!$M$3057/1000</f>
        <v>107.22937485525</v>
      </c>
    </row>
    <row r="3077" customFormat="false" ht="17.15" hidden="false" customHeight="false" outlineLevel="0" collapsed="false">
      <c r="A3077" s="5" t="s">
        <v>589</v>
      </c>
      <c r="B3077" s="0" t="s">
        <v>73</v>
      </c>
      <c r="C3077" s="38" t="n">
        <f aca="false">Sens!$C$3075*Sens!$C$3074</f>
        <v>18.472138699801</v>
      </c>
      <c r="D3077" s="38" t="n">
        <f aca="false">Sens!$D$3075*Sens!$D$3074</f>
        <v>50.8377268390402</v>
      </c>
      <c r="E3077" s="38" t="n">
        <f aca="false">Sens!$E$3075*Sens!$E$3074</f>
        <v>48.8351995705653</v>
      </c>
      <c r="F3077" s="38" t="n">
        <f aca="false">Sens!$F$3075*Sens!$F$3074</f>
        <v>73.2248394895</v>
      </c>
      <c r="G3077" s="38" t="n">
        <f aca="false">Sens!$E$3077+Sens!$F$3077</f>
        <v>122.060039060065</v>
      </c>
      <c r="H3077" s="38" t="n">
        <f aca="false">(Sens!$H$3075-Sens!$H$3076)*Sens!$H$3074+Sens!$H$3076</f>
        <v>152.52478394475</v>
      </c>
      <c r="I3077" s="38" t="n">
        <f aca="false">(Sens!$I$3075-Sens!$I$3076)*Sens!$I$3074+Sens!$I$3076</f>
        <v>158.5998889105</v>
      </c>
      <c r="J3077" s="38" t="n">
        <f aca="false">(Sens!$J$3075-Sens!$J$3076)*Sens!$J$3074+Sens!$J$3076</f>
        <v>163.8366571105</v>
      </c>
      <c r="K3077" s="38" t="n">
        <f aca="false">(Sens!$K$3075-Sens!$K$3076)*Sens!$K$3074+Sens!$K$3076</f>
        <v>169.0734253105</v>
      </c>
      <c r="L3077" s="38" t="n">
        <f aca="false">(Sens!$L$3075-Sens!$L$3076)*Sens!$L$3074+Sens!$L$3076</f>
        <v>205.7308027105</v>
      </c>
      <c r="M3077" s="38" t="n">
        <f aca="false">(Sens!$M$3075-Sens!$M$3076)*Sens!$M$3074+Sens!$M$3076</f>
        <v>265.82926376575</v>
      </c>
      <c r="R3077" s="38" t="n">
        <f aca="false">Sens!$R$3075*Sens!$C$3074</f>
        <v>1.09927679019314</v>
      </c>
      <c r="S3077" s="38" t="n">
        <f aca="false">Sens!$C$3077</f>
        <v>18.472138699801</v>
      </c>
      <c r="T3077" s="38" t="n">
        <f aca="false">Sens!$D$3077</f>
        <v>50.8377268390402</v>
      </c>
      <c r="U3077" s="38" t="n">
        <f aca="false">Sens!$G$3077</f>
        <v>122.060039060065</v>
      </c>
      <c r="V3077" s="38" t="n">
        <f aca="false">Sens!$H$3077</f>
        <v>152.52478394475</v>
      </c>
      <c r="W3077" s="38" t="n">
        <f aca="false">Sens!$I$3077</f>
        <v>158.5998889105</v>
      </c>
      <c r="X3077" s="38" t="n">
        <f aca="false">Sens!$J$3077</f>
        <v>163.8366571105</v>
      </c>
      <c r="Y3077" s="38" t="n">
        <f aca="false">Sens!$K$3077</f>
        <v>169.0734253105</v>
      </c>
      <c r="Z3077" s="38" t="n">
        <f aca="false">Sens!$L$3077</f>
        <v>205.7308027105</v>
      </c>
      <c r="AA3077" s="38" t="n">
        <f aca="false">Sens!$M$3077</f>
        <v>265.82926376575</v>
      </c>
    </row>
    <row r="3078" customFormat="false" ht="15" hidden="false" customHeight="false" outlineLevel="0" collapsed="false">
      <c r="A3078" s="5" t="s">
        <v>590</v>
      </c>
      <c r="B3078" s="0" t="s">
        <v>73</v>
      </c>
      <c r="R3078" s="38" t="n">
        <f aca="false">Sens!$R$3075-Sens!$R$3077</f>
        <v>0.405023005106309</v>
      </c>
      <c r="S3078" s="38" t="n">
        <f aca="false">Sens!$S$3075-Sens!$S$3077</f>
        <v>6.80596660793636</v>
      </c>
      <c r="T3078" s="38" t="n">
        <f aca="false">Sens!$T$3075-Sens!$T$3077</f>
        <v>18.7309047919624</v>
      </c>
      <c r="U3078" s="38" t="n">
        <f aca="false">Sens!$U$3075-Sens!$U$3077</f>
        <v>38.3780115779455</v>
      </c>
      <c r="V3078" s="38" t="n">
        <f aca="false">Sens!$V$3075-Sens!$V$3077</f>
        <v>46.046581</v>
      </c>
      <c r="W3078" s="38" t="n">
        <f aca="false">Sens!$W$3075-Sens!$W$3077</f>
        <v>46.046581</v>
      </c>
      <c r="X3078" s="38" t="n">
        <f aca="false">Sens!$X$3075-Sens!$X$3077</f>
        <v>46.046581</v>
      </c>
      <c r="Y3078" s="38" t="n">
        <f aca="false">Sens!$Y$3075-Sens!$Y$3077</f>
        <v>46.046581</v>
      </c>
      <c r="Z3078" s="38" t="n">
        <f aca="false">Sens!$Z$3075-Sens!$Z$3077</f>
        <v>46.046581</v>
      </c>
      <c r="AA3078" s="38" t="n">
        <f aca="false">Sens!$AA$3075-Sens!$AA$3077</f>
        <v>46.046581</v>
      </c>
    </row>
    <row r="3079" customFormat="false" ht="17.15" hidden="false" customHeight="false" outlineLevel="0" collapsed="false">
      <c r="A3079" s="0" t="s">
        <v>591</v>
      </c>
      <c r="B3079" s="0" t="s">
        <v>73</v>
      </c>
      <c r="C3079" s="38" t="n">
        <f aca="false">Sens!$S$3079</f>
        <v>0.183212798365523</v>
      </c>
      <c r="D3079" s="38" t="n">
        <f aca="false">Sens!$T$3079</f>
        <v>3.2619025816657</v>
      </c>
      <c r="E3079" s="38" t="n">
        <f aca="false">Sens!$G$3079/2</f>
        <v>5.86742852741953</v>
      </c>
      <c r="F3079" s="38" t="n">
        <f aca="false">Sens!$G$3079/2</f>
        <v>5.86742852741953</v>
      </c>
      <c r="G3079" s="38" t="n">
        <f aca="false">Sens!$U$3079</f>
        <v>11.7348570548391</v>
      </c>
      <c r="H3079" s="38" t="n">
        <f aca="false">Sens!$V$3079</f>
        <v>32.0781968981833</v>
      </c>
      <c r="I3079" s="38" t="n">
        <f aca="false">Sens!$W$3079</f>
        <v>57.4989942223083</v>
      </c>
      <c r="J3079" s="38" t="n">
        <f aca="false">Sens!$X$3079</f>
        <v>83.932309040725</v>
      </c>
      <c r="K3079" s="38" t="n">
        <f aca="false">Sens!$Y$3079</f>
        <v>111.055205760776</v>
      </c>
      <c r="L3079" s="38" t="n">
        <f aca="false">Sens!$Z$3079</f>
        <v>136.155420195893</v>
      </c>
      <c r="M3079" s="38" t="n">
        <f aca="false">Sens!$AA$3079</f>
        <v>161.970932841136</v>
      </c>
      <c r="N3079" s="38" t="n">
        <f aca="false">Sens!$D$3079/2</f>
        <v>1.63095129083285</v>
      </c>
      <c r="O3079" s="38" t="n">
        <f aca="false">Sens!$D$3079/2</f>
        <v>1.63095129083285</v>
      </c>
      <c r="R3079" s="38" t="n">
        <f aca="false">SUMPRODUCT(--(Sens!$R$3046:$AA$3046&lt;Sens!R$3046),--(Sens!$R$3046:$AA$3046&gt;=Sens!R$3046-tk_life),Sens!$R$3077:$AA$3077)/tk_life</f>
        <v>0</v>
      </c>
      <c r="S3079" s="38" t="n">
        <f aca="false">SUMPRODUCT(--(Sens!$R$3046:$AA$3046&lt;Sens!S$3046),--(Sens!$R$3046:$AA$3046&gt;=Sens!S$3046-tk_life),Sens!$R$3077:$AA$3077)/tk_life</f>
        <v>0.183212798365523</v>
      </c>
      <c r="T3079" s="38" t="n">
        <f aca="false">SUMPRODUCT(--(Sens!$R$3046:$AA$3046&lt;Sens!T$3046),--(Sens!$R$3046:$AA$3046&gt;=Sens!T$3046-tk_life),Sens!$R$3077:$AA$3077)/tk_life</f>
        <v>3.2619025816657</v>
      </c>
      <c r="U3079" s="38" t="n">
        <f aca="false">SUMPRODUCT(--(Sens!$R$3046:$AA$3046&lt;Sens!U$3046),--(Sens!$R$3046:$AA$3046&gt;=Sens!U$3046-tk_life),Sens!$R$3077:$AA$3077)/tk_life</f>
        <v>11.7348570548391</v>
      </c>
      <c r="V3079" s="38" t="n">
        <f aca="false">SUMPRODUCT(--(Sens!$R$3046:$AA$3046&lt;Sens!V$3046),--(Sens!$R$3046:$AA$3046&gt;=Sens!V$3046-tk_life),Sens!$R$3077:$AA$3077)/tk_life</f>
        <v>32.0781968981833</v>
      </c>
      <c r="W3079" s="38" t="n">
        <f aca="false">SUMPRODUCT(--(Sens!$R$3046:$AA$3046&lt;Sens!W$3046),--(Sens!$R$3046:$AA$3046&gt;=Sens!W$3046-tk_life),Sens!$R$3077:$AA$3077)/tk_life</f>
        <v>57.4989942223083</v>
      </c>
      <c r="X3079" s="38" t="n">
        <f aca="false">SUMPRODUCT(--(Sens!$R$3046:$AA$3046&lt;Sens!X$3046),--(Sens!$R$3046:$AA$3046&gt;=Sens!X$3046-tk_life),Sens!$R$3077:$AA$3077)/tk_life</f>
        <v>83.932309040725</v>
      </c>
      <c r="Y3079" s="38" t="n">
        <f aca="false">SUMPRODUCT(--(Sens!$R$3046:$AA$3046&lt;Sens!Y$3046),--(Sens!$R$3046:$AA$3046&gt;=Sens!Y$3046-tk_life),Sens!$R$3077:$AA$3077)/tk_life</f>
        <v>111.055205760776</v>
      </c>
      <c r="Z3079" s="38" t="n">
        <f aca="false">SUMPRODUCT(--(Sens!$R$3046:$AA$3046&lt;Sens!Z$3046),--(Sens!$R$3046:$AA$3046&gt;=Sens!Z$3046-tk_life),Sens!$R$3077:$AA$3077)/tk_life</f>
        <v>136.155420195893</v>
      </c>
      <c r="AA3079" s="38" t="n">
        <f aca="false">SUMPRODUCT(--(Sens!$R$3046:$AA$3046&lt;Sens!AA$3046),--(Sens!$R$3046:$AA$3046&gt;=Sens!AA$3046-tk_life),Sens!$R$3077:$AA$3077)/tk_life</f>
        <v>161.970932841136</v>
      </c>
    </row>
    <row r="3080" customFormat="false" ht="17.15" hidden="false" customHeight="false" outlineLevel="0" collapsed="false">
      <c r="A3080" s="0" t="s">
        <v>592</v>
      </c>
      <c r="B3080" s="0" t="s">
        <v>73</v>
      </c>
      <c r="C3080" s="38" t="n">
        <f aca="false">Sens!$S$3080</f>
        <v>0.0202511502553155</v>
      </c>
      <c r="D3080" s="38" t="n">
        <f aca="false">Sens!$T$3080</f>
        <v>0.360549480652134</v>
      </c>
      <c r="E3080" s="38" t="n">
        <f aca="false">Sens!$G$3080/2</f>
        <v>0.648547360125127</v>
      </c>
      <c r="F3080" s="38" t="n">
        <f aca="false">Sens!$G$3080/2</f>
        <v>0.648547360125127</v>
      </c>
      <c r="G3080" s="38" t="n">
        <f aca="false">Sens!$U$3080</f>
        <v>1.29709472025025</v>
      </c>
      <c r="H3080" s="38" t="n">
        <f aca="false">Sens!$V$3080</f>
        <v>3.21599529914753</v>
      </c>
      <c r="I3080" s="38" t="n">
        <f aca="false">Sens!$W$3080</f>
        <v>5.51832434914753</v>
      </c>
      <c r="J3080" s="38" t="n">
        <f aca="false">Sens!$X$3080</f>
        <v>7.82065339914753</v>
      </c>
      <c r="K3080" s="38" t="n">
        <f aca="false">Sens!$Y$3080</f>
        <v>10.1229824491475</v>
      </c>
      <c r="L3080" s="38" t="n">
        <f aca="false">Sens!$Z$3080</f>
        <v>12.4253114991475</v>
      </c>
      <c r="M3080" s="38" t="n">
        <f aca="false">Sens!$AA$3080</f>
        <v>14.7276405491475</v>
      </c>
      <c r="N3080" s="38" t="n">
        <f aca="false">Sens!$D$3080/2</f>
        <v>0.180274740326067</v>
      </c>
      <c r="O3080" s="38" t="n">
        <f aca="false">Sens!$D$3080/2</f>
        <v>0.180274740326067</v>
      </c>
      <c r="R3080" s="38" t="n">
        <f aca="false">SUMPRODUCT(--(Sens!$R$3046:$AA$3046&lt;Sens!R$3046),Sens!$R$3078:$AA$3078)/fac_life</f>
        <v>0</v>
      </c>
      <c r="S3080" s="38" t="n">
        <f aca="false">SUMPRODUCT(--(Sens!$R$3046:$AA$3046&lt;Sens!S$3046),Sens!$R$3078:$AA$3078)/fac_life</f>
        <v>0.0202511502553155</v>
      </c>
      <c r="T3080" s="38" t="n">
        <f aca="false">SUMPRODUCT(--(Sens!$R$3046:$AA$3046&lt;Sens!T$3046),Sens!$R$3078:$AA$3078)/fac_life</f>
        <v>0.360549480652134</v>
      </c>
      <c r="U3080" s="38" t="n">
        <f aca="false">SUMPRODUCT(--(Sens!$R$3046:$AA$3046&lt;Sens!U$3046),Sens!$R$3078:$AA$3078)/fac_life</f>
        <v>1.29709472025025</v>
      </c>
      <c r="V3080" s="38" t="n">
        <f aca="false">SUMPRODUCT(--(Sens!$R$3046:$AA$3046&lt;Sens!V$3046),Sens!$R$3078:$AA$3078)/fac_life</f>
        <v>3.21599529914753</v>
      </c>
      <c r="W3080" s="38" t="n">
        <f aca="false">SUMPRODUCT(--(Sens!$R$3046:$AA$3046&lt;Sens!W$3046),Sens!$R$3078:$AA$3078)/fac_life</f>
        <v>5.51832434914753</v>
      </c>
      <c r="X3080" s="38" t="n">
        <f aca="false">SUMPRODUCT(--(Sens!$R$3046:$AA$3046&lt;Sens!X$3046),Sens!$R$3078:$AA$3078)/fac_life</f>
        <v>7.82065339914753</v>
      </c>
      <c r="Y3080" s="38" t="n">
        <f aca="false">SUMPRODUCT(--(Sens!$R$3046:$AA$3046&lt;Sens!Y$3046),Sens!$R$3078:$AA$3078)/fac_life</f>
        <v>10.1229824491475</v>
      </c>
      <c r="Z3080" s="38" t="n">
        <f aca="false">SUMPRODUCT(--(Sens!$R$3046:$AA$3046&lt;Sens!Z$3046),Sens!$R$3078:$AA$3078)/fac_life</f>
        <v>12.4253114991475</v>
      </c>
      <c r="AA3080" s="38" t="n">
        <f aca="false">SUMPRODUCT(--(Sens!$R$3046:$AA$3046&lt;Sens!AA$3046),Sens!$R$3078:$AA$3078)/fac_life</f>
        <v>14.7276405491475</v>
      </c>
    </row>
    <row r="3081" customFormat="false" ht="17.15" hidden="false" customHeight="false" outlineLevel="0" collapsed="false">
      <c r="A3081" s="1" t="s">
        <v>593</v>
      </c>
      <c r="B3081" s="8" t="s">
        <v>73</v>
      </c>
      <c r="C3081" s="38" t="n">
        <f aca="false">Sens!$C$3079+Sens!$C$3080</f>
        <v>0.203463948620839</v>
      </c>
      <c r="D3081" s="38" t="n">
        <f aca="false">Sens!$D$3079+Sens!$D$3080</f>
        <v>3.62245206231783</v>
      </c>
      <c r="E3081" s="38" t="n">
        <f aca="false">Sens!$E$3079+Sens!$E$3080</f>
        <v>6.51597588754466</v>
      </c>
      <c r="F3081" s="38" t="n">
        <f aca="false">Sens!$F$3079+Sens!$F$3080</f>
        <v>6.51597588754466</v>
      </c>
      <c r="G3081" s="38" t="n">
        <f aca="false">Sens!$G$3079+Sens!$G$3080</f>
        <v>13.0319517750893</v>
      </c>
      <c r="H3081" s="38" t="n">
        <f aca="false">Sens!$H$3079+Sens!$H$3080</f>
        <v>35.2941921973308</v>
      </c>
      <c r="I3081" s="38" t="n">
        <f aca="false">Sens!$I$3079+Sens!$I$3080</f>
        <v>63.0173185714558</v>
      </c>
      <c r="J3081" s="38" t="n">
        <f aca="false">Sens!$J$3079+Sens!$J$3080</f>
        <v>91.7529624398725</v>
      </c>
      <c r="K3081" s="38" t="n">
        <f aca="false">Sens!$K$3079+Sens!$K$3080</f>
        <v>121.178188209924</v>
      </c>
      <c r="L3081" s="38" t="n">
        <f aca="false">Sens!$L$3079+Sens!$L$3080</f>
        <v>148.58073169504</v>
      </c>
      <c r="M3081" s="38" t="n">
        <f aca="false">Sens!$M$3079+Sens!$M$3080</f>
        <v>176.698573390283</v>
      </c>
      <c r="N3081" s="38" t="n">
        <f aca="false">Sens!$N$3079+Sens!$N$3080</f>
        <v>1.81122603115892</v>
      </c>
      <c r="O3081" s="38" t="n">
        <f aca="false">Sens!$O$3079+Sens!$O$3080</f>
        <v>1.81122603115892</v>
      </c>
      <c r="R3081" s="38" t="n">
        <f aca="false">Sens!$R$3079+Sens!$R$3080</f>
        <v>0</v>
      </c>
      <c r="S3081" s="38" t="n">
        <f aca="false">Sens!$S$3079+Sens!$S$3080</f>
        <v>0.203463948620839</v>
      </c>
      <c r="T3081" s="38" t="n">
        <f aca="false">Sens!$T$3079+Sens!$T$3080</f>
        <v>3.62245206231783</v>
      </c>
      <c r="U3081" s="38" t="n">
        <f aca="false">Sens!$U$3079+Sens!$U$3080</f>
        <v>13.0319517750893</v>
      </c>
      <c r="V3081" s="38" t="n">
        <f aca="false">Sens!$V$3079+Sens!$V$3080</f>
        <v>35.2941921973308</v>
      </c>
      <c r="W3081" s="38" t="n">
        <f aca="false">Sens!$W$3079+Sens!$W$3080</f>
        <v>63.0173185714558</v>
      </c>
      <c r="X3081" s="38" t="n">
        <f aca="false">Sens!$X$3079+Sens!$X$3080</f>
        <v>91.7529624398725</v>
      </c>
      <c r="Y3081" s="38" t="n">
        <f aca="false">Sens!$Y$3079+Sens!$Y$3080</f>
        <v>121.178188209924</v>
      </c>
      <c r="Z3081" s="38" t="n">
        <f aca="false">Sens!$Z$3079+Sens!$Z$3080</f>
        <v>148.58073169504</v>
      </c>
      <c r="AA3081" s="38" t="n">
        <f aca="false">Sens!$AA$3079+Sens!$AA$3080</f>
        <v>176.698573390283</v>
      </c>
    </row>
    <row r="3082" customFormat="false" ht="17.15" hidden="false" customHeight="false" outlineLevel="0" collapsed="false">
      <c r="A3082" s="0" t="s">
        <v>594</v>
      </c>
      <c r="B3082" s="0" t="s">
        <v>73</v>
      </c>
      <c r="C3082" s="38" t="n">
        <f aca="false">Sens!$S$3082</f>
        <v>26.578941154416</v>
      </c>
      <c r="D3082" s="38" t="n">
        <f aca="false">Sens!$T$3082</f>
        <v>92.5251207231008</v>
      </c>
      <c r="G3082" s="38" t="n">
        <f aca="false">Sens!$U$3082</f>
        <v>239.931219586022</v>
      </c>
      <c r="H3082" s="38" t="n">
        <f aca="false">Sens!$V$3082</f>
        <v>403.208392333442</v>
      </c>
      <c r="I3082" s="38" t="n">
        <f aca="false">Sens!$W$3082</f>
        <v>544.837543672486</v>
      </c>
      <c r="J3082" s="38" t="n">
        <f aca="false">Sens!$X$3082</f>
        <v>662.967819343113</v>
      </c>
      <c r="K3082" s="38" t="n">
        <f aca="false">Sens!$Y$3082</f>
        <v>756.90963744369</v>
      </c>
      <c r="L3082" s="38" t="n">
        <f aca="false">Sens!$Z$3082</f>
        <v>860.10628945915</v>
      </c>
      <c r="M3082" s="38" t="n">
        <f aca="false">Sens!$AA$3082</f>
        <v>995.283560834616</v>
      </c>
      <c r="R3082" s="38" t="n">
        <f aca="false">SUM(Sens!$R$3075:$R$3075)-SUM(Sens!$R$3081:$R$3081)</f>
        <v>1.50429979529945</v>
      </c>
      <c r="S3082" s="38" t="n">
        <f aca="false">SUM(Sens!$R$3075:$S$3075)-SUM(Sens!$R$3081:$S$3081)</f>
        <v>26.578941154416</v>
      </c>
      <c r="T3082" s="38" t="n">
        <f aca="false">SUM(Sens!$R$3075:$T$3075)-SUM(Sens!$R$3081:$T$3081)</f>
        <v>92.5251207231008</v>
      </c>
      <c r="U3082" s="38" t="n">
        <f aca="false">SUM(Sens!$R$3075:$U$3075)-SUM(Sens!$R$3081:$U$3081)</f>
        <v>239.931219586022</v>
      </c>
      <c r="V3082" s="38" t="n">
        <f aca="false">SUM(Sens!$R$3075:$V$3075)-SUM(Sens!$R$3081:$V$3081)</f>
        <v>403.208392333442</v>
      </c>
      <c r="W3082" s="38" t="n">
        <f aca="false">SUM(Sens!$R$3075:$W$3075)-SUM(Sens!$R$3081:$W$3081)</f>
        <v>544.837543672486</v>
      </c>
      <c r="X3082" s="38" t="n">
        <f aca="false">SUM(Sens!$R$3075:$X$3075)-SUM(Sens!$R$3081:$X$3081)</f>
        <v>662.967819343113</v>
      </c>
      <c r="Y3082" s="38" t="n">
        <f aca="false">SUM(Sens!$R$3075:$Y$3075)-SUM(Sens!$R$3081:$Y$3081)</f>
        <v>756.90963744369</v>
      </c>
      <c r="Z3082" s="38" t="n">
        <f aca="false">SUM(Sens!$R$3075:$Z$3075)-SUM(Sens!$R$3081:$Z$3081)</f>
        <v>860.10628945915</v>
      </c>
      <c r="AA3082" s="38" t="n">
        <f aca="false">SUM(Sens!$R$3075:$AA$3075)-SUM(Sens!$R$3081:$AA$3081)</f>
        <v>995.283560834616</v>
      </c>
    </row>
    <row r="3083" customFormat="false" ht="17.15" hidden="false" customHeight="false" outlineLevel="0" collapsed="false">
      <c r="A3083" s="1" t="s">
        <v>595</v>
      </c>
    </row>
    <row r="3084" customFormat="false" ht="17.15" hidden="false" customHeight="false" outlineLevel="0" collapsed="false">
      <c r="A3084" s="0" t="s">
        <v>596</v>
      </c>
      <c r="B3084" s="0" t="s">
        <v>73</v>
      </c>
      <c r="C3084" s="38" t="n">
        <f aca="false">Sens!$C$3066-ext_sh*Sens!$C$3068</f>
        <v>1.80694998843362</v>
      </c>
      <c r="D3084" s="38" t="n">
        <f aca="false">Sens!$D$3066-ext_sh*Sens!$D$3068</f>
        <v>6.77606245662607</v>
      </c>
      <c r="E3084" s="38" t="n">
        <f aca="false">Sens!$E$3066-ext_sh*Sens!$E$3068</f>
        <v>6.62548329092326</v>
      </c>
      <c r="F3084" s="38" t="n">
        <f aca="false">Sens!$F$3066-ext_sh*Sens!$F$3068</f>
        <v>11.7200577158706</v>
      </c>
      <c r="G3084" s="38" t="n">
        <f aca="false">Sens!$G$3066-ext_sh*Sens!$G$3068</f>
        <v>18.3455410067939</v>
      </c>
      <c r="H3084" s="38" t="n">
        <f aca="false">Sens!$H$3066-ext_sh*Sens!$H$3068</f>
        <v>47.5171727060453</v>
      </c>
      <c r="I3084" s="38" t="n">
        <f aca="false">Sens!$I$3066-ext_sh*Sens!$I$3068</f>
        <v>80.5539692643667</v>
      </c>
      <c r="J3084" s="38" t="n">
        <f aca="false">Sens!$J$3066-ext_sh*Sens!$J$3068</f>
        <v>113.759316834883</v>
      </c>
      <c r="K3084" s="38" t="n">
        <f aca="false">Sens!$K$3066-ext_sh*Sens!$K$3068</f>
        <v>147.020848076132</v>
      </c>
      <c r="L3084" s="38" t="n">
        <f aca="false">Sens!$L$3066-ext_sh*Sens!$L$3068</f>
        <v>180.307917349531</v>
      </c>
      <c r="M3084" s="38" t="n">
        <f aca="false">Sens!$M$3066-ext_sh*Sens!$M$3068</f>
        <v>213.608737871012</v>
      </c>
      <c r="N3084" s="38" t="n">
        <f aca="false">Sens!$N$3066-ext_sh*Sens!$N$3068</f>
        <v>2.37162185981912</v>
      </c>
      <c r="O3084" s="38" t="n">
        <f aca="false">Sens!$O$3066-ext_sh*Sens!$O$3068</f>
        <v>4.40444059680694</v>
      </c>
    </row>
    <row r="3085" customFormat="false" ht="17.15" hidden="false" customHeight="false" outlineLevel="0" collapsed="false">
      <c r="A3085" s="1" t="s">
        <v>597</v>
      </c>
      <c r="B3085" s="8" t="s">
        <v>73</v>
      </c>
      <c r="C3085" s="38" t="n">
        <f aca="false">Sens!$C$3084-ext_sh*Sens!$C$3081</f>
        <v>1.64417882953695</v>
      </c>
      <c r="D3085" s="38" t="n">
        <f aca="false">Sens!$D$3084-ext_sh*Sens!$D$3081</f>
        <v>3.8781008067718</v>
      </c>
      <c r="E3085" s="38" t="n">
        <f aca="false">Sens!$E$3084-ext_sh*Sens!$E$3081</f>
        <v>1.41270258088753</v>
      </c>
      <c r="F3085" s="38" t="n">
        <f aca="false">Sens!$F$3084-ext_sh*Sens!$F$3081</f>
        <v>6.50727700583486</v>
      </c>
      <c r="G3085" s="38" t="n">
        <f aca="false">Sens!$G$3084-ext_sh*Sens!$G$3081</f>
        <v>7.9199795867224</v>
      </c>
      <c r="H3085" s="38" t="n">
        <f aca="false">Sens!$H$3084-ext_sh*Sens!$H$3081</f>
        <v>19.2818189481807</v>
      </c>
      <c r="I3085" s="38" t="n">
        <f aca="false">Sens!$I$3084-ext_sh*Sens!$I$3081</f>
        <v>30.140114407202</v>
      </c>
      <c r="J3085" s="38" t="n">
        <f aca="false">Sens!$J$3084-ext_sh*Sens!$J$3081</f>
        <v>40.3569468829854</v>
      </c>
      <c r="K3085" s="38" t="n">
        <f aca="false">Sens!$K$3084-ext_sh*Sens!$K$3081</f>
        <v>50.0782975081929</v>
      </c>
      <c r="L3085" s="38" t="n">
        <f aca="false">Sens!$L$3084-ext_sh*Sens!$L$3081</f>
        <v>61.443331993499</v>
      </c>
      <c r="M3085" s="38" t="n">
        <f aca="false">Sens!$M$3084-ext_sh*Sens!$M$3081</f>
        <v>72.2498791587849</v>
      </c>
      <c r="N3085" s="38" t="n">
        <f aca="false">Sens!$N$3084-ext_sh*Sens!$N$3081</f>
        <v>0.92264103489199</v>
      </c>
      <c r="O3085" s="38" t="n">
        <f aca="false">Sens!$O$3084-ext_sh*Sens!$O$3081</f>
        <v>2.95545977187981</v>
      </c>
    </row>
    <row r="3086" customFormat="false" ht="17.15" hidden="false" customHeight="false" outlineLevel="0" collapsed="false">
      <c r="A3086" s="0" t="s">
        <v>598</v>
      </c>
      <c r="B3086" s="0" t="s">
        <v>52</v>
      </c>
      <c r="C3086" s="12" t="n">
        <f aca="false">Sens!$C$3085/Sens!$C$3066</f>
        <v>0.708390794789371</v>
      </c>
      <c r="D3086" s="12" t="n">
        <f aca="false">Sens!$D$3085/Sens!$D$3066</f>
        <v>0.445565630441968</v>
      </c>
      <c r="E3086" s="12" t="n">
        <f aca="false">Sens!$E$3085/Sens!$E$3066</f>
        <v>0.165998118402711</v>
      </c>
      <c r="F3086" s="12" t="n">
        <f aca="false">Sens!$F$3085/Sens!$F$3066</f>
        <v>0.434878595403858</v>
      </c>
      <c r="G3086" s="12" t="n">
        <f aca="false">Sens!$G$3085/Sens!$G$3066</f>
        <v>0.3373967615381</v>
      </c>
      <c r="H3086" s="12" t="n">
        <f aca="false">Sens!$H$3085/Sens!$H$3066</f>
        <v>0.320477578041224</v>
      </c>
      <c r="I3086" s="12" t="n">
        <f aca="false">Sens!$I$3085/Sens!$I$3066</f>
        <v>0.296936118226494</v>
      </c>
      <c r="J3086" s="12" t="n">
        <f aca="false">Sens!$J$3085/Sens!$J$3066</f>
        <v>0.282166278613001</v>
      </c>
      <c r="K3086" s="12" t="n">
        <f aca="false">Sens!$K$3085/Sens!$K$3066</f>
        <v>0.271267685694333</v>
      </c>
      <c r="L3086" s="12" t="n">
        <f aca="false">Sens!$L$3085/Sens!$L$3066</f>
        <v>0.27160960915653</v>
      </c>
      <c r="M3086" s="12" t="n">
        <f aca="false">Sens!$M$3085/Sens!$M$3066</f>
        <v>0.26974494804234</v>
      </c>
      <c r="N3086" s="12" t="n">
        <f aca="false">Sens!$N$3085/Sens!$N$3066</f>
        <v>0.302870734830849</v>
      </c>
      <c r="O3086" s="12" t="n">
        <f aca="false">Sens!$O$3085/Sens!$O$3066</f>
        <v>0.52240134346334</v>
      </c>
    </row>
    <row r="3087" customFormat="false" ht="17.15" hidden="false" customHeight="false" outlineLevel="0" collapsed="false">
      <c r="A3087" s="5" t="s">
        <v>599</v>
      </c>
      <c r="B3087" s="0" t="s">
        <v>73</v>
      </c>
      <c r="C3087" s="38" t="n">
        <f aca="false">rd2*(1-ext_sh)/ext_sh*Sens!$C$3049*he_open*Sens!$C$3050/1000</f>
        <v>0</v>
      </c>
      <c r="D3087" s="38" t="n">
        <f aca="false">rd2*(1-ext_sh)/ext_sh*Sens!$D$3049*he_open*Sens!$D$3050/1000</f>
        <v>0</v>
      </c>
      <c r="E3087" s="38" t="n">
        <f aca="false">rd2*(1-ext_sh)/ext_sh*Sens!$E$3049*he_open*Sens!$E$3050/1000</f>
        <v>0</v>
      </c>
      <c r="F3087" s="38" t="n">
        <f aca="false">rd2*(1-ext_sh)/ext_sh*(mw_open*he_open+Sens!$F$3064*Sens!$F$3061)*Sens!$F$3050/1000</f>
        <v>0</v>
      </c>
      <c r="G3087" s="38" t="n">
        <f aca="false">Sens!$E$3087+Sens!$F$3087</f>
        <v>0</v>
      </c>
      <c r="H3087" s="38" t="n">
        <f aca="false">rd2*(1-ext_sh)/ext_sh*(mw_open*he_open+Sens!$H$3064*Sens!$H$3061)*Sens!$H$3050/1000</f>
        <v>0</v>
      </c>
      <c r="I3087" s="38" t="n">
        <f aca="false">rd2*(1-ext_sh)/ext_sh*(mw_open*he_open+Sens!$I$3064*Sens!$I$3061)*Sens!$I$3050/1000</f>
        <v>0</v>
      </c>
      <c r="J3087" s="38" t="n">
        <f aca="false">rd2*(1-ext_sh)/ext_sh*(mw_open*he_open+Sens!$J$3064*Sens!$J$3061)*Sens!$J$3050/1000</f>
        <v>0</v>
      </c>
      <c r="K3087" s="38" t="n">
        <f aca="false">rd2*(1-ext_sh)/ext_sh*(mw_open*he_open+Sens!$K$3064*Sens!$K$3061)*Sens!$K$3050/1000</f>
        <v>0</v>
      </c>
      <c r="L3087" s="38" t="n">
        <f aca="false">rd2*(1-ext_sh)/ext_sh*(mw_open*he_open+Sens!$L$3064*Sens!$L$3061)*Sens!$L$3050/1000</f>
        <v>0</v>
      </c>
      <c r="M3087" s="38" t="n">
        <f aca="false">rd2*(1-ext_sh)/ext_sh*(mw_open*he_open+Sens!$M$3064*Sens!$M$3061)*Sens!$M$3050/1000</f>
        <v>0</v>
      </c>
      <c r="N3087" s="38" t="n">
        <f aca="false">rd2*(1-ext_sh)/ext_sh*Sens!$N$3049*he_open*Sens!$N$3050/1000</f>
        <v>0</v>
      </c>
      <c r="O3087" s="38" t="n">
        <f aca="false">rd2*(1-ext_sh)/ext_sh*Sens!$O$3049*he_open*Sens!$O$3050/1000</f>
        <v>0</v>
      </c>
      <c r="P3087" s="8" t="s">
        <v>600</v>
      </c>
    </row>
    <row r="3088" customFormat="false" ht="17.15" hidden="false" customHeight="false" outlineLevel="0" collapsed="false">
      <c r="A3088" s="5" t="s">
        <v>601</v>
      </c>
      <c r="B3088" s="0" t="s">
        <v>73</v>
      </c>
      <c r="C3088" s="38" t="n">
        <f aca="false">(1-ext_sh)*(Sens!$C$3068+Sens!$C$3081)-Sens!$C$3087</f>
        <v>0.169206631859174</v>
      </c>
      <c r="D3088" s="38" t="n">
        <f aca="false">(1-ext_sh)*(Sens!$D$3068+Sens!$D$3081)-Sens!$D$3087</f>
        <v>1.20641732046984</v>
      </c>
      <c r="E3088" s="38" t="n">
        <f aca="false">(1-ext_sh)*(Sens!$E$3068+Sens!$E$3081)-Sens!$E$3087</f>
        <v>1.77441259867062</v>
      </c>
      <c r="F3088" s="38" t="n">
        <f aca="false">(1-ext_sh)*(Sens!$F$3068+Sens!$F$3081)-Sens!$F$3087</f>
        <v>2.1140391597214</v>
      </c>
      <c r="G3088" s="38" t="n">
        <f aca="false">(1-ext_sh)*(Sens!$G$3068+Sens!$G$3081)-Sens!$G$3087</f>
        <v>3.88845175839202</v>
      </c>
      <c r="H3088" s="38" t="n">
        <f aca="false">(1-ext_sh)*(Sens!$H$3068+Sens!$H$3081)-Sens!$H$3087</f>
        <v>10.2210179503985</v>
      </c>
      <c r="I3088" s="38" t="n">
        <f aca="false">(1-ext_sh)*(Sens!$I$3068+Sens!$I$3081)-Sens!$I$3087</f>
        <v>17.8408961823075</v>
      </c>
      <c r="J3088" s="38" t="n">
        <f aca="false">(1-ext_sh)*(Sens!$J$3068+Sens!$J$3081)-Sens!$J$3087</f>
        <v>25.6671150670732</v>
      </c>
      <c r="K3088" s="38" t="n">
        <f aca="false">(1-ext_sh)*(Sens!$K$3068+Sens!$K$3081)-Sens!$K$3087</f>
        <v>33.6325293834986</v>
      </c>
      <c r="L3088" s="38" t="n">
        <f aca="false">(1-ext_sh)*(Sens!$L$3068+Sens!$L$3081)-Sens!$L$3087</f>
        <v>41.1939886299065</v>
      </c>
      <c r="M3088" s="38" t="n">
        <f aca="false">(1-ext_sh)*(Sens!$M$3068+Sens!$M$3081)-Sens!$M$3087</f>
        <v>48.8988205728617</v>
      </c>
      <c r="N3088" s="38" t="n">
        <f aca="false">(1-ext_sh)*(Sens!$N$3068+Sens!$N$3081)-Sens!$N$3087</f>
        <v>0.530919624033979</v>
      </c>
      <c r="O3088" s="38" t="n">
        <f aca="false">(1-ext_sh)*(Sens!$O$3068+Sens!$O$3081)-Sens!$O$3087</f>
        <v>0.675497696435861</v>
      </c>
    </row>
    <row r="3089" customFormat="false" ht="17.15" hidden="false" customHeight="false" outlineLevel="0" collapsed="false">
      <c r="A3089" s="0" t="s">
        <v>602</v>
      </c>
      <c r="B3089" s="0" t="s">
        <v>73</v>
      </c>
      <c r="C3089" s="38" t="n">
        <f aca="false">Q!$D$24</f>
        <v>39.834</v>
      </c>
      <c r="D3089" s="38" t="n">
        <f aca="false">Q!$E$24</f>
        <v>45.606</v>
      </c>
      <c r="E3089" s="38" t="n">
        <f aca="false">Q!$P$24</f>
        <v>30.782</v>
      </c>
      <c r="N3089" s="38" t="n">
        <f aca="false">Q!$N$24</f>
        <v>21.707</v>
      </c>
      <c r="O3089" s="38" t="n">
        <f aca="false">Q!$O$24</f>
        <v>23.899</v>
      </c>
    </row>
    <row r="3090" customFormat="false" ht="17.15" hidden="false" customHeight="false" outlineLevel="0" collapsed="false">
      <c r="A3090" s="0" t="s">
        <v>603</v>
      </c>
      <c r="B3090" s="0" t="s">
        <v>73</v>
      </c>
      <c r="C3090" s="38" t="n">
        <f aca="false">Sens!$C$3089-Sens!$C$3085</f>
        <v>38.1898211704631</v>
      </c>
      <c r="D3090" s="38" t="n">
        <f aca="false">Sens!$D$3089-Sens!$D$3085</f>
        <v>41.7278991932282</v>
      </c>
      <c r="E3090" s="38" t="n">
        <f aca="false">Sens!$E$3089-Sens!$E$3085</f>
        <v>29.3692974191125</v>
      </c>
      <c r="F3090" s="38" t="n">
        <f aca="false">Sens!$F$3070*Sens!$F$3091</f>
        <v>29.458060516894</v>
      </c>
      <c r="G3090" s="38" t="n">
        <f aca="false">Sens!$E$3090+Sens!$F$3090</f>
        <v>58.8273579360065</v>
      </c>
      <c r="H3090" s="38" t="n">
        <f aca="false">Sens!$H$3070*Sens!$H$3091</f>
        <v>67.8004040185081</v>
      </c>
      <c r="I3090" s="38" t="n">
        <f aca="false">Sens!$I$3070*Sens!$I$3091</f>
        <v>78.9527630302702</v>
      </c>
      <c r="J3090" s="38" t="n">
        <f aca="false">Sens!$J$3070*Sens!$J$3091</f>
        <v>88.6042681781841</v>
      </c>
      <c r="K3090" s="38" t="n">
        <f aca="false">Sens!$K$3070*Sens!$K$3091</f>
        <v>95.6926096324389</v>
      </c>
      <c r="L3090" s="38" t="n">
        <f aca="false">Sens!$L$3070*Sens!$L$3091</f>
        <v>103.348018403034</v>
      </c>
      <c r="M3090" s="38" t="n">
        <f aca="false">Sens!$M$3070*Sens!$M$3091</f>
        <v>111.615859875277</v>
      </c>
      <c r="N3090" s="38" t="n">
        <f aca="false">Sens!$N$3089-Sens!$N$3085</f>
        <v>20.784358965108</v>
      </c>
      <c r="O3090" s="38" t="n">
        <f aca="false">Sens!$O$3089-Sens!$O$3085</f>
        <v>20.9435402281202</v>
      </c>
      <c r="P3090" s="5" t="s">
        <v>604</v>
      </c>
    </row>
    <row r="3091" customFormat="false" ht="17.15" hidden="false" customHeight="false" outlineLevel="0" collapsed="false">
      <c r="A3091" s="0" t="s">
        <v>605</v>
      </c>
      <c r="B3091" s="0" t="s">
        <v>52</v>
      </c>
      <c r="C3091" s="12" t="n">
        <f aca="false">Sens!$C$3090/Sens!$C$3070</f>
        <v>0.362900395443635</v>
      </c>
      <c r="D3091" s="12" t="n">
        <f aca="false">Sens!$D$3090/Sens!$D$3070</f>
        <v>0.34767098474203</v>
      </c>
      <c r="E3091" s="12" t="n">
        <f aca="false">Sens!$E$3090/Sens!$E$3070</f>
        <v>0.411861655558416</v>
      </c>
      <c r="F3091" s="12" t="n">
        <f aca="false">(Sens!$O$3090+Sens!$E$3090)/(Sens!$O$3070+Sens!$E$3070)</f>
        <v>0.37480827803158</v>
      </c>
      <c r="G3091" s="12" t="n">
        <f aca="false">Sens!$G$3090/Sens!$G$3070</f>
        <v>0.392434440489471</v>
      </c>
      <c r="H3091" s="12" t="n">
        <f aca="false">Sens!$F$3091</f>
        <v>0.37480827803158</v>
      </c>
      <c r="I3091" s="12" t="n">
        <f aca="false">Sens!$F$3091</f>
        <v>0.37480827803158</v>
      </c>
      <c r="J3091" s="12" t="n">
        <f aca="false">Sens!$F$3091</f>
        <v>0.37480827803158</v>
      </c>
      <c r="K3091" s="12" t="n">
        <f aca="false">Sens!$F$3091</f>
        <v>0.37480827803158</v>
      </c>
      <c r="L3091" s="12" t="n">
        <f aca="false">Sens!$F$3091</f>
        <v>0.37480827803158</v>
      </c>
      <c r="M3091" s="12" t="n">
        <f aca="false">Sens!$F$3091</f>
        <v>0.37480827803158</v>
      </c>
      <c r="N3091" s="12" t="n">
        <f aca="false">Sens!$N$3090/Sens!$N$3070</f>
        <v>0.364039571356823</v>
      </c>
      <c r="O3091" s="12" t="n">
        <f aca="false">Sens!$O$3090/Sens!$O$3070</f>
        <v>0.332819892300086</v>
      </c>
      <c r="P3091" s="8" t="s">
        <v>606</v>
      </c>
    </row>
    <row r="3092" customFormat="false" ht="17.15" hidden="false" customHeight="false" outlineLevel="0" collapsed="false">
      <c r="A3092" s="0" t="s">
        <v>607</v>
      </c>
      <c r="B3092" s="0" t="s">
        <v>52</v>
      </c>
      <c r="D3092" s="12" t="n">
        <f aca="false">(Q!$E$31-ext_sh*Sens!$D$3081)/Sens!$D$3070</f>
        <v>0.154572973163571</v>
      </c>
    </row>
    <row r="3093" customFormat="false" ht="17.15" hidden="false" customHeight="false" outlineLevel="0" collapsed="false">
      <c r="A3093" s="0" t="s">
        <v>608</v>
      </c>
      <c r="B3093" s="0" t="s">
        <v>73</v>
      </c>
      <c r="C3093" s="38" t="n">
        <f aca="false">Q!$D$31</f>
        <v>13.32</v>
      </c>
      <c r="D3093" s="38" t="n">
        <f aca="false">Q!$E$31</f>
        <v>21.45</v>
      </c>
      <c r="E3093" s="38" t="n">
        <f aca="false">Q!$P$31</f>
        <v>15.353</v>
      </c>
      <c r="F3093" s="38" t="n">
        <f aca="false">ext_sh*Sens!$F$3081+Sens!$D$3092*Sens!$F$3070</f>
        <v>17.3614451462707</v>
      </c>
      <c r="G3093" s="38" t="n">
        <f aca="false">Sens!$E$3093+Sens!$F$3093</f>
        <v>32.7144451462707</v>
      </c>
      <c r="H3093" s="38" t="n">
        <f aca="false">ext_sh*Sens!$H$3081+Sens!$D$3092*Sens!$H$3070</f>
        <v>56.1966092719415</v>
      </c>
      <c r="I3093" s="38" t="n">
        <f aca="false">ext_sh*Sens!$I$3081+Sens!$D$3092*Sens!$I$3070</f>
        <v>82.9744039068297</v>
      </c>
      <c r="J3093" s="38" t="n">
        <f aca="false">ext_sh*Sens!$J$3081+Sens!$D$3092*Sens!$J$3070</f>
        <v>109.943252237669</v>
      </c>
      <c r="K3093" s="38" t="n">
        <f aca="false">ext_sh*Sens!$K$3081+Sens!$D$3092*Sens!$K$3070</f>
        <v>136.406703436571</v>
      </c>
      <c r="L3093" s="38" t="n">
        <f aca="false">ext_sh*Sens!$L$3081+Sens!$D$3092*Sens!$L$3070</f>
        <v>161.485870454155</v>
      </c>
      <c r="M3093" s="38" t="n">
        <f aca="false">ext_sh*Sens!$M$3081+Sens!$D$3092*Sens!$M$3070</f>
        <v>187.389846618199</v>
      </c>
      <c r="N3093" s="38" t="n">
        <f aca="false">Q!$N$31</f>
        <v>9.234</v>
      </c>
      <c r="O3093" s="38" t="n">
        <f aca="false">Q!$O$31</f>
        <v>12.216</v>
      </c>
    </row>
    <row r="3094" customFormat="false" ht="17.15" hidden="false" customHeight="false" outlineLevel="0" collapsed="false">
      <c r="A3094" s="1" t="s">
        <v>609</v>
      </c>
    </row>
    <row r="3095" customFormat="false" ht="17.15" hidden="false" customHeight="false" outlineLevel="0" collapsed="false">
      <c r="A3095" s="14" t="s">
        <v>610</v>
      </c>
      <c r="B3095" s="13" t="s">
        <v>52</v>
      </c>
      <c r="C3095" s="13"/>
      <c r="D3095" s="13"/>
      <c r="E3095" s="13"/>
      <c r="F3095" s="13"/>
      <c r="G3095" s="16" t="n">
        <f aca="false">Sens!$G$3085*(1-tax)/(ext_sh*(Sens!$D$3082+Sens!$G$3082)/2)</f>
        <v>0.0492184452944045</v>
      </c>
      <c r="H3095" s="16" t="n">
        <f aca="false">Sens!$H$3085*(1-tax)/(ext_sh*(Sens!$G$3082+Sens!$H$3082)/2)</f>
        <v>0.0619414246858107</v>
      </c>
      <c r="I3095" s="16" t="n">
        <f aca="false">Sens!$I$3085*(1-tax)/(ext_sh*(Sens!$H$3082+Sens!$I$3082)/2)</f>
        <v>0.0656831488051666</v>
      </c>
      <c r="J3095" s="16" t="n">
        <f aca="false">Sens!$J$3085*(1-tax)/(ext_sh*(Sens!$I$3082+Sens!$J$3082)/2)</f>
        <v>0.0690334849962116</v>
      </c>
      <c r="K3095" s="16" t="n">
        <f aca="false">Sens!$K$3085*(1-tax)/(ext_sh*(Sens!$J$3082+Sens!$K$3082)/2)</f>
        <v>0.0728680488295485</v>
      </c>
      <c r="L3095" s="16" t="n">
        <f aca="false">Sens!$L$3085*(1-tax)/(ext_sh*(Sens!$K$3082+Sens!$L$3082)/2)</f>
        <v>0.0785052878122331</v>
      </c>
      <c r="M3095" s="16" t="n">
        <f aca="false">Sens!$M$3085*(1-tax)/(ext_sh*(Sens!$L$3082+Sens!$M$3082)/2)</f>
        <v>0.0804526580722741</v>
      </c>
      <c r="N3095" s="13"/>
      <c r="O3095" s="13"/>
      <c r="P3095" s="8" t="s">
        <v>611</v>
      </c>
    </row>
    <row r="3096" customFormat="false" ht="17.15" hidden="false" customHeight="false" outlineLevel="0" collapsed="false">
      <c r="A3096" s="5" t="s">
        <v>612</v>
      </c>
      <c r="B3096" s="0" t="s">
        <v>57</v>
      </c>
      <c r="H3096" s="36" t="n">
        <f aca="false">Sens!$H$3066*1000/(mw_open*he_open+Sens!$H$3064*Sens!$H$3061)</f>
        <v>0.991949006767191</v>
      </c>
      <c r="I3096" s="36" t="n">
        <f aca="false">Sens!$I$3066*1000/(mw_open*he_open+Sens!$I$3064*Sens!$I$3061)</f>
        <v>0.991949006767191</v>
      </c>
      <c r="J3096" s="36" t="n">
        <f aca="false">Sens!$J$3066*1000/(mw_open*he_open+Sens!$J$3064*Sens!$J$3061)</f>
        <v>0.991949006767191</v>
      </c>
      <c r="K3096" s="36" t="n">
        <f aca="false">Sens!$K$3066*1000/(mw_open*he_open+Sens!$K$3064*Sens!$K$3061)</f>
        <v>0.991949006767191</v>
      </c>
      <c r="L3096" s="36" t="n">
        <f aca="false">Sens!$L$3066*1000/(mw_open*he_open+Sens!$L$3064*Sens!$L$3061)</f>
        <v>0.991949006767191</v>
      </c>
      <c r="M3096" s="36" t="n">
        <f aca="false">Sens!$M$3066*1000/(mw_open*he_open+Sens!$M$3064*Sens!$M$3061)</f>
        <v>0.991949006767192</v>
      </c>
    </row>
    <row r="3097" customFormat="false" ht="17.15" hidden="false" customHeight="false" outlineLevel="0" collapsed="false">
      <c r="A3097" s="5" t="s">
        <v>613</v>
      </c>
      <c r="B3097" s="0" t="s">
        <v>57</v>
      </c>
      <c r="H3097" s="36" t="n">
        <f aca="false">Sens!$H$3096*(Sens!$H$3066+wacc*ext_sh*(Sens!$G$3082+Sens!$H$3082)/2/(1-tax)-Sens!$H$3085)/Sens!$H$3066</f>
        <v>1.3149781212103</v>
      </c>
      <c r="I3097" s="36" t="n">
        <f aca="false">Sens!$I$3096*(Sens!$I$3066+wacc*ext_sh*(Sens!$H$3082+Sens!$I$3082)/2/(1-tax)-Sens!$I$3085)/Sens!$I$3066</f>
        <v>1.25742005569107</v>
      </c>
      <c r="J3097" s="36" t="n">
        <f aca="false">Sens!$J$3096*(Sens!$J$3066+wacc*ext_sh*(Sens!$I$3082+Sens!$J$3082)/2/(1-tax)-Sens!$J$3085)/Sens!$J$3066</f>
        <v>1.21838845868559</v>
      </c>
      <c r="K3097" s="36" t="n">
        <f aca="false">Sens!$K$3096*(Sens!$K$3066+wacc*ext_sh*(Sens!$J$3082+Sens!$K$3082)/2/(1-tax)-Sens!$K$3085)/Sens!$K$3066</f>
        <v>1.18402644209548</v>
      </c>
      <c r="L3097" s="36" t="n">
        <f aca="false">Sens!$L$3096*(Sens!$L$3066+wacc*ext_sh*(Sens!$K$3082+Sens!$L$3082)/2/(1-tax)-Sens!$L$3085)/Sens!$L$3066</f>
        <v>1.15111215322059</v>
      </c>
      <c r="M3097" s="36" t="n">
        <f aca="false">Sens!$M$3096*(Sens!$M$3066+wacc*ext_sh*(Sens!$L$3082+Sens!$M$3082)/2/(1-tax)-Sens!$M$3085)/Sens!$M$3066</f>
        <v>1.1397166845677</v>
      </c>
    </row>
    <row r="3098" customFormat="false" ht="17.15" hidden="false" customHeight="false" outlineLevel="0" collapsed="false">
      <c r="A3098" s="5" t="s">
        <v>614</v>
      </c>
      <c r="B3098" s="0" t="s">
        <v>52</v>
      </c>
      <c r="C3098" s="12" t="n">
        <f aca="false">Sens!$C$3067/tk_pq</f>
        <v>0.195316432429398</v>
      </c>
      <c r="D3098" s="12" t="n">
        <f aca="false">Sens!$D$3067/tk_pq</f>
        <v>0.195316432429398</v>
      </c>
      <c r="E3098" s="12" t="n">
        <f aca="false">Sens!$E$3067/tk_pq</f>
        <v>0.195316432429398</v>
      </c>
      <c r="F3098" s="12" t="n">
        <f aca="false">Sens!$F$3067/tk_pq</f>
        <v>0.202241827274866</v>
      </c>
      <c r="G3098" s="12" t="n">
        <f aca="false">Sens!$G$3067/tk_pq</f>
        <v>0.199675016194063</v>
      </c>
      <c r="H3098" s="12" t="n">
        <f aca="false">Sens!$H$3067/tk_pq</f>
        <v>0.212647947710325</v>
      </c>
      <c r="I3098" s="12" t="n">
        <f aca="false">Sens!$I$3067/tk_pq</f>
        <v>0.219285125475351</v>
      </c>
      <c r="J3098" s="12" t="n">
        <f aca="false">Sens!$J$3067/tk_pq</f>
        <v>0.222492493217189</v>
      </c>
      <c r="K3098" s="12" t="n">
        <f aca="false">Sens!$K$3067/tk_pq</f>
        <v>0.224371415939166</v>
      </c>
      <c r="L3098" s="12" t="n">
        <f aca="false">Sens!$L$3067/tk_pq</f>
        <v>0.225603749825993</v>
      </c>
      <c r="M3098" s="12" t="n">
        <f aca="false">Sens!$M$3067/tk_pq</f>
        <v>0.22647376274628</v>
      </c>
      <c r="N3098" s="12" t="n">
        <f aca="false">Sens!$N$3067/tk_pq</f>
        <v>0.195316432429398</v>
      </c>
      <c r="O3098" s="12" t="n">
        <f aca="false">Sens!$O$3067/tk_pq</f>
        <v>0.195316432429398</v>
      </c>
      <c r="P3098" s="5" t="s">
        <v>615</v>
      </c>
    </row>
    <row r="3101" customFormat="false" ht="17.15" hidden="false" customHeight="false" outlineLevel="0" collapsed="false">
      <c r="A3101" s="1" t="s">
        <v>642</v>
      </c>
    </row>
    <row r="3102" customFormat="false" ht="17.15" hidden="false" customHeight="false" outlineLevel="0" collapsed="false">
      <c r="A3102" s="0" t="s">
        <v>643</v>
      </c>
      <c r="B3102" s="0" t="s">
        <v>73</v>
      </c>
      <c r="C3102" s="38" t="n">
        <f aca="false">Sens!$C$3066</f>
        <v>2.32100535697364</v>
      </c>
      <c r="D3102" s="38" t="n">
        <f aca="false">Sens!$D$3066</f>
        <v>8.70377008865116</v>
      </c>
      <c r="E3102" s="38" t="n">
        <f aca="false">Sens!$E$3066</f>
        <v>8.51035297557002</v>
      </c>
      <c r="F3102" s="38" t="n">
        <f aca="false">Sens!$F$3066</f>
        <v>14.9634336447205</v>
      </c>
      <c r="G3102" s="38" t="n">
        <f aca="false">Sens!$G$3066</f>
        <v>23.4737866202905</v>
      </c>
      <c r="H3102" s="38" t="n">
        <f aca="false">Sens!$H$3066</f>
        <v>60.1658907497746</v>
      </c>
      <c r="I3102" s="38" t="n">
        <f aca="false">Sens!$I$3066</f>
        <v>101.503699136432</v>
      </c>
      <c r="J3102" s="38" t="n">
        <f aca="false">Sens!$J$3066</f>
        <v>143.025407151278</v>
      </c>
      <c r="K3102" s="38" t="n">
        <f aca="false">Sens!$K$3066</f>
        <v>184.608415042187</v>
      </c>
      <c r="L3102" s="38" t="n">
        <f aca="false">Sens!$L$3066</f>
        <v>226.219286513125</v>
      </c>
      <c r="M3102" s="38" t="n">
        <f aca="false">Sens!$M$3066</f>
        <v>267.845161450232</v>
      </c>
      <c r="N3102" s="38" t="n">
        <f aca="false">Sens!$N$3066</f>
        <v>3.04631953102791</v>
      </c>
      <c r="O3102" s="38" t="n">
        <f aca="false">Sens!$O$3066</f>
        <v>5.65745055762326</v>
      </c>
      <c r="P3102" s="8" t="s">
        <v>644</v>
      </c>
    </row>
    <row r="3103" customFormat="false" ht="17.15" hidden="false" customHeight="false" outlineLevel="0" collapsed="false">
      <c r="A3103" s="0" t="s">
        <v>645</v>
      </c>
      <c r="B3103" s="0" t="s">
        <v>73</v>
      </c>
      <c r="C3103" s="38" t="n">
        <f aca="false">Sens!$C$3070</f>
        <v>105.234994643026</v>
      </c>
      <c r="D3103" s="38" t="n">
        <f aca="false">Sens!$D$3070</f>
        <v>120.021229911349</v>
      </c>
      <c r="E3103" s="38" t="n">
        <f aca="false">Sens!$E$3070</f>
        <v>71.30864702443</v>
      </c>
      <c r="F3103" s="38" t="n">
        <f aca="false">Sens!$F$3070</f>
        <v>78.5950104186653</v>
      </c>
      <c r="G3103" s="38" t="n">
        <f aca="false">Sens!$G$3070</f>
        <v>149.903657443095</v>
      </c>
      <c r="H3103" s="38" t="n">
        <f aca="false">Sens!$H$3070</f>
        <v>180.893560768142</v>
      </c>
      <c r="I3103" s="38" t="n">
        <f aca="false">Sens!$I$3070</f>
        <v>210.64839721501</v>
      </c>
      <c r="J3103" s="38" t="n">
        <f aca="false">Sens!$J$3070</f>
        <v>236.398909446495</v>
      </c>
      <c r="K3103" s="38" t="n">
        <f aca="false">Sens!$K$3070</f>
        <v>255.310822202215</v>
      </c>
      <c r="L3103" s="38" t="n">
        <f aca="false">Sens!$L$3070</f>
        <v>275.735687978392</v>
      </c>
      <c r="M3103" s="38" t="n">
        <f aca="false">Sens!$M$3070</f>
        <v>297.794543016663</v>
      </c>
      <c r="N3103" s="38" t="n">
        <f aca="false">Sens!$N$3070</f>
        <v>57.0936804689721</v>
      </c>
      <c r="O3103" s="38" t="n">
        <f aca="false">Sens!$O$3070</f>
        <v>62.9275494423768</v>
      </c>
      <c r="P3103" s="8" t="s">
        <v>644</v>
      </c>
    </row>
    <row r="3104" customFormat="false" ht="17.15" hidden="false" customHeight="false" outlineLevel="0" collapsed="false">
      <c r="A3104" s="1" t="s">
        <v>476</v>
      </c>
      <c r="B3104" s="8" t="s">
        <v>73</v>
      </c>
      <c r="C3104" s="38" t="n">
        <f aca="false">Q!$D$7</f>
        <v>107.556</v>
      </c>
      <c r="D3104" s="38" t="n">
        <f aca="false">Q!$E$7</f>
        <v>128.725</v>
      </c>
      <c r="E3104" s="38" t="n">
        <f aca="false">Q!$P$7</f>
        <v>79.819</v>
      </c>
      <c r="F3104" s="38" t="n">
        <f aca="false">Sens!$F$3102+Sens!$F$3103</f>
        <v>93.5584440633857</v>
      </c>
      <c r="G3104" s="38" t="n">
        <f aca="false">Sens!$G$3102+Sens!$G$3103</f>
        <v>173.377444063386</v>
      </c>
      <c r="H3104" s="38" t="n">
        <f aca="false">Sens!$H$3102+Sens!$H$3103</f>
        <v>241.059451517916</v>
      </c>
      <c r="I3104" s="38" t="n">
        <f aca="false">Sens!$I$3102+Sens!$I$3103</f>
        <v>312.152096351442</v>
      </c>
      <c r="J3104" s="38" t="n">
        <f aca="false">Sens!$J$3102+Sens!$J$3103</f>
        <v>379.424316597773</v>
      </c>
      <c r="K3104" s="38" t="n">
        <f aca="false">Sens!$K$3102+Sens!$K$3103</f>
        <v>439.919237244402</v>
      </c>
      <c r="L3104" s="38" t="n">
        <f aca="false">Sens!$L$3102+Sens!$L$3103</f>
        <v>501.954974491517</v>
      </c>
      <c r="M3104" s="38" t="n">
        <f aca="false">Sens!$M$3102+Sens!$M$3103</f>
        <v>565.639704466895</v>
      </c>
      <c r="N3104" s="38" t="n">
        <f aca="false">Q!$N$7</f>
        <v>60.14</v>
      </c>
      <c r="O3104" s="38" t="n">
        <f aca="false">Q!$O$7</f>
        <v>68.585</v>
      </c>
      <c r="P3104" s="5" t="s">
        <v>646</v>
      </c>
    </row>
    <row r="3105" customFormat="false" ht="15" hidden="false" customHeight="false" outlineLevel="0" collapsed="false">
      <c r="A3105" s="3" t="s">
        <v>647</v>
      </c>
      <c r="B3105" s="8" t="s">
        <v>73</v>
      </c>
      <c r="C3105" s="38" t="n">
        <f aca="false">Q!$D$8</f>
        <v>637.959</v>
      </c>
      <c r="D3105" s="38" t="n">
        <f aca="false">Q!$E$8</f>
        <v>716.924</v>
      </c>
      <c r="E3105" s="38" t="n">
        <f aca="false">Q!$P$8</f>
        <v>382.125</v>
      </c>
      <c r="F3105" s="38" t="n">
        <f aca="false">Sens!$F$3039+Sens!$F$3104</f>
        <v>450.494873271816</v>
      </c>
      <c r="G3105" s="38" t="n">
        <f aca="false">Sens!$G$3039+Sens!$G$3104</f>
        <v>832.619873271816</v>
      </c>
      <c r="H3105" s="38" t="n">
        <f aca="false">Sens!$H$3039+Sens!$H$3104</f>
        <v>970.995189139617</v>
      </c>
      <c r="I3105" s="38" t="n">
        <f aca="false">Sens!$I$3039+Sens!$I$3104</f>
        <v>1110.44766604932</v>
      </c>
      <c r="J3105" s="38" t="n">
        <f aca="false">Sens!$J$3039+Sens!$J$3104</f>
        <v>1241.16113892356</v>
      </c>
      <c r="K3105" s="38" t="n">
        <f aca="false">Sens!$K$3039+Sens!$K$3104</f>
        <v>1357.47672934633</v>
      </c>
      <c r="L3105" s="38" t="n">
        <f aca="false">Sens!$L$3039+Sens!$L$3104</f>
        <v>1479.24006423468</v>
      </c>
      <c r="M3105" s="38" t="n">
        <f aca="false">Sens!$M$3039+Sens!$M$3104</f>
        <v>1606.8537230104</v>
      </c>
      <c r="N3105" s="38" t="n">
        <f aca="false">Q!$N$8</f>
        <v>323.369</v>
      </c>
      <c r="O3105" s="38" t="n">
        <f aca="false">Q!$O$8</f>
        <v>393.555</v>
      </c>
    </row>
    <row r="3106" customFormat="false" ht="17.15" hidden="false" customHeight="false" outlineLevel="0" collapsed="false">
      <c r="A3106" s="24" t="s">
        <v>655</v>
      </c>
      <c r="B3106" s="25" t="s">
        <v>73</v>
      </c>
      <c r="C3106" s="39" t="n">
        <f aca="false">Sens!$C$3039-(Sens!$C$3041+Sens!$C$3042)</f>
        <v>0</v>
      </c>
      <c r="D3106" s="39" t="n">
        <f aca="false">Sens!$D$3039-(Sens!$D$3041+Sens!$D$3042)</f>
        <v>0</v>
      </c>
      <c r="E3106" s="39" t="n">
        <f aca="false">Sens!$E$3039-(Sens!$E$3041+Sens!$E$3042)</f>
        <v>0</v>
      </c>
      <c r="F3106" s="39" t="n">
        <f aca="false">Sens!$F$3039-(Sens!$F$3041+Sens!$F$3042)</f>
        <v>0</v>
      </c>
      <c r="G3106" s="39" t="n">
        <f aca="false">Sens!$G$3039-(Sens!$G$3041+Sens!$G$3042)</f>
        <v>0</v>
      </c>
      <c r="H3106" s="39" t="n">
        <f aca="false">Sens!$H$3039-(Sens!$H$3041+Sens!$H$3042)</f>
        <v>0</v>
      </c>
      <c r="I3106" s="39" t="n">
        <f aca="false">Sens!$I$3039-(Sens!$I$3041+Sens!$I$3042)</f>
        <v>0</v>
      </c>
      <c r="J3106" s="39" t="n">
        <f aca="false">Sens!$J$3039-(Sens!$J$3041+Sens!$J$3042)</f>
        <v>0</v>
      </c>
      <c r="K3106" s="39" t="n">
        <f aca="false">Sens!$K$3039-(Sens!$K$3041+Sens!$K$3042)</f>
        <v>0</v>
      </c>
      <c r="L3106" s="39" t="n">
        <f aca="false">Sens!$L$3039-(Sens!$L$3041+Sens!$L$3042)</f>
        <v>0</v>
      </c>
      <c r="M3106" s="39" t="n">
        <f aca="false">Sens!$M$3039-(Sens!$M$3041+Sens!$M$3042)</f>
        <v>0</v>
      </c>
      <c r="N3106" s="39" t="n">
        <f aca="false">Sens!$N$3039-(Sens!$N$3041+Sens!$N$3042)</f>
        <v>0</v>
      </c>
      <c r="O3106" s="39" t="n">
        <f aca="false">Sens!$O$3039-(Sens!$O$3041+Sens!$O$3042)</f>
        <v>0</v>
      </c>
    </row>
    <row r="3107" customFormat="false" ht="17.15" hidden="false" customHeight="false" outlineLevel="0" collapsed="false">
      <c r="A3107" s="24" t="s">
        <v>656</v>
      </c>
      <c r="B3107" s="25" t="s">
        <v>73</v>
      </c>
      <c r="C3107" s="39" t="n">
        <f aca="false">Sens!$C$3102+Sens!$C$3103-Sens!$C$3104</f>
        <v>0</v>
      </c>
      <c r="D3107" s="39" t="n">
        <f aca="false">Sens!$D$3102+Sens!$D$3103-Sens!$D$3104</f>
        <v>0</v>
      </c>
      <c r="E3107" s="39" t="n">
        <f aca="false">Sens!$E$3102+Sens!$E$3103-Sens!$E$3104</f>
        <v>0</v>
      </c>
      <c r="F3107" s="39" t="n">
        <f aca="false">Sens!$F$3102+Sens!$F$3103-Sens!$F$3104</f>
        <v>0</v>
      </c>
      <c r="G3107" s="39" t="n">
        <f aca="false">Sens!$G$3102+Sens!$G$3103-Sens!$G$3104</f>
        <v>0</v>
      </c>
      <c r="H3107" s="39" t="n">
        <f aca="false">Sens!$H$3102+Sens!$H$3103-Sens!$H$3104</f>
        <v>0</v>
      </c>
      <c r="I3107" s="39" t="n">
        <f aca="false">Sens!$I$3102+Sens!$I$3103-Sens!$I$3104</f>
        <v>0</v>
      </c>
      <c r="J3107" s="39" t="n">
        <f aca="false">Sens!$J$3102+Sens!$J$3103-Sens!$J$3104</f>
        <v>0</v>
      </c>
      <c r="K3107" s="39" t="n">
        <f aca="false">Sens!$K$3102+Sens!$K$3103-Sens!$K$3104</f>
        <v>0</v>
      </c>
      <c r="L3107" s="39" t="n">
        <f aca="false">Sens!$L$3102+Sens!$L$3103-Sens!$L$3104</f>
        <v>0</v>
      </c>
      <c r="M3107" s="39" t="n">
        <f aca="false">Sens!$M$3102+Sens!$M$3103-Sens!$M$3104</f>
        <v>0</v>
      </c>
      <c r="N3107" s="39" t="n">
        <f aca="false">Sens!$N$3102+Sens!$N$3103-Sens!$N$3104</f>
        <v>0</v>
      </c>
      <c r="O3107" s="39" t="n">
        <f aca="false">Sens!$O$3102+Sens!$O$3103-Sens!$O$3104</f>
        <v>0</v>
      </c>
    </row>
    <row r="3108" customFormat="false" ht="17.15" hidden="false" customHeight="false" outlineLevel="0" collapsed="false">
      <c r="A3108" s="24" t="s">
        <v>657</v>
      </c>
      <c r="B3108" s="25" t="s">
        <v>73</v>
      </c>
      <c r="C3108" s="39" t="n">
        <f aca="false">Sens!$C$3041+Sens!$C$3042+Sens!$C$3104-Sens!$C$3105</f>
        <v>0</v>
      </c>
      <c r="D3108" s="39" t="n">
        <f aca="false">Sens!$D$3041+Sens!$D$3042+Sens!$D$3104-Sens!$D$3105</f>
        <v>0</v>
      </c>
      <c r="E3108" s="39" t="n">
        <f aca="false">Sens!$E$3041+Sens!$E$3042+Sens!$E$3104-Sens!$E$3105</f>
        <v>0</v>
      </c>
      <c r="F3108" s="39" t="n">
        <f aca="false">Sens!$F$3041+Sens!$F$3042+Sens!$F$3104-Sens!$F$3105</f>
        <v>0</v>
      </c>
      <c r="G3108" s="39" t="n">
        <f aca="false">Sens!$G$3041+Sens!$G$3042+Sens!$G$3104-Sens!$G$3105</f>
        <v>0</v>
      </c>
      <c r="H3108" s="39" t="n">
        <f aca="false">Sens!$H$3041+Sens!$H$3042+Sens!$H$3104-Sens!$H$3105</f>
        <v>0</v>
      </c>
      <c r="I3108" s="39" t="n">
        <f aca="false">Sens!$I$3041+Sens!$I$3042+Sens!$I$3104-Sens!$I$3105</f>
        <v>0</v>
      </c>
      <c r="J3108" s="39" t="n">
        <f aca="false">Sens!$J$3041+Sens!$J$3042+Sens!$J$3104-Sens!$J$3105</f>
        <v>0</v>
      </c>
      <c r="K3108" s="39" t="n">
        <f aca="false">Sens!$K$3041+Sens!$K$3042+Sens!$K$3104-Sens!$K$3105</f>
        <v>0</v>
      </c>
      <c r="L3108" s="39" t="n">
        <f aca="false">Sens!$L$3041+Sens!$L$3042+Sens!$L$3104-Sens!$L$3105</f>
        <v>0</v>
      </c>
      <c r="M3108" s="39" t="n">
        <f aca="false">Sens!$M$3041+Sens!$M$3042+Sens!$M$3104-Sens!$M$3105</f>
        <v>0</v>
      </c>
      <c r="N3108" s="39" t="n">
        <f aca="false">Sens!$N$3041+Sens!$N$3042+Sens!$N$3104-Sens!$N$3105</f>
        <v>0</v>
      </c>
      <c r="O3108" s="39" t="n">
        <f aca="false">Sens!$O$3041+Sens!$O$3042+Sens!$O$3104-Sens!$O$3105</f>
        <v>0</v>
      </c>
    </row>
    <row r="3109" customFormat="false" ht="15" hidden="false" customHeight="false" outlineLevel="0" collapsed="false">
      <c r="A3109" s="5" t="s">
        <v>651</v>
      </c>
      <c r="B3109" s="0" t="s">
        <v>52</v>
      </c>
      <c r="G3109" s="12" t="n">
        <f aca="false">Sens!$G$3105/Sens!$D$3105-1</f>
        <v>0.161378156222718</v>
      </c>
      <c r="H3109" s="12" t="n">
        <f aca="false">Sens!$H$3105/Sens!$G$3105-1</f>
        <v>0.166192665236357</v>
      </c>
      <c r="I3109" s="12" t="n">
        <f aca="false">Sens!$I$3105/Sens!$H$3105-1</f>
        <v>0.143618092519351</v>
      </c>
      <c r="J3109" s="12" t="n">
        <f aca="false">Sens!$J$3105/Sens!$I$3105-1</f>
        <v>0.117712411733268</v>
      </c>
      <c r="K3109" s="12" t="n">
        <f aca="false">Sens!$K$3105/Sens!$J$3105-1</f>
        <v>0.0937151404237868</v>
      </c>
      <c r="L3109" s="12" t="n">
        <f aca="false">Sens!$L$3105/Sens!$K$3105-1</f>
        <v>0.0896982852494186</v>
      </c>
      <c r="M3109" s="12" t="n">
        <f aca="false">Sens!$M$3105/Sens!$L$3105-1</f>
        <v>0.0862697420528154</v>
      </c>
    </row>
    <row r="3110" customFormat="false" ht="17.15" hidden="false" customHeight="false" outlineLevel="0" collapsed="false">
      <c r="A3110" s="0" t="s">
        <v>652</v>
      </c>
      <c r="B3110" s="0" t="s">
        <v>52</v>
      </c>
      <c r="C3110" s="12" t="n">
        <f aca="false">Sens!$C$3104/Sens!$C$3105</f>
        <v>0.168593906504964</v>
      </c>
      <c r="D3110" s="12" t="n">
        <f aca="false">Sens!$D$3104/Sens!$D$3105</f>
        <v>0.179551807444025</v>
      </c>
      <c r="E3110" s="12" t="n">
        <f aca="false">Sens!$E$3104/Sens!$E$3105</f>
        <v>0.208881910369643</v>
      </c>
      <c r="F3110" s="12" t="n">
        <f aca="false">Sens!$F$3104/Sens!$F$3105</f>
        <v>0.207679264769203</v>
      </c>
      <c r="G3110" s="12" t="n">
        <f aca="false">Sens!$G$3104/Sens!$G$3105</f>
        <v>0.208231210458731</v>
      </c>
      <c r="H3110" s="12" t="n">
        <f aca="false">Sens!$H$3104/Sens!$H$3105</f>
        <v>0.248260191414043</v>
      </c>
      <c r="I3110" s="12" t="n">
        <f aca="false">Sens!$I$3104/Sens!$I$3105</f>
        <v>0.28110473450946</v>
      </c>
      <c r="J3110" s="12" t="n">
        <f aca="false">Sens!$J$3104/Sens!$J$3105</f>
        <v>0.30570109287086</v>
      </c>
      <c r="K3110" s="12" t="n">
        <f aca="false">Sens!$K$3104/Sens!$K$3105</f>
        <v>0.324071291782835</v>
      </c>
      <c r="L3110" s="12" t="n">
        <f aca="false">Sens!$L$3104/Sens!$L$3105</f>
        <v>0.339333003903741</v>
      </c>
      <c r="M3110" s="12" t="n">
        <f aca="false">Sens!$M$3104/Sens!$M$3105</f>
        <v>0.3520169237354</v>
      </c>
      <c r="N3110" s="12" t="n">
        <f aca="false">Sens!$N$3104/Sens!$N$3105</f>
        <v>0.185979484737251</v>
      </c>
      <c r="O3110" s="12" t="n">
        <f aca="false">Sens!$O$3104/Sens!$O$3105</f>
        <v>0.174270432341096</v>
      </c>
    </row>
    <row r="3111" customFormat="false" ht="17.15" hidden="false" customHeight="false" outlineLevel="0" collapsed="false">
      <c r="A3111" s="0" t="s">
        <v>653</v>
      </c>
      <c r="B3111" s="0" t="s">
        <v>52</v>
      </c>
      <c r="C3111" s="12" t="n">
        <f aca="false">Sens!$C$3102/Sens!$C$3104</f>
        <v>0.0215795060896058</v>
      </c>
      <c r="D3111" s="12" t="n">
        <f aca="false">Sens!$D$3102/Sens!$D$3104</f>
        <v>0.0676152269462122</v>
      </c>
      <c r="E3111" s="12" t="n">
        <f aca="false">Sens!$E$3102/Sens!$E$3104</f>
        <v>0.106620641395783</v>
      </c>
      <c r="F3111" s="12" t="n">
        <f aca="false">Sens!$F$3102/Sens!$F$3104</f>
        <v>0.159936751776064</v>
      </c>
      <c r="G3111" s="12" t="n">
        <f aca="false">Sens!$G$3102/Sens!$G$3104</f>
        <v>0.135391237003751</v>
      </c>
      <c r="H3111" s="12" t="n">
        <f aca="false">Sens!$H$3102/Sens!$H$3104</f>
        <v>0.249589428545194</v>
      </c>
      <c r="I3111" s="12" t="n">
        <f aca="false">Sens!$I$3102/Sens!$I$3104</f>
        <v>0.325173850577483</v>
      </c>
      <c r="J3111" s="12" t="n">
        <f aca="false">Sens!$J$3102/Sens!$J$3104</f>
        <v>0.376953718817392</v>
      </c>
      <c r="K3111" s="12" t="n">
        <f aca="false">Sens!$K$3102/Sens!$K$3104</f>
        <v>0.419641605578676</v>
      </c>
      <c r="L3111" s="12" t="n">
        <f aca="false">Sens!$L$3102/Sens!$L$3104</f>
        <v>0.450676451094615</v>
      </c>
      <c r="M3111" s="12" t="n">
        <f aca="false">Sens!$M$3102/Sens!$M$3104</f>
        <v>0.473526096798086</v>
      </c>
      <c r="N3111" s="12" t="n">
        <f aca="false">Sens!$N$3102/Sens!$N$3104</f>
        <v>0.0506537999838362</v>
      </c>
      <c r="O3111" s="12" t="n">
        <f aca="false">Sens!$O$3102/Sens!$O$3104</f>
        <v>0.0824881615167056</v>
      </c>
    </row>
    <row r="3114" customFormat="false" ht="19.4" hidden="false" customHeight="false" outlineLevel="0" collapsed="false">
      <c r="A3114" s="31" t="s">
        <v>1110</v>
      </c>
    </row>
    <row r="3115" customFormat="false" ht="17.15" hidden="false" customHeight="false" outlineLevel="0" collapsed="false">
      <c r="A3115" s="6" t="s">
        <v>16</v>
      </c>
      <c r="B3115" s="6" t="s">
        <v>17</v>
      </c>
      <c r="C3115" s="20" t="s">
        <v>457</v>
      </c>
      <c r="D3115" s="20" t="s">
        <v>458</v>
      </c>
      <c r="E3115" s="20" t="s">
        <v>540</v>
      </c>
      <c r="F3115" s="20" t="s">
        <v>541</v>
      </c>
      <c r="G3115" s="20" t="s">
        <v>542</v>
      </c>
      <c r="H3115" s="20" t="s">
        <v>543</v>
      </c>
      <c r="I3115" s="20" t="s">
        <v>544</v>
      </c>
      <c r="J3115" s="20" t="s">
        <v>545</v>
      </c>
      <c r="K3115" s="20" t="s">
        <v>546</v>
      </c>
      <c r="L3115" s="20" t="s">
        <v>547</v>
      </c>
      <c r="M3115" s="20" t="s">
        <v>548</v>
      </c>
      <c r="N3115" s="20" t="s">
        <v>549</v>
      </c>
      <c r="O3115" s="20" t="s">
        <v>550</v>
      </c>
      <c r="P3115" s="6" t="s">
        <v>23</v>
      </c>
      <c r="R3115" s="20" t="n">
        <v>2023</v>
      </c>
      <c r="S3115" s="20" t="n">
        <v>2024</v>
      </c>
      <c r="T3115" s="20" t="n">
        <v>2025</v>
      </c>
      <c r="U3115" s="20" t="n">
        <v>2026</v>
      </c>
      <c r="V3115" s="20" t="n">
        <v>2027</v>
      </c>
      <c r="W3115" s="20" t="n">
        <v>2028</v>
      </c>
      <c r="X3115" s="20" t="n">
        <v>2029</v>
      </c>
      <c r="Y3115" s="20" t="n">
        <v>2030</v>
      </c>
      <c r="Z3115" s="20" t="n">
        <v>2031</v>
      </c>
      <c r="AA3115" s="20" t="n">
        <v>2032</v>
      </c>
    </row>
    <row r="3116" customFormat="false" ht="17.15" hidden="false" customHeight="false" outlineLevel="0" collapsed="false">
      <c r="A3116" s="1" t="s">
        <v>668</v>
      </c>
    </row>
    <row r="3117" customFormat="false" ht="15" hidden="false" customHeight="false" outlineLevel="0" collapsed="false">
      <c r="A3117" s="0" t="s">
        <v>479</v>
      </c>
      <c r="B3117" s="0" t="s">
        <v>73</v>
      </c>
      <c r="C3117" s="38" t="n">
        <f aca="false">Sens!$C$3027</f>
        <v>247.029</v>
      </c>
      <c r="D3117" s="38" t="n">
        <f aca="false">Sens!$D$3027</f>
        <v>269.287</v>
      </c>
      <c r="E3117" s="38" t="n">
        <f aca="false">Sens!$E$3027</f>
        <v>134.686</v>
      </c>
      <c r="F3117" s="38" t="n">
        <f aca="false">Sens!$F$3027</f>
        <v>160.728085930082</v>
      </c>
      <c r="G3117" s="38" t="n">
        <f aca="false">Sens!$G$3027</f>
        <v>295.414085930082</v>
      </c>
      <c r="H3117" s="38" t="n">
        <f aca="false">Sens!$H$3027</f>
        <v>320.828163943375</v>
      </c>
      <c r="I3117" s="38" t="n">
        <f aca="false">Sens!$I$3027</f>
        <v>344.575578072228</v>
      </c>
      <c r="J3117" s="38" t="n">
        <f aca="false">Sens!$J$3027</f>
        <v>365.942555779681</v>
      </c>
      <c r="K3117" s="38" t="n">
        <f aca="false">Sens!$K$3027</f>
        <v>384.239683568665</v>
      </c>
      <c r="L3117" s="38" t="n">
        <f aca="false">Sens!$L$3027</f>
        <v>403.451667747098</v>
      </c>
      <c r="M3117" s="38" t="n">
        <f aca="false">Sens!$M$3027</f>
        <v>423.624251134453</v>
      </c>
      <c r="N3117" s="38" t="n">
        <f aca="false">Sens!$N$3027</f>
        <v>118.892</v>
      </c>
      <c r="O3117" s="38" t="n">
        <f aca="false">Sens!$O$3027</f>
        <v>150.395</v>
      </c>
    </row>
    <row r="3118" customFormat="false" ht="15" hidden="false" customHeight="false" outlineLevel="0" collapsed="false">
      <c r="A3118" s="0" t="s">
        <v>480</v>
      </c>
      <c r="B3118" s="0" t="s">
        <v>73</v>
      </c>
      <c r="C3118" s="38" t="n">
        <f aca="false">Sens!$C$3029</f>
        <v>21.215</v>
      </c>
      <c r="D3118" s="38" t="n">
        <f aca="false">Sens!$D$3029</f>
        <v>22.561</v>
      </c>
      <c r="E3118" s="38" t="n">
        <f aca="false">Sens!$E$3029</f>
        <v>11.579</v>
      </c>
      <c r="F3118" s="38" t="n">
        <f aca="false">Sens!$F$3029</f>
        <v>12.0952613121125</v>
      </c>
      <c r="G3118" s="38" t="n">
        <f aca="false">Sens!$G$3029</f>
        <v>23.6742613121125</v>
      </c>
      <c r="H3118" s="38" t="n">
        <f aca="false">Sens!$H$3029</f>
        <v>24.8803243963206</v>
      </c>
      <c r="I3118" s="38" t="n">
        <f aca="false">Sens!$I$3029</f>
        <v>25.9741308664154</v>
      </c>
      <c r="J3118" s="38" t="n">
        <f aca="false">Sens!$J$3029</f>
        <v>26.9346894124267</v>
      </c>
      <c r="K3118" s="38" t="n">
        <f aca="false">Sens!$K$3029</f>
        <v>27.7427300947995</v>
      </c>
      <c r="L3118" s="38" t="n">
        <f aca="false">Sens!$L$3029</f>
        <v>28.5750119976435</v>
      </c>
      <c r="M3118" s="38" t="n">
        <f aca="false">Sens!$M$3029</f>
        <v>29.4322623575728</v>
      </c>
      <c r="N3118" s="38" t="n">
        <f aca="false">Sens!$N$3029</f>
        <v>11.128</v>
      </c>
      <c r="O3118" s="38" t="n">
        <f aca="false">Sens!$O$3029</f>
        <v>11.433</v>
      </c>
    </row>
    <row r="3119" customFormat="false" ht="15" hidden="false" customHeight="false" outlineLevel="0" collapsed="false">
      <c r="A3119" s="0" t="s">
        <v>481</v>
      </c>
      <c r="B3119" s="0" t="s">
        <v>73</v>
      </c>
      <c r="C3119" s="38" t="n">
        <f aca="false">Sens!$C$3031</f>
        <v>156.146</v>
      </c>
      <c r="D3119" s="38" t="n">
        <f aca="false">Sens!$D$3031</f>
        <v>172.162</v>
      </c>
      <c r="E3119" s="38" t="n">
        <f aca="false">Sens!$E$3031</f>
        <v>88.358</v>
      </c>
      <c r="F3119" s="38" t="n">
        <f aca="false">Sens!$F$3031</f>
        <v>103.62028337149</v>
      </c>
      <c r="G3119" s="38" t="n">
        <f aca="false">Sens!$G$3031</f>
        <v>191.97828337149</v>
      </c>
      <c r="H3119" s="38" t="n">
        <f aca="false">Sens!$H$3031</f>
        <v>212.128608444755</v>
      </c>
      <c r="I3119" s="38" t="n">
        <f aca="false">Sens!$I$3031</f>
        <v>231.92183134134</v>
      </c>
      <c r="J3119" s="38" t="n">
        <f aca="false">Sens!$J$3031</f>
        <v>250.859136487863</v>
      </c>
      <c r="K3119" s="38" t="n">
        <f aca="false">Sens!$K$3031</f>
        <v>268.419276042014</v>
      </c>
      <c r="L3119" s="38" t="n">
        <f aca="false">Sens!$L$3031</f>
        <v>287.208625364954</v>
      </c>
      <c r="M3119" s="38" t="n">
        <f aca="false">Sens!$M$3031</f>
        <v>307.313229140501</v>
      </c>
      <c r="N3119" s="38" t="n">
        <f aca="false">Sens!$N$3031</f>
        <v>76.86</v>
      </c>
      <c r="O3119" s="38" t="n">
        <f aca="false">Sens!$O$3031</f>
        <v>95.302</v>
      </c>
    </row>
    <row r="3120" customFormat="false" ht="15" hidden="false" customHeight="false" outlineLevel="0" collapsed="false">
      <c r="A3120" s="0" t="s">
        <v>482</v>
      </c>
      <c r="B3120" s="0" t="s">
        <v>73</v>
      </c>
      <c r="C3120" s="38" t="n">
        <f aca="false">Sens!$C$3033</f>
        <v>56.214</v>
      </c>
      <c r="D3120" s="38" t="n">
        <f aca="false">Sens!$D$3033</f>
        <v>68.635</v>
      </c>
      <c r="E3120" s="38" t="n">
        <f aca="false">Sens!$E$3033</f>
        <v>37.052</v>
      </c>
      <c r="F3120" s="38" t="n">
        <f aca="false">Sens!$F$3033</f>
        <v>48.1533381827382</v>
      </c>
      <c r="G3120" s="38" t="n">
        <f aca="false">Sens!$G$3033</f>
        <v>85.2053381827382</v>
      </c>
      <c r="H3120" s="38" t="n">
        <f aca="false">Sens!$H$3033</f>
        <v>102.29336185894</v>
      </c>
      <c r="I3120" s="38" t="n">
        <f aca="false">Sens!$I$3033</f>
        <v>119.379837585241</v>
      </c>
      <c r="J3120" s="38" t="n">
        <f aca="false">Sens!$J$3033</f>
        <v>135.319079048844</v>
      </c>
      <c r="K3120" s="38" t="n">
        <f aca="false">Sens!$K$3033</f>
        <v>148.850986953729</v>
      </c>
      <c r="L3120" s="38" t="n">
        <f aca="false">Sens!$L$3033</f>
        <v>163.736085649102</v>
      </c>
      <c r="M3120" s="38" t="n">
        <f aca="false">Sens!$M$3033</f>
        <v>180.109694214012</v>
      </c>
      <c r="N3120" s="38" t="n">
        <f aca="false">Sens!$N$3033</f>
        <v>29.615</v>
      </c>
      <c r="O3120" s="38" t="n">
        <f aca="false">Sens!$O$3033</f>
        <v>39.02</v>
      </c>
    </row>
    <row r="3121" customFormat="false" ht="15" hidden="false" customHeight="false" outlineLevel="0" collapsed="false">
      <c r="A3121" s="0" t="s">
        <v>483</v>
      </c>
      <c r="B3121" s="0" t="s">
        <v>73</v>
      </c>
      <c r="C3121" s="38" t="n">
        <f aca="false">Sens!$C$3035</f>
        <v>44.374</v>
      </c>
      <c r="D3121" s="38" t="n">
        <f aca="false">Sens!$D$3035</f>
        <v>49.619</v>
      </c>
      <c r="E3121" s="38" t="n">
        <f aca="false">Sens!$E$3035</f>
        <v>27.157</v>
      </c>
      <c r="F3121" s="38" t="n">
        <f aca="false">Sens!$F$3035</f>
        <v>28.9776360923374</v>
      </c>
      <c r="G3121" s="38" t="n">
        <f aca="false">Sens!$G$3035</f>
        <v>56.1346360923374</v>
      </c>
      <c r="H3121" s="38" t="n">
        <f aca="false">Sens!$H$3035</f>
        <v>62.4937078946075</v>
      </c>
      <c r="I3121" s="38" t="n">
        <f aca="false">Sens!$I$3035</f>
        <v>68.6715233062498</v>
      </c>
      <c r="J3121" s="38" t="n">
        <f aca="false">Sens!$J$3035</f>
        <v>74.4692882949818</v>
      </c>
      <c r="K3121" s="38" t="n">
        <f aca="false">Sens!$K$3035</f>
        <v>79.6821384756306</v>
      </c>
      <c r="L3121" s="38" t="n">
        <f aca="false">Sens!$L$3035</f>
        <v>85.2598881689247</v>
      </c>
      <c r="M3121" s="38" t="n">
        <f aca="false">Sens!$M$3035</f>
        <v>91.2280803407494</v>
      </c>
      <c r="N3121" s="38" t="n">
        <f aca="false">Sens!$N$3035</f>
        <v>23.923</v>
      </c>
      <c r="O3121" s="38" t="n">
        <f aca="false">Sens!$O$3035</f>
        <v>25.696</v>
      </c>
    </row>
    <row r="3122" customFormat="false" ht="15" hidden="false" customHeight="false" outlineLevel="0" collapsed="false">
      <c r="A3122" s="0" t="s">
        <v>484</v>
      </c>
      <c r="B3122" s="0" t="s">
        <v>73</v>
      </c>
      <c r="C3122" s="38" t="n">
        <f aca="false">Sens!$C$3037</f>
        <v>5.425</v>
      </c>
      <c r="D3122" s="38" t="n">
        <f aca="false">Sens!$D$3037</f>
        <v>5.935</v>
      </c>
      <c r="E3122" s="38" t="n">
        <f aca="false">Sens!$E$3037</f>
        <v>3.474</v>
      </c>
      <c r="F3122" s="38" t="n">
        <f aca="false">Sens!$F$3037</f>
        <v>3.36182431966931</v>
      </c>
      <c r="G3122" s="38" t="n">
        <f aca="false">Sens!$G$3037</f>
        <v>6.83582431966931</v>
      </c>
      <c r="H3122" s="38" t="n">
        <f aca="false">Sens!$H$3037</f>
        <v>7.31157108370141</v>
      </c>
      <c r="I3122" s="38" t="n">
        <f aca="false">Sens!$I$3037</f>
        <v>7.77266852639815</v>
      </c>
      <c r="J3122" s="38" t="n">
        <f aca="false">Sens!$J$3037</f>
        <v>8.2120733019884</v>
      </c>
      <c r="K3122" s="38" t="n">
        <f aca="false">Sens!$K$3037</f>
        <v>8.62267696708783</v>
      </c>
      <c r="L3122" s="38" t="n">
        <f aca="false">Sens!$L$3037</f>
        <v>9.05381081544222</v>
      </c>
      <c r="M3122" s="38" t="n">
        <f aca="false">Sens!$M$3037</f>
        <v>9.50650135621433</v>
      </c>
      <c r="N3122" s="38" t="n">
        <f aca="false">Sens!$N$3037</f>
        <v>2.811</v>
      </c>
      <c r="O3122" s="38" t="n">
        <f aca="false">Sens!$O$3037</f>
        <v>3.124</v>
      </c>
    </row>
    <row r="3123" customFormat="false" ht="17.15" hidden="false" customHeight="false" outlineLevel="0" collapsed="false">
      <c r="A3123" s="0" t="s">
        <v>669</v>
      </c>
      <c r="B3123" s="0" t="s">
        <v>73</v>
      </c>
      <c r="C3123" s="38" t="n">
        <f aca="false">Sens!$C$3104</f>
        <v>107.556</v>
      </c>
      <c r="D3123" s="38" t="n">
        <f aca="false">Sens!$D$3104</f>
        <v>128.725</v>
      </c>
      <c r="E3123" s="38" t="n">
        <f aca="false">Sens!$E$3104</f>
        <v>79.819</v>
      </c>
      <c r="F3123" s="38" t="n">
        <f aca="false">Sens!$F$3104</f>
        <v>93.5584440633857</v>
      </c>
      <c r="G3123" s="38" t="n">
        <f aca="false">Sens!$G$3104</f>
        <v>173.377444063386</v>
      </c>
      <c r="H3123" s="38" t="n">
        <f aca="false">Sens!$H$3104</f>
        <v>241.059451517916</v>
      </c>
      <c r="I3123" s="38" t="n">
        <f aca="false">Sens!$I$3104</f>
        <v>312.152096351442</v>
      </c>
      <c r="J3123" s="38" t="n">
        <f aca="false">Sens!$J$3104</f>
        <v>379.424316597773</v>
      </c>
      <c r="K3123" s="38" t="n">
        <f aca="false">Sens!$K$3104</f>
        <v>439.919237244402</v>
      </c>
      <c r="L3123" s="38" t="n">
        <f aca="false">Sens!$L$3104</f>
        <v>501.954974491517</v>
      </c>
      <c r="M3123" s="38" t="n">
        <f aca="false">Sens!$M$3104</f>
        <v>565.639704466895</v>
      </c>
      <c r="N3123" s="38" t="n">
        <f aca="false">Sens!$N$3104</f>
        <v>60.14</v>
      </c>
      <c r="O3123" s="38" t="n">
        <f aca="false">Sens!$O$3104</f>
        <v>68.585</v>
      </c>
    </row>
    <row r="3124" customFormat="false" ht="15" hidden="false" customHeight="false" outlineLevel="0" collapsed="false">
      <c r="A3124" s="1" t="s">
        <v>472</v>
      </c>
      <c r="B3124" s="8" t="s">
        <v>73</v>
      </c>
      <c r="C3124" s="38" t="n">
        <f aca="false">Sens!$C$3041</f>
        <v>387.497</v>
      </c>
      <c r="D3124" s="38" t="n">
        <f aca="false">Sens!$D$3041</f>
        <v>426.305</v>
      </c>
      <c r="E3124" s="38" t="n">
        <f aca="false">Sens!$E$3041</f>
        <v>220.32</v>
      </c>
      <c r="F3124" s="38" t="n">
        <f aca="false">Sens!$F$3041</f>
        <v>256.304015003807</v>
      </c>
      <c r="G3124" s="38" t="n">
        <f aca="false">Sens!$G$3041</f>
        <v>476.624015003807</v>
      </c>
      <c r="H3124" s="38" t="n">
        <f aca="false">Sens!$H$3041</f>
        <v>527.734391091543</v>
      </c>
      <c r="I3124" s="38" t="n">
        <f aca="false">Sens!$I$3041</f>
        <v>577.157693029577</v>
      </c>
      <c r="J3124" s="38" t="n">
        <f aca="false">Sens!$J$3041</f>
        <v>623.024923663827</v>
      </c>
      <c r="K3124" s="38" t="n">
        <f aca="false">Sens!$K$3041</f>
        <v>663.382568393781</v>
      </c>
      <c r="L3124" s="38" t="n">
        <f aca="false">Sens!$L$3041</f>
        <v>706.564873010432</v>
      </c>
      <c r="M3124" s="38" t="n">
        <f aca="false">Sens!$M$3041</f>
        <v>752.784687406019</v>
      </c>
      <c r="N3124" s="38" t="n">
        <f aca="false">Sens!$N$3041</f>
        <v>192.955</v>
      </c>
      <c r="O3124" s="38" t="n">
        <f aca="false">Sens!$O$3041</f>
        <v>233.35</v>
      </c>
    </row>
    <row r="3125" customFormat="false" ht="15" hidden="false" customHeight="false" outlineLevel="0" collapsed="false">
      <c r="A3125" s="1" t="s">
        <v>475</v>
      </c>
      <c r="B3125" s="8" t="s">
        <v>73</v>
      </c>
      <c r="C3125" s="38" t="n">
        <f aca="false">Sens!$C$3042</f>
        <v>142.906</v>
      </c>
      <c r="D3125" s="38" t="n">
        <f aca="false">Sens!$D$3042</f>
        <v>161.894</v>
      </c>
      <c r="E3125" s="38" t="n">
        <f aca="false">Sens!$E$3042</f>
        <v>81.986</v>
      </c>
      <c r="F3125" s="38" t="n">
        <f aca="false">Sens!$F$3042</f>
        <v>100.632414204623</v>
      </c>
      <c r="G3125" s="38" t="n">
        <f aca="false">Sens!$G$3042</f>
        <v>182.618414204623</v>
      </c>
      <c r="H3125" s="38" t="n">
        <f aca="false">Sens!$H$3042</f>
        <v>202.201346530158</v>
      </c>
      <c r="I3125" s="38" t="n">
        <f aca="false">Sens!$I$3042</f>
        <v>221.137876668296</v>
      </c>
      <c r="J3125" s="38" t="n">
        <f aca="false">Sens!$J$3042</f>
        <v>238.711898661958</v>
      </c>
      <c r="K3125" s="38" t="n">
        <f aca="false">Sens!$K$3042</f>
        <v>254.174923708144</v>
      </c>
      <c r="L3125" s="38" t="n">
        <f aca="false">Sens!$L$3042</f>
        <v>270.720216732733</v>
      </c>
      <c r="M3125" s="38" t="n">
        <f aca="false">Sens!$M$3042</f>
        <v>288.429331137484</v>
      </c>
      <c r="N3125" s="38" t="n">
        <f aca="false">Sens!$N$3042</f>
        <v>70.274</v>
      </c>
      <c r="O3125" s="38" t="n">
        <f aca="false">Sens!$O$3042</f>
        <v>91.62</v>
      </c>
    </row>
    <row r="3126" customFormat="false" ht="15" hidden="false" customHeight="false" outlineLevel="0" collapsed="false">
      <c r="A3126" s="1" t="s">
        <v>476</v>
      </c>
      <c r="B3126" s="8" t="s">
        <v>73</v>
      </c>
      <c r="C3126" s="38" t="n">
        <f aca="false">Sens!$C$3104</f>
        <v>107.556</v>
      </c>
      <c r="D3126" s="38" t="n">
        <f aca="false">Sens!$D$3104</f>
        <v>128.725</v>
      </c>
      <c r="E3126" s="38" t="n">
        <f aca="false">Sens!$E$3104</f>
        <v>79.819</v>
      </c>
      <c r="F3126" s="38" t="n">
        <f aca="false">Sens!$F$3104</f>
        <v>93.5584440633857</v>
      </c>
      <c r="G3126" s="38" t="n">
        <f aca="false">Sens!$G$3104</f>
        <v>173.377444063386</v>
      </c>
      <c r="H3126" s="38" t="n">
        <f aca="false">Sens!$H$3104</f>
        <v>241.059451517916</v>
      </c>
      <c r="I3126" s="38" t="n">
        <f aca="false">Sens!$I$3104</f>
        <v>312.152096351442</v>
      </c>
      <c r="J3126" s="38" t="n">
        <f aca="false">Sens!$J$3104</f>
        <v>379.424316597773</v>
      </c>
      <c r="K3126" s="38" t="n">
        <f aca="false">Sens!$K$3104</f>
        <v>439.919237244402</v>
      </c>
      <c r="L3126" s="38" t="n">
        <f aca="false">Sens!$L$3104</f>
        <v>501.954974491517</v>
      </c>
      <c r="M3126" s="38" t="n">
        <f aca="false">Sens!$M$3104</f>
        <v>565.639704466895</v>
      </c>
      <c r="N3126" s="38" t="n">
        <f aca="false">Sens!$N$3104</f>
        <v>60.14</v>
      </c>
      <c r="O3126" s="38" t="n">
        <f aca="false">Sens!$O$3104</f>
        <v>68.585</v>
      </c>
    </row>
    <row r="3127" customFormat="false" ht="17.15" hidden="false" customHeight="false" outlineLevel="0" collapsed="false">
      <c r="A3127" s="0" t="s">
        <v>643</v>
      </c>
      <c r="B3127" s="0" t="s">
        <v>73</v>
      </c>
      <c r="C3127" s="38" t="n">
        <f aca="false">Sens!$C$3102</f>
        <v>2.32100535697364</v>
      </c>
      <c r="D3127" s="38" t="n">
        <f aca="false">Sens!$D$3102</f>
        <v>8.70377008865116</v>
      </c>
      <c r="E3127" s="38" t="n">
        <f aca="false">Sens!$E$3102</f>
        <v>8.51035297557002</v>
      </c>
      <c r="F3127" s="38" t="n">
        <f aca="false">Sens!$F$3102</f>
        <v>14.9634336447205</v>
      </c>
      <c r="G3127" s="38" t="n">
        <f aca="false">Sens!$G$3102</f>
        <v>23.4737866202905</v>
      </c>
      <c r="H3127" s="38" t="n">
        <f aca="false">Sens!$H$3102</f>
        <v>60.1658907497746</v>
      </c>
      <c r="I3127" s="38" t="n">
        <f aca="false">Sens!$I$3102</f>
        <v>101.503699136432</v>
      </c>
      <c r="J3127" s="38" t="n">
        <f aca="false">Sens!$J$3102</f>
        <v>143.025407151278</v>
      </c>
      <c r="K3127" s="38" t="n">
        <f aca="false">Sens!$K$3102</f>
        <v>184.608415042187</v>
      </c>
      <c r="L3127" s="38" t="n">
        <f aca="false">Sens!$L$3102</f>
        <v>226.219286513125</v>
      </c>
      <c r="M3127" s="38" t="n">
        <f aca="false">Sens!$M$3102</f>
        <v>267.845161450232</v>
      </c>
      <c r="N3127" s="38" t="n">
        <f aca="false">Sens!$N$3102</f>
        <v>3.04631953102791</v>
      </c>
      <c r="O3127" s="38" t="n">
        <f aca="false">Sens!$O$3102</f>
        <v>5.65745055762326</v>
      </c>
    </row>
    <row r="3128" customFormat="false" ht="17.15" hidden="false" customHeight="false" outlineLevel="0" collapsed="false">
      <c r="A3128" s="0" t="s">
        <v>645</v>
      </c>
      <c r="B3128" s="0" t="s">
        <v>73</v>
      </c>
      <c r="C3128" s="38" t="n">
        <f aca="false">Sens!$C$3103</f>
        <v>105.234994643026</v>
      </c>
      <c r="D3128" s="38" t="n">
        <f aca="false">Sens!$D$3103</f>
        <v>120.021229911349</v>
      </c>
      <c r="E3128" s="38" t="n">
        <f aca="false">Sens!$E$3103</f>
        <v>71.30864702443</v>
      </c>
      <c r="F3128" s="38" t="n">
        <f aca="false">Sens!$F$3103</f>
        <v>78.5950104186653</v>
      </c>
      <c r="G3128" s="38" t="n">
        <f aca="false">Sens!$G$3103</f>
        <v>149.903657443095</v>
      </c>
      <c r="H3128" s="38" t="n">
        <f aca="false">Sens!$H$3103</f>
        <v>180.893560768142</v>
      </c>
      <c r="I3128" s="38" t="n">
        <f aca="false">Sens!$I$3103</f>
        <v>210.64839721501</v>
      </c>
      <c r="J3128" s="38" t="n">
        <f aca="false">Sens!$J$3103</f>
        <v>236.398909446495</v>
      </c>
      <c r="K3128" s="38" t="n">
        <f aca="false">Sens!$K$3103</f>
        <v>255.310822202215</v>
      </c>
      <c r="L3128" s="38" t="n">
        <f aca="false">Sens!$L$3103</f>
        <v>275.735687978392</v>
      </c>
      <c r="M3128" s="38" t="n">
        <f aca="false">Sens!$M$3103</f>
        <v>297.794543016663</v>
      </c>
      <c r="N3128" s="38" t="n">
        <f aca="false">Sens!$N$3103</f>
        <v>57.0936804689721</v>
      </c>
      <c r="O3128" s="38" t="n">
        <f aca="false">Sens!$O$3103</f>
        <v>62.9275494423768</v>
      </c>
    </row>
    <row r="3129" customFormat="false" ht="15" hidden="false" customHeight="false" outlineLevel="0" collapsed="false">
      <c r="A3129" s="3" t="s">
        <v>477</v>
      </c>
      <c r="B3129" s="8" t="s">
        <v>73</v>
      </c>
      <c r="C3129" s="38" t="n">
        <f aca="false">Sens!$C$3105</f>
        <v>637.959</v>
      </c>
      <c r="D3129" s="38" t="n">
        <f aca="false">Sens!$D$3105</f>
        <v>716.924</v>
      </c>
      <c r="E3129" s="38" t="n">
        <f aca="false">Sens!$E$3105</f>
        <v>382.125</v>
      </c>
      <c r="F3129" s="38" t="n">
        <f aca="false">Sens!$F$3105</f>
        <v>450.494873271816</v>
      </c>
      <c r="G3129" s="38" t="n">
        <f aca="false">Sens!$G$3105</f>
        <v>832.619873271816</v>
      </c>
      <c r="H3129" s="38" t="n">
        <f aca="false">Sens!$H$3105</f>
        <v>970.995189139617</v>
      </c>
      <c r="I3129" s="38" t="n">
        <f aca="false">Sens!$I$3105</f>
        <v>1110.44766604932</v>
      </c>
      <c r="J3129" s="38" t="n">
        <f aca="false">Sens!$J$3105</f>
        <v>1241.16113892356</v>
      </c>
      <c r="K3129" s="38" t="n">
        <f aca="false">Sens!$K$3105</f>
        <v>1357.47672934633</v>
      </c>
      <c r="L3129" s="38" t="n">
        <f aca="false">Sens!$L$3105</f>
        <v>1479.24006423468</v>
      </c>
      <c r="M3129" s="38" t="n">
        <f aca="false">Sens!$M$3105</f>
        <v>1606.8537230104</v>
      </c>
      <c r="N3129" s="38" t="n">
        <f aca="false">Sens!$N$3105</f>
        <v>323.369</v>
      </c>
      <c r="O3129" s="38" t="n">
        <f aca="false">Sens!$O$3105</f>
        <v>393.555</v>
      </c>
    </row>
    <row r="3130" customFormat="false" ht="17.15" hidden="false" customHeight="false" outlineLevel="0" collapsed="false">
      <c r="A3130" s="24" t="s">
        <v>655</v>
      </c>
      <c r="B3130" s="25" t="s">
        <v>73</v>
      </c>
      <c r="C3130" s="39" t="n">
        <f aca="false">Sens!$C$3117+Sens!$C$3118+Sens!$C$3119+Sens!$C$3120+Sens!$C$3121+Sens!$C$3122-(Sens!$C$3124+Sens!$C$3125)</f>
        <v>0</v>
      </c>
      <c r="D3130" s="39" t="n">
        <f aca="false">Sens!$D$3117+Sens!$D$3118+Sens!$D$3119+Sens!$D$3120+Sens!$D$3121+Sens!$D$3122-(Sens!$D$3124+Sens!$D$3125)</f>
        <v>0</v>
      </c>
      <c r="E3130" s="39" t="n">
        <f aca="false">Sens!$E$3117+Sens!$E$3118+Sens!$E$3119+Sens!$E$3120+Sens!$E$3121+Sens!$E$3122-(Sens!$E$3124+Sens!$E$3125)</f>
        <v>0</v>
      </c>
      <c r="F3130" s="39" t="n">
        <f aca="false">Sens!$F$3117+Sens!$F$3118+Sens!$F$3119+Sens!$F$3120+Sens!$F$3121+Sens!$F$3122-(Sens!$F$3124+Sens!$F$3125)</f>
        <v>0</v>
      </c>
      <c r="G3130" s="39" t="n">
        <f aca="false">Sens!$G$3117+Sens!$G$3118+Sens!$G$3119+Sens!$G$3120+Sens!$G$3121+Sens!$G$3122-(Sens!$G$3124+Sens!$G$3125)</f>
        <v>0</v>
      </c>
      <c r="H3130" s="39" t="n">
        <f aca="false">Sens!$H$3117+Sens!$H$3118+Sens!$H$3119+Sens!$H$3120+Sens!$H$3121+Sens!$H$3122-(Sens!$H$3124+Sens!$H$3125)</f>
        <v>0</v>
      </c>
      <c r="I3130" s="39" t="n">
        <f aca="false">Sens!$I$3117+Sens!$I$3118+Sens!$I$3119+Sens!$I$3120+Sens!$I$3121+Sens!$I$3122-(Sens!$I$3124+Sens!$I$3125)</f>
        <v>0</v>
      </c>
      <c r="J3130" s="39" t="n">
        <f aca="false">Sens!$J$3117+Sens!$J$3118+Sens!$J$3119+Sens!$J$3120+Sens!$J$3121+Sens!$J$3122-(Sens!$J$3124+Sens!$J$3125)</f>
        <v>0</v>
      </c>
      <c r="K3130" s="39" t="n">
        <f aca="false">Sens!$K$3117+Sens!$K$3118+Sens!$K$3119+Sens!$K$3120+Sens!$K$3121+Sens!$K$3122-(Sens!$K$3124+Sens!$K$3125)</f>
        <v>0</v>
      </c>
      <c r="L3130" s="39" t="n">
        <f aca="false">Sens!$L$3117+Sens!$L$3118+Sens!$L$3119+Sens!$L$3120+Sens!$L$3121+Sens!$L$3122-(Sens!$L$3124+Sens!$L$3125)</f>
        <v>0</v>
      </c>
      <c r="M3130" s="39" t="n">
        <f aca="false">Sens!$M$3117+Sens!$M$3118+Sens!$M$3119+Sens!$M$3120+Sens!$M$3121+Sens!$M$3122-(Sens!$M$3124+Sens!$M$3125)</f>
        <v>0</v>
      </c>
      <c r="N3130" s="39" t="n">
        <f aca="false">Sens!$N$3117+Sens!$N$3118+Sens!$N$3119+Sens!$N$3120+Sens!$N$3121+Sens!$N$3122-(Sens!$N$3124+Sens!$N$3125)</f>
        <v>0</v>
      </c>
      <c r="O3130" s="39" t="n">
        <f aca="false">Sens!$O$3117+Sens!$O$3118+Sens!$O$3119+Sens!$O$3120+Sens!$O$3121+Sens!$O$3122-(Sens!$O$3124+Sens!$O$3125)</f>
        <v>0</v>
      </c>
    </row>
    <row r="3131" customFormat="false" ht="17.15" hidden="false" customHeight="false" outlineLevel="0" collapsed="false">
      <c r="A3131" s="24" t="s">
        <v>656</v>
      </c>
      <c r="B3131" s="25" t="s">
        <v>73</v>
      </c>
      <c r="C3131" s="39" t="n">
        <f aca="false">Sens!$C$3127+Sens!$C$3128-Sens!$C$3126</f>
        <v>0</v>
      </c>
      <c r="D3131" s="39" t="n">
        <f aca="false">Sens!$D$3127+Sens!$D$3128-Sens!$D$3126</f>
        <v>0</v>
      </c>
      <c r="E3131" s="39" t="n">
        <f aca="false">Sens!$E$3127+Sens!$E$3128-Sens!$E$3126</f>
        <v>0</v>
      </c>
      <c r="F3131" s="39" t="n">
        <f aca="false">Sens!$F$3127+Sens!$F$3128-Sens!$F$3126</f>
        <v>0</v>
      </c>
      <c r="G3131" s="39" t="n">
        <f aca="false">Sens!$G$3127+Sens!$G$3128-Sens!$G$3126</f>
        <v>0</v>
      </c>
      <c r="H3131" s="39" t="n">
        <f aca="false">Sens!$H$3127+Sens!$H$3128-Sens!$H$3126</f>
        <v>0</v>
      </c>
      <c r="I3131" s="39" t="n">
        <f aca="false">Sens!$I$3127+Sens!$I$3128-Sens!$I$3126</f>
        <v>0</v>
      </c>
      <c r="J3131" s="39" t="n">
        <f aca="false">Sens!$J$3127+Sens!$J$3128-Sens!$J$3126</f>
        <v>0</v>
      </c>
      <c r="K3131" s="39" t="n">
        <f aca="false">Sens!$K$3127+Sens!$K$3128-Sens!$K$3126</f>
        <v>0</v>
      </c>
      <c r="L3131" s="39" t="n">
        <f aca="false">Sens!$L$3127+Sens!$L$3128-Sens!$L$3126</f>
        <v>0</v>
      </c>
      <c r="M3131" s="39" t="n">
        <f aca="false">Sens!$M$3127+Sens!$M$3128-Sens!$M$3126</f>
        <v>0</v>
      </c>
      <c r="N3131" s="39" t="n">
        <f aca="false">Sens!$N$3127+Sens!$N$3128-Sens!$N$3126</f>
        <v>0</v>
      </c>
      <c r="O3131" s="39" t="n">
        <f aca="false">Sens!$O$3127+Sens!$O$3128-Sens!$O$3126</f>
        <v>0</v>
      </c>
    </row>
    <row r="3132" customFormat="false" ht="17.15" hidden="false" customHeight="false" outlineLevel="0" collapsed="false">
      <c r="A3132" s="24" t="s">
        <v>710</v>
      </c>
      <c r="B3132" s="25" t="s">
        <v>73</v>
      </c>
      <c r="C3132" s="39" t="n">
        <f aca="false">Sens!$C$3117+Sens!$C$3118+Sens!$C$3119+Sens!$C$3120+Sens!$C$3121+Sens!$C$3122+Sens!$C$3123-Sens!$C$3129</f>
        <v>0</v>
      </c>
      <c r="D3132" s="39" t="n">
        <f aca="false">Sens!$D$3117+Sens!$D$3118+Sens!$D$3119+Sens!$D$3120+Sens!$D$3121+Sens!$D$3122+Sens!$D$3123-Sens!$D$3129</f>
        <v>0</v>
      </c>
      <c r="E3132" s="39" t="n">
        <f aca="false">Sens!$E$3117+Sens!$E$3118+Sens!$E$3119+Sens!$E$3120+Sens!$E$3121+Sens!$E$3122+Sens!$E$3123-Sens!$E$3129</f>
        <v>0</v>
      </c>
      <c r="F3132" s="39" t="n">
        <f aca="false">Sens!$F$3117+Sens!$F$3118+Sens!$F$3119+Sens!$F$3120+Sens!$F$3121+Sens!$F$3122+Sens!$F$3123-Sens!$F$3129</f>
        <v>0</v>
      </c>
      <c r="G3132" s="39" t="n">
        <f aca="false">Sens!$G$3117+Sens!$G$3118+Sens!$G$3119+Sens!$G$3120+Sens!$G$3121+Sens!$G$3122+Sens!$G$3123-Sens!$G$3129</f>
        <v>0</v>
      </c>
      <c r="H3132" s="39" t="n">
        <f aca="false">Sens!$H$3117+Sens!$H$3118+Sens!$H$3119+Sens!$H$3120+Sens!$H$3121+Sens!$H$3122+Sens!$H$3123-Sens!$H$3129</f>
        <v>0</v>
      </c>
      <c r="I3132" s="39" t="n">
        <f aca="false">Sens!$I$3117+Sens!$I$3118+Sens!$I$3119+Sens!$I$3120+Sens!$I$3121+Sens!$I$3122+Sens!$I$3123-Sens!$I$3129</f>
        <v>0</v>
      </c>
      <c r="J3132" s="39" t="n">
        <f aca="false">Sens!$J$3117+Sens!$J$3118+Sens!$J$3119+Sens!$J$3120+Sens!$J$3121+Sens!$J$3122+Sens!$J$3123-Sens!$J$3129</f>
        <v>0</v>
      </c>
      <c r="K3132" s="39" t="n">
        <f aca="false">Sens!$K$3117+Sens!$K$3118+Sens!$K$3119+Sens!$K$3120+Sens!$K$3121+Sens!$K$3122+Sens!$K$3123-Sens!$K$3129</f>
        <v>0</v>
      </c>
      <c r="L3132" s="39" t="n">
        <f aca="false">Sens!$L$3117+Sens!$L$3118+Sens!$L$3119+Sens!$L$3120+Sens!$L$3121+Sens!$L$3122+Sens!$L$3123-Sens!$L$3129</f>
        <v>0</v>
      </c>
      <c r="M3132" s="39" t="n">
        <f aca="false">Sens!$M$3117+Sens!$M$3118+Sens!$M$3119+Sens!$M$3120+Sens!$M$3121+Sens!$M$3122+Sens!$M$3123-Sens!$M$3129</f>
        <v>0</v>
      </c>
      <c r="N3132" s="39" t="n">
        <f aca="false">Sens!$N$3117+Sens!$N$3118+Sens!$N$3119+Sens!$N$3120+Sens!$N$3121+Sens!$N$3122+Sens!$N$3123-Sens!$N$3129</f>
        <v>0</v>
      </c>
      <c r="O3132" s="39" t="n">
        <f aca="false">Sens!$O$3117+Sens!$O$3118+Sens!$O$3119+Sens!$O$3120+Sens!$O$3121+Sens!$O$3122+Sens!$O$3123-Sens!$O$3129</f>
        <v>0</v>
      </c>
    </row>
    <row r="3133" customFormat="false" ht="17.15" hidden="false" customHeight="false" outlineLevel="0" collapsed="false">
      <c r="A3133" s="24" t="s">
        <v>657</v>
      </c>
      <c r="B3133" s="25" t="s">
        <v>73</v>
      </c>
      <c r="C3133" s="39" t="n">
        <f aca="false">Sens!$C$3124+Sens!$C$3125+Sens!$C$3126-Sens!$C$3129</f>
        <v>0</v>
      </c>
      <c r="D3133" s="39" t="n">
        <f aca="false">Sens!$D$3124+Sens!$D$3125+Sens!$D$3126-Sens!$D$3129</f>
        <v>0</v>
      </c>
      <c r="E3133" s="39" t="n">
        <f aca="false">Sens!$E$3124+Sens!$E$3125+Sens!$E$3126-Sens!$E$3129</f>
        <v>0</v>
      </c>
      <c r="F3133" s="39" t="n">
        <f aca="false">Sens!$F$3124+Sens!$F$3125+Sens!$F$3126-Sens!$F$3129</f>
        <v>0</v>
      </c>
      <c r="G3133" s="39" t="n">
        <f aca="false">Sens!$G$3124+Sens!$G$3125+Sens!$G$3126-Sens!$G$3129</f>
        <v>0</v>
      </c>
      <c r="H3133" s="39" t="n">
        <f aca="false">Sens!$H$3124+Sens!$H$3125+Sens!$H$3126-Sens!$H$3129</f>
        <v>0</v>
      </c>
      <c r="I3133" s="39" t="n">
        <f aca="false">Sens!$I$3124+Sens!$I$3125+Sens!$I$3126-Sens!$I$3129</f>
        <v>0</v>
      </c>
      <c r="J3133" s="39" t="n">
        <f aca="false">Sens!$J$3124+Sens!$J$3125+Sens!$J$3126-Sens!$J$3129</f>
        <v>0</v>
      </c>
      <c r="K3133" s="39" t="n">
        <f aca="false">Sens!$K$3124+Sens!$K$3125+Sens!$K$3126-Sens!$K$3129</f>
        <v>0</v>
      </c>
      <c r="L3133" s="39" t="n">
        <f aca="false">Sens!$L$3124+Sens!$L$3125+Sens!$L$3126-Sens!$L$3129</f>
        <v>0</v>
      </c>
      <c r="M3133" s="39" t="n">
        <f aca="false">Sens!$M$3124+Sens!$M$3125+Sens!$M$3126-Sens!$M$3129</f>
        <v>0</v>
      </c>
      <c r="N3133" s="39" t="n">
        <f aca="false">Sens!$N$3124+Sens!$N$3125+Sens!$N$3126-Sens!$N$3129</f>
        <v>0</v>
      </c>
      <c r="O3133" s="39" t="n">
        <f aca="false">Sens!$O$3124+Sens!$O$3125+Sens!$O$3126-Sens!$O$3129</f>
        <v>0</v>
      </c>
    </row>
    <row r="3134" customFormat="false" ht="17.15" hidden="false" customHeight="false" outlineLevel="0" collapsed="false">
      <c r="A3134" s="1" t="s">
        <v>671</v>
      </c>
    </row>
    <row r="3135" customFormat="false" ht="17.15" hidden="false" customHeight="false" outlineLevel="0" collapsed="false">
      <c r="A3135" s="0" t="s">
        <v>672</v>
      </c>
      <c r="B3135" s="0" t="s">
        <v>73</v>
      </c>
      <c r="C3135" s="38" t="n">
        <f aca="false">Sens!$C$3043*m_ad_lo</f>
        <v>16.4273251531383</v>
      </c>
      <c r="D3135" s="38" t="n">
        <f aca="false">Sens!$D$3043*m_ad_lo</f>
        <v>19.897649383967</v>
      </c>
      <c r="E3135" s="38" t="n">
        <f aca="false">Sens!$E$3043*m_ad_lo</f>
        <v>10.8013689969766</v>
      </c>
      <c r="F3135" s="38" t="n">
        <f aca="false">Sens!$F$3043*m_ad_lo</f>
        <v>13.8309154259679</v>
      </c>
      <c r="G3135" s="38" t="n">
        <f aca="false">Sens!$G$3043*m_ad_lo</f>
        <v>24.6409567012709</v>
      </c>
      <c r="H3135" s="38" t="n">
        <f aca="false">Sens!$H$3043*m_ad_lo</f>
        <v>29.5827274928208</v>
      </c>
      <c r="I3135" s="38" t="n">
        <f aca="false">Sens!$I$3043*m_ad_lo</f>
        <v>34.5240506250184</v>
      </c>
      <c r="J3135" s="38" t="n">
        <f aca="false">Sens!$J$3043*m_ad_lo</f>
        <v>39.1335993590826</v>
      </c>
      <c r="K3135" s="38" t="n">
        <f aca="false">Sens!$K$3043*m_ad_lo</f>
        <v>43.0469592949909</v>
      </c>
      <c r="L3135" s="38" t="n">
        <f aca="false">Sens!$L$3043*m_ad_lo</f>
        <v>47.3516552244899</v>
      </c>
      <c r="M3135" s="38" t="n">
        <f aca="false">Sens!$M$3043*m_ad_lo</f>
        <v>52.0868207469389</v>
      </c>
      <c r="N3135" s="38" t="n">
        <f aca="false">Sens!$N$3043*m_ad_lo</f>
        <v>8.68348445649986</v>
      </c>
      <c r="O3135" s="38" t="n">
        <f aca="false">Sens!$O$3043*m_ad_lo</f>
        <v>11.2075785457119</v>
      </c>
    </row>
    <row r="3136" customFormat="false" ht="17.15" hidden="false" customHeight="false" outlineLevel="0" collapsed="false">
      <c r="A3136" s="0" t="s">
        <v>673</v>
      </c>
      <c r="B3136" s="0" t="s">
        <v>73</v>
      </c>
      <c r="C3136" s="38" t="n">
        <f aca="false">Sens!$C$3041-Sens!$C$3043</f>
        <v>346.428687117154</v>
      </c>
      <c r="D3136" s="38" t="n">
        <f aca="false">Sens!$D$3041-Sens!$D$3043</f>
        <v>376.560876540083</v>
      </c>
      <c r="E3136" s="38" t="n">
        <f aca="false">Sens!$E$3041-Sens!$E$3043</f>
        <v>193.316577507559</v>
      </c>
      <c r="F3136" s="38" t="n">
        <f aca="false">Sens!$F$3041-Sens!$F$3043</f>
        <v>221.726726438887</v>
      </c>
      <c r="G3136" s="38" t="n">
        <f aca="false">Sens!$G$3041-Sens!$G$3043</f>
        <v>415.02162325063</v>
      </c>
      <c r="H3136" s="38" t="n">
        <f aca="false">Sens!$H$3041-Sens!$H$3043</f>
        <v>453.777572359491</v>
      </c>
      <c r="I3136" s="38" t="n">
        <f aca="false">Sens!$I$3041-Sens!$I$3043</f>
        <v>490.847566467031</v>
      </c>
      <c r="J3136" s="38" t="n">
        <f aca="false">Sens!$J$3041-Sens!$J$3043</f>
        <v>525.190925266121</v>
      </c>
      <c r="K3136" s="38" t="n">
        <f aca="false">Sens!$K$3041-Sens!$K$3043</f>
        <v>555.765170156304</v>
      </c>
      <c r="L3136" s="38" t="n">
        <f aca="false">Sens!$L$3041-Sens!$L$3043</f>
        <v>588.185734949207</v>
      </c>
      <c r="M3136" s="38" t="n">
        <f aca="false">Sens!$M$3041-Sens!$M$3043</f>
        <v>622.567635538672</v>
      </c>
      <c r="N3136" s="38" t="n">
        <f aca="false">Sens!$N$3041-Sens!$N$3043</f>
        <v>171.24628885875</v>
      </c>
      <c r="O3136" s="38" t="n">
        <f aca="false">Sens!$O$3041-Sens!$O$3043</f>
        <v>205.33105363572</v>
      </c>
    </row>
    <row r="3137" customFormat="false" ht="17.15" hidden="false" customHeight="false" outlineLevel="0" collapsed="false">
      <c r="A3137" s="0" t="s">
        <v>674</v>
      </c>
      <c r="B3137" s="0" t="s">
        <v>73</v>
      </c>
      <c r="C3137" s="38" t="n">
        <f aca="false">Sens!$C$3088*Sens!$C$3040</f>
        <v>0.123617442257179</v>
      </c>
      <c r="D3137" s="38" t="n">
        <f aca="false">Sens!$D$3088*Sens!$D$3040</f>
        <v>0.874366899302609</v>
      </c>
      <c r="E3137" s="38" t="n">
        <f aca="false">Sens!$E$3088*Sens!$E$3040</f>
        <v>1.29318830502574</v>
      </c>
      <c r="F3137" s="38" t="n">
        <f aca="false">Sens!$F$3088*Sens!$F$3040</f>
        <v>1.51802024162534</v>
      </c>
      <c r="G3137" s="38" t="n">
        <f aca="false">Sens!$G$3088*Sens!$G$3040</f>
        <v>2.81130189308167</v>
      </c>
      <c r="H3137" s="38" t="n">
        <f aca="false">Sens!$H$3088*Sens!$H$3040</f>
        <v>7.38966789318209</v>
      </c>
      <c r="I3137" s="38" t="n">
        <f aca="false">Sens!$I$3088*Sens!$I$3040</f>
        <v>12.8987443661473</v>
      </c>
      <c r="J3137" s="38" t="n">
        <f aca="false">Sens!$J$3088*Sens!$J$3040</f>
        <v>18.5570025453645</v>
      </c>
      <c r="K3137" s="38" t="n">
        <f aca="false">Sens!$K$3088*Sens!$K$3040</f>
        <v>24.3158972773405</v>
      </c>
      <c r="L3137" s="38" t="n">
        <f aca="false">Sens!$L$3088*Sens!$L$3040</f>
        <v>29.7827375558674</v>
      </c>
      <c r="M3137" s="38" t="n">
        <f aca="false">Sens!$M$3088*Sens!$M$3040</f>
        <v>35.3532344973194</v>
      </c>
      <c r="N3137" s="38" t="n">
        <f aca="false">Sens!$N$3088*Sens!$N$3040</f>
        <v>0.389180508437431</v>
      </c>
      <c r="O3137" s="38" t="n">
        <f aca="false">Sens!$O$3088*Sens!$O$3040</f>
        <v>0.485052120082802</v>
      </c>
    </row>
    <row r="3138" customFormat="false" ht="17.15" hidden="false" customHeight="false" outlineLevel="0" collapsed="false">
      <c r="A3138" s="0" t="s">
        <v>675</v>
      </c>
      <c r="B3138" s="0" t="s">
        <v>52</v>
      </c>
      <c r="C3138" s="28" t="n">
        <f aca="false">(Sens!$C$3139-Sens!$C$3135+Sens!$C$3137)/Sens!$C$3136</f>
        <v>0.0250074333081693</v>
      </c>
      <c r="D3138" s="28" t="n">
        <f aca="false">(Sens!$D$3139-Sens!$D$3135+Sens!$D$3137)/Sens!$D$3136</f>
        <v>0.0281381263308372</v>
      </c>
      <c r="E3138" s="28" t="n">
        <f aca="false">(Sens!$E$3139-Sens!$E$3135+Sens!$E$3137)/Sens!$E$3136</f>
        <v>0.0407715644962781</v>
      </c>
      <c r="F3138" s="28" t="n">
        <f aca="false">Sens!$O$3138+(Sens!$E$3138-Sens!$N$3138)</f>
        <v>0.0381752807139062</v>
      </c>
      <c r="G3138" s="28" t="n">
        <f aca="false">(Sens!$G$3139-Sens!$G$3135+Sens!$G$3137)/Sens!$G$3136</f>
        <v>0.039365949831166</v>
      </c>
      <c r="H3138" s="28" t="n">
        <f aca="false">Sens!$G$3138+step_na</f>
        <v>0.042365949831166</v>
      </c>
      <c r="I3138" s="28" t="n">
        <f aca="false">Sens!$H$3138+step_na</f>
        <v>0.045365949831166</v>
      </c>
      <c r="J3138" s="28" t="n">
        <f aca="false">Sens!$I$3138+step_na</f>
        <v>0.048365949831166</v>
      </c>
      <c r="K3138" s="28" t="n">
        <f aca="false">Sens!$J$3138+step_na</f>
        <v>0.051365949831166</v>
      </c>
      <c r="L3138" s="28" t="n">
        <f aca="false">Sens!$K$3138</f>
        <v>0.051365949831166</v>
      </c>
      <c r="M3138" s="28" t="n">
        <f aca="false">Sens!$L$3138</f>
        <v>0.051365949831166</v>
      </c>
      <c r="N3138" s="28" t="n">
        <f aca="false">(Sens!$N$3139-Sens!$N$3135+Sens!$N$3137)/Sens!$N$3136</f>
        <v>0.0295696688417831</v>
      </c>
      <c r="O3138" s="28" t="n">
        <f aca="false">(Sens!$O$3139-Sens!$O$3135+Sens!$O$3137)/Sens!$O$3136</f>
        <v>0.0269733850594112</v>
      </c>
      <c r="P3138" s="8" t="s">
        <v>676</v>
      </c>
    </row>
    <row r="3139" customFormat="false" ht="17.15" hidden="false" customHeight="false" outlineLevel="0" collapsed="false">
      <c r="A3139" s="1" t="s">
        <v>677</v>
      </c>
      <c r="B3139" s="8" t="s">
        <v>73</v>
      </c>
      <c r="C3139" s="38" t="n">
        <f aca="false">Q!$D$22</f>
        <v>24.967</v>
      </c>
      <c r="D3139" s="38" t="n">
        <f aca="false">Q!$E$22</f>
        <v>29.619</v>
      </c>
      <c r="E3139" s="38" t="n">
        <f aca="false">Q!$P$22</f>
        <v>17.39</v>
      </c>
      <c r="F3139" s="38" t="n">
        <f aca="false">Sens!$F$3135+Sens!$F$3136*Sens!$F$3138-Sens!$F$3137</f>
        <v>20.7773752079225</v>
      </c>
      <c r="G3139" s="38" t="n">
        <f aca="false">Sens!$E$3139+Sens!$F$3139</f>
        <v>38.1673752079226</v>
      </c>
      <c r="H3139" s="38" t="n">
        <f aca="false">Sens!$H$3135+Sens!$H$3136*Sens!$H$3138-Sens!$H$3137</f>
        <v>41.4177774647291</v>
      </c>
      <c r="I3139" s="38" t="n">
        <f aca="false">Sens!$I$3135+Sens!$I$3136*Sens!$I$3138-Sens!$I$3137</f>
        <v>43.8930723339644</v>
      </c>
      <c r="J3139" s="38" t="n">
        <f aca="false">Sens!$J$3135+Sens!$J$3136*Sens!$J$3138-Sens!$J$3137</f>
        <v>45.9779547569229</v>
      </c>
      <c r="K3139" s="38" t="n">
        <f aca="false">Sens!$K$3135+Sens!$K$3136*Sens!$K$3138-Sens!$K$3137</f>
        <v>47.2784678658085</v>
      </c>
      <c r="L3139" s="38" t="n">
        <f aca="false">Sens!$L$3135+Sens!$L$3136*Sens!$L$3138-Sens!$L$3137</f>
        <v>47.781636621431</v>
      </c>
      <c r="M3139" s="38" t="n">
        <f aca="false">Sens!$M$3135+Sens!$M$3136*Sens!$M$3138-Sens!$M$3137</f>
        <v>48.7123641832066</v>
      </c>
      <c r="N3139" s="38" t="n">
        <f aca="false">Q!$N$22</f>
        <v>13.358</v>
      </c>
      <c r="O3139" s="38" t="n">
        <f aca="false">Q!$O$22</f>
        <v>16.261</v>
      </c>
    </row>
    <row r="3140" customFormat="false" ht="17.15" hidden="false" customHeight="false" outlineLevel="0" collapsed="false">
      <c r="A3140" s="0" t="s">
        <v>678</v>
      </c>
      <c r="B3140" s="0" t="s">
        <v>73</v>
      </c>
      <c r="C3140" s="38" t="n">
        <f aca="false">Sens!$C$3044*m_ad_lo</f>
        <v>6.05827484686173</v>
      </c>
      <c r="D3140" s="38" t="n">
        <f aca="false">Sens!$D$3044*m_ad_lo</f>
        <v>7.55635061603301</v>
      </c>
      <c r="E3140" s="38" t="n">
        <f aca="false">Sens!$E$3044*m_ad_lo</f>
        <v>4.01943100302343</v>
      </c>
      <c r="F3140" s="38" t="n">
        <f aca="false">Sens!$F$3044*m_ad_lo</f>
        <v>5.4304198471274</v>
      </c>
      <c r="G3140" s="38" t="n">
        <f aca="false">Sens!$G$3044*m_ad_lo</f>
        <v>9.44117857182442</v>
      </c>
      <c r="H3140" s="38" t="n">
        <f aca="false">Sens!$H$3044*m_ad_lo</f>
        <v>11.3346172507554</v>
      </c>
      <c r="I3140" s="38" t="n">
        <f aca="false">Sens!$I$3044*m_ad_lo</f>
        <v>13.2278844090779</v>
      </c>
      <c r="J3140" s="38" t="n">
        <f aca="false">Sens!$J$3044*m_ad_lo</f>
        <v>14.9940322604551</v>
      </c>
      <c r="K3140" s="38" t="n">
        <f aca="false">Sens!$K$3044*m_ad_lo</f>
        <v>16.4934354865006</v>
      </c>
      <c r="L3140" s="38" t="n">
        <f aca="false">Sens!$L$3044*m_ad_lo</f>
        <v>18.1427790351507</v>
      </c>
      <c r="M3140" s="38" t="n">
        <f aca="false">Sens!$M$3044*m_ad_lo</f>
        <v>19.9570569386657</v>
      </c>
      <c r="N3140" s="38" t="n">
        <f aca="false">Sens!$N$3044*m_ad_lo</f>
        <v>3.16251554350015</v>
      </c>
      <c r="O3140" s="38" t="n">
        <f aca="false">Sens!$O$3044*m_ad_lo</f>
        <v>4.40042145428809</v>
      </c>
    </row>
    <row r="3141" customFormat="false" ht="17.15" hidden="false" customHeight="false" outlineLevel="0" collapsed="false">
      <c r="A3141" s="0" t="s">
        <v>679</v>
      </c>
      <c r="B3141" s="0" t="s">
        <v>73</v>
      </c>
      <c r="C3141" s="38" t="n">
        <f aca="false">Sens!$C$3042-Sens!$C$3044</f>
        <v>127.760312882846</v>
      </c>
      <c r="D3141" s="38" t="n">
        <f aca="false">Sens!$D$3042-Sens!$D$3044</f>
        <v>143.003123459917</v>
      </c>
      <c r="E3141" s="38" t="n">
        <f aca="false">Sens!$E$3042-Sens!$E$3044</f>
        <v>71.9374224924414</v>
      </c>
      <c r="F3141" s="38" t="n">
        <f aca="false">Sens!$F$3042-Sens!$F$3044</f>
        <v>87.0563645868046</v>
      </c>
      <c r="G3141" s="38" t="n">
        <f aca="false">Sens!$G$3042-Sens!$G$3044</f>
        <v>159.015467775062</v>
      </c>
      <c r="H3141" s="38" t="n">
        <f aca="false">Sens!$H$3042-Sens!$H$3044</f>
        <v>173.864803403269</v>
      </c>
      <c r="I3141" s="38" t="n">
        <f aca="false">Sens!$I$3042-Sens!$I$3044</f>
        <v>188.068165645601</v>
      </c>
      <c r="J3141" s="38" t="n">
        <f aca="false">Sens!$J$3042-Sens!$J$3044</f>
        <v>201.22681801082</v>
      </c>
      <c r="K3141" s="38" t="n">
        <f aca="false">Sens!$K$3042-Sens!$K$3044</f>
        <v>212.941334991893</v>
      </c>
      <c r="L3141" s="38" t="n">
        <f aca="false">Sens!$L$3042-Sens!$L$3044</f>
        <v>225.363269144856</v>
      </c>
      <c r="M3141" s="38" t="n">
        <f aca="false">Sens!$M$3042-Sens!$M$3044</f>
        <v>238.536688790819</v>
      </c>
      <c r="N3141" s="38" t="n">
        <f aca="false">Sens!$N$3042-Sens!$N$3044</f>
        <v>62.3677111412496</v>
      </c>
      <c r="O3141" s="38" t="n">
        <f aca="false">Sens!$O$3042-Sens!$O$3044</f>
        <v>80.6189463642798</v>
      </c>
    </row>
    <row r="3142" customFormat="false" ht="17.15" hidden="false" customHeight="false" outlineLevel="0" collapsed="false">
      <c r="A3142" s="0" t="s">
        <v>680</v>
      </c>
      <c r="B3142" s="0" t="s">
        <v>73</v>
      </c>
      <c r="C3142" s="38" t="n">
        <f aca="false">Sens!$C$3088*(1-Sens!$C$3040)</f>
        <v>0.0455891896019953</v>
      </c>
      <c r="D3142" s="38" t="n">
        <f aca="false">Sens!$D$3088*(1-Sens!$D$3040)</f>
        <v>0.332050421167231</v>
      </c>
      <c r="E3142" s="38" t="n">
        <f aca="false">Sens!$E$3088*(1-Sens!$E$3040)</f>
        <v>0.481224293644882</v>
      </c>
      <c r="F3142" s="38" t="n">
        <f aca="false">Sens!$F$3088*(1-Sens!$F$3040)</f>
        <v>0.596018918096053</v>
      </c>
      <c r="G3142" s="38" t="n">
        <f aca="false">Sens!$G$3088*(1-Sens!$G$3040)</f>
        <v>1.07714986531035</v>
      </c>
      <c r="H3142" s="38" t="n">
        <f aca="false">Sens!$H$3088*(1-Sens!$H$3040)</f>
        <v>2.83135005721638</v>
      </c>
      <c r="I3142" s="38" t="n">
        <f aca="false">Sens!$I$3088*(1-Sens!$I$3040)</f>
        <v>4.9421518161602</v>
      </c>
      <c r="J3142" s="38" t="n">
        <f aca="false">Sens!$J$3088*(1-Sens!$J$3040)</f>
        <v>7.11011252170866</v>
      </c>
      <c r="K3142" s="38" t="n">
        <f aca="false">Sens!$K$3088*(1-Sens!$K$3040)</f>
        <v>9.31663210615807</v>
      </c>
      <c r="L3142" s="38" t="n">
        <f aca="false">Sens!$L$3088*(1-Sens!$L$3040)</f>
        <v>11.411251074039</v>
      </c>
      <c r="M3142" s="38" t="n">
        <f aca="false">Sens!$M$3088*(1-Sens!$M$3040)</f>
        <v>13.5455860755423</v>
      </c>
      <c r="N3142" s="38" t="n">
        <f aca="false">Sens!$N$3088*(1-Sens!$N$3040)</f>
        <v>0.141739115596548</v>
      </c>
      <c r="O3142" s="38" t="n">
        <f aca="false">Sens!$O$3088*(1-Sens!$O$3040)</f>
        <v>0.190445576353059</v>
      </c>
    </row>
    <row r="3143" customFormat="false" ht="17.15" hidden="false" customHeight="false" outlineLevel="0" collapsed="false">
      <c r="A3143" s="0" t="s">
        <v>681</v>
      </c>
      <c r="B3143" s="0" t="s">
        <v>52</v>
      </c>
      <c r="C3143" s="28" t="n">
        <f aca="false">(Sens!$C$3144-Sens!$C$3140+Sens!$C$3142)/Sens!$C$3141</f>
        <v>-0.0173816548124461</v>
      </c>
      <c r="D3143" s="28" t="n">
        <f aca="false">(Sens!$D$3144-Sens!$D$3140+Sens!$D$3142)/Sens!$D$3141</f>
        <v>-0.0173024206394996</v>
      </c>
      <c r="E3143" s="28" t="n">
        <f aca="false">(Sens!$E$3144-Sens!$E$3140+Sens!$E$3142)/Sens!$E$3141</f>
        <v>-0.00552155881620974</v>
      </c>
      <c r="F3143" s="28" t="n">
        <f aca="false">Sens!$O$3143+(Sens!$E$3143-Sens!$N$3143)</f>
        <v>-0.0217958833820126</v>
      </c>
      <c r="G3143" s="28" t="n">
        <f aca="false">(Sens!$G$3144-Sens!$G$3140+Sens!$G$3142)/Sens!$G$3141</f>
        <v>-0.0143765771950722</v>
      </c>
      <c r="H3143" s="28" t="n">
        <f aca="false">Sens!$G$3143+step_in</f>
        <v>-0.0143765771950722</v>
      </c>
      <c r="I3143" s="28" t="n">
        <f aca="false">Sens!$H$3143+step_in</f>
        <v>-0.0143765771950722</v>
      </c>
      <c r="J3143" s="28" t="n">
        <f aca="false">Sens!$I$3143+step_in</f>
        <v>-0.0143765771950722</v>
      </c>
      <c r="K3143" s="28" t="n">
        <f aca="false">Sens!$J$3143+step_in</f>
        <v>-0.0143765771950722</v>
      </c>
      <c r="L3143" s="28" t="n">
        <f aca="false">Sens!$K$3143</f>
        <v>-0.0143765771950722</v>
      </c>
      <c r="M3143" s="28" t="n">
        <f aca="false">Sens!$L$3143</f>
        <v>-0.0143765771950722</v>
      </c>
      <c r="N3143" s="28" t="n">
        <f aca="false">(Sens!$N$3144-Sens!$N$3140+Sens!$N$3142)/Sens!$N$3141</f>
        <v>-0.0081737235273724</v>
      </c>
      <c r="O3143" s="28" t="n">
        <f aca="false">(Sens!$O$3144-Sens!$O$3140+Sens!$O$3142)/Sens!$O$3141</f>
        <v>-0.0244480480931753</v>
      </c>
      <c r="P3143" s="8" t="s">
        <v>676</v>
      </c>
    </row>
    <row r="3144" customFormat="false" ht="17.15" hidden="false" customHeight="false" outlineLevel="0" collapsed="false">
      <c r="A3144" s="1" t="s">
        <v>682</v>
      </c>
      <c r="B3144" s="8" t="s">
        <v>73</v>
      </c>
      <c r="C3144" s="38" t="n">
        <f aca="false">Q!$D$23</f>
        <v>3.792</v>
      </c>
      <c r="D3144" s="38" t="n">
        <f aca="false">Q!$E$23</f>
        <v>4.75</v>
      </c>
      <c r="E3144" s="38" t="n">
        <f aca="false">Q!$P$23</f>
        <v>3.141</v>
      </c>
      <c r="F3144" s="38" t="n">
        <f aca="false">Sens!$F$3140+Sens!$F$3141*Sens!$F$3143-Sens!$F$3142</f>
        <v>2.93693055883538</v>
      </c>
      <c r="G3144" s="38" t="n">
        <f aca="false">Sens!$E$3144+Sens!$F$3144</f>
        <v>6.07793055883538</v>
      </c>
      <c r="H3144" s="38" t="n">
        <f aca="false">Sens!$H$3140+Sens!$H$3141*Sens!$H$3143-Sens!$H$3142</f>
        <v>6.00368642590583</v>
      </c>
      <c r="I3144" s="38" t="n">
        <f aca="false">Sens!$I$3140+Sens!$I$3141*Sens!$I$3143-Sens!$I$3142</f>
        <v>5.58195609157813</v>
      </c>
      <c r="J3144" s="38" t="n">
        <f aca="false">Sens!$J$3140+Sens!$J$3141*Sens!$J$3143-Sens!$J$3142</f>
        <v>4.99096685589514</v>
      </c>
      <c r="K3144" s="38" t="n">
        <f aca="false">Sens!$K$3140+Sens!$K$3141*Sens!$K$3143-Sens!$K$3142</f>
        <v>4.11543583980987</v>
      </c>
      <c r="L3144" s="38" t="n">
        <f aca="false">Sens!$L$3140+Sens!$L$3141*Sens!$L$3143-Sens!$L$3142</f>
        <v>3.4915755253168</v>
      </c>
      <c r="M3144" s="38" t="n">
        <f aca="false">Sens!$M$3140+Sens!$M$3141*Sens!$M$3143-Sens!$M$3142</f>
        <v>2.9821297428653</v>
      </c>
      <c r="N3144" s="38" t="n">
        <f aca="false">Q!$N$23</f>
        <v>2.511</v>
      </c>
      <c r="O3144" s="38" t="n">
        <f aca="false">Q!$O$23</f>
        <v>2.239</v>
      </c>
    </row>
    <row r="3145" customFormat="false" ht="17.15" hidden="false" customHeight="false" outlineLevel="0" collapsed="false">
      <c r="A3145" s="0" t="s">
        <v>683</v>
      </c>
      <c r="B3145" s="0" t="s">
        <v>73</v>
      </c>
      <c r="C3145" s="38" t="n">
        <f aca="false">Sens!$C$3085</f>
        <v>1.64417882953695</v>
      </c>
      <c r="D3145" s="38" t="n">
        <f aca="false">Sens!$D$3085</f>
        <v>3.8781008067718</v>
      </c>
      <c r="E3145" s="38" t="n">
        <f aca="false">Sens!$E$3085</f>
        <v>1.41270258088753</v>
      </c>
      <c r="F3145" s="38" t="n">
        <f aca="false">Sens!$F$3085</f>
        <v>6.50727700583486</v>
      </c>
      <c r="G3145" s="38" t="n">
        <f aca="false">Sens!$G$3085</f>
        <v>7.9199795867224</v>
      </c>
      <c r="H3145" s="38" t="n">
        <f aca="false">Sens!$H$3085</f>
        <v>19.2818189481807</v>
      </c>
      <c r="I3145" s="38" t="n">
        <f aca="false">Sens!$I$3085</f>
        <v>30.140114407202</v>
      </c>
      <c r="J3145" s="38" t="n">
        <f aca="false">Sens!$J$3085</f>
        <v>40.3569468829854</v>
      </c>
      <c r="K3145" s="38" t="n">
        <f aca="false">Sens!$K$3085</f>
        <v>50.0782975081929</v>
      </c>
      <c r="L3145" s="38" t="n">
        <f aca="false">Sens!$L$3085</f>
        <v>61.443331993499</v>
      </c>
      <c r="M3145" s="38" t="n">
        <f aca="false">Sens!$M$3085</f>
        <v>72.2498791587849</v>
      </c>
      <c r="N3145" s="38" t="n">
        <f aca="false">Sens!$N$3085</f>
        <v>0.92264103489199</v>
      </c>
      <c r="O3145" s="38" t="n">
        <f aca="false">Sens!$O$3085</f>
        <v>2.95545977187981</v>
      </c>
    </row>
    <row r="3146" customFormat="false" ht="17.15" hidden="false" customHeight="false" outlineLevel="0" collapsed="false">
      <c r="A3146" s="0" t="s">
        <v>603</v>
      </c>
      <c r="B3146" s="0" t="s">
        <v>73</v>
      </c>
      <c r="C3146" s="38" t="n">
        <f aca="false">Sens!$C$3090</f>
        <v>38.1898211704631</v>
      </c>
      <c r="D3146" s="38" t="n">
        <f aca="false">Sens!$D$3090</f>
        <v>41.7278991932282</v>
      </c>
      <c r="E3146" s="38" t="n">
        <f aca="false">Sens!$E$3090</f>
        <v>29.3692974191125</v>
      </c>
      <c r="F3146" s="38" t="n">
        <f aca="false">Sens!$F$3090</f>
        <v>29.458060516894</v>
      </c>
      <c r="G3146" s="38" t="n">
        <f aca="false">Sens!$G$3090</f>
        <v>58.8273579360065</v>
      </c>
      <c r="H3146" s="38" t="n">
        <f aca="false">Sens!$H$3090</f>
        <v>67.8004040185081</v>
      </c>
      <c r="I3146" s="38" t="n">
        <f aca="false">Sens!$I$3090</f>
        <v>78.9527630302702</v>
      </c>
      <c r="J3146" s="38" t="n">
        <f aca="false">Sens!$J$3090</f>
        <v>88.6042681781841</v>
      </c>
      <c r="K3146" s="38" t="n">
        <f aca="false">Sens!$K$3090</f>
        <v>95.6926096324389</v>
      </c>
      <c r="L3146" s="38" t="n">
        <f aca="false">Sens!$L$3090</f>
        <v>103.348018403034</v>
      </c>
      <c r="M3146" s="38" t="n">
        <f aca="false">Sens!$M$3090</f>
        <v>111.615859875277</v>
      </c>
      <c r="N3146" s="38" t="n">
        <f aca="false">Sens!$N$3090</f>
        <v>20.784358965108</v>
      </c>
      <c r="O3146" s="38" t="n">
        <f aca="false">Sens!$O$3090</f>
        <v>20.9435402281202</v>
      </c>
    </row>
    <row r="3147" customFormat="false" ht="17.15" hidden="false" customHeight="false" outlineLevel="0" collapsed="false">
      <c r="A3147" s="1" t="s">
        <v>684</v>
      </c>
      <c r="B3147" s="8" t="s">
        <v>73</v>
      </c>
      <c r="C3147" s="38" t="n">
        <f aca="false">Q!$D$24</f>
        <v>39.834</v>
      </c>
      <c r="D3147" s="38" t="n">
        <f aca="false">Q!$E$24</f>
        <v>45.606</v>
      </c>
      <c r="E3147" s="38" t="n">
        <f aca="false">Q!$P$24</f>
        <v>30.782</v>
      </c>
      <c r="F3147" s="38" t="n">
        <f aca="false">Sens!$F$3145+Sens!$F$3146</f>
        <v>35.9653375227289</v>
      </c>
      <c r="G3147" s="38" t="n">
        <f aca="false">Sens!$G$3145+Sens!$G$3146</f>
        <v>66.7473375227289</v>
      </c>
      <c r="H3147" s="38" t="n">
        <f aca="false">Sens!$H$3145+Sens!$H$3146</f>
        <v>87.0822229666888</v>
      </c>
      <c r="I3147" s="38" t="n">
        <f aca="false">Sens!$I$3145+Sens!$I$3146</f>
        <v>109.092877437472</v>
      </c>
      <c r="J3147" s="38" t="n">
        <f aca="false">Sens!$J$3145+Sens!$J$3146</f>
        <v>128.96121506117</v>
      </c>
      <c r="K3147" s="38" t="n">
        <f aca="false">Sens!$K$3145+Sens!$K$3146</f>
        <v>145.770907140632</v>
      </c>
      <c r="L3147" s="38" t="n">
        <f aca="false">Sens!$L$3145+Sens!$L$3146</f>
        <v>164.791350396533</v>
      </c>
      <c r="M3147" s="38" t="n">
        <f aca="false">Sens!$M$3145+Sens!$M$3146</f>
        <v>183.865739034062</v>
      </c>
      <c r="N3147" s="38" t="n">
        <f aca="false">Q!$N$24</f>
        <v>21.707</v>
      </c>
      <c r="O3147" s="38" t="n">
        <f aca="false">Q!$O$24</f>
        <v>23.899</v>
      </c>
    </row>
    <row r="3148" customFormat="false" ht="17.15" hidden="false" customHeight="false" outlineLevel="0" collapsed="false">
      <c r="A3148" s="5" t="s">
        <v>685</v>
      </c>
      <c r="B3148" s="0" t="s">
        <v>73</v>
      </c>
      <c r="C3148" s="38" t="n">
        <f aca="false">Q!$D$26</f>
        <v>0</v>
      </c>
      <c r="D3148" s="38" t="n">
        <f aca="false">Q!$E$26</f>
        <v>0</v>
      </c>
      <c r="E3148" s="38" t="n">
        <f aca="false">Q!$P$26</f>
        <v>0</v>
      </c>
      <c r="F3148" s="41" t="n">
        <v>0</v>
      </c>
      <c r="G3148" s="38" t="n">
        <f aca="false">Sens!$E$3148+Sens!$F$3148</f>
        <v>0</v>
      </c>
      <c r="H3148" s="41" t="n">
        <v>0</v>
      </c>
      <c r="I3148" s="41" t="n">
        <v>0</v>
      </c>
      <c r="J3148" s="41" t="n">
        <v>0</v>
      </c>
      <c r="K3148" s="41" t="n">
        <v>0</v>
      </c>
      <c r="L3148" s="41" t="n">
        <v>0</v>
      </c>
      <c r="M3148" s="41" t="n">
        <v>0</v>
      </c>
      <c r="N3148" s="38" t="n">
        <f aca="false">Q!$N$26</f>
        <v>0</v>
      </c>
      <c r="O3148" s="38" t="n">
        <f aca="false">Q!$O$26</f>
        <v>0</v>
      </c>
    </row>
    <row r="3149" customFormat="false" ht="15" hidden="false" customHeight="false" outlineLevel="0" collapsed="false">
      <c r="A3149" s="3" t="s">
        <v>494</v>
      </c>
      <c r="B3149" s="8" t="s">
        <v>73</v>
      </c>
      <c r="C3149" s="38" t="n">
        <f aca="false">Q!$D$25</f>
        <v>68.593</v>
      </c>
      <c r="D3149" s="38" t="n">
        <f aca="false">Q!$E$25</f>
        <v>79.975</v>
      </c>
      <c r="E3149" s="38" t="n">
        <f aca="false">Q!$P$25</f>
        <v>51.313</v>
      </c>
      <c r="F3149" s="38" t="n">
        <f aca="false">Sens!$F$3139+Sens!$F$3144+Sens!$F$3147+Sens!$F$3148</f>
        <v>59.6796432894868</v>
      </c>
      <c r="G3149" s="38" t="n">
        <f aca="false">Sens!$G$3139+Sens!$G$3144+Sens!$G$3147+Sens!$G$3148</f>
        <v>110.992643289487</v>
      </c>
      <c r="H3149" s="38" t="n">
        <f aca="false">Sens!$H$3139+Sens!$H$3144+Sens!$H$3147+Sens!$H$3148</f>
        <v>134.503686857324</v>
      </c>
      <c r="I3149" s="38" t="n">
        <f aca="false">Sens!$I$3139+Sens!$I$3144+Sens!$I$3147+Sens!$I$3148</f>
        <v>158.567905863015</v>
      </c>
      <c r="J3149" s="38" t="n">
        <f aca="false">Sens!$J$3139+Sens!$J$3144+Sens!$J$3147+Sens!$J$3148</f>
        <v>179.930136673988</v>
      </c>
      <c r="K3149" s="38" t="n">
        <f aca="false">Sens!$K$3139+Sens!$K$3144+Sens!$K$3147+Sens!$K$3148</f>
        <v>197.16481084625</v>
      </c>
      <c r="L3149" s="38" t="n">
        <f aca="false">Sens!$L$3139+Sens!$L$3144+Sens!$L$3147+Sens!$L$3148</f>
        <v>216.064562543281</v>
      </c>
      <c r="M3149" s="38" t="n">
        <f aca="false">Sens!$M$3139+Sens!$M$3144+Sens!$M$3147+Sens!$M$3148</f>
        <v>235.560232960133</v>
      </c>
      <c r="N3149" s="38" t="n">
        <f aca="false">Q!$N$25</f>
        <v>37.576</v>
      </c>
      <c r="O3149" s="38" t="n">
        <f aca="false">Q!$O$25</f>
        <v>42.399</v>
      </c>
    </row>
    <row r="3150" customFormat="false" ht="17.15" hidden="false" customHeight="false" outlineLevel="0" collapsed="false">
      <c r="A3150" s="24" t="s">
        <v>711</v>
      </c>
      <c r="B3150" s="25" t="s">
        <v>73</v>
      </c>
      <c r="C3150" s="39" t="n">
        <f aca="false">Sens!$C$3139+Sens!$C$3144+Sens!$C$3147+Sens!$C$3148-Sens!$C$3149</f>
        <v>0</v>
      </c>
      <c r="D3150" s="39" t="n">
        <f aca="false">Sens!$D$3139+Sens!$D$3144+Sens!$D$3147+Sens!$D$3148-Sens!$D$3149</f>
        <v>0</v>
      </c>
      <c r="E3150" s="39" t="n">
        <f aca="false">Sens!$E$3139+Sens!$E$3144+Sens!$E$3147+Sens!$E$3148-Sens!$E$3149</f>
        <v>0</v>
      </c>
      <c r="F3150" s="39" t="n">
        <f aca="false">Sens!$F$3139+Sens!$F$3144+Sens!$F$3147+Sens!$F$3148-Sens!$F$3149</f>
        <v>0</v>
      </c>
      <c r="G3150" s="39" t="n">
        <f aca="false">Sens!$G$3139+Sens!$G$3144+Sens!$G$3147+Sens!$G$3148-Sens!$G$3149</f>
        <v>0</v>
      </c>
      <c r="H3150" s="39" t="n">
        <f aca="false">Sens!$H$3139+Sens!$H$3144+Sens!$H$3147+Sens!$H$3148-Sens!$H$3149</f>
        <v>0</v>
      </c>
      <c r="I3150" s="39" t="n">
        <f aca="false">Sens!$I$3139+Sens!$I$3144+Sens!$I$3147+Sens!$I$3148-Sens!$I$3149</f>
        <v>0</v>
      </c>
      <c r="J3150" s="39" t="n">
        <f aca="false">Sens!$J$3139+Sens!$J$3144+Sens!$J$3147+Sens!$J$3148-Sens!$J$3149</f>
        <v>0</v>
      </c>
      <c r="K3150" s="39" t="n">
        <f aca="false">Sens!$K$3139+Sens!$K$3144+Sens!$K$3147+Sens!$K$3148-Sens!$K$3149</f>
        <v>0</v>
      </c>
      <c r="L3150" s="39" t="n">
        <f aca="false">Sens!$L$3139+Sens!$L$3144+Sens!$L$3147+Sens!$L$3148-Sens!$L$3149</f>
        <v>0</v>
      </c>
      <c r="M3150" s="39" t="n">
        <f aca="false">Sens!$M$3139+Sens!$M$3144+Sens!$M$3147+Sens!$M$3148-Sens!$M$3149</f>
        <v>0</v>
      </c>
      <c r="N3150" s="39" t="n">
        <f aca="false">Sens!$N$3139+Sens!$N$3144+Sens!$N$3147+Sens!$N$3148-Sens!$N$3149</f>
        <v>0</v>
      </c>
      <c r="O3150" s="39" t="n">
        <f aca="false">Sens!$O$3139+Sens!$O$3144+Sens!$O$3147+Sens!$O$3148-Sens!$O$3149</f>
        <v>0</v>
      </c>
    </row>
    <row r="3151" customFormat="false" ht="17.15" hidden="false" customHeight="false" outlineLevel="0" collapsed="false">
      <c r="A3151" s="0" t="s">
        <v>687</v>
      </c>
      <c r="B3151" s="0" t="s">
        <v>52</v>
      </c>
      <c r="C3151" s="12" t="n">
        <f aca="false">Sens!$C$3139/Sens!$C$3124</f>
        <v>0.0644314665661928</v>
      </c>
      <c r="D3151" s="12" t="n">
        <f aca="false">Sens!$D$3139/Sens!$D$3124</f>
        <v>0.0694784250712518</v>
      </c>
      <c r="E3151" s="12" t="n">
        <f aca="false">Sens!$E$3139/Sens!$E$3124</f>
        <v>0.0789306463326071</v>
      </c>
      <c r="F3151" s="12" t="n">
        <f aca="false">Sens!$F$3139/Sens!$F$3124</f>
        <v>0.0810653520492605</v>
      </c>
      <c r="G3151" s="12" t="n">
        <f aca="false">Sens!$G$3139/Sens!$G$3124</f>
        <v>0.080078581872585</v>
      </c>
      <c r="H3151" s="12" t="n">
        <f aca="false">Sens!$H$3139/Sens!$H$3124</f>
        <v>0.0784822406193055</v>
      </c>
      <c r="I3151" s="12" t="n">
        <f aca="false">Sens!$I$3139/Sens!$I$3124</f>
        <v>0.0760503981218094</v>
      </c>
      <c r="J3151" s="12" t="n">
        <f aca="false">Sens!$J$3139/Sens!$J$3124</f>
        <v>0.0737979381090246</v>
      </c>
      <c r="K3151" s="12" t="n">
        <f aca="false">Sens!$K$3139/Sens!$K$3124</f>
        <v>0.0712687823261346</v>
      </c>
      <c r="L3151" s="12" t="n">
        <f aca="false">Sens!$L$3139/Sens!$L$3124</f>
        <v>0.0676252647797926</v>
      </c>
      <c r="M3151" s="12" t="n">
        <f aca="false">Sens!$M$3139/Sens!$M$3124</f>
        <v>0.0647095577236858</v>
      </c>
      <c r="N3151" s="12" t="n">
        <f aca="false">Sens!$N$3139/Sens!$N$3124</f>
        <v>0.069228576611127</v>
      </c>
      <c r="O3151" s="12" t="n">
        <f aca="false">Sens!$O$3139/Sens!$O$3124</f>
        <v>0.069685022498393</v>
      </c>
    </row>
    <row r="3152" customFormat="false" ht="17.15" hidden="false" customHeight="false" outlineLevel="0" collapsed="false">
      <c r="A3152" s="0" t="s">
        <v>688</v>
      </c>
      <c r="B3152" s="0" t="s">
        <v>52</v>
      </c>
      <c r="C3152" s="12" t="n">
        <f aca="false">Sens!$C$3144/Sens!$C$3125</f>
        <v>0.026534925055631</v>
      </c>
      <c r="D3152" s="12" t="n">
        <f aca="false">Sens!$D$3144/Sens!$D$3125</f>
        <v>0.0293401855535103</v>
      </c>
      <c r="E3152" s="12" t="n">
        <f aca="false">Sens!$E$3144/Sens!$E$3125</f>
        <v>0.03831141902276</v>
      </c>
      <c r="F3152" s="12" t="n">
        <f aca="false">Sens!$F$3144/Sens!$F$3125</f>
        <v>0.0291847371649408</v>
      </c>
      <c r="G3152" s="12" t="n">
        <f aca="false">Sens!$G$3144/Sens!$G$3125</f>
        <v>0.0332821341446164</v>
      </c>
      <c r="H3152" s="12" t="n">
        <f aca="false">Sens!$H$3144/Sens!$H$3125</f>
        <v>0.0296916243582502</v>
      </c>
      <c r="I3152" s="12" t="n">
        <f aca="false">Sens!$I$3144/Sens!$I$3125</f>
        <v>0.0252419720026117</v>
      </c>
      <c r="J3152" s="12" t="n">
        <f aca="false">Sens!$J$3144/Sens!$J$3125</f>
        <v>0.0209079098439198</v>
      </c>
      <c r="K3152" s="12" t="n">
        <f aca="false">Sens!$K$3144/Sens!$K$3125</f>
        <v>0.0161913527100549</v>
      </c>
      <c r="L3152" s="12" t="n">
        <f aca="false">Sens!$L$3144/Sens!$L$3125</f>
        <v>0.0128973578975959</v>
      </c>
      <c r="M3152" s="12" t="n">
        <f aca="false">Sens!$M$3144/Sens!$M$3125</f>
        <v>0.0103392041686767</v>
      </c>
      <c r="N3152" s="12" t="n">
        <f aca="false">Sens!$N$3144/Sens!$N$3125</f>
        <v>0.0357315650169337</v>
      </c>
      <c r="O3152" s="12" t="n">
        <f aca="false">Sens!$O$3144/Sens!$O$3125</f>
        <v>0.0244378956559703</v>
      </c>
    </row>
    <row r="3153" customFormat="false" ht="17.15" hidden="false" customHeight="false" outlineLevel="0" collapsed="false">
      <c r="A3153" s="13" t="s">
        <v>689</v>
      </c>
      <c r="B3153" s="13" t="s">
        <v>52</v>
      </c>
      <c r="C3153" s="16" t="n">
        <f aca="false">Sens!$C$3147/Sens!$C$3126</f>
        <v>0.370355907620217</v>
      </c>
      <c r="D3153" s="16" t="n">
        <f aca="false">Sens!$D$3147/Sens!$D$3126</f>
        <v>0.35429015342785</v>
      </c>
      <c r="E3153" s="16" t="n">
        <f aca="false">Sens!$E$3147/Sens!$E$3126</f>
        <v>0.385647527531039</v>
      </c>
      <c r="F3153" s="16" t="n">
        <f aca="false">Sens!$F$3147/Sens!$F$3126</f>
        <v>0.384415729470259</v>
      </c>
      <c r="G3153" s="16" t="n">
        <f aca="false">Sens!$G$3147/Sens!$G$3126</f>
        <v>0.38498282105443</v>
      </c>
      <c r="H3153" s="16" t="n">
        <f aca="false">Sens!$H$3147/Sens!$H$3126</f>
        <v>0.361247909668527</v>
      </c>
      <c r="I3153" s="16" t="n">
        <f aca="false">Sens!$I$3147/Sens!$I$3126</f>
        <v>0.349486287974975</v>
      </c>
      <c r="J3153" s="16" t="n">
        <f aca="false">Sens!$J$3147/Sens!$J$3126</f>
        <v>0.339886531832068</v>
      </c>
      <c r="K3153" s="16" t="n">
        <f aca="false">Sens!$K$3147/Sens!$K$3126</f>
        <v>0.33135833762061</v>
      </c>
      <c r="L3153" s="16" t="n">
        <f aca="false">Sens!$L$3147/Sens!$L$3126</f>
        <v>0.328299068185284</v>
      </c>
      <c r="M3153" s="16" t="n">
        <f aca="false">Sens!$M$3147/Sens!$M$3126</f>
        <v>0.325058049465166</v>
      </c>
      <c r="N3153" s="16" t="n">
        <f aca="false">Sens!$N$3147/Sens!$N$3126</f>
        <v>0.360941137346192</v>
      </c>
      <c r="O3153" s="16" t="n">
        <f aca="false">Sens!$O$3147/Sens!$O$3126</f>
        <v>0.348458117664212</v>
      </c>
    </row>
    <row r="3154" customFormat="false" ht="17.15" hidden="false" customHeight="false" outlineLevel="0" collapsed="false">
      <c r="A3154" s="0" t="s">
        <v>690</v>
      </c>
      <c r="B3154" s="0" t="s">
        <v>52</v>
      </c>
      <c r="C3154" s="12" t="n">
        <f aca="false">Sens!$C$3145/Sens!$C$3127</f>
        <v>0.708390794789371</v>
      </c>
      <c r="D3154" s="12" t="n">
        <f aca="false">Sens!$D$3145/Sens!$D$3127</f>
        <v>0.445565630441968</v>
      </c>
      <c r="E3154" s="12" t="n">
        <f aca="false">Sens!$E$3145/Sens!$E$3127</f>
        <v>0.165998118402711</v>
      </c>
      <c r="F3154" s="12" t="n">
        <f aca="false">Sens!$F$3145/Sens!$F$3127</f>
        <v>0.434878595403858</v>
      </c>
      <c r="G3154" s="12" t="n">
        <f aca="false">Sens!$G$3145/Sens!$G$3127</f>
        <v>0.3373967615381</v>
      </c>
      <c r="H3154" s="12" t="n">
        <f aca="false">Sens!$H$3145/Sens!$H$3127</f>
        <v>0.320477578041224</v>
      </c>
      <c r="I3154" s="12" t="n">
        <f aca="false">Sens!$I$3145/Sens!$I$3127</f>
        <v>0.296936118226494</v>
      </c>
      <c r="J3154" s="12" t="n">
        <f aca="false">Sens!$J$3145/Sens!$J$3127</f>
        <v>0.282166278613001</v>
      </c>
      <c r="K3154" s="12" t="n">
        <f aca="false">Sens!$K$3145/Sens!$K$3127</f>
        <v>0.271267685694333</v>
      </c>
      <c r="L3154" s="12" t="n">
        <f aca="false">Sens!$L$3145/Sens!$L$3127</f>
        <v>0.27160960915653</v>
      </c>
      <c r="M3154" s="12" t="n">
        <f aca="false">Sens!$M$3145/Sens!$M$3127</f>
        <v>0.26974494804234</v>
      </c>
      <c r="N3154" s="12" t="n">
        <f aca="false">Sens!$N$3145/Sens!$N$3127</f>
        <v>0.302870734830849</v>
      </c>
      <c r="O3154" s="12" t="n">
        <f aca="false">Sens!$O$3145/Sens!$O$3127</f>
        <v>0.52240134346334</v>
      </c>
    </row>
    <row r="3155" customFormat="false" ht="15" hidden="false" customHeight="false" outlineLevel="0" collapsed="false">
      <c r="A3155" s="5" t="s">
        <v>691</v>
      </c>
      <c r="B3155" s="0" t="s">
        <v>52</v>
      </c>
      <c r="C3155" s="12" t="n">
        <f aca="false">Sens!$C$3149/Sens!$C$3129</f>
        <v>0.107519448742004</v>
      </c>
      <c r="D3155" s="12" t="n">
        <f aca="false">Sens!$D$3149/Sens!$D$3129</f>
        <v>0.111552967957552</v>
      </c>
      <c r="E3155" s="12" t="n">
        <f aca="false">Sens!$E$3149/Sens!$E$3129</f>
        <v>0.13428328426562</v>
      </c>
      <c r="F3155" s="12" t="n">
        <f aca="false">Sens!$F$3149/Sens!$F$3129</f>
        <v>0.132475743521898</v>
      </c>
      <c r="G3155" s="12" t="n">
        <f aca="false">Sens!$G$3149/Sens!$G$3129</f>
        <v>0.133305301557764</v>
      </c>
      <c r="H3155" s="12" t="n">
        <f aca="false">Sens!$H$3149/Sens!$H$3129</f>
        <v>0.13852147607086</v>
      </c>
      <c r="I3155" s="12" t="n">
        <f aca="false">Sens!$I$3149/Sens!$I$3129</f>
        <v>0.142796379073998</v>
      </c>
      <c r="J3155" s="12" t="n">
        <f aca="false">Sens!$J$3149/Sens!$J$3129</f>
        <v>0.144969199430493</v>
      </c>
      <c r="K3155" s="12" t="n">
        <f aca="false">Sens!$K$3149/Sens!$K$3129</f>
        <v>0.145243602769671</v>
      </c>
      <c r="L3155" s="12" t="n">
        <f aca="false">Sens!$L$3149/Sens!$L$3129</f>
        <v>0.1460645690766</v>
      </c>
      <c r="M3155" s="12" t="n">
        <f aca="false">Sens!$M$3149/Sens!$M$3129</f>
        <v>0.146597185286298</v>
      </c>
      <c r="N3155" s="12" t="n">
        <f aca="false">Sens!$N$3149/Sens!$N$3129</f>
        <v>0.116201614873411</v>
      </c>
      <c r="O3155" s="12" t="n">
        <f aca="false">Sens!$O$3149/Sens!$O$3129</f>
        <v>0.107733353660861</v>
      </c>
    </row>
    <row r="3156" customFormat="false" ht="17.15" hidden="false" customHeight="false" outlineLevel="0" collapsed="false">
      <c r="A3156" s="1" t="s">
        <v>692</v>
      </c>
    </row>
    <row r="3157" customFormat="false" ht="17.15" hidden="false" customHeight="false" outlineLevel="0" collapsed="false">
      <c r="A3157" s="5" t="s">
        <v>693</v>
      </c>
      <c r="B3157" s="0" t="s">
        <v>52</v>
      </c>
      <c r="D3157" s="28" t="n">
        <f aca="false">(Q!$E$29+Q!$E$30-(1-ext_sh)*Sens!$D$3081)/Sens!$D$3039</f>
        <v>0.0334674312393194</v>
      </c>
    </row>
    <row r="3158" customFormat="false" ht="17.15" hidden="false" customHeight="false" outlineLevel="0" collapsed="false">
      <c r="A3158" s="0" t="s">
        <v>498</v>
      </c>
      <c r="B3158" s="0" t="s">
        <v>73</v>
      </c>
      <c r="C3158" s="38" t="n">
        <f aca="false">Q!$D$29</f>
        <v>14.285</v>
      </c>
      <c r="D3158" s="38" t="n">
        <f aca="false">Q!$E$29</f>
        <v>15.503</v>
      </c>
      <c r="E3158" s="38" t="n">
        <f aca="false">Q!$P$29</f>
        <v>8.78</v>
      </c>
      <c r="F3158" s="38" t="n">
        <f aca="false">(Sens!$D$3157*Sens!$F$3039+(1-ext_sh)*Sens!$F$3081)*Sens!$F$3040</f>
        <v>9.51361751569285</v>
      </c>
      <c r="G3158" s="38" t="n">
        <f aca="false">Sens!$E$3158+Sens!$F$3158</f>
        <v>18.2936175156929</v>
      </c>
      <c r="H3158" s="38" t="n">
        <f aca="false">(Sens!$D$3157*Sens!$H$3039+(1-ext_sh)*Sens!$H$3081)*Sens!$H$3040</f>
        <v>22.7653661801943</v>
      </c>
      <c r="I3158" s="38" t="n">
        <f aca="false">(Sens!$D$3157*Sens!$I$3039+(1-ext_sh)*Sens!$I$3081)*Sens!$I$3040</f>
        <v>28.4281317305062</v>
      </c>
      <c r="J3158" s="38" t="n">
        <f aca="false">(Sens!$D$3157*Sens!$J$3039+(1-ext_sh)*Sens!$J$3081)*Sens!$J$3040</f>
        <v>34.1182922009732</v>
      </c>
      <c r="K3158" s="38" t="n">
        <f aca="false">(Sens!$D$3157*Sens!$K$3039+(1-ext_sh)*Sens!$K$3081)*Sens!$K$3040</f>
        <v>39.7237727987046</v>
      </c>
      <c r="L3158" s="38" t="n">
        <f aca="false">(Sens!$D$3157*Sens!$L$3039+(1-ext_sh)*Sens!$L$3081)*Sens!$L$3040</f>
        <v>45.1313127180263</v>
      </c>
      <c r="M3158" s="38" t="n">
        <f aca="false">(Sens!$D$3157*Sens!$M$3039+(1-ext_sh)*Sens!$M$3081)*Sens!$M$3040</f>
        <v>50.743940615442</v>
      </c>
      <c r="N3158" s="38" t="n">
        <f aca="false">Q!$N$29</f>
        <v>7.272</v>
      </c>
      <c r="O3158" s="38" t="n">
        <f aca="false">Q!$O$29</f>
        <v>8.231</v>
      </c>
    </row>
    <row r="3159" customFormat="false" ht="17.15" hidden="false" customHeight="false" outlineLevel="0" collapsed="false">
      <c r="A3159" s="0" t="s">
        <v>500</v>
      </c>
      <c r="B3159" s="0" t="s">
        <v>73</v>
      </c>
      <c r="C3159" s="38" t="n">
        <f aca="false">Q!$D$30</f>
        <v>4.462</v>
      </c>
      <c r="D3159" s="38" t="n">
        <f aca="false">Q!$E$30</f>
        <v>4.907</v>
      </c>
      <c r="E3159" s="38" t="n">
        <f aca="false">Q!$P$30</f>
        <v>2.57</v>
      </c>
      <c r="F3159" s="38" t="n">
        <f aca="false">(Sens!$D$3157*Sens!$F$3039+(1-ext_sh)*Sens!$F$3081)*(1-Sens!$F$3040)</f>
        <v>3.7353230631574</v>
      </c>
      <c r="G3159" s="38" t="n">
        <f aca="false">Sens!$E$3159+Sens!$F$3159</f>
        <v>6.3053230631574</v>
      </c>
      <c r="H3159" s="38" t="n">
        <f aca="false">(Sens!$D$3157*Sens!$H$3039+(1-ext_sh)*Sens!$H$3081)*(1-Sens!$H$3040)</f>
        <v>8.72254636724805</v>
      </c>
      <c r="I3159" s="38" t="n">
        <f aca="false">(Sens!$D$3157*Sens!$I$3039+(1-ext_sh)*Sens!$I$3081)*(1-Sens!$I$3040)</f>
        <v>10.8922340713019</v>
      </c>
      <c r="J3159" s="38" t="n">
        <f aca="false">(Sens!$D$3157*Sens!$J$3039+(1-ext_sh)*Sens!$J$3081)*(1-Sens!$J$3040)</f>
        <v>13.0724181345791</v>
      </c>
      <c r="K3159" s="38" t="n">
        <f aca="false">(Sens!$D$3157*Sens!$K$3039+(1-ext_sh)*Sens!$K$3081)*(1-Sens!$K$3040)</f>
        <v>15.2201571183236</v>
      </c>
      <c r="L3159" s="38" t="n">
        <f aca="false">(Sens!$D$3157*Sens!$L$3039+(1-ext_sh)*Sens!$L$3081)*(1-Sens!$L$3040)</f>
        <v>17.2920551631732</v>
      </c>
      <c r="M3159" s="38" t="n">
        <f aca="false">(Sens!$D$3157*Sens!$M$3039+(1-ext_sh)*Sens!$M$3081)*(1-Sens!$M$3040)</f>
        <v>19.4425326336348</v>
      </c>
      <c r="N3159" s="38" t="n">
        <f aca="false">Q!$N$30</f>
        <v>2.316</v>
      </c>
      <c r="O3159" s="38" t="n">
        <f aca="false">Q!$O$30</f>
        <v>2.591</v>
      </c>
    </row>
    <row r="3160" customFormat="false" ht="17.15" hidden="false" customHeight="false" outlineLevel="0" collapsed="false">
      <c r="A3160" s="0" t="s">
        <v>501</v>
      </c>
      <c r="B3160" s="0" t="s">
        <v>73</v>
      </c>
      <c r="C3160" s="38" t="n">
        <f aca="false">Sens!$C$3093</f>
        <v>13.32</v>
      </c>
      <c r="D3160" s="38" t="n">
        <f aca="false">Sens!$D$3093</f>
        <v>21.45</v>
      </c>
      <c r="E3160" s="38" t="n">
        <f aca="false">Sens!$E$3093</f>
        <v>15.353</v>
      </c>
      <c r="F3160" s="38" t="n">
        <f aca="false">Sens!$F$3093</f>
        <v>17.3614451462707</v>
      </c>
      <c r="G3160" s="38" t="n">
        <f aca="false">Sens!$G$3093</f>
        <v>32.7144451462707</v>
      </c>
      <c r="H3160" s="38" t="n">
        <f aca="false">Sens!$H$3093</f>
        <v>56.1966092719415</v>
      </c>
      <c r="I3160" s="38" t="n">
        <f aca="false">Sens!$I$3093</f>
        <v>82.9744039068297</v>
      </c>
      <c r="J3160" s="38" t="n">
        <f aca="false">Sens!$J$3093</f>
        <v>109.943252237669</v>
      </c>
      <c r="K3160" s="38" t="n">
        <f aca="false">Sens!$K$3093</f>
        <v>136.406703436571</v>
      </c>
      <c r="L3160" s="38" t="n">
        <f aca="false">Sens!$L$3093</f>
        <v>161.485870454155</v>
      </c>
      <c r="M3160" s="38" t="n">
        <f aca="false">Sens!$M$3093</f>
        <v>187.389846618199</v>
      </c>
      <c r="N3160" s="38" t="n">
        <f aca="false">Sens!$N$3093</f>
        <v>9.234</v>
      </c>
      <c r="O3160" s="38" t="n">
        <f aca="false">Sens!$O$3093</f>
        <v>12.216</v>
      </c>
    </row>
    <row r="3161" customFormat="false" ht="17.15" hidden="false" customHeight="false" outlineLevel="0" collapsed="false">
      <c r="A3161" s="5" t="s">
        <v>694</v>
      </c>
      <c r="B3161" s="0" t="s">
        <v>73</v>
      </c>
      <c r="C3161" s="38" t="n">
        <f aca="false">Sens!$C$3158+Sens!$C$3159+Sens!$C$3160</f>
        <v>32.067</v>
      </c>
      <c r="D3161" s="38" t="n">
        <f aca="false">Sens!$D$3158+Sens!$D$3159+Sens!$D$3160</f>
        <v>41.86</v>
      </c>
      <c r="E3161" s="38" t="n">
        <f aca="false">Sens!$E$3158+Sens!$E$3159+Sens!$E$3160</f>
        <v>26.703</v>
      </c>
      <c r="F3161" s="38" t="n">
        <f aca="false">Sens!$F$3158+Sens!$F$3159+Sens!$F$3160</f>
        <v>30.6103857251209</v>
      </c>
      <c r="G3161" s="38" t="n">
        <f aca="false">Sens!$G$3158+Sens!$G$3159+Sens!$G$3160</f>
        <v>57.3133857251209</v>
      </c>
      <c r="H3161" s="38" t="n">
        <f aca="false">Sens!$H$3158+Sens!$H$3159+Sens!$H$3160</f>
        <v>87.6845218193838</v>
      </c>
      <c r="I3161" s="38" t="n">
        <f aca="false">Sens!$I$3158+Sens!$I$3159+Sens!$I$3160</f>
        <v>122.294769708638</v>
      </c>
      <c r="J3161" s="38" t="n">
        <f aca="false">Sens!$J$3158+Sens!$J$3159+Sens!$J$3160</f>
        <v>157.133962573221</v>
      </c>
      <c r="K3161" s="38" t="n">
        <f aca="false">Sens!$K$3158+Sens!$K$3159+Sens!$K$3160</f>
        <v>191.350633353599</v>
      </c>
      <c r="L3161" s="38" t="n">
        <f aca="false">Sens!$L$3158+Sens!$L$3159+Sens!$L$3160</f>
        <v>223.909238335354</v>
      </c>
      <c r="M3161" s="38" t="n">
        <f aca="false">Sens!$M$3158+Sens!$M$3159+Sens!$M$3160</f>
        <v>257.576319867276</v>
      </c>
      <c r="N3161" s="38" t="n">
        <f aca="false">Sens!$N$3158+Sens!$N$3159+Sens!$N$3160</f>
        <v>18.822</v>
      </c>
      <c r="O3161" s="38" t="n">
        <f aca="false">Sens!$O$3158+Sens!$O$3159+Sens!$O$3160</f>
        <v>23.038</v>
      </c>
    </row>
    <row r="3162" customFormat="false" ht="17.15" hidden="false" customHeight="false" outlineLevel="0" collapsed="false">
      <c r="A3162" s="0" t="s">
        <v>695</v>
      </c>
      <c r="B3162" s="0" t="s">
        <v>73</v>
      </c>
      <c r="C3162" s="38" t="n">
        <f aca="false">Sens!$C$3135+Sens!$C$3140</f>
        <v>22.4856</v>
      </c>
      <c r="D3162" s="38" t="n">
        <f aca="false">Sens!$D$3135+Sens!$D$3140</f>
        <v>27.454</v>
      </c>
      <c r="E3162" s="38" t="n">
        <f aca="false">Sens!$E$3135+Sens!$E$3140</f>
        <v>14.8208</v>
      </c>
      <c r="F3162" s="38" t="n">
        <f aca="false">Sens!$F$3135+Sens!$F$3140</f>
        <v>19.2613352730953</v>
      </c>
      <c r="G3162" s="38" t="n">
        <f aca="false">Sens!$G$3135+Sens!$G$3140</f>
        <v>34.0821352730953</v>
      </c>
      <c r="H3162" s="38" t="n">
        <f aca="false">Sens!$H$3135+Sens!$H$3140</f>
        <v>40.9173447435761</v>
      </c>
      <c r="I3162" s="38" t="n">
        <f aca="false">Sens!$I$3135+Sens!$I$3140</f>
        <v>47.7519350340964</v>
      </c>
      <c r="J3162" s="38" t="n">
        <f aca="false">Sens!$J$3135+Sens!$J$3140</f>
        <v>54.1276316195377</v>
      </c>
      <c r="K3162" s="38" t="n">
        <f aca="false">Sens!$K$3135+Sens!$K$3140</f>
        <v>59.5403947814915</v>
      </c>
      <c r="L3162" s="38" t="n">
        <f aca="false">Sens!$L$3135+Sens!$L$3140</f>
        <v>65.4944342596406</v>
      </c>
      <c r="M3162" s="38" t="n">
        <f aca="false">Sens!$M$3135+Sens!$M$3140</f>
        <v>72.0438776856047</v>
      </c>
      <c r="N3162" s="38" t="n">
        <f aca="false">Sens!$N$3135+Sens!$N$3140</f>
        <v>11.846</v>
      </c>
      <c r="O3162" s="38" t="n">
        <f aca="false">Sens!$O$3135+Sens!$O$3140</f>
        <v>15.608</v>
      </c>
    </row>
    <row r="3163" customFormat="false" ht="17.15" hidden="false" customHeight="false" outlineLevel="0" collapsed="false">
      <c r="A3163" s="0" t="s">
        <v>696</v>
      </c>
      <c r="B3163" s="0" t="s">
        <v>73</v>
      </c>
      <c r="C3163" s="38" t="n">
        <f aca="false">Sens!$C$3139+Sens!$C$3144+Sens!$C$3158+Sens!$C$3159-Sens!$C$3162</f>
        <v>25.0204</v>
      </c>
      <c r="D3163" s="38" t="n">
        <f aca="false">Sens!$D$3139+Sens!$D$3144+Sens!$D$3158+Sens!$D$3159-Sens!$D$3162</f>
        <v>27.325</v>
      </c>
      <c r="E3163" s="38" t="n">
        <f aca="false">Sens!$E$3139+Sens!$E$3144+Sens!$E$3158+Sens!$E$3159-Sens!$E$3162</f>
        <v>17.0602</v>
      </c>
      <c r="F3163" s="38" t="n">
        <f aca="false">Sens!$F$3139+Sens!$F$3144+Sens!$F$3158+Sens!$F$3159-Sens!$F$3162</f>
        <v>17.7019110725129</v>
      </c>
      <c r="G3163" s="38" t="n">
        <f aca="false">Sens!$G$3139+Sens!$G$3144+Sens!$G$3158+Sens!$G$3159-Sens!$G$3162</f>
        <v>34.7621110725129</v>
      </c>
      <c r="H3163" s="38" t="n">
        <f aca="false">Sens!$H$3139+Sens!$H$3144+Sens!$H$3158+Sens!$H$3159-Sens!$H$3162</f>
        <v>37.9920316945012</v>
      </c>
      <c r="I3163" s="38" t="n">
        <f aca="false">Sens!$I$3139+Sens!$I$3144+Sens!$I$3158+Sens!$I$3159-Sens!$I$3162</f>
        <v>41.0434591932541</v>
      </c>
      <c r="J3163" s="38" t="n">
        <f aca="false">Sens!$J$3139+Sens!$J$3144+Sens!$J$3158+Sens!$J$3159-Sens!$J$3162</f>
        <v>44.0320003288326</v>
      </c>
      <c r="K3163" s="38" t="n">
        <f aca="false">Sens!$K$3139+Sens!$K$3144+Sens!$K$3158+Sens!$K$3159-Sens!$K$3162</f>
        <v>46.7974388411551</v>
      </c>
      <c r="L3163" s="38" t="n">
        <f aca="false">Sens!$L$3139+Sens!$L$3144+Sens!$L$3158+Sens!$L$3159-Sens!$L$3162</f>
        <v>48.2021457683067</v>
      </c>
      <c r="M3163" s="38" t="n">
        <f aca="false">Sens!$M$3139+Sens!$M$3144+Sens!$M$3158+Sens!$M$3159-Sens!$M$3162</f>
        <v>49.837089489544</v>
      </c>
      <c r="N3163" s="38" t="n">
        <f aca="false">Sens!$N$3139+Sens!$N$3144+Sens!$N$3158+Sens!$N$3159-Sens!$N$3162</f>
        <v>13.611</v>
      </c>
      <c r="O3163" s="38" t="n">
        <f aca="false">Sens!$O$3139+Sens!$O$3144+Sens!$O$3158+Sens!$O$3159-Sens!$O$3162</f>
        <v>13.714</v>
      </c>
    </row>
    <row r="3164" customFormat="false" ht="17.15" hidden="false" customHeight="false" outlineLevel="0" collapsed="false">
      <c r="A3164" s="0" t="s">
        <v>697</v>
      </c>
      <c r="B3164" s="0" t="s">
        <v>73</v>
      </c>
      <c r="C3164" s="38" t="n">
        <f aca="false">Sens!$C$3146+Sens!$C$3160-ext_sh*Sens!$C$3081</f>
        <v>51.3470500115664</v>
      </c>
      <c r="D3164" s="38" t="n">
        <f aca="false">Sens!$D$3146+Sens!$D$3160-ext_sh*Sens!$D$3081</f>
        <v>60.2799375433739</v>
      </c>
      <c r="E3164" s="38" t="n">
        <f aca="false">Sens!$E$3146+Sens!$E$3160-ext_sh*Sens!$E$3081</f>
        <v>39.5095167090767</v>
      </c>
      <c r="F3164" s="38" t="n">
        <f aca="false">Sens!$F$3146+Sens!$F$3160-ext_sh*Sens!$F$3081</f>
        <v>41.606724953129</v>
      </c>
      <c r="G3164" s="38" t="n">
        <f aca="false">Sens!$G$3146+Sens!$G$3160-ext_sh*Sens!$G$3081</f>
        <v>81.1162416622057</v>
      </c>
      <c r="H3164" s="38" t="n">
        <f aca="false">Sens!$H$3146+Sens!$H$3160-ext_sh*Sens!$H$3081</f>
        <v>95.7616595325849</v>
      </c>
      <c r="I3164" s="38" t="n">
        <f aca="false">Sens!$I$3146+Sens!$I$3160-ext_sh*Sens!$I$3081</f>
        <v>111.513312079935</v>
      </c>
      <c r="J3164" s="38" t="n">
        <f aca="false">Sens!$J$3146+Sens!$J$3160-ext_sh*Sens!$J$3081</f>
        <v>125.145150463955</v>
      </c>
      <c r="K3164" s="38" t="n">
        <f aca="false">Sens!$K$3146+Sens!$K$3160-ext_sh*Sens!$K$3081</f>
        <v>135.156762501071</v>
      </c>
      <c r="L3164" s="38" t="n">
        <f aca="false">Sens!$L$3146+Sens!$L$3160-ext_sh*Sens!$L$3081</f>
        <v>145.969303501157</v>
      </c>
      <c r="M3164" s="38" t="n">
        <f aca="false">Sens!$M$3146+Sens!$M$3160-ext_sh*Sens!$M$3081</f>
        <v>157.646847781249</v>
      </c>
      <c r="N3164" s="38" t="n">
        <f aca="false">Sens!$N$3146+Sens!$N$3160-ext_sh*Sens!$N$3081</f>
        <v>28.5693781401809</v>
      </c>
      <c r="O3164" s="38" t="n">
        <f aca="false">Sens!$O$3146+Sens!$O$3160-ext_sh*Sens!$O$3081</f>
        <v>31.7105594031931</v>
      </c>
    </row>
    <row r="3165" customFormat="false" ht="17.15" hidden="false" customHeight="false" outlineLevel="0" collapsed="false">
      <c r="A3165" s="0" t="s">
        <v>698</v>
      </c>
      <c r="B3165" s="0" t="s">
        <v>73</v>
      </c>
      <c r="C3165" s="38" t="n">
        <f aca="false">Sens!$C$3084</f>
        <v>1.80694998843362</v>
      </c>
      <c r="D3165" s="38" t="n">
        <f aca="false">Sens!$D$3084</f>
        <v>6.77606245662607</v>
      </c>
      <c r="E3165" s="38" t="n">
        <f aca="false">Sens!$E$3084</f>
        <v>6.62548329092326</v>
      </c>
      <c r="F3165" s="38" t="n">
        <f aca="false">Sens!$F$3084</f>
        <v>11.7200577158706</v>
      </c>
      <c r="G3165" s="38" t="n">
        <f aca="false">Sens!$G$3084</f>
        <v>18.3455410067939</v>
      </c>
      <c r="H3165" s="38" t="n">
        <f aca="false">Sens!$H$3084</f>
        <v>47.5171727060453</v>
      </c>
      <c r="I3165" s="38" t="n">
        <f aca="false">Sens!$I$3084</f>
        <v>80.5539692643667</v>
      </c>
      <c r="J3165" s="38" t="n">
        <f aca="false">Sens!$J$3084</f>
        <v>113.759316834883</v>
      </c>
      <c r="K3165" s="38" t="n">
        <f aca="false">Sens!$K$3084</f>
        <v>147.020848076132</v>
      </c>
      <c r="L3165" s="38" t="n">
        <f aca="false">Sens!$L$3084</f>
        <v>180.307917349531</v>
      </c>
      <c r="M3165" s="38" t="n">
        <f aca="false">Sens!$M$3084</f>
        <v>213.608737871012</v>
      </c>
      <c r="N3165" s="38" t="n">
        <f aca="false">Sens!$N$3084</f>
        <v>2.37162185981912</v>
      </c>
      <c r="O3165" s="38" t="n">
        <f aca="false">Sens!$O$3084</f>
        <v>4.40444059680694</v>
      </c>
    </row>
    <row r="3166" customFormat="false" ht="17.15" hidden="false" customHeight="false" outlineLevel="0" collapsed="false">
      <c r="A3166" s="0" t="s">
        <v>699</v>
      </c>
      <c r="B3166" s="0" t="s">
        <v>73</v>
      </c>
      <c r="C3166" s="38" t="n">
        <f aca="false">Sens!$C$3149+Sens!$C$3161</f>
        <v>100.66</v>
      </c>
      <c r="D3166" s="38" t="n">
        <f aca="false">Sens!$D$3149+Sens!$D$3161</f>
        <v>121.835</v>
      </c>
      <c r="E3166" s="38" t="n">
        <f aca="false">Sens!$E$3149+Sens!$E$3161</f>
        <v>78.016</v>
      </c>
      <c r="F3166" s="38" t="n">
        <f aca="false">Sens!$F$3149+Sens!$F$3161</f>
        <v>90.2900290146077</v>
      </c>
      <c r="G3166" s="38" t="n">
        <f aca="false">Sens!$G$3149+Sens!$G$3161</f>
        <v>168.306029014608</v>
      </c>
      <c r="H3166" s="38" t="n">
        <f aca="false">Sens!$H$3149+Sens!$H$3161</f>
        <v>222.188208676708</v>
      </c>
      <c r="I3166" s="38" t="n">
        <f aca="false">Sens!$I$3149+Sens!$I$3161</f>
        <v>280.862675571653</v>
      </c>
      <c r="J3166" s="38" t="n">
        <f aca="false">Sens!$J$3149+Sens!$J$3161</f>
        <v>337.064099247208</v>
      </c>
      <c r="K3166" s="38" t="n">
        <f aca="false">Sens!$K$3149+Sens!$K$3161</f>
        <v>388.51544419985</v>
      </c>
      <c r="L3166" s="38" t="n">
        <f aca="false">Sens!$L$3149+Sens!$L$3161</f>
        <v>439.973800878635</v>
      </c>
      <c r="M3166" s="38" t="n">
        <f aca="false">Sens!$M$3149+Sens!$M$3161</f>
        <v>493.13655282741</v>
      </c>
      <c r="N3166" s="38" t="n">
        <f aca="false">Sens!$N$3149+Sens!$N$3161</f>
        <v>56.398</v>
      </c>
      <c r="O3166" s="38" t="n">
        <f aca="false">Sens!$O$3149+Sens!$O$3161</f>
        <v>65.437</v>
      </c>
    </row>
    <row r="3167" customFormat="false" ht="17.15" hidden="false" customHeight="false" outlineLevel="0" collapsed="false">
      <c r="A3167" s="1" t="s">
        <v>700</v>
      </c>
    </row>
    <row r="3168" customFormat="false" ht="15" hidden="false" customHeight="false" outlineLevel="0" collapsed="false">
      <c r="A3168" s="5" t="s">
        <v>504</v>
      </c>
      <c r="B3168" s="0" t="s">
        <v>73</v>
      </c>
      <c r="C3168" s="38" t="n">
        <f aca="false">Q!$D$34</f>
        <v>2.406</v>
      </c>
      <c r="D3168" s="38" t="n">
        <f aca="false">Q!$E$34</f>
        <v>2.274</v>
      </c>
      <c r="E3168" s="38" t="n">
        <f aca="false">Q!$P$34</f>
        <v>2.114</v>
      </c>
      <c r="F3168" s="38" t="n">
        <f aca="false">Sens!$F$3204</f>
        <v>3.24888964316061</v>
      </c>
      <c r="G3168" s="38" t="n">
        <f aca="false">Sens!$E$3168+Sens!$F$3168</f>
        <v>5.36288964316061</v>
      </c>
      <c r="H3168" s="38" t="n">
        <f aca="false">Sens!$H$3204</f>
        <v>7.42354178632123</v>
      </c>
      <c r="I3168" s="38" t="n">
        <f aca="false">Sens!$I$3204</f>
        <v>7.58863635862829</v>
      </c>
      <c r="J3168" s="38" t="n">
        <f aca="false">Sens!$J$3204</f>
        <v>7.9538752190318</v>
      </c>
      <c r="K3168" s="38" t="n">
        <f aca="false">Sens!$K$3204</f>
        <v>7.9538752190318</v>
      </c>
      <c r="L3168" s="38" t="n">
        <f aca="false">Sens!$L$3204</f>
        <v>7.9538752190318</v>
      </c>
      <c r="M3168" s="38" t="n">
        <f aca="false">Sens!$M$3204</f>
        <v>7.9538752190318</v>
      </c>
      <c r="N3168" s="38" t="n">
        <f aca="false">Q!$N$34</f>
        <v>1.057</v>
      </c>
      <c r="O3168" s="38" t="n">
        <f aca="false">Q!$O$34</f>
        <v>1.217</v>
      </c>
    </row>
    <row r="3169" customFormat="false" ht="15" hidden="false" customHeight="false" outlineLevel="0" collapsed="false">
      <c r="A3169" s="5" t="s">
        <v>701</v>
      </c>
      <c r="B3169" s="0" t="s">
        <v>73</v>
      </c>
      <c r="F3169" s="38" t="n">
        <f aca="false">Sens!$F$3205</f>
        <v>2.59</v>
      </c>
      <c r="H3169" s="38" t="n">
        <f aca="false">Sens!$H$3205</f>
        <v>4.002652527872</v>
      </c>
      <c r="I3169" s="38" t="n">
        <f aca="false">Sens!$I$3205</f>
        <v>2.10589651022864</v>
      </c>
      <c r="J3169" s="38" t="n">
        <f aca="false">Sens!$J$3205</f>
        <v>2.10589651022864</v>
      </c>
      <c r="K3169" s="38" t="n">
        <f aca="false">Sens!$K$3205</f>
        <v>3.66881376449524</v>
      </c>
      <c r="L3169" s="38" t="n">
        <f aca="false">Sens!$L$3205</f>
        <v>6.98909285645528</v>
      </c>
      <c r="M3169" s="38" t="n">
        <f aca="false">Sens!$M$3205</f>
        <v>10.778650775511</v>
      </c>
    </row>
    <row r="3170" customFormat="false" ht="17.15" hidden="false" customHeight="false" outlineLevel="0" collapsed="false">
      <c r="A3170" s="5" t="s">
        <v>702</v>
      </c>
      <c r="B3170" s="0" t="s">
        <v>73</v>
      </c>
      <c r="C3170" s="38" t="n">
        <f aca="false">Q!$D$39</f>
        <v>2.427</v>
      </c>
      <c r="D3170" s="38" t="n">
        <f aca="false">Q!$E$39</f>
        <v>19.61</v>
      </c>
      <c r="E3170" s="38" t="n">
        <f aca="false">Q!$P$39</f>
        <v>71.492</v>
      </c>
      <c r="F3170" s="41" t="n">
        <v>0</v>
      </c>
      <c r="G3170" s="38" t="n">
        <f aca="false">Sens!$E$3170+Sens!$F$3170</f>
        <v>71.492</v>
      </c>
      <c r="H3170" s="41" t="n">
        <v>0</v>
      </c>
      <c r="I3170" s="41" t="n">
        <v>0</v>
      </c>
      <c r="J3170" s="41" t="n">
        <v>0</v>
      </c>
      <c r="K3170" s="41" t="n">
        <v>0</v>
      </c>
      <c r="L3170" s="41" t="n">
        <v>0</v>
      </c>
      <c r="M3170" s="41" t="n">
        <v>0</v>
      </c>
      <c r="N3170" s="38" t="n">
        <f aca="false">Q!$N$39</f>
        <v>6.017</v>
      </c>
      <c r="O3170" s="38" t="n">
        <f aca="false">Q!$O$39</f>
        <v>13.593</v>
      </c>
      <c r="P3170" s="5" t="s">
        <v>703</v>
      </c>
    </row>
    <row r="3171" customFormat="false" ht="15" hidden="false" customHeight="false" outlineLevel="0" collapsed="false">
      <c r="A3171" s="5" t="s">
        <v>507</v>
      </c>
      <c r="B3171" s="0" t="s">
        <v>73</v>
      </c>
      <c r="C3171" s="38" t="n">
        <f aca="false">Q!$D$36</f>
        <v>68.614</v>
      </c>
      <c r="D3171" s="38" t="n">
        <f aca="false">Q!$E$36</f>
        <v>97.311</v>
      </c>
      <c r="E3171" s="38" t="n">
        <f aca="false">Q!$P$36</f>
        <v>120.691</v>
      </c>
      <c r="F3171" s="38" t="n">
        <f aca="false">Sens!$F$3149-Sens!$F$3168+Sens!$F$3169+Sens!$F$3170</f>
        <v>59.0207536463262</v>
      </c>
      <c r="G3171" s="38" t="n">
        <f aca="false">Sens!$E$3171+Sens!$F$3171</f>
        <v>179.711753646326</v>
      </c>
      <c r="H3171" s="38" t="n">
        <f aca="false">Sens!$H$3149-Sens!$H$3168+Sens!$H$3169+Sens!$H$3170</f>
        <v>131.082797598875</v>
      </c>
      <c r="I3171" s="38" t="n">
        <f aca="false">Sens!$I$3149-Sens!$I$3168+Sens!$I$3169+Sens!$I$3170</f>
        <v>153.085166014615</v>
      </c>
      <c r="J3171" s="38" t="n">
        <f aca="false">Sens!$J$3149-Sens!$J$3168+Sens!$J$3169+Sens!$J$3170</f>
        <v>174.082157965184</v>
      </c>
      <c r="K3171" s="38" t="n">
        <f aca="false">Sens!$K$3149-Sens!$K$3168+Sens!$K$3169+Sens!$K$3170</f>
        <v>192.879749391714</v>
      </c>
      <c r="L3171" s="38" t="n">
        <f aca="false">Sens!$L$3149-Sens!$L$3168+Sens!$L$3169+Sens!$L$3170</f>
        <v>215.099780180704</v>
      </c>
      <c r="M3171" s="38" t="n">
        <f aca="false">Sens!$M$3149-Sens!$M$3168+Sens!$M$3169+Sens!$M$3170</f>
        <v>238.385008516613</v>
      </c>
      <c r="N3171" s="38" t="n">
        <f aca="false">Q!$N$36</f>
        <v>42.536</v>
      </c>
      <c r="O3171" s="38" t="n">
        <f aca="false">Q!$O$36</f>
        <v>54.775</v>
      </c>
    </row>
    <row r="3172" customFormat="false" ht="15" hidden="false" customHeight="false" outlineLevel="0" collapsed="false">
      <c r="A3172" s="5" t="s">
        <v>508</v>
      </c>
      <c r="B3172" s="0" t="s">
        <v>73</v>
      </c>
      <c r="C3172" s="38" t="n">
        <f aca="false">Q!$D$37</f>
        <v>9.265</v>
      </c>
      <c r="D3172" s="38" t="n">
        <f aca="false">Q!$E$37</f>
        <v>19.087</v>
      </c>
      <c r="E3172" s="38" t="n">
        <f aca="false">Q!$P$37</f>
        <v>27.759</v>
      </c>
      <c r="F3172" s="38" t="n">
        <f aca="false">Sens!$F$3171*tax</f>
        <v>10.2450895825137</v>
      </c>
      <c r="G3172" s="38" t="n">
        <f aca="false">Sens!$E$3172+Sens!$F$3172</f>
        <v>38.0040895825137</v>
      </c>
      <c r="H3172" s="38" t="n">
        <f aca="false">Sens!$H$3171*tax</f>
        <v>22.7539453693604</v>
      </c>
      <c r="I3172" s="38" t="n">
        <f aca="false">Sens!$I$3171*tax</f>
        <v>26.5732160753481</v>
      </c>
      <c r="J3172" s="38" t="n">
        <f aca="false">Sens!$J$3171*tax</f>
        <v>30.2179689835532</v>
      </c>
      <c r="K3172" s="38" t="n">
        <f aca="false">Sens!$K$3171*tax</f>
        <v>33.4809399929427</v>
      </c>
      <c r="L3172" s="38" t="n">
        <f aca="false">Sens!$L$3171*tax</f>
        <v>37.3379935189543</v>
      </c>
      <c r="M3172" s="38" t="n">
        <f aca="false">Sens!$M$3171*tax</f>
        <v>41.3799488569054</v>
      </c>
      <c r="N3172" s="38" t="n">
        <f aca="false">Q!$N$37</f>
        <v>7.231</v>
      </c>
      <c r="O3172" s="38" t="n">
        <f aca="false">Q!$O$37</f>
        <v>11.856</v>
      </c>
    </row>
    <row r="3173" customFormat="false" ht="15" hidden="false" customHeight="false" outlineLevel="0" collapsed="false">
      <c r="A3173" s="3" t="s">
        <v>509</v>
      </c>
      <c r="B3173" s="8" t="s">
        <v>73</v>
      </c>
      <c r="C3173" s="38" t="n">
        <f aca="false">Q!$D$38</f>
        <v>59.248</v>
      </c>
      <c r="D3173" s="38" t="n">
        <f aca="false">Q!$E$38</f>
        <v>77.67</v>
      </c>
      <c r="E3173" s="38" t="n">
        <f aca="false">Q!$P$38</f>
        <v>92.902</v>
      </c>
      <c r="F3173" s="38" t="n">
        <f aca="false">Sens!$F$3171-Sens!$F$3172</f>
        <v>48.7756640638125</v>
      </c>
      <c r="G3173" s="38" t="n">
        <f aca="false">Sens!$E$3173+Sens!$F$3173</f>
        <v>141.677664063812</v>
      </c>
      <c r="H3173" s="38" t="n">
        <f aca="false">Sens!$H$3171-Sens!$H$3172</f>
        <v>108.328852229514</v>
      </c>
      <c r="I3173" s="38" t="n">
        <f aca="false">Sens!$I$3171-Sens!$I$3172</f>
        <v>126.511949939267</v>
      </c>
      <c r="J3173" s="38" t="n">
        <f aca="false">Sens!$J$3171-Sens!$J$3172</f>
        <v>143.864188981631</v>
      </c>
      <c r="K3173" s="38" t="n">
        <f aca="false">Sens!$K$3171-Sens!$K$3172</f>
        <v>159.398809398771</v>
      </c>
      <c r="L3173" s="38" t="n">
        <f aca="false">Sens!$L$3171-Sens!$L$3172</f>
        <v>177.76178666175</v>
      </c>
      <c r="M3173" s="38" t="n">
        <f aca="false">Sens!$M$3171-Sens!$M$3172</f>
        <v>197.005059659707</v>
      </c>
      <c r="N3173" s="38" t="n">
        <f aca="false">Q!$N$38</f>
        <v>35.291</v>
      </c>
      <c r="O3173" s="38" t="n">
        <f aca="false">Q!$O$38</f>
        <v>42.379</v>
      </c>
    </row>
    <row r="3174" customFormat="false" ht="17.15" hidden="false" customHeight="false" outlineLevel="0" collapsed="false">
      <c r="A3174" s="5" t="s">
        <v>512</v>
      </c>
      <c r="B3174" s="5" t="s">
        <v>33</v>
      </c>
      <c r="C3174" s="22" t="n">
        <f aca="false">Q!$D$41</f>
        <v>10.721</v>
      </c>
      <c r="D3174" s="22" t="n">
        <f aca="false">Q!$E$41</f>
        <v>10.827</v>
      </c>
      <c r="E3174" s="22" t="n">
        <f aca="false">(Q!$L$41+Q!$M$41)/2</f>
        <v>10.8885</v>
      </c>
      <c r="F3174" s="22" t="n">
        <f aca="false">Sens!$G$3174</f>
        <v>10.924806</v>
      </c>
      <c r="G3174" s="22" t="n">
        <f aca="false">Q!$M$41*(1+sh_g*0.25)</f>
        <v>10.924806</v>
      </c>
      <c r="H3174" s="22" t="n">
        <f aca="false">Sens!$G$3174*(1+sh_g)</f>
        <v>11.012204448</v>
      </c>
      <c r="I3174" s="22" t="n">
        <f aca="false">Sens!$H$3174*(1+sh_g)</f>
        <v>11.100302083584</v>
      </c>
      <c r="J3174" s="22" t="n">
        <f aca="false">Sens!$I$3174*(1+sh_g)</f>
        <v>11.1891045002527</v>
      </c>
      <c r="K3174" s="22" t="n">
        <f aca="false">Sens!$J$3174*(1+sh_g)</f>
        <v>11.2786173362547</v>
      </c>
      <c r="L3174" s="22" t="n">
        <f aca="false">Sens!$K$3174*(1+sh_g)</f>
        <v>11.3688462749447</v>
      </c>
      <c r="M3174" s="22" t="n">
        <f aca="false">Sens!$L$3174*(1+sh_g)</f>
        <v>11.4597970451443</v>
      </c>
      <c r="P3174" s="5" t="s">
        <v>704</v>
      </c>
    </row>
    <row r="3175" customFormat="false" ht="17.15" hidden="false" customHeight="false" outlineLevel="0" collapsed="false">
      <c r="A3175" s="42" t="s">
        <v>705</v>
      </c>
      <c r="B3175" s="13" t="s">
        <v>27</v>
      </c>
      <c r="C3175" s="43" t="n">
        <f aca="false">Sens!$C$3173/Sens!$C$3174</f>
        <v>5.52635015390355</v>
      </c>
      <c r="D3175" s="43" t="n">
        <f aca="false">Sens!$D$3173/Sens!$D$3174</f>
        <v>7.1737323358271</v>
      </c>
      <c r="E3175" s="43" t="n">
        <f aca="false">Sens!$E$3173/Sens!$E$3174</f>
        <v>8.53212104513937</v>
      </c>
      <c r="F3175" s="13"/>
      <c r="G3175" s="43" t="n">
        <f aca="false">Sens!$G$3173/Sens!$G$3174</f>
        <v>12.9684375231755</v>
      </c>
      <c r="H3175" s="43" t="n">
        <f aca="false">Sens!$H$3173/Sens!$H$3174</f>
        <v>9.83716318935474</v>
      </c>
      <c r="I3175" s="43" t="n">
        <f aca="false">Sens!$I$3173/Sens!$I$3174</f>
        <v>11.3971627967101</v>
      </c>
      <c r="J3175" s="43" t="n">
        <f aca="false">Sens!$J$3173/Sens!$J$3174</f>
        <v>12.8575248339474</v>
      </c>
      <c r="K3175" s="43" t="n">
        <f aca="false">Sens!$K$3173/Sens!$K$3174</f>
        <v>14.1328324781788</v>
      </c>
      <c r="L3175" s="43" t="n">
        <f aca="false">Sens!$L$3173/Sens!$L$3174</f>
        <v>15.6358686152271</v>
      </c>
      <c r="M3175" s="43" t="n">
        <f aca="false">Sens!$M$3173/Sens!$M$3174</f>
        <v>17.1909728316857</v>
      </c>
      <c r="N3175" s="13"/>
      <c r="O3175" s="13"/>
    </row>
    <row r="3176" customFormat="false" ht="17.15" hidden="false" customHeight="false" outlineLevel="0" collapsed="false">
      <c r="A3176" s="0" t="s">
        <v>706</v>
      </c>
      <c r="B3176" s="0" t="s">
        <v>27</v>
      </c>
      <c r="C3176" s="30" t="n">
        <f aca="false">(Sens!$C$3173-Sens!$C$3170*(1-tax))/Sens!$C$3174</f>
        <v>5.33926775917445</v>
      </c>
      <c r="D3176" s="30" t="n">
        <f aca="false">(Sens!$D$3173-Sens!$D$3170*(1-tax))/Sens!$D$3174</f>
        <v>5.67691812755503</v>
      </c>
      <c r="E3176" s="30" t="n">
        <f aca="false">(Sens!$E$3173-Sens!$E$3170*(1-tax))/Sens!$E$3174</f>
        <v>3.10602057006846</v>
      </c>
      <c r="G3176" s="30" t="n">
        <f aca="false">(Sens!$G$3173-Sens!$G$3170*(1-tax))/Sens!$G$3174</f>
        <v>7.56036940527849</v>
      </c>
      <c r="H3176" s="30" t="n">
        <f aca="false">(Sens!$H$3173-Sens!$H$3170*(1-tax))/Sens!$H$3174</f>
        <v>9.83716318935474</v>
      </c>
      <c r="I3176" s="30" t="n">
        <f aca="false">(Sens!$I$3173-Sens!$I$3170*(1-tax))/Sens!$I$3174</f>
        <v>11.3971627967101</v>
      </c>
      <c r="J3176" s="30" t="n">
        <f aca="false">(Sens!$J$3173-Sens!$J$3170*(1-tax))/Sens!$J$3174</f>
        <v>12.8575248339474</v>
      </c>
      <c r="K3176" s="30" t="n">
        <f aca="false">(Sens!$K$3173-Sens!$K$3170*(1-tax))/Sens!$K$3174</f>
        <v>14.1328324781788</v>
      </c>
      <c r="L3176" s="30" t="n">
        <f aca="false">(Sens!$L$3173-Sens!$L$3170*(1-tax))/Sens!$L$3174</f>
        <v>15.6358686152271</v>
      </c>
      <c r="M3176" s="30" t="n">
        <f aca="false">(Sens!$M$3173-Sens!$M$3170*(1-tax))/Sens!$M$3174</f>
        <v>17.1909728316857</v>
      </c>
      <c r="P3176" s="5" t="s">
        <v>707</v>
      </c>
    </row>
    <row r="3177" customFormat="false" ht="17.15" hidden="false" customHeight="false" outlineLevel="0" collapsed="false">
      <c r="A3177" s="0" t="s">
        <v>708</v>
      </c>
      <c r="B3177" s="0" t="s">
        <v>52</v>
      </c>
      <c r="H3177" s="12" t="n">
        <f aca="false">Sens!$H$3175/Sens!$G$3175-1</f>
        <v>-0.241453477199927</v>
      </c>
      <c r="I3177" s="12" t="n">
        <f aca="false">Sens!$I$3175/Sens!$H$3175-1</f>
        <v>0.15858226374078</v>
      </c>
      <c r="J3177" s="12" t="n">
        <f aca="false">Sens!$J$3175/Sens!$I$3175-1</f>
        <v>0.128133822714092</v>
      </c>
      <c r="K3177" s="12" t="n">
        <f aca="false">Sens!$K$3175/Sens!$J$3175-1</f>
        <v>0.0991876477550528</v>
      </c>
      <c r="L3177" s="12" t="n">
        <f aca="false">Sens!$L$3175/Sens!$K$3175-1</f>
        <v>0.106350665329756</v>
      </c>
      <c r="M3177" s="12" t="n">
        <f aca="false">Sens!$M$3175/Sens!$L$3175-1</f>
        <v>0.099457488082505</v>
      </c>
    </row>
    <row r="3180" customFormat="false" ht="19.4" hidden="false" customHeight="false" outlineLevel="0" collapsed="false">
      <c r="A3180" s="31" t="s">
        <v>1111</v>
      </c>
    </row>
    <row r="3181" customFormat="false" ht="17.15" hidden="false" customHeight="false" outlineLevel="0" collapsed="false">
      <c r="A3181" s="6" t="s">
        <v>16</v>
      </c>
      <c r="B3181" s="6" t="s">
        <v>17</v>
      </c>
      <c r="C3181" s="20" t="s">
        <v>457</v>
      </c>
      <c r="D3181" s="20" t="s">
        <v>458</v>
      </c>
      <c r="E3181" s="20" t="s">
        <v>540</v>
      </c>
      <c r="F3181" s="20" t="s">
        <v>541</v>
      </c>
      <c r="G3181" s="20" t="s">
        <v>542</v>
      </c>
      <c r="H3181" s="20" t="s">
        <v>543</v>
      </c>
      <c r="I3181" s="20" t="s">
        <v>544</v>
      </c>
      <c r="J3181" s="20" t="s">
        <v>545</v>
      </c>
      <c r="K3181" s="20" t="s">
        <v>546</v>
      </c>
      <c r="L3181" s="20" t="s">
        <v>547</v>
      </c>
      <c r="M3181" s="20" t="s">
        <v>548</v>
      </c>
      <c r="N3181" s="20" t="s">
        <v>549</v>
      </c>
      <c r="O3181" s="20" t="s">
        <v>550</v>
      </c>
      <c r="P3181" s="6" t="s">
        <v>23</v>
      </c>
      <c r="R3181" s="20" t="n">
        <v>2023</v>
      </c>
      <c r="S3181" s="20" t="n">
        <v>2024</v>
      </c>
      <c r="T3181" s="20" t="n">
        <v>2025</v>
      </c>
      <c r="U3181" s="20" t="n">
        <v>2026</v>
      </c>
      <c r="V3181" s="20" t="n">
        <v>2027</v>
      </c>
      <c r="W3181" s="20" t="n">
        <v>2028</v>
      </c>
      <c r="X3181" s="20" t="n">
        <v>2029</v>
      </c>
      <c r="Y3181" s="20" t="n">
        <v>2030</v>
      </c>
      <c r="Z3181" s="20" t="n">
        <v>2031</v>
      </c>
      <c r="AA3181" s="20" t="n">
        <v>2032</v>
      </c>
    </row>
    <row r="3182" customFormat="false" ht="15" hidden="false" customHeight="false" outlineLevel="0" collapsed="false">
      <c r="A3182" s="5" t="s">
        <v>509</v>
      </c>
      <c r="B3182" s="0" t="s">
        <v>73</v>
      </c>
      <c r="C3182" s="38" t="n">
        <f aca="false">Sens!$C$3173</f>
        <v>59.248</v>
      </c>
      <c r="D3182" s="38" t="n">
        <f aca="false">Sens!$D$3173</f>
        <v>77.67</v>
      </c>
      <c r="E3182" s="38" t="n">
        <f aca="false">Sens!$E$3173</f>
        <v>92.902</v>
      </c>
      <c r="F3182" s="38" t="n">
        <f aca="false">Sens!$F$3173</f>
        <v>48.7756640638125</v>
      </c>
      <c r="G3182" s="38" t="n">
        <f aca="false">Sens!$G$3173</f>
        <v>141.677664063812</v>
      </c>
      <c r="H3182" s="38" t="n">
        <f aca="false">Sens!$H$3173</f>
        <v>108.328852229514</v>
      </c>
      <c r="I3182" s="38" t="n">
        <f aca="false">Sens!$I$3173</f>
        <v>126.511949939267</v>
      </c>
      <c r="J3182" s="38" t="n">
        <f aca="false">Sens!$J$3173</f>
        <v>143.864188981631</v>
      </c>
      <c r="K3182" s="38" t="n">
        <f aca="false">Sens!$K$3173</f>
        <v>159.398809398771</v>
      </c>
      <c r="L3182" s="38" t="n">
        <f aca="false">Sens!$L$3173</f>
        <v>177.76178666175</v>
      </c>
      <c r="M3182" s="38" t="n">
        <f aca="false">Sens!$M$3173</f>
        <v>197.005059659707</v>
      </c>
    </row>
    <row r="3183" customFormat="false" ht="17.15" hidden="false" customHeight="false" outlineLevel="0" collapsed="false">
      <c r="A3183" s="5" t="s">
        <v>730</v>
      </c>
      <c r="B3183" s="0" t="s">
        <v>73</v>
      </c>
      <c r="C3183" s="38" t="n">
        <f aca="false">Sens!$C$3161</f>
        <v>32.067</v>
      </c>
      <c r="D3183" s="38" t="n">
        <f aca="false">Sens!$D$3161</f>
        <v>41.86</v>
      </c>
      <c r="E3183" s="38" t="n">
        <f aca="false">Sens!$E$3161</f>
        <v>26.703</v>
      </c>
      <c r="F3183" s="38" t="n">
        <f aca="false">Sens!$F$3161</f>
        <v>30.6103857251209</v>
      </c>
      <c r="G3183" s="38" t="n">
        <f aca="false">Sens!$G$3161</f>
        <v>57.3133857251209</v>
      </c>
      <c r="H3183" s="38" t="n">
        <f aca="false">Sens!$H$3161</f>
        <v>87.6845218193838</v>
      </c>
      <c r="I3183" s="38" t="n">
        <f aca="false">Sens!$I$3161</f>
        <v>122.294769708638</v>
      </c>
      <c r="J3183" s="38" t="n">
        <f aca="false">Sens!$J$3161</f>
        <v>157.133962573221</v>
      </c>
      <c r="K3183" s="38" t="n">
        <f aca="false">Sens!$K$3161</f>
        <v>191.350633353599</v>
      </c>
      <c r="L3183" s="38" t="n">
        <f aca="false">Sens!$L$3161</f>
        <v>223.909238335354</v>
      </c>
      <c r="M3183" s="38" t="n">
        <f aca="false">Sens!$M$3161</f>
        <v>257.576319867276</v>
      </c>
    </row>
    <row r="3184" customFormat="false" ht="15" hidden="false" customHeight="false" outlineLevel="0" collapsed="false">
      <c r="A3184" s="5" t="s">
        <v>731</v>
      </c>
      <c r="B3184" s="0" t="s">
        <v>73</v>
      </c>
      <c r="C3184" s="38" t="n">
        <f aca="false">Q!$D$48</f>
        <v>22.011</v>
      </c>
      <c r="D3184" s="38" t="n">
        <f aca="false">Q!$E$48</f>
        <v>19.467</v>
      </c>
      <c r="E3184" s="38" t="n">
        <f aca="false">Q!$P$48</f>
        <v>10.07</v>
      </c>
      <c r="F3184" s="38" t="n">
        <f aca="false">sbc_r*Sens!$F$3105</f>
        <v>11.2170714500462</v>
      </c>
      <c r="G3184" s="38" t="n">
        <f aca="false">Sens!$E$3184+Sens!$F$3184</f>
        <v>21.2870714500462</v>
      </c>
      <c r="H3184" s="38" t="n">
        <f aca="false">sbc_r*Sens!$H$3105</f>
        <v>24.1772394325528</v>
      </c>
      <c r="I3184" s="38" t="n">
        <f aca="false">sbc_r*Sens!$I$3105</f>
        <v>27.6495284422397</v>
      </c>
      <c r="J3184" s="38" t="n">
        <f aca="false">sbc_r*Sens!$J$3105</f>
        <v>30.9042211184633</v>
      </c>
      <c r="K3184" s="38" t="n">
        <f aca="false">sbc_r*Sens!$K$3105</f>
        <v>33.8004145402678</v>
      </c>
      <c r="L3184" s="38" t="n">
        <f aca="false">sbc_r*Sens!$L$3105</f>
        <v>36.8322537652494</v>
      </c>
      <c r="M3184" s="38" t="n">
        <f aca="false">sbc_r*Sens!$M$3105</f>
        <v>40.0097627968013</v>
      </c>
    </row>
    <row r="3185" customFormat="false" ht="17.15" hidden="false" customHeight="false" outlineLevel="0" collapsed="false">
      <c r="A3185" s="5" t="s">
        <v>732</v>
      </c>
      <c r="B3185" s="0" t="s">
        <v>73</v>
      </c>
      <c r="C3185" s="38" t="n">
        <f aca="false">Q!$D$44-Sens!$C$3182-Sens!$C$3183-Sens!$C$3184</f>
        <v>2.551</v>
      </c>
      <c r="D3185" s="38" t="n">
        <f aca="false">Q!$E$44-Sens!$D$3182-Sens!$D$3183-Sens!$D$3184</f>
        <v>0.51700000000001</v>
      </c>
      <c r="E3185" s="38" t="n">
        <f aca="false">Q!$P$44-Sens!$E$3182-Sens!$E$3183-Sens!$E$3184</f>
        <v>-58.256</v>
      </c>
      <c r="F3185" s="38" t="n">
        <f aca="false">wc_2h26+oth_r*Sens!$F$3105</f>
        <v>7.34599241893378</v>
      </c>
      <c r="G3185" s="38" t="n">
        <f aca="false">Sens!$E$3185+Sens!$F$3185</f>
        <v>-50.9100075810662</v>
      </c>
      <c r="H3185" s="38" t="n">
        <f aca="false">oth_r*Sens!$H$3105</f>
        <v>11.6369707537667</v>
      </c>
      <c r="I3185" s="38" t="n">
        <f aca="false">oth_r*Sens!$I$3105</f>
        <v>13.3082502961262</v>
      </c>
      <c r="J3185" s="38" t="n">
        <f aca="false">oth_r*Sens!$J$3105</f>
        <v>14.8747965344332</v>
      </c>
      <c r="K3185" s="38" t="n">
        <f aca="false">oth_r*Sens!$K$3105</f>
        <v>16.2687901804328</v>
      </c>
      <c r="L3185" s="38" t="n">
        <f aca="false">oth_r*Sens!$L$3105</f>
        <v>17.7280727627002</v>
      </c>
      <c r="M3185" s="38" t="n">
        <f aca="false">oth_r*Sens!$M$3105</f>
        <v>19.2574690270319</v>
      </c>
      <c r="P3185" s="8" t="s">
        <v>733</v>
      </c>
    </row>
    <row r="3186" customFormat="false" ht="15" hidden="false" customHeight="false" outlineLevel="0" collapsed="false">
      <c r="A3186" s="3" t="s">
        <v>515</v>
      </c>
      <c r="B3186" s="8" t="s">
        <v>73</v>
      </c>
      <c r="C3186" s="38" t="n">
        <f aca="false">Q!$D$44</f>
        <v>115.877</v>
      </c>
      <c r="D3186" s="38" t="n">
        <f aca="false">Q!$E$44</f>
        <v>139.514</v>
      </c>
      <c r="E3186" s="38" t="n">
        <f aca="false">Q!$P$44</f>
        <v>71.419</v>
      </c>
      <c r="F3186" s="38" t="n">
        <f aca="false">Sens!$F$3182+Sens!$F$3183+Sens!$F$3184+Sens!$F$3185</f>
        <v>97.9491136579134</v>
      </c>
      <c r="G3186" s="38" t="n">
        <f aca="false">Sens!$E$3186+Sens!$F$3186</f>
        <v>169.368113657913</v>
      </c>
      <c r="H3186" s="38" t="n">
        <f aca="false">Sens!$H$3182+Sens!$H$3183+Sens!$H$3184+Sens!$H$3185</f>
        <v>231.827584235217</v>
      </c>
      <c r="I3186" s="38" t="n">
        <f aca="false">Sens!$I$3182+Sens!$I$3183+Sens!$I$3184+Sens!$I$3185</f>
        <v>289.764498386271</v>
      </c>
      <c r="J3186" s="38" t="n">
        <f aca="false">Sens!$J$3182+Sens!$J$3183+Sens!$J$3184+Sens!$J$3185</f>
        <v>346.777169207749</v>
      </c>
      <c r="K3186" s="38" t="n">
        <f aca="false">Sens!$K$3182+Sens!$K$3183+Sens!$K$3184+Sens!$K$3185</f>
        <v>400.818647473071</v>
      </c>
      <c r="L3186" s="38" t="n">
        <f aca="false">Sens!$L$3182+Sens!$L$3183+Sens!$L$3184+Sens!$L$3185</f>
        <v>456.231351525054</v>
      </c>
      <c r="M3186" s="38" t="n">
        <f aca="false">Sens!$M$3182+Sens!$M$3183+Sens!$M$3184+Sens!$M$3185</f>
        <v>513.848611350817</v>
      </c>
    </row>
    <row r="3187" customFormat="false" ht="17.15" hidden="false" customHeight="false" outlineLevel="0" collapsed="false">
      <c r="A3187" s="5" t="s">
        <v>734</v>
      </c>
      <c r="B3187" s="0" t="s">
        <v>73</v>
      </c>
      <c r="C3187" s="38" t="n">
        <f aca="false">Sens!$C$3075</f>
        <v>25.2781053077374</v>
      </c>
      <c r="D3187" s="38" t="n">
        <f aca="false">Sens!$D$3075</f>
        <v>69.5686316310026</v>
      </c>
      <c r="E3187" s="38" t="n">
        <f aca="false">Sens!$E$3075</f>
        <v>64.1899206485108</v>
      </c>
      <c r="F3187" s="38" t="n">
        <f aca="false">Sens!$F$3075</f>
        <v>96.2481299895</v>
      </c>
      <c r="G3187" s="38" t="n">
        <f aca="false">Sens!$G$3075</f>
        <v>160.438050638011</v>
      </c>
      <c r="H3187" s="38" t="n">
        <f aca="false">Sens!$H$3075</f>
        <v>198.57136494475</v>
      </c>
      <c r="I3187" s="38" t="n">
        <f aca="false">Sens!$I$3075</f>
        <v>204.6464699105</v>
      </c>
      <c r="J3187" s="38" t="n">
        <f aca="false">Sens!$J$3075</f>
        <v>209.8832381105</v>
      </c>
      <c r="K3187" s="38" t="n">
        <f aca="false">Sens!$K$3075</f>
        <v>215.1200063105</v>
      </c>
      <c r="L3187" s="38" t="n">
        <f aca="false">Sens!$L$3075</f>
        <v>251.7773837105</v>
      </c>
      <c r="M3187" s="38" t="n">
        <f aca="false">Sens!$M$3075</f>
        <v>311.87584476575</v>
      </c>
    </row>
    <row r="3188" customFormat="false" ht="17.15" hidden="false" customHeight="false" outlineLevel="0" collapsed="false">
      <c r="A3188" s="5" t="s">
        <v>735</v>
      </c>
      <c r="B3188" s="0" t="s">
        <v>73</v>
      </c>
      <c r="C3188" s="38" t="n">
        <f aca="false">cx_awso*Sens!$C$3103</f>
        <v>21.0469989286053</v>
      </c>
      <c r="D3188" s="38" t="n">
        <f aca="false">cx_awso*Sens!$D$3103</f>
        <v>24.0042459822698</v>
      </c>
      <c r="E3188" s="38" t="n">
        <f aca="false">cx_awso*Sens!$E$3103</f>
        <v>14.261729404886</v>
      </c>
      <c r="F3188" s="38" t="n">
        <f aca="false">cx_awso*Sens!$F$3103</f>
        <v>15.7190020837331</v>
      </c>
      <c r="G3188" s="38" t="n">
        <f aca="false">Sens!$E$3188+Sens!$F$3188</f>
        <v>29.9807314886191</v>
      </c>
      <c r="H3188" s="38" t="n">
        <f aca="false">cx_awso*Sens!$H$3103</f>
        <v>36.1787121536283</v>
      </c>
      <c r="I3188" s="38" t="n">
        <f aca="false">cx_awso*Sens!$I$3103</f>
        <v>42.1296794430021</v>
      </c>
      <c r="J3188" s="38" t="n">
        <f aca="false">cx_awso*Sens!$J$3103</f>
        <v>47.279781889299</v>
      </c>
      <c r="K3188" s="38" t="n">
        <f aca="false">cx_awso*Sens!$K$3103</f>
        <v>51.0621644404429</v>
      </c>
      <c r="L3188" s="38" t="n">
        <f aca="false">cx_awso*Sens!$L$3103</f>
        <v>55.1471375956783</v>
      </c>
      <c r="M3188" s="38" t="n">
        <f aca="false">cx_awso*Sens!$M$3103</f>
        <v>59.5589086033326</v>
      </c>
    </row>
    <row r="3189" customFormat="false" ht="17.15" hidden="false" customHeight="false" outlineLevel="0" collapsed="false">
      <c r="A3189" s="5" t="s">
        <v>736</v>
      </c>
      <c r="B3189" s="0" t="s">
        <v>73</v>
      </c>
      <c r="C3189" s="38" t="n">
        <f aca="false">Q!$D$46-Sens!$C$3187-Sens!$C$3188</f>
        <v>31.3328957636573</v>
      </c>
      <c r="D3189" s="38" t="n">
        <f aca="false">Q!$E$46-Sens!$D$3187-Sens!$D$3188</f>
        <v>34.7471223867276</v>
      </c>
      <c r="E3189" s="38" t="n">
        <f aca="false">Q!$P$46-Sens!$E$3187-Sens!$E$3188</f>
        <v>17.8583499466032</v>
      </c>
      <c r="F3189" s="38" t="n">
        <f aca="false">cx_rt*Sens!$F$3039</f>
        <v>21.0855744229195</v>
      </c>
      <c r="G3189" s="38" t="n">
        <f aca="false">Sens!$E$3189+Sens!$F$3189</f>
        <v>38.9439243695228</v>
      </c>
      <c r="H3189" s="38" t="n">
        <f aca="false">cx_rt*Sens!$H$3039</f>
        <v>43.1200434029767</v>
      </c>
      <c r="I3189" s="38" t="n">
        <f aca="false">cx_rt*Sens!$I$3039</f>
        <v>47.1583152318763</v>
      </c>
      <c r="J3189" s="38" t="n">
        <f aca="false">cx_rt*Sens!$J$3039</f>
        <v>50.9060281137911</v>
      </c>
      <c r="K3189" s="38" t="n">
        <f aca="false">cx_rt*Sens!$K$3039</f>
        <v>54.2035645673053</v>
      </c>
      <c r="L3189" s="38" t="n">
        <f aca="false">cx_rt*Sens!$L$3039</f>
        <v>57.7318979121519</v>
      </c>
      <c r="M3189" s="38" t="n">
        <f aca="false">cx_rt*Sens!$M$3039</f>
        <v>61.5084196557756</v>
      </c>
    </row>
    <row r="3190" customFormat="false" ht="15" hidden="false" customHeight="false" outlineLevel="0" collapsed="false">
      <c r="A3190" s="3" t="s">
        <v>737</v>
      </c>
      <c r="B3190" s="8" t="s">
        <v>73</v>
      </c>
      <c r="C3190" s="38" t="n">
        <f aca="false">Q!$D$46</f>
        <v>77.658</v>
      </c>
      <c r="D3190" s="38" t="n">
        <f aca="false">Q!$E$46</f>
        <v>128.32</v>
      </c>
      <c r="E3190" s="38" t="n">
        <f aca="false">Q!$P$46</f>
        <v>96.31</v>
      </c>
      <c r="F3190" s="38" t="n">
        <f aca="false">Sens!$F$3187+Sens!$F$3188+Sens!$F$3189</f>
        <v>133.052706496153</v>
      </c>
      <c r="G3190" s="38" t="n">
        <f aca="false">Sens!$E$3190+Sens!$F$3190</f>
        <v>229.362706496153</v>
      </c>
      <c r="H3190" s="38" t="n">
        <f aca="false">Sens!$H$3187+Sens!$H$3188+Sens!$H$3189</f>
        <v>277.870120501355</v>
      </c>
      <c r="I3190" s="38" t="n">
        <f aca="false">Sens!$I$3187+Sens!$I$3188+Sens!$I$3189</f>
        <v>293.934464585378</v>
      </c>
      <c r="J3190" s="38" t="n">
        <f aca="false">Sens!$J$3187+Sens!$J$3188+Sens!$J$3189</f>
        <v>308.06904811359</v>
      </c>
      <c r="K3190" s="38" t="n">
        <f aca="false">Sens!$K$3187+Sens!$K$3188+Sens!$K$3189</f>
        <v>320.385735318248</v>
      </c>
      <c r="L3190" s="38" t="n">
        <f aca="false">Sens!$L$3187+Sens!$L$3188+Sens!$L$3189</f>
        <v>364.65641921833</v>
      </c>
      <c r="M3190" s="38" t="n">
        <f aca="false">Sens!$M$3187+Sens!$M$3188+Sens!$M$3189</f>
        <v>432.943173024858</v>
      </c>
    </row>
    <row r="3191" customFormat="false" ht="17.15" hidden="false" customHeight="false" outlineLevel="0" collapsed="false">
      <c r="A3191" s="5" t="s">
        <v>523</v>
      </c>
      <c r="B3191" s="0" t="s">
        <v>73</v>
      </c>
      <c r="C3191" s="38" t="n">
        <f aca="false">Q!$D$50</f>
        <v>2.043</v>
      </c>
      <c r="D3191" s="38" t="n">
        <f aca="false">Q!$E$50</f>
        <v>1.557</v>
      </c>
      <c r="E3191" s="38" t="n">
        <f aca="false">lease_pr/2</f>
        <v>0.8</v>
      </c>
      <c r="F3191" s="38" t="n">
        <f aca="false">lease_pr/2</f>
        <v>0.8</v>
      </c>
      <c r="G3191" s="38" t="n">
        <f aca="false">Sens!$E$3191+Sens!$F$3191</f>
        <v>1.6</v>
      </c>
      <c r="H3191" s="38" t="n">
        <f aca="false">lease_pr</f>
        <v>1.6</v>
      </c>
      <c r="I3191" s="38" t="n">
        <f aca="false">lease_pr</f>
        <v>1.6</v>
      </c>
      <c r="J3191" s="38" t="n">
        <f aca="false">lease_pr</f>
        <v>1.6</v>
      </c>
      <c r="K3191" s="38" t="n">
        <f aca="false">lease_pr</f>
        <v>1.6</v>
      </c>
      <c r="L3191" s="38" t="n">
        <f aca="false">lease_pr</f>
        <v>1.6</v>
      </c>
      <c r="M3191" s="38" t="n">
        <f aca="false">lease_pr</f>
        <v>1.6</v>
      </c>
      <c r="P3191" s="8" t="s">
        <v>738</v>
      </c>
    </row>
    <row r="3192" customFormat="false" ht="15" hidden="false" customHeight="false" outlineLevel="0" collapsed="false">
      <c r="A3192" s="46" t="s">
        <v>739</v>
      </c>
      <c r="B3192" s="13" t="s">
        <v>73</v>
      </c>
      <c r="C3192" s="47" t="n">
        <f aca="false">Sens!$C$3186-Sens!$C$3190-Sens!$C$3191</f>
        <v>36.176</v>
      </c>
      <c r="D3192" s="47" t="n">
        <f aca="false">Sens!$D$3186-Sens!$D$3190-Sens!$D$3191</f>
        <v>9.63700000000002</v>
      </c>
      <c r="E3192" s="47" t="n">
        <f aca="false">Sens!$E$3186-Sens!$E$3190-Sens!$E$3191</f>
        <v>-25.691</v>
      </c>
      <c r="F3192" s="47" t="n">
        <f aca="false">Sens!$F$3186-Sens!$F$3190-Sens!$F$3191</f>
        <v>-35.9035928382392</v>
      </c>
      <c r="G3192" s="47" t="n">
        <f aca="false">Sens!$G$3186-Sens!$G$3190-Sens!$G$3191</f>
        <v>-61.5945928382392</v>
      </c>
      <c r="H3192" s="47" t="n">
        <f aca="false">Sens!$H$3186-Sens!$H$3190-Sens!$H$3191</f>
        <v>-47.6425362661377</v>
      </c>
      <c r="I3192" s="47" t="n">
        <f aca="false">Sens!$I$3186-Sens!$I$3190-Sens!$I$3191</f>
        <v>-5.76996619910771</v>
      </c>
      <c r="J3192" s="47" t="n">
        <f aca="false">Sens!$J$3186-Sens!$J$3190-Sens!$J$3191</f>
        <v>37.1081210941585</v>
      </c>
      <c r="K3192" s="47" t="n">
        <f aca="false">Sens!$K$3186-Sens!$K$3190-Sens!$K$3191</f>
        <v>78.8329121548227</v>
      </c>
      <c r="L3192" s="47" t="n">
        <f aca="false">Sens!$L$3186-Sens!$L$3190-Sens!$L$3191</f>
        <v>89.9749323067238</v>
      </c>
      <c r="M3192" s="47" t="n">
        <f aca="false">Sens!$M$3186-Sens!$M$3190-Sens!$M$3191</f>
        <v>79.3054383259585</v>
      </c>
      <c r="N3192" s="13"/>
      <c r="O3192" s="13"/>
    </row>
    <row r="3193" customFormat="false" ht="17.15" hidden="false" customHeight="false" outlineLevel="0" collapsed="false">
      <c r="A3193" s="5" t="s">
        <v>740</v>
      </c>
      <c r="B3193" s="0" t="s">
        <v>73</v>
      </c>
      <c r="C3193" s="38" t="n">
        <f aca="false">dps*Sens!$C$3174</f>
        <v>0</v>
      </c>
      <c r="D3193" s="38" t="n">
        <f aca="false">dps*Sens!$D$3174</f>
        <v>0</v>
      </c>
      <c r="E3193" s="38" t="n">
        <f aca="false">dps*Sens!$E$3174</f>
        <v>0</v>
      </c>
      <c r="F3193" s="38" t="n">
        <f aca="false">0</f>
        <v>0</v>
      </c>
      <c r="G3193" s="38" t="n">
        <f aca="false">dps*Sens!$G$3174</f>
        <v>0</v>
      </c>
      <c r="H3193" s="38" t="n">
        <f aca="false">dps*Sens!$H$3174</f>
        <v>0</v>
      </c>
      <c r="I3193" s="38" t="n">
        <f aca="false">dps*Sens!$I$3174</f>
        <v>0</v>
      </c>
      <c r="J3193" s="38" t="n">
        <f aca="false">dps*Sens!$J$3174</f>
        <v>0</v>
      </c>
      <c r="K3193" s="38" t="n">
        <f aca="false">dps*Sens!$K$3174</f>
        <v>0</v>
      </c>
      <c r="L3193" s="38" t="n">
        <f aca="false">dps*Sens!$L$3174</f>
        <v>0</v>
      </c>
      <c r="M3193" s="38" t="n">
        <f aca="false">dps*Sens!$M$3174</f>
        <v>0</v>
      </c>
      <c r="P3193" s="8" t="s">
        <v>741</v>
      </c>
    </row>
    <row r="3194" customFormat="false" ht="17.15" hidden="false" customHeight="false" outlineLevel="0" collapsed="false">
      <c r="A3194" s="5" t="s">
        <v>742</v>
      </c>
      <c r="B3194" s="0" t="s">
        <v>73</v>
      </c>
      <c r="C3194" s="38" t="n">
        <f aca="false">0</f>
        <v>0</v>
      </c>
      <c r="D3194" s="38" t="n">
        <f aca="false">0</f>
        <v>0</v>
      </c>
      <c r="E3194" s="38" t="n">
        <f aca="false">0</f>
        <v>0</v>
      </c>
      <c r="F3194" s="38" t="n">
        <f aca="false">0</f>
        <v>0</v>
      </c>
      <c r="G3194" s="38" t="n">
        <f aca="false">0</f>
        <v>0</v>
      </c>
      <c r="H3194" s="38" t="n">
        <f aca="false">0</f>
        <v>0</v>
      </c>
      <c r="I3194" s="38" t="n">
        <f aca="false">0</f>
        <v>0</v>
      </c>
      <c r="J3194" s="38" t="n">
        <f aca="false">0</f>
        <v>0</v>
      </c>
      <c r="K3194" s="38" t="n">
        <f aca="false">0</f>
        <v>0</v>
      </c>
      <c r="L3194" s="38" t="n">
        <f aca="false">0</f>
        <v>0</v>
      </c>
      <c r="M3194" s="38" t="n">
        <f aca="false">0</f>
        <v>0</v>
      </c>
      <c r="P3194" s="8" t="s">
        <v>743</v>
      </c>
    </row>
    <row r="3195" customFormat="false" ht="15" hidden="false" customHeight="false" outlineLevel="0" collapsed="false">
      <c r="A3195" s="3" t="s">
        <v>744</v>
      </c>
      <c r="B3195" s="8" t="s">
        <v>73</v>
      </c>
      <c r="C3195" s="38" t="n">
        <f aca="false">Sens!$C$3192-Sens!$C$3193</f>
        <v>36.176</v>
      </c>
      <c r="D3195" s="38" t="n">
        <f aca="false">Sens!$D$3192-Sens!$D$3193</f>
        <v>9.63700000000002</v>
      </c>
      <c r="E3195" s="38" t="n">
        <f aca="false">Sens!$E$3192-Sens!$E$3193</f>
        <v>-25.691</v>
      </c>
      <c r="F3195" s="38" t="n">
        <f aca="false">Sens!$F$3192-Sens!$F$3193</f>
        <v>-35.9035928382392</v>
      </c>
      <c r="G3195" s="38" t="n">
        <f aca="false">Sens!$G$3192-Sens!$G$3193</f>
        <v>-61.5945928382392</v>
      </c>
      <c r="H3195" s="38" t="n">
        <f aca="false">Sens!$H$3192-Sens!$H$3193</f>
        <v>-47.6425362661377</v>
      </c>
      <c r="I3195" s="38" t="n">
        <f aca="false">Sens!$I$3192-Sens!$I$3193</f>
        <v>-5.76996619910771</v>
      </c>
      <c r="J3195" s="38" t="n">
        <f aca="false">Sens!$J$3192-Sens!$J$3193</f>
        <v>37.1081210941585</v>
      </c>
      <c r="K3195" s="38" t="n">
        <f aca="false">Sens!$K$3192-Sens!$K$3193</f>
        <v>78.8329121548227</v>
      </c>
      <c r="L3195" s="38" t="n">
        <f aca="false">Sens!$L$3192-Sens!$L$3193</f>
        <v>89.9749323067238</v>
      </c>
      <c r="M3195" s="38" t="n">
        <f aca="false">Sens!$M$3192-Sens!$M$3193</f>
        <v>79.3054383259585</v>
      </c>
    </row>
    <row r="3196" customFormat="false" ht="17.15" hidden="false" customHeight="false" outlineLevel="0" collapsed="false">
      <c r="A3196" s="5" t="s">
        <v>745</v>
      </c>
      <c r="B3196" s="0" t="s">
        <v>73</v>
      </c>
      <c r="E3196" s="38" t="n">
        <f aca="false">Q!$P$53</f>
        <v>39.767</v>
      </c>
      <c r="F3196" s="38" t="n">
        <f aca="false">inv_2h26</f>
        <v>21.3</v>
      </c>
      <c r="G3196" s="38" t="n">
        <f aca="false">Sens!$E$3196+Sens!$F$3196</f>
        <v>61.067</v>
      </c>
      <c r="H3196" s="41" t="n">
        <v>0</v>
      </c>
      <c r="I3196" s="41" t="n">
        <v>0</v>
      </c>
      <c r="J3196" s="41" t="n">
        <v>0</v>
      </c>
      <c r="K3196" s="41" t="n">
        <v>0</v>
      </c>
      <c r="L3196" s="41" t="n">
        <v>0</v>
      </c>
      <c r="M3196" s="41" t="n">
        <v>0</v>
      </c>
    </row>
    <row r="3197" customFormat="false" ht="17.15" hidden="false" customHeight="false" outlineLevel="0" collapsed="false">
      <c r="A3197" s="5" t="s">
        <v>746</v>
      </c>
      <c r="B3197" s="0" t="s">
        <v>73</v>
      </c>
      <c r="F3197" s="38" t="n">
        <f aca="false">iss_2h26</f>
        <v>29.25</v>
      </c>
      <c r="G3197" s="38" t="n">
        <f aca="false">Sens!$F$3197</f>
        <v>29.25</v>
      </c>
      <c r="H3197" s="41" t="n">
        <v>0</v>
      </c>
      <c r="I3197" s="41" t="n">
        <v>0</v>
      </c>
      <c r="J3197" s="41" t="n">
        <v>0</v>
      </c>
      <c r="K3197" s="41" t="n">
        <v>0</v>
      </c>
      <c r="L3197" s="41" t="n">
        <v>0</v>
      </c>
      <c r="M3197" s="41" t="n">
        <v>0</v>
      </c>
    </row>
    <row r="3198" customFormat="false" ht="17.15" hidden="false" customHeight="false" outlineLevel="0" collapsed="false">
      <c r="A3198" s="5" t="s">
        <v>747</v>
      </c>
      <c r="B3198" s="0" t="s">
        <v>73</v>
      </c>
      <c r="F3198" s="38" t="n">
        <f aca="false">cash_q2</f>
        <v>122.988</v>
      </c>
      <c r="G3198" s="38" t="n">
        <f aca="false">cash_q2</f>
        <v>122.988</v>
      </c>
      <c r="H3198" s="38" t="n">
        <f aca="false">Sens!$G$3201</f>
        <v>95.0344071617608</v>
      </c>
      <c r="I3198" s="38" t="n">
        <f aca="false">Sens!$H$3201</f>
        <v>50</v>
      </c>
      <c r="J3198" s="38" t="n">
        <f aca="false">Sens!$I$3201</f>
        <v>50</v>
      </c>
      <c r="K3198" s="38" t="n">
        <f aca="false">Sens!$J$3201</f>
        <v>87.1081210941585</v>
      </c>
      <c r="L3198" s="38" t="n">
        <f aca="false">Sens!$K$3201</f>
        <v>165.941033248981</v>
      </c>
      <c r="M3198" s="38" t="n">
        <f aca="false">Sens!$L$3201</f>
        <v>255.915965555705</v>
      </c>
    </row>
    <row r="3199" customFormat="false" ht="15" hidden="false" customHeight="false" outlineLevel="0" collapsed="false">
      <c r="A3199" s="5" t="s">
        <v>748</v>
      </c>
      <c r="B3199" s="0" t="s">
        <v>73</v>
      </c>
      <c r="F3199" s="38" t="n">
        <f aca="false">Sens!$F$3198+Sens!$F$3195-Sens!$F$3194-Sens!$F$3196+Sens!$F$3197</f>
        <v>95.0344071617608</v>
      </c>
      <c r="H3199" s="38" t="n">
        <f aca="false">Sens!$H$3198+Sens!$H$3195-Sens!$H$3194-Sens!$H$3196+Sens!$H$3197</f>
        <v>47.3918708956231</v>
      </c>
      <c r="I3199" s="38" t="n">
        <f aca="false">Sens!$I$3198+Sens!$I$3195-Sens!$I$3194-Sens!$I$3196+Sens!$I$3197</f>
        <v>44.2300338008923</v>
      </c>
      <c r="J3199" s="38" t="n">
        <f aca="false">Sens!$J$3198+Sens!$J$3195-Sens!$J$3194-Sens!$J$3196+Sens!$J$3197</f>
        <v>87.1081210941585</v>
      </c>
      <c r="K3199" s="38" t="n">
        <f aca="false">Sens!$K$3198+Sens!$K$3195-Sens!$K$3194-Sens!$K$3196+Sens!$K$3197</f>
        <v>165.941033248981</v>
      </c>
      <c r="L3199" s="38" t="n">
        <f aca="false">Sens!$L$3198+Sens!$L$3195-Sens!$L$3194-Sens!$L$3196+Sens!$L$3197</f>
        <v>255.915965555705</v>
      </c>
      <c r="M3199" s="38" t="n">
        <f aca="false">Sens!$M$3198+Sens!$M$3195-Sens!$M$3194-Sens!$M$3196+Sens!$M$3197</f>
        <v>335.221403881664</v>
      </c>
    </row>
    <row r="3200" customFormat="false" ht="17.15" hidden="false" customHeight="false" outlineLevel="0" collapsed="false">
      <c r="A3200" s="5" t="s">
        <v>749</v>
      </c>
      <c r="B3200" s="0" t="s">
        <v>73</v>
      </c>
      <c r="F3200" s="38" t="n">
        <f aca="false">MAX(0,min_cash-Sens!$F$3199)</f>
        <v>0</v>
      </c>
      <c r="G3200" s="38" t="n">
        <f aca="false">Sens!$F$3200</f>
        <v>0</v>
      </c>
      <c r="H3200" s="38" t="n">
        <f aca="false">MAX(0,min_cash-Sens!$H$3199)</f>
        <v>2.60812910437689</v>
      </c>
      <c r="I3200" s="38" t="n">
        <f aca="false">MAX(0,min_cash-Sens!$I$3199)</f>
        <v>5.76996619910771</v>
      </c>
      <c r="J3200" s="38" t="n">
        <f aca="false">MAX(0,min_cash-Sens!$J$3199)</f>
        <v>0</v>
      </c>
      <c r="K3200" s="38" t="n">
        <f aca="false">MAX(0,min_cash-Sens!$K$3199)</f>
        <v>0</v>
      </c>
      <c r="L3200" s="38" t="n">
        <f aca="false">MAX(0,min_cash-Sens!$L$3199)</f>
        <v>0</v>
      </c>
      <c r="M3200" s="38" t="n">
        <f aca="false">MAX(0,min_cash-Sens!$M$3199)</f>
        <v>0</v>
      </c>
      <c r="P3200" s="5" t="s">
        <v>750</v>
      </c>
    </row>
    <row r="3201" customFormat="false" ht="15" hidden="false" customHeight="false" outlineLevel="0" collapsed="false">
      <c r="A3201" s="5" t="s">
        <v>751</v>
      </c>
      <c r="B3201" s="0" t="s">
        <v>73</v>
      </c>
      <c r="D3201" s="38" t="n">
        <f aca="false">Q!$E$61</f>
        <v>123.029</v>
      </c>
      <c r="E3201" s="38" t="n">
        <f aca="false">Q!$M$61</f>
        <v>122.988</v>
      </c>
      <c r="F3201" s="38" t="n">
        <f aca="false">Sens!$F$3199+Sens!$F$3200</f>
        <v>95.0344071617608</v>
      </c>
      <c r="G3201" s="38" t="n">
        <f aca="false">Sens!$F$3201</f>
        <v>95.0344071617608</v>
      </c>
      <c r="H3201" s="38" t="n">
        <f aca="false">Sens!$H$3199+Sens!$H$3200</f>
        <v>50</v>
      </c>
      <c r="I3201" s="38" t="n">
        <f aca="false">Sens!$I$3199+Sens!$I$3200</f>
        <v>50</v>
      </c>
      <c r="J3201" s="38" t="n">
        <f aca="false">Sens!$J$3199+Sens!$J$3200</f>
        <v>87.1081210941585</v>
      </c>
      <c r="K3201" s="38" t="n">
        <f aca="false">Sens!$K$3199+Sens!$K$3200</f>
        <v>165.941033248981</v>
      </c>
      <c r="L3201" s="38" t="n">
        <f aca="false">Sens!$L$3199+Sens!$L$3200</f>
        <v>255.915965555705</v>
      </c>
      <c r="M3201" s="38" t="n">
        <f aca="false">Sens!$M$3199+Sens!$M$3200</f>
        <v>335.221403881664</v>
      </c>
    </row>
    <row r="3202" customFormat="false" ht="15" hidden="false" customHeight="false" outlineLevel="0" collapsed="false">
      <c r="A3202" s="5" t="s">
        <v>752</v>
      </c>
      <c r="B3202" s="0" t="s">
        <v>73</v>
      </c>
      <c r="D3202" s="38" t="n">
        <f aca="false">Q!$E$62</f>
        <v>68.836</v>
      </c>
      <c r="E3202" s="38" t="n">
        <f aca="false">Q!$M$62</f>
        <v>132.995</v>
      </c>
      <c r="F3202" s="38" t="n">
        <f aca="false">debt_q2+Sens!$F$3197+Sens!$F$3200</f>
        <v>162.245</v>
      </c>
      <c r="G3202" s="38" t="n">
        <f aca="false">Sens!$F$3202</f>
        <v>162.245</v>
      </c>
      <c r="H3202" s="38" t="n">
        <f aca="false">Sens!$G$3202+Sens!$H$3200</f>
        <v>164.853129104377</v>
      </c>
      <c r="I3202" s="38" t="n">
        <f aca="false">Sens!$H$3202+Sens!$I$3200</f>
        <v>170.623095303485</v>
      </c>
      <c r="J3202" s="38" t="n">
        <f aca="false">Sens!$I$3202+Sens!$J$3200</f>
        <v>170.623095303485</v>
      </c>
      <c r="K3202" s="38" t="n">
        <f aca="false">Sens!$J$3202+Sens!$K$3200</f>
        <v>170.623095303485</v>
      </c>
      <c r="L3202" s="38" t="n">
        <f aca="false">Sens!$K$3202+Sens!$L$3200</f>
        <v>170.623095303485</v>
      </c>
      <c r="M3202" s="38" t="n">
        <f aca="false">Sens!$L$3202+Sens!$M$3200</f>
        <v>170.623095303485</v>
      </c>
    </row>
    <row r="3203" customFormat="false" ht="15" hidden="false" customHeight="false" outlineLevel="0" collapsed="false">
      <c r="A3203" s="5" t="s">
        <v>753</v>
      </c>
      <c r="B3203" s="0" t="s">
        <v>73</v>
      </c>
      <c r="D3203" s="38" t="n">
        <f aca="false">Sens!$D$3202-Sens!$D$3201</f>
        <v>-54.193</v>
      </c>
      <c r="E3203" s="38" t="n">
        <f aca="false">Sens!$E$3202-Sens!$E$3201</f>
        <v>10.007</v>
      </c>
      <c r="F3203" s="38" t="n">
        <f aca="false">Sens!$F$3202-Sens!$F$3201</f>
        <v>67.2105928382392</v>
      </c>
      <c r="G3203" s="38" t="n">
        <f aca="false">Sens!$G$3202-Sens!$G$3201</f>
        <v>67.2105928382392</v>
      </c>
      <c r="H3203" s="38" t="n">
        <f aca="false">Sens!$H$3202-Sens!$H$3201</f>
        <v>114.853129104377</v>
      </c>
      <c r="I3203" s="38" t="n">
        <f aca="false">Sens!$I$3202-Sens!$I$3201</f>
        <v>120.623095303485</v>
      </c>
      <c r="J3203" s="38" t="n">
        <f aca="false">Sens!$J$3202-Sens!$J$3201</f>
        <v>83.5149742093261</v>
      </c>
      <c r="K3203" s="38" t="n">
        <f aca="false">Sens!$K$3202-Sens!$K$3201</f>
        <v>4.68206205450343</v>
      </c>
      <c r="L3203" s="38" t="n">
        <f aca="false">Sens!$L$3202-Sens!$L$3201</f>
        <v>-85.2928702522204</v>
      </c>
      <c r="M3203" s="38" t="n">
        <f aca="false">Sens!$M$3202-Sens!$M$3201</f>
        <v>-164.598308578179</v>
      </c>
    </row>
    <row r="3204" customFormat="false" ht="17.15" hidden="false" customHeight="false" outlineLevel="0" collapsed="false">
      <c r="A3204" s="5" t="s">
        <v>754</v>
      </c>
      <c r="B3204" s="0" t="s">
        <v>73</v>
      </c>
      <c r="F3204" s="38" t="n">
        <f aca="false">debt_q2*kd_book*0.5+iss_2h26*kd_new*0.25</f>
        <v>3.24888964316061</v>
      </c>
      <c r="H3204" s="38" t="n">
        <f aca="false">debt_q2*kd_book+(Sens!$G$3202-debt_q2)*kd_new</f>
        <v>7.42354178632123</v>
      </c>
      <c r="I3204" s="38" t="n">
        <f aca="false">debt_q2*kd_book+(Sens!$H$3202-debt_q2)*kd_new</f>
        <v>7.58863635862829</v>
      </c>
      <c r="J3204" s="38" t="n">
        <f aca="false">debt_q2*kd_book+(Sens!$I$3202-debt_q2)*kd_new</f>
        <v>7.9538752190318</v>
      </c>
      <c r="K3204" s="38" t="n">
        <f aca="false">debt_q2*kd_book+(Sens!$J$3202-debt_q2)*kd_new</f>
        <v>7.9538752190318</v>
      </c>
      <c r="L3204" s="38" t="n">
        <f aca="false">debt_q2*kd_book+(Sens!$K$3202-debt_q2)*kd_new</f>
        <v>7.9538752190318</v>
      </c>
      <c r="M3204" s="38" t="n">
        <f aca="false">debt_q2*kd_book+(Sens!$L$3202-debt_q2)*kd_new</f>
        <v>7.9538752190318</v>
      </c>
    </row>
    <row r="3205" customFormat="false" ht="17.15" hidden="false" customHeight="false" outlineLevel="0" collapsed="false">
      <c r="A3205" s="5" t="s">
        <v>755</v>
      </c>
      <c r="B3205" s="0" t="s">
        <v>73</v>
      </c>
      <c r="F3205" s="38" t="n">
        <f aca="false">cash_q2*y_cash*0.5</f>
        <v>2.59</v>
      </c>
      <c r="H3205" s="38" t="n">
        <f aca="false">Sens!$G$3201*y_cash</f>
        <v>4.002652527872</v>
      </c>
      <c r="I3205" s="38" t="n">
        <f aca="false">Sens!$H$3201*y_cash</f>
        <v>2.10589651022864</v>
      </c>
      <c r="J3205" s="38" t="n">
        <f aca="false">Sens!$I$3201*y_cash</f>
        <v>2.10589651022864</v>
      </c>
      <c r="K3205" s="38" t="n">
        <f aca="false">Sens!$J$3201*y_cash</f>
        <v>3.66881376449524</v>
      </c>
      <c r="L3205" s="38" t="n">
        <f aca="false">Sens!$K$3201*y_cash</f>
        <v>6.98909285645528</v>
      </c>
      <c r="M3205" s="38" t="n">
        <f aca="false">Sens!$L$3201*y_cash</f>
        <v>10.778650775511</v>
      </c>
    </row>
    <row r="3206" customFormat="false" ht="17.15" hidden="false" customHeight="false" outlineLevel="0" collapsed="false">
      <c r="A3206" s="46" t="s">
        <v>756</v>
      </c>
      <c r="B3206" s="13" t="s">
        <v>73</v>
      </c>
      <c r="C3206" s="13"/>
      <c r="D3206" s="13"/>
      <c r="E3206" s="13"/>
      <c r="F3206" s="13"/>
      <c r="G3206" s="47" t="n">
        <f aca="false">SUM(Sens!$G$3195:$K$3195)</f>
        <v>0.933937945496552</v>
      </c>
      <c r="H3206" s="13"/>
      <c r="I3206" s="13"/>
      <c r="J3206" s="13"/>
      <c r="K3206" s="13"/>
      <c r="L3206" s="13"/>
      <c r="M3206" s="13"/>
      <c r="N3206" s="13"/>
      <c r="O3206" s="13"/>
    </row>
    <row r="3207" customFormat="false" ht="17.15" hidden="false" customHeight="false" outlineLevel="0" collapsed="false">
      <c r="A3207" s="0" t="s">
        <v>723</v>
      </c>
      <c r="B3207" s="0" t="s">
        <v>73</v>
      </c>
      <c r="G3207" s="38" t="n">
        <f aca="false">SUM(Sens!$G$3200:$K$3200)</f>
        <v>8.3780953034846</v>
      </c>
    </row>
    <row r="3210" customFormat="false" ht="19.4" hidden="false" customHeight="false" outlineLevel="0" collapsed="false">
      <c r="A3210" s="31" t="s">
        <v>1112</v>
      </c>
    </row>
    <row r="3211" customFormat="false" ht="17.15" hidden="false" customHeight="false" outlineLevel="0" collapsed="false">
      <c r="A3211" s="6" t="s">
        <v>16</v>
      </c>
      <c r="B3211" s="6" t="s">
        <v>17</v>
      </c>
      <c r="C3211" s="20" t="s">
        <v>457</v>
      </c>
      <c r="D3211" s="20" t="s">
        <v>458</v>
      </c>
      <c r="E3211" s="20" t="s">
        <v>540</v>
      </c>
      <c r="F3211" s="20" t="s">
        <v>541</v>
      </c>
      <c r="G3211" s="20" t="s">
        <v>542</v>
      </c>
      <c r="H3211" s="20" t="s">
        <v>543</v>
      </c>
      <c r="I3211" s="20" t="s">
        <v>544</v>
      </c>
      <c r="J3211" s="20" t="s">
        <v>545</v>
      </c>
      <c r="K3211" s="20" t="s">
        <v>546</v>
      </c>
      <c r="L3211" s="20" t="s">
        <v>547</v>
      </c>
      <c r="M3211" s="20" t="s">
        <v>548</v>
      </c>
      <c r="N3211" s="20" t="s">
        <v>549</v>
      </c>
      <c r="O3211" s="20" t="s">
        <v>550</v>
      </c>
      <c r="P3211" s="6" t="s">
        <v>23</v>
      </c>
      <c r="R3211" s="20" t="n">
        <v>2023</v>
      </c>
      <c r="S3211" s="20" t="n">
        <v>2024</v>
      </c>
      <c r="T3211" s="20" t="n">
        <v>2025</v>
      </c>
      <c r="U3211" s="20" t="n">
        <v>2026</v>
      </c>
      <c r="V3211" s="20" t="n">
        <v>2027</v>
      </c>
      <c r="W3211" s="20" t="n">
        <v>2028</v>
      </c>
      <c r="X3211" s="20" t="n">
        <v>2029</v>
      </c>
      <c r="Y3211" s="20" t="n">
        <v>2030</v>
      </c>
      <c r="Z3211" s="20" t="n">
        <v>2031</v>
      </c>
      <c r="AA3211" s="20" t="n">
        <v>2032</v>
      </c>
    </row>
    <row r="3212" customFormat="false" ht="17.15" hidden="false" customHeight="false" outlineLevel="0" collapsed="false">
      <c r="A3212" s="1" t="s">
        <v>851</v>
      </c>
    </row>
    <row r="3213" customFormat="false" ht="17.15" hidden="false" customHeight="false" outlineLevel="0" collapsed="false">
      <c r="A3213" s="0" t="s">
        <v>852</v>
      </c>
      <c r="B3213" s="0" t="s">
        <v>73</v>
      </c>
      <c r="H3213" s="38" t="n">
        <f aca="false">Sens!$H$3149*(1-tax)</f>
        <v>111.155928045413</v>
      </c>
      <c r="I3213" s="38" t="n">
        <f aca="false">Sens!$I$3149*(1-tax)</f>
        <v>131.042970986496</v>
      </c>
      <c r="J3213" s="38" t="n">
        <f aca="false">Sens!$J$3149*(1-tax)</f>
        <v>148.697049074577</v>
      </c>
      <c r="K3213" s="38" t="n">
        <f aca="false">Sens!$K$3149*(1-tax)</f>
        <v>162.94005048918</v>
      </c>
      <c r="L3213" s="38" t="n">
        <f aca="false">Sens!$L$3149*(1-tax)</f>
        <v>178.559097734626</v>
      </c>
      <c r="M3213" s="38" t="n">
        <f aca="false">Sens!$M$3149*(1-tax)</f>
        <v>194.67062143101</v>
      </c>
    </row>
    <row r="3214" customFormat="false" ht="15" hidden="false" customHeight="false" outlineLevel="0" collapsed="false">
      <c r="A3214" s="5" t="s">
        <v>853</v>
      </c>
      <c r="B3214" s="0" t="s">
        <v>73</v>
      </c>
      <c r="H3214" s="38" t="n">
        <f aca="false">Sens!$H$3161</f>
        <v>87.6845218193838</v>
      </c>
      <c r="I3214" s="38" t="n">
        <f aca="false">Sens!$I$3161</f>
        <v>122.294769708638</v>
      </c>
      <c r="J3214" s="38" t="n">
        <f aca="false">Sens!$J$3161</f>
        <v>157.133962573221</v>
      </c>
      <c r="K3214" s="38" t="n">
        <f aca="false">Sens!$K$3161</f>
        <v>191.350633353599</v>
      </c>
      <c r="L3214" s="38" t="n">
        <f aca="false">Sens!$L$3161</f>
        <v>223.909238335354</v>
      </c>
      <c r="M3214" s="38" t="n">
        <f aca="false">Sens!$M$3161</f>
        <v>257.576319867276</v>
      </c>
    </row>
    <row r="3215" customFormat="false" ht="15" hidden="false" customHeight="false" outlineLevel="0" collapsed="false">
      <c r="A3215" s="5" t="s">
        <v>854</v>
      </c>
      <c r="B3215" s="0" t="s">
        <v>73</v>
      </c>
      <c r="H3215" s="38" t="n">
        <f aca="false">Sens!$H$3190</f>
        <v>277.870120501355</v>
      </c>
      <c r="I3215" s="38" t="n">
        <f aca="false">Sens!$I$3190</f>
        <v>293.934464585378</v>
      </c>
      <c r="J3215" s="38" t="n">
        <f aca="false">Sens!$J$3190</f>
        <v>308.06904811359</v>
      </c>
      <c r="K3215" s="38" t="n">
        <f aca="false">Sens!$K$3190</f>
        <v>320.385735318248</v>
      </c>
      <c r="L3215" s="38" t="n">
        <f aca="false">Sens!$L$3190</f>
        <v>364.65641921833</v>
      </c>
      <c r="M3215" s="38" t="n">
        <f aca="false">Sens!$M$3190</f>
        <v>432.943173024858</v>
      </c>
    </row>
    <row r="3216" customFormat="false" ht="15" hidden="false" customHeight="false" outlineLevel="0" collapsed="false">
      <c r="A3216" s="5" t="s">
        <v>855</v>
      </c>
      <c r="B3216" s="0" t="s">
        <v>73</v>
      </c>
      <c r="H3216" s="38" t="n">
        <f aca="false">Sens!$H$3191</f>
        <v>1.6</v>
      </c>
      <c r="I3216" s="38" t="n">
        <f aca="false">Sens!$I$3191</f>
        <v>1.6</v>
      </c>
      <c r="J3216" s="38" t="n">
        <f aca="false">Sens!$J$3191</f>
        <v>1.6</v>
      </c>
      <c r="K3216" s="38" t="n">
        <f aca="false">Sens!$K$3191</f>
        <v>1.6</v>
      </c>
      <c r="L3216" s="38" t="n">
        <f aca="false">Sens!$L$3191</f>
        <v>1.6</v>
      </c>
      <c r="M3216" s="38" t="n">
        <f aca="false">Sens!$M$3191</f>
        <v>1.6</v>
      </c>
    </row>
    <row r="3217" customFormat="false" ht="15" hidden="false" customHeight="false" outlineLevel="0" collapsed="false">
      <c r="A3217" s="5" t="s">
        <v>856</v>
      </c>
      <c r="B3217" s="0" t="s">
        <v>73</v>
      </c>
      <c r="H3217" s="38" t="n">
        <f aca="false">Sens!$H$3185</f>
        <v>11.6369707537667</v>
      </c>
      <c r="I3217" s="38" t="n">
        <f aca="false">Sens!$I$3185</f>
        <v>13.3082502961262</v>
      </c>
      <c r="J3217" s="38" t="n">
        <f aca="false">Sens!$J$3185</f>
        <v>14.8747965344332</v>
      </c>
      <c r="K3217" s="38" t="n">
        <f aca="false">Sens!$K$3185</f>
        <v>16.2687901804328</v>
      </c>
      <c r="L3217" s="38" t="n">
        <f aca="false">Sens!$L$3185</f>
        <v>17.7280727627002</v>
      </c>
      <c r="M3217" s="38" t="n">
        <f aca="false">Sens!$M$3185</f>
        <v>19.2574690270319</v>
      </c>
    </row>
    <row r="3218" customFormat="false" ht="17.15" hidden="false" customHeight="false" outlineLevel="0" collapsed="false">
      <c r="A3218" s="1" t="s">
        <v>857</v>
      </c>
      <c r="B3218" s="8" t="s">
        <v>73</v>
      </c>
      <c r="H3218" s="38" t="n">
        <f aca="false">Sens!$H$3213+Sens!$H$3214-Sens!$H$3215-Sens!$H$3216+Sens!$H$3217</f>
        <v>-68.9926998827921</v>
      </c>
      <c r="I3218" s="38" t="n">
        <f aca="false">Sens!$I$3213+Sens!$I$3214-Sens!$I$3215-Sens!$I$3216+Sens!$I$3217</f>
        <v>-28.8884735941184</v>
      </c>
      <c r="J3218" s="38" t="n">
        <f aca="false">Sens!$J$3213+Sens!$J$3214-Sens!$J$3215-Sens!$J$3216+Sens!$J$3217</f>
        <v>11.0367600686409</v>
      </c>
      <c r="K3218" s="38" t="n">
        <f aca="false">Sens!$K$3213+Sens!$K$3214-Sens!$K$3215-Sens!$K$3216+Sens!$K$3217</f>
        <v>48.5737387049637</v>
      </c>
      <c r="L3218" s="38" t="n">
        <f aca="false">Sens!$L$3213+Sens!$L$3214-Sens!$L$3215-Sens!$L$3216+Sens!$L$3217</f>
        <v>53.9399896143508</v>
      </c>
      <c r="M3218" s="38" t="n">
        <f aca="false">Sens!$M$3213+Sens!$M$3214-Sens!$M$3215-Sens!$M$3216+Sens!$M$3217</f>
        <v>36.96123730046</v>
      </c>
    </row>
    <row r="3219" customFormat="false" ht="15" hidden="false" customHeight="false" outlineLevel="0" collapsed="false">
      <c r="A3219" s="5" t="s">
        <v>858</v>
      </c>
      <c r="B3219" s="0" t="s">
        <v>57</v>
      </c>
      <c r="H3219" s="51" t="n">
        <f aca="false">1/(1+wacc)^(2027-2026-0.5)</f>
        <v>0.942858177653364</v>
      </c>
      <c r="I3219" s="51" t="n">
        <f aca="false">1/(1+wacc)^(2028-2026-0.5)</f>
        <v>0.838183517758688</v>
      </c>
      <c r="J3219" s="51" t="n">
        <f aca="false">1/(1+wacc)^(2029-2026-0.5)</f>
        <v>0.745129677074952</v>
      </c>
      <c r="K3219" s="51" t="n">
        <f aca="false">1/(1+wacc)^(2030-2026-0.5)</f>
        <v>0.662406530186232</v>
      </c>
      <c r="L3219" s="51" t="n">
        <f aca="false">1/(1+wacc)^(2031-2026-0.5)</f>
        <v>0.588867179409399</v>
      </c>
      <c r="M3219" s="51" t="n">
        <f aca="false">1/(1+wacc)^(2032-2026-0.5)</f>
        <v>0.52349205387225</v>
      </c>
    </row>
    <row r="3220" customFormat="false" ht="15" hidden="false" customHeight="false" outlineLevel="0" collapsed="false">
      <c r="A3220" s="5" t="s">
        <v>859</v>
      </c>
      <c r="B3220" s="0" t="s">
        <v>73</v>
      </c>
      <c r="H3220" s="38" t="n">
        <f aca="false">Sens!$H$3218*Sens!$H$3219</f>
        <v>-65.0503312828748</v>
      </c>
      <c r="I3220" s="38" t="n">
        <f aca="false">Sens!$I$3218*Sens!$I$3219</f>
        <v>-24.2138424197972</v>
      </c>
      <c r="J3220" s="38" t="n">
        <f aca="false">Sens!$J$3218*Sens!$J$3219</f>
        <v>8.22381746590012</v>
      </c>
      <c r="K3220" s="38" t="n">
        <f aca="false">Sens!$K$3218*Sens!$K$3219</f>
        <v>32.1755617137277</v>
      </c>
      <c r="L3220" s="38" t="n">
        <f aca="false">Sens!$L$3218*Sens!$L$3219</f>
        <v>31.763489541575</v>
      </c>
      <c r="M3220" s="38" t="n">
        <f aca="false">Sens!$M$3218*Sens!$M$3219</f>
        <v>19.3489140280774</v>
      </c>
    </row>
    <row r="3221" customFormat="false" ht="15" hidden="false" customHeight="false" outlineLevel="0" collapsed="false">
      <c r="A3221" s="5" t="s">
        <v>860</v>
      </c>
      <c r="B3221" s="0" t="s">
        <v>73</v>
      </c>
      <c r="C3221" s="38" t="n">
        <f aca="false">SUM(Sens!$H$3220:$M$3220)</f>
        <v>2.24760904660828</v>
      </c>
    </row>
    <row r="3222" customFormat="false" ht="17.15" hidden="false" customHeight="false" outlineLevel="0" collapsed="false">
      <c r="A3222" s="5" t="s">
        <v>861</v>
      </c>
      <c r="B3222" s="0" t="s">
        <v>73</v>
      </c>
      <c r="C3222" s="38" t="n">
        <f aca="false">Sens!$M$3213*(1+tg)*(1-tg/ronic)/(wacc-tg)</f>
        <v>1605.59200892251</v>
      </c>
    </row>
    <row r="3223" customFormat="false" ht="15" hidden="false" customHeight="false" outlineLevel="0" collapsed="false">
      <c r="A3223" s="5" t="s">
        <v>862</v>
      </c>
      <c r="B3223" s="0" t="s">
        <v>73</v>
      </c>
      <c r="C3223" s="38" t="n">
        <f aca="false">Sens!$C$3222/(1+wacc)^6</f>
        <v>792.48611913987</v>
      </c>
    </row>
    <row r="3224" customFormat="false" ht="17.15" hidden="false" customHeight="false" outlineLevel="0" collapsed="false">
      <c r="A3224" s="5" t="s">
        <v>863</v>
      </c>
      <c r="B3224" s="0" t="s">
        <v>73</v>
      </c>
      <c r="C3224" s="38" t="n">
        <f aca="false">Sens!$C$3221+Sens!$C$3223</f>
        <v>794.733728186478</v>
      </c>
    </row>
    <row r="3225" customFormat="false" ht="17.15" hidden="false" customHeight="false" outlineLevel="0" collapsed="false">
      <c r="A3225" s="5" t="s">
        <v>864</v>
      </c>
      <c r="B3225" s="0" t="s">
        <v>52</v>
      </c>
      <c r="C3225" s="12" t="n">
        <f aca="false">Sens!$C$3223/Sens!$C$3224</f>
        <v>0.997171871575481</v>
      </c>
    </row>
    <row r="3226" customFormat="false" ht="17.15" hidden="false" customHeight="false" outlineLevel="0" collapsed="false">
      <c r="A3226" s="5" t="s">
        <v>865</v>
      </c>
      <c r="B3226" s="0" t="s">
        <v>73</v>
      </c>
      <c r="C3226" s="38" t="n">
        <f aca="false">Sens!$G$3203</f>
        <v>67.2105928382392</v>
      </c>
    </row>
    <row r="3227" customFormat="false" ht="17.15" hidden="false" customHeight="false" outlineLevel="0" collapsed="false">
      <c r="A3227" s="5" t="s">
        <v>866</v>
      </c>
      <c r="B3227" s="0" t="s">
        <v>73</v>
      </c>
      <c r="C3227" s="38" t="n">
        <f aca="false">(ant_val*ant_sh+oai_val*oai_sh)*(1-liq_disc)</f>
        <v>178.944</v>
      </c>
    </row>
    <row r="3228" customFormat="false" ht="15" hidden="false" customHeight="false" outlineLevel="0" collapsed="false">
      <c r="A3228" s="5" t="s">
        <v>867</v>
      </c>
      <c r="B3228" s="0" t="s">
        <v>73</v>
      </c>
      <c r="C3228" s="38" t="n">
        <f aca="false">Sens!$C$3224-Sens!$C$3226+Sens!$C$3227</f>
        <v>906.467135348239</v>
      </c>
    </row>
    <row r="3229" customFormat="false" ht="17.15" hidden="false" customHeight="false" outlineLevel="0" collapsed="false">
      <c r="A3229" s="5" t="s">
        <v>868</v>
      </c>
      <c r="B3229" s="0" t="s">
        <v>27</v>
      </c>
      <c r="C3229" s="30" t="n">
        <f aca="false">Sens!$C$3228/sh_val</f>
        <v>82.179631091938</v>
      </c>
    </row>
    <row r="3230" customFormat="false" ht="17.15" hidden="false" customHeight="false" outlineLevel="0" collapsed="false">
      <c r="A3230" s="1" t="s">
        <v>869</v>
      </c>
      <c r="B3230" s="8" t="s">
        <v>27</v>
      </c>
      <c r="C3230" s="30" t="n">
        <f aca="false">Sens!$C$3229*(1+ke)^tp_yf</f>
        <v>90.7628761216655</v>
      </c>
    </row>
    <row r="3231" customFormat="false" ht="17.15" hidden="false" customHeight="false" outlineLevel="0" collapsed="false">
      <c r="A3231" s="3" t="s">
        <v>870</v>
      </c>
    </row>
    <row r="3232" customFormat="false" ht="17.15" hidden="false" customHeight="false" outlineLevel="0" collapsed="false">
      <c r="A3232" s="5" t="s">
        <v>871</v>
      </c>
      <c r="B3232" s="0" t="s">
        <v>73</v>
      </c>
      <c r="C3232" s="38" t="n">
        <f aca="false">0.25*Sens!$H$3162+0.75*Sens!$I$3162</f>
        <v>46.0432874614663</v>
      </c>
    </row>
    <row r="3233" customFormat="false" ht="15" hidden="false" customHeight="false" outlineLevel="0" collapsed="false">
      <c r="A3233" s="5" t="s">
        <v>872</v>
      </c>
      <c r="B3233" s="0" t="s">
        <v>57</v>
      </c>
      <c r="C3233" s="30" t="n">
        <f aca="false">m_ads*m_x</f>
        <v>9.11</v>
      </c>
    </row>
    <row r="3234" customFormat="false" ht="17.15" hidden="false" customHeight="false" outlineLevel="0" collapsed="false">
      <c r="A3234" s="5" t="s">
        <v>873</v>
      </c>
      <c r="B3234" s="0" t="s">
        <v>73</v>
      </c>
      <c r="C3234" s="38" t="n">
        <f aca="false">Sens!$C$3232*Sens!$C$3233</f>
        <v>419.454348773958</v>
      </c>
    </row>
    <row r="3235" customFormat="false" ht="17.15" hidden="false" customHeight="false" outlineLevel="0" collapsed="false">
      <c r="A3235" s="5" t="s">
        <v>874</v>
      </c>
      <c r="B3235" s="0" t="s">
        <v>73</v>
      </c>
      <c r="C3235" s="38" t="n">
        <f aca="false">0.25*Sens!$H$3163+0.75*Sens!$I$3163</f>
        <v>40.2806023185659</v>
      </c>
    </row>
    <row r="3236" customFormat="false" ht="15" hidden="false" customHeight="false" outlineLevel="0" collapsed="false">
      <c r="A3236" s="5" t="s">
        <v>875</v>
      </c>
      <c r="B3236" s="0" t="s">
        <v>57</v>
      </c>
      <c r="C3236" s="30" t="n">
        <f aca="false">m_retail*m_x</f>
        <v>17.72</v>
      </c>
    </row>
    <row r="3237" customFormat="false" ht="17.15" hidden="false" customHeight="false" outlineLevel="0" collapsed="false">
      <c r="A3237" s="5" t="s">
        <v>876</v>
      </c>
      <c r="B3237" s="0" t="s">
        <v>73</v>
      </c>
      <c r="C3237" s="38" t="n">
        <f aca="false">Sens!$C$3235*Sens!$C$3236</f>
        <v>713.772273084988</v>
      </c>
    </row>
    <row r="3238" customFormat="false" ht="17.15" hidden="false" customHeight="false" outlineLevel="0" collapsed="false">
      <c r="A3238" s="0" t="s">
        <v>877</v>
      </c>
      <c r="B3238" s="0" t="s">
        <v>73</v>
      </c>
      <c r="C3238" s="38" t="n">
        <f aca="false">0.25*Sens!$H$3164+0.75*Sens!$I$3164</f>
        <v>107.575398943098</v>
      </c>
    </row>
    <row r="3239" customFormat="false" ht="17.15" hidden="false" customHeight="false" outlineLevel="0" collapsed="false">
      <c r="A3239" s="0" t="s">
        <v>878</v>
      </c>
      <c r="B3239" s="0" t="s">
        <v>57</v>
      </c>
      <c r="C3239" s="30" t="n">
        <f aca="false">m_cloud*m_x</f>
        <v>13.82</v>
      </c>
    </row>
    <row r="3240" customFormat="false" ht="17.15" hidden="false" customHeight="false" outlineLevel="0" collapsed="false">
      <c r="A3240" s="0" t="s">
        <v>879</v>
      </c>
      <c r="B3240" s="0" t="s">
        <v>73</v>
      </c>
      <c r="C3240" s="38" t="n">
        <f aca="false">Sens!$C$3238*Sens!$C$3239</f>
        <v>1486.69201339361</v>
      </c>
    </row>
    <row r="3241" customFormat="false" ht="17.15" hidden="false" customHeight="false" outlineLevel="0" collapsed="false">
      <c r="A3241" s="0" t="s">
        <v>880</v>
      </c>
      <c r="B3241" s="0" t="s">
        <v>73</v>
      </c>
      <c r="C3241" s="38" t="n">
        <f aca="false">0.25*Sens!$H$3165+0.75*Sens!$I$3165</f>
        <v>72.2947701247864</v>
      </c>
    </row>
    <row r="3242" customFormat="false" ht="17.15" hidden="false" customHeight="false" outlineLevel="0" collapsed="false">
      <c r="A3242" s="0" t="s">
        <v>881</v>
      </c>
      <c r="B3242" s="0" t="s">
        <v>57</v>
      </c>
      <c r="C3242" s="30" t="n">
        <f aca="false">m_ai</f>
        <v>6</v>
      </c>
    </row>
    <row r="3243" customFormat="false" ht="17.15" hidden="false" customHeight="false" outlineLevel="0" collapsed="false">
      <c r="A3243" s="0" t="s">
        <v>882</v>
      </c>
      <c r="B3243" s="0" t="s">
        <v>73</v>
      </c>
      <c r="C3243" s="38" t="n">
        <f aca="false">Sens!$C$3241*Sens!$C$3242</f>
        <v>433.768620748718</v>
      </c>
    </row>
    <row r="3244" customFormat="false" ht="17.15" hidden="false" customHeight="false" outlineLevel="0" collapsed="false">
      <c r="A3244" s="5" t="s">
        <v>883</v>
      </c>
      <c r="B3244" s="0" t="s">
        <v>73</v>
      </c>
      <c r="C3244" s="38" t="n">
        <f aca="false">Sens!$C$3234+Sens!$C$3237+Sens!$C$3240+Sens!$C$3243</f>
        <v>3053.68725600127</v>
      </c>
    </row>
    <row r="3245" customFormat="false" ht="17.15" hidden="false" customHeight="false" outlineLevel="0" collapsed="false">
      <c r="A3245" s="5" t="s">
        <v>884</v>
      </c>
      <c r="B3245" s="0" t="s">
        <v>73</v>
      </c>
      <c r="C3245" s="38" t="n">
        <f aca="false">Sens!$H$3203</f>
        <v>114.853129104377</v>
      </c>
    </row>
    <row r="3246" customFormat="false" ht="15" hidden="false" customHeight="false" outlineLevel="0" collapsed="false">
      <c r="A3246" s="5" t="s">
        <v>885</v>
      </c>
      <c r="B3246" s="0" t="s">
        <v>73</v>
      </c>
      <c r="C3246" s="38" t="n">
        <f aca="false">Sens!$C$3244-Sens!$C$3245+Sens!$C$3227</f>
        <v>3117.7781268969</v>
      </c>
    </row>
    <row r="3247" customFormat="false" ht="15" hidden="false" customHeight="false" outlineLevel="0" collapsed="false">
      <c r="A3247" s="3" t="s">
        <v>886</v>
      </c>
      <c r="B3247" s="8" t="s">
        <v>27</v>
      </c>
      <c r="C3247" s="30" t="n">
        <f aca="false">Sens!$C$3246/sh_val</f>
        <v>282.65542820421</v>
      </c>
    </row>
    <row r="3248" customFormat="false" ht="17.15" hidden="false" customHeight="false" outlineLevel="0" collapsed="false">
      <c r="A3248" s="46" t="s">
        <v>887</v>
      </c>
      <c r="B3248" s="13" t="s">
        <v>27</v>
      </c>
      <c r="C3248" s="43" t="n">
        <f aca="false">w_dcf*Sens!$C$3230+(1-w_dcf)*Sens!$C$3247</f>
        <v>186.709152162938</v>
      </c>
      <c r="D3248" s="13"/>
      <c r="E3248" s="13"/>
      <c r="F3248" s="13"/>
      <c r="G3248" s="13"/>
      <c r="H3248" s="13"/>
      <c r="I3248" s="13"/>
      <c r="J3248" s="13"/>
      <c r="K3248" s="13"/>
      <c r="L3248" s="13"/>
      <c r="M3248" s="13"/>
      <c r="N3248" s="13"/>
      <c r="O3248" s="13"/>
    </row>
    <row r="3249" customFormat="false" ht="17.15" hidden="false" customHeight="false" outlineLevel="0" collapsed="false">
      <c r="A3249" s="5" t="s">
        <v>888</v>
      </c>
      <c r="B3249" s="0" t="s">
        <v>27</v>
      </c>
      <c r="C3249" s="30" t="n">
        <f aca="false">0.45*Sens!$C$3230+0.55*Sens!$C$3247</f>
        <v>196.303779767065</v>
      </c>
    </row>
    <row r="3252" customFormat="false" ht="19.4" hidden="false" customHeight="false" outlineLevel="0" collapsed="false">
      <c r="A3252" s="31" t="s">
        <v>1113</v>
      </c>
    </row>
    <row r="3253" customFormat="false" ht="17.15" hidden="false" customHeight="false" outlineLevel="0" collapsed="false">
      <c r="A3253" s="6" t="s">
        <v>16</v>
      </c>
      <c r="B3253" s="6" t="s">
        <v>17</v>
      </c>
      <c r="C3253" s="20" t="s">
        <v>457</v>
      </c>
      <c r="D3253" s="20" t="s">
        <v>458</v>
      </c>
      <c r="E3253" s="20" t="s">
        <v>540</v>
      </c>
      <c r="F3253" s="20" t="s">
        <v>541</v>
      </c>
      <c r="G3253" s="20" t="s">
        <v>542</v>
      </c>
      <c r="H3253" s="20" t="s">
        <v>543</v>
      </c>
      <c r="I3253" s="20" t="s">
        <v>544</v>
      </c>
      <c r="J3253" s="20" t="s">
        <v>545</v>
      </c>
      <c r="K3253" s="20" t="s">
        <v>546</v>
      </c>
      <c r="L3253" s="20" t="s">
        <v>547</v>
      </c>
      <c r="M3253" s="20" t="s">
        <v>548</v>
      </c>
      <c r="N3253" s="20" t="s">
        <v>549</v>
      </c>
      <c r="O3253" s="20" t="s">
        <v>550</v>
      </c>
      <c r="P3253" s="6" t="s">
        <v>23</v>
      </c>
      <c r="R3253" s="20" t="n">
        <v>2023</v>
      </c>
      <c r="S3253" s="20" t="n">
        <v>2024</v>
      </c>
      <c r="T3253" s="20" t="n">
        <v>2025</v>
      </c>
      <c r="U3253" s="20" t="n">
        <v>2026</v>
      </c>
      <c r="V3253" s="20" t="n">
        <v>2027</v>
      </c>
      <c r="W3253" s="20" t="n">
        <v>2028</v>
      </c>
      <c r="X3253" s="20" t="n">
        <v>2029</v>
      </c>
      <c r="Y3253" s="20" t="n">
        <v>2030</v>
      </c>
      <c r="Z3253" s="20" t="n">
        <v>2031</v>
      </c>
      <c r="AA3253" s="20" t="n">
        <v>2032</v>
      </c>
    </row>
    <row r="3254" customFormat="false" ht="17.15" hidden="false" customHeight="false" outlineLevel="0" collapsed="false">
      <c r="A3254" s="1" t="s">
        <v>620</v>
      </c>
    </row>
    <row r="3255" customFormat="false" ht="17.15" hidden="false" customHeight="false" outlineLevel="0" collapsed="false">
      <c r="A3255" s="0" t="s">
        <v>479</v>
      </c>
      <c r="B3255" s="0" t="s">
        <v>73</v>
      </c>
      <c r="C3255" s="38" t="n">
        <f aca="false">Q!$D$10</f>
        <v>247.029</v>
      </c>
      <c r="D3255" s="38" t="n">
        <f aca="false">Q!$E$10</f>
        <v>269.287</v>
      </c>
      <c r="E3255" s="38" t="n">
        <f aca="false">Q!$P$10</f>
        <v>134.686</v>
      </c>
      <c r="F3255" s="38" t="n">
        <f aca="false">Sens!$O$3255*(1+Sens!$F$3256)-pd_amt*Q!$O$10/(Q!$O$10+Q!$O$12)</f>
        <v>160.728085930082</v>
      </c>
      <c r="G3255" s="38" t="n">
        <f aca="false">Sens!$E$3255+Sens!$F$3255</f>
        <v>295.414085930082</v>
      </c>
      <c r="H3255" s="38" t="n">
        <f aca="false">Sens!$G$3255*(1+Sens!$H$3256)</f>
        <v>320.828163943375</v>
      </c>
      <c r="I3255" s="38" t="n">
        <f aca="false">Sens!$H$3255*(1+Sens!$I$3256)</f>
        <v>344.575578072228</v>
      </c>
      <c r="J3255" s="38" t="n">
        <f aca="false">Sens!$I$3255*(1+Sens!$J$3256)</f>
        <v>365.942555779681</v>
      </c>
      <c r="K3255" s="38" t="n">
        <f aca="false">Sens!$J$3255*(1+Sens!$K$3256)</f>
        <v>384.239683568665</v>
      </c>
      <c r="L3255" s="38" t="n">
        <f aca="false">Sens!$K$3255*(1+Sens!$L$3256)</f>
        <v>403.451667747098</v>
      </c>
      <c r="M3255" s="38" t="n">
        <f aca="false">Sens!$L$3255*(1+Sens!$M$3256)</f>
        <v>423.624251134453</v>
      </c>
      <c r="N3255" s="38" t="n">
        <f aca="false">Q!$N$10</f>
        <v>118.892</v>
      </c>
      <c r="O3255" s="38" t="n">
        <f aca="false">Q!$O$10</f>
        <v>150.395</v>
      </c>
      <c r="P3255" s="8" t="s">
        <v>621</v>
      </c>
    </row>
    <row r="3256" customFormat="false" ht="17.15" hidden="false" customHeight="false" outlineLevel="0" collapsed="false">
      <c r="A3256" s="0" t="s">
        <v>622</v>
      </c>
      <c r="B3256" s="0" t="s">
        <v>52</v>
      </c>
      <c r="E3256" s="12" t="n">
        <f aca="false">Sens!$E$3255/Sens!$N$3255-1</f>
        <v>0.132843252699929</v>
      </c>
      <c r="F3256" s="12" t="n">
        <f aca="false">Sens!$O$3255/(Q!$F$10+Q!$G$10)-1</f>
        <v>0.0980382135842941</v>
      </c>
      <c r="G3256" s="12" t="n">
        <f aca="false">Sens!$G$3255/Sens!$D$3255-1</f>
        <v>0.0970231980380869</v>
      </c>
      <c r="H3256" s="12" t="n">
        <f aca="false">Sens!$F$3256+(g_os-Sens!$F$3256)*1/4</f>
        <v>0.0860286601882206</v>
      </c>
      <c r="I3256" s="12" t="n">
        <f aca="false">Sens!$F$3256+(g_os-Sens!$F$3256)*2/4</f>
        <v>0.074019106792147</v>
      </c>
      <c r="J3256" s="12" t="n">
        <f aca="false">Sens!$F$3256+(g_os-Sens!$F$3256)*3/4</f>
        <v>0.0620095533960735</v>
      </c>
      <c r="K3256" s="12" t="n">
        <f aca="false">Sens!$F$3256+(g_os-Sens!$F$3256)*4/4</f>
        <v>0.05</v>
      </c>
      <c r="L3256" s="12" t="n">
        <f aca="false">g_os</f>
        <v>0.05</v>
      </c>
      <c r="M3256" s="12" t="n">
        <f aca="false">g_os</f>
        <v>0.05</v>
      </c>
      <c r="P3256" s="8" t="s">
        <v>623</v>
      </c>
    </row>
    <row r="3257" customFormat="false" ht="17.15" hidden="false" customHeight="false" outlineLevel="0" collapsed="false">
      <c r="A3257" s="0" t="s">
        <v>480</v>
      </c>
      <c r="B3257" s="0" t="s">
        <v>73</v>
      </c>
      <c r="C3257" s="38" t="n">
        <f aca="false">Q!$D$11</f>
        <v>21.215</v>
      </c>
      <c r="D3257" s="38" t="n">
        <f aca="false">Q!$E$11</f>
        <v>22.561</v>
      </c>
      <c r="E3257" s="38" t="n">
        <f aca="false">Q!$P$11</f>
        <v>11.579</v>
      </c>
      <c r="F3257" s="38" t="n">
        <f aca="false">Sens!$O$3257*(1+Sens!$F$3258)</f>
        <v>12.0952613121125</v>
      </c>
      <c r="G3257" s="38" t="n">
        <f aca="false">Sens!$E$3257+Sens!$F$3257</f>
        <v>23.6742613121125</v>
      </c>
      <c r="H3257" s="38" t="n">
        <f aca="false">Sens!$G$3257*(1+Sens!$H$3258)</f>
        <v>24.8803243963206</v>
      </c>
      <c r="I3257" s="38" t="n">
        <f aca="false">Sens!$H$3257*(1+Sens!$I$3258)</f>
        <v>25.9741308664154</v>
      </c>
      <c r="J3257" s="38" t="n">
        <f aca="false">Sens!$I$3257*(1+Sens!$J$3258)</f>
        <v>26.9346894124267</v>
      </c>
      <c r="K3257" s="38" t="n">
        <f aca="false">Sens!$J$3257*(1+Sens!$K$3258)</f>
        <v>27.7427300947995</v>
      </c>
      <c r="L3257" s="38" t="n">
        <f aca="false">Sens!$K$3257*(1+Sens!$L$3258)</f>
        <v>28.5750119976435</v>
      </c>
      <c r="M3257" s="38" t="n">
        <f aca="false">Sens!$L$3257*(1+Sens!$M$3258)</f>
        <v>29.4322623575728</v>
      </c>
      <c r="N3257" s="38" t="n">
        <f aca="false">Q!$N$11</f>
        <v>11.128</v>
      </c>
      <c r="O3257" s="38" t="n">
        <f aca="false">Q!$O$11</f>
        <v>11.433</v>
      </c>
      <c r="P3257" s="8" t="s">
        <v>621</v>
      </c>
    </row>
    <row r="3258" customFormat="false" ht="17.15" hidden="false" customHeight="false" outlineLevel="0" collapsed="false">
      <c r="A3258" s="0" t="s">
        <v>624</v>
      </c>
      <c r="B3258" s="0" t="s">
        <v>52</v>
      </c>
      <c r="E3258" s="12" t="n">
        <f aca="false">Sens!$E$3257/Sens!$N$3257-1</f>
        <v>0.0405283968368082</v>
      </c>
      <c r="F3258" s="12" t="n">
        <f aca="false">Sens!$O$3257/(Q!$F$11+Q!$G$11)-1</f>
        <v>0.0579254187100955</v>
      </c>
      <c r="G3258" s="12" t="n">
        <f aca="false">Sens!$G$3257/Sens!$D$3257-1</f>
        <v>0.0493445021103904</v>
      </c>
      <c r="H3258" s="12" t="n">
        <f aca="false">Sens!$F$3258+(g_ps-Sens!$F$3258)*1/4</f>
        <v>0.0509440640325716</v>
      </c>
      <c r="I3258" s="12" t="n">
        <f aca="false">Sens!$F$3258+(g_ps-Sens!$F$3258)*2/4</f>
        <v>0.0439627093550477</v>
      </c>
      <c r="J3258" s="12" t="n">
        <f aca="false">Sens!$F$3258+(g_ps-Sens!$F$3258)*3/4</f>
        <v>0.0369813546775239</v>
      </c>
      <c r="K3258" s="12" t="n">
        <f aca="false">Sens!$F$3258+(g_ps-Sens!$F$3258)*4/4</f>
        <v>0.03</v>
      </c>
      <c r="L3258" s="12" t="n">
        <f aca="false">g_ps</f>
        <v>0.03</v>
      </c>
      <c r="M3258" s="12" t="n">
        <f aca="false">g_ps</f>
        <v>0.03</v>
      </c>
      <c r="P3258" s="8" t="s">
        <v>625</v>
      </c>
    </row>
    <row r="3259" customFormat="false" ht="17.15" hidden="false" customHeight="false" outlineLevel="0" collapsed="false">
      <c r="A3259" s="0" t="s">
        <v>481</v>
      </c>
      <c r="B3259" s="0" t="s">
        <v>73</v>
      </c>
      <c r="C3259" s="38" t="n">
        <f aca="false">Q!$D$12</f>
        <v>156.146</v>
      </c>
      <c r="D3259" s="38" t="n">
        <f aca="false">Q!$E$12</f>
        <v>172.162</v>
      </c>
      <c r="E3259" s="38" t="n">
        <f aca="false">Q!$P$12</f>
        <v>88.358</v>
      </c>
      <c r="F3259" s="38" t="n">
        <f aca="false">Sens!$O$3259*(1+Sens!$F$3260)-pd_amt*Q!$O$12/(Q!$O$10+Q!$O$12)</f>
        <v>103.62028337149</v>
      </c>
      <c r="G3259" s="38" t="n">
        <f aca="false">Sens!$E$3259+Sens!$F$3259</f>
        <v>191.97828337149</v>
      </c>
      <c r="H3259" s="38" t="n">
        <f aca="false">Sens!$G$3259*(1+Sens!$H$3260)</f>
        <v>212.128608444755</v>
      </c>
      <c r="I3259" s="38" t="n">
        <f aca="false">Sens!$H$3259*(1+Sens!$I$3260)</f>
        <v>231.92183134134</v>
      </c>
      <c r="J3259" s="38" t="n">
        <f aca="false">Sens!$I$3259*(1+Sens!$J$3260)</f>
        <v>250.859136487863</v>
      </c>
      <c r="K3259" s="38" t="n">
        <f aca="false">Sens!$J$3259*(1+Sens!$K$3260)</f>
        <v>268.419276042014</v>
      </c>
      <c r="L3259" s="38" t="n">
        <f aca="false">Sens!$K$3259*(1+Sens!$L$3260)</f>
        <v>287.208625364954</v>
      </c>
      <c r="M3259" s="38" t="n">
        <f aca="false">Sens!$L$3259*(1+Sens!$M$3260)</f>
        <v>307.313229140501</v>
      </c>
      <c r="N3259" s="38" t="n">
        <f aca="false">Q!$N$12</f>
        <v>76.86</v>
      </c>
      <c r="O3259" s="38" t="n">
        <f aca="false">Q!$O$12</f>
        <v>95.302</v>
      </c>
      <c r="P3259" s="8" t="s">
        <v>621</v>
      </c>
    </row>
    <row r="3260" customFormat="false" ht="17.15" hidden="false" customHeight="false" outlineLevel="0" collapsed="false">
      <c r="A3260" s="0" t="s">
        <v>626</v>
      </c>
      <c r="B3260" s="0" t="s">
        <v>52</v>
      </c>
      <c r="E3260" s="12" t="n">
        <f aca="false">Sens!$E$3259/Sens!$N$3259-1</f>
        <v>0.1495966692688</v>
      </c>
      <c r="F3260" s="12" t="n">
        <f aca="false">Sens!$O$3259/(Q!$F$12+Q!$G$12)-1</f>
        <v>0.11661530890813</v>
      </c>
      <c r="G3260" s="12" t="n">
        <f aca="false">Sens!$G$3259/Sens!$D$3259-1</f>
        <v>0.115102539303041</v>
      </c>
      <c r="H3260" s="12" t="n">
        <f aca="false">Sens!$F$3260+(g_sp-Sens!$F$3260)*1/4</f>
        <v>0.104961481681098</v>
      </c>
      <c r="I3260" s="12" t="n">
        <f aca="false">Sens!$F$3260+(g_sp-Sens!$F$3260)*2/4</f>
        <v>0.0933076544540651</v>
      </c>
      <c r="J3260" s="12" t="n">
        <f aca="false">Sens!$F$3260+(g_sp-Sens!$F$3260)*3/4</f>
        <v>0.0816538272270325</v>
      </c>
      <c r="K3260" s="12" t="n">
        <f aca="false">Sens!$F$3260+(g_sp-Sens!$F$3260)*4/4</f>
        <v>0.07</v>
      </c>
      <c r="L3260" s="12" t="n">
        <f aca="false">g_sp</f>
        <v>0.07</v>
      </c>
      <c r="M3260" s="12" t="n">
        <f aca="false">g_sp</f>
        <v>0.07</v>
      </c>
      <c r="P3260" s="8" t="s">
        <v>627</v>
      </c>
    </row>
    <row r="3261" customFormat="false" ht="17.15" hidden="false" customHeight="false" outlineLevel="0" collapsed="false">
      <c r="A3261" s="0" t="s">
        <v>482</v>
      </c>
      <c r="B3261" s="0" t="s">
        <v>73</v>
      </c>
      <c r="C3261" s="38" t="n">
        <f aca="false">Q!$D$13</f>
        <v>56.214</v>
      </c>
      <c r="D3261" s="38" t="n">
        <f aca="false">Q!$E$13</f>
        <v>68.635</v>
      </c>
      <c r="E3261" s="38" t="n">
        <f aca="false">Q!$P$13</f>
        <v>37.052</v>
      </c>
      <c r="F3261" s="38" t="n">
        <f aca="false">Sens!$O$3261*(1+Sens!$F$3262)</f>
        <v>48.1533381827382</v>
      </c>
      <c r="G3261" s="38" t="n">
        <f aca="false">Sens!$E$3261+Sens!$F$3261</f>
        <v>85.2053381827382</v>
      </c>
      <c r="H3261" s="38" t="n">
        <f aca="false">Sens!$G$3261*(1+Sens!$H$3262)</f>
        <v>102.29336185894</v>
      </c>
      <c r="I3261" s="38" t="n">
        <f aca="false">Sens!$H$3261*(1+Sens!$I$3262)</f>
        <v>119.379837585241</v>
      </c>
      <c r="J3261" s="38" t="n">
        <f aca="false">Sens!$I$3261*(1+Sens!$J$3262)</f>
        <v>135.319079048844</v>
      </c>
      <c r="K3261" s="38" t="n">
        <f aca="false">Sens!$J$3261*(1+Sens!$K$3262)</f>
        <v>148.850986953729</v>
      </c>
      <c r="L3261" s="38" t="n">
        <f aca="false">Sens!$K$3261*(1+Sens!$L$3262)</f>
        <v>163.736085649102</v>
      </c>
      <c r="M3261" s="38" t="n">
        <f aca="false">Sens!$L$3261*(1+Sens!$M$3262)</f>
        <v>180.109694214012</v>
      </c>
      <c r="N3261" s="38" t="n">
        <f aca="false">Q!$N$13</f>
        <v>29.615</v>
      </c>
      <c r="O3261" s="38" t="n">
        <f aca="false">Q!$O$13</f>
        <v>39.02</v>
      </c>
      <c r="P3261" s="8" t="s">
        <v>621</v>
      </c>
    </row>
    <row r="3262" customFormat="false" ht="17.15" hidden="false" customHeight="false" outlineLevel="0" collapsed="false">
      <c r="A3262" s="0" t="s">
        <v>628</v>
      </c>
      <c r="B3262" s="0" t="s">
        <v>52</v>
      </c>
      <c r="E3262" s="12" t="n">
        <f aca="false">Sens!$E$3261/Sens!$N$3261-1</f>
        <v>0.25112274185379</v>
      </c>
      <c r="F3262" s="12" t="n">
        <f aca="false">Sens!$O$3261/(Q!$F$13+Q!$G$13)-1</f>
        <v>0.234068123596572</v>
      </c>
      <c r="G3262" s="12" t="n">
        <f aca="false">Sens!$G$3261/Sens!$D$3261-1</f>
        <v>0.241426942270536</v>
      </c>
      <c r="H3262" s="12" t="n">
        <f aca="false">Sens!$F$3262+(g_ad-Sens!$F$3262)*1/4</f>
        <v>0.200551092697429</v>
      </c>
      <c r="I3262" s="12" t="n">
        <f aca="false">Sens!$F$3262+(g_ad-Sens!$F$3262)*2/4</f>
        <v>0.167034061798286</v>
      </c>
      <c r="J3262" s="12" t="n">
        <f aca="false">Sens!$F$3262+(g_ad-Sens!$F$3262)*3/4</f>
        <v>0.133517030899143</v>
      </c>
      <c r="K3262" s="12" t="n">
        <f aca="false">Sens!$F$3262+(g_ad-Sens!$F$3262)*4/4</f>
        <v>0.1</v>
      </c>
      <c r="L3262" s="12" t="n">
        <f aca="false">g_ad</f>
        <v>0.1</v>
      </c>
      <c r="M3262" s="12" t="n">
        <f aca="false">g_ad</f>
        <v>0.1</v>
      </c>
      <c r="P3262" s="8" t="s">
        <v>629</v>
      </c>
    </row>
    <row r="3263" customFormat="false" ht="17.15" hidden="false" customHeight="false" outlineLevel="0" collapsed="false">
      <c r="A3263" s="0" t="s">
        <v>483</v>
      </c>
      <c r="B3263" s="0" t="s">
        <v>73</v>
      </c>
      <c r="C3263" s="38" t="n">
        <f aca="false">Q!$D$14</f>
        <v>44.374</v>
      </c>
      <c r="D3263" s="38" t="n">
        <f aca="false">Q!$E$14</f>
        <v>49.619</v>
      </c>
      <c r="E3263" s="38" t="n">
        <f aca="false">Q!$P$14</f>
        <v>27.157</v>
      </c>
      <c r="F3263" s="38" t="n">
        <f aca="false">Sens!$O$3263*(1+Sens!$F$3264)</f>
        <v>28.9776360923374</v>
      </c>
      <c r="G3263" s="38" t="n">
        <f aca="false">Sens!$E$3263+Sens!$F$3263</f>
        <v>56.1346360923374</v>
      </c>
      <c r="H3263" s="38" t="n">
        <f aca="false">Sens!$G$3263*(1+Sens!$H$3264)</f>
        <v>62.4937078946075</v>
      </c>
      <c r="I3263" s="38" t="n">
        <f aca="false">Sens!$H$3263*(1+Sens!$I$3264)</f>
        <v>68.6715233062498</v>
      </c>
      <c r="J3263" s="38" t="n">
        <f aca="false">Sens!$I$3263*(1+Sens!$J$3264)</f>
        <v>74.4692882949818</v>
      </c>
      <c r="K3263" s="38" t="n">
        <f aca="false">Sens!$J$3263*(1+Sens!$K$3264)</f>
        <v>79.6821384756306</v>
      </c>
      <c r="L3263" s="38" t="n">
        <f aca="false">Sens!$K$3263*(1+Sens!$L$3264)</f>
        <v>85.2598881689247</v>
      </c>
      <c r="M3263" s="38" t="n">
        <f aca="false">Sens!$L$3263*(1+Sens!$M$3264)</f>
        <v>91.2280803407494</v>
      </c>
      <c r="N3263" s="38" t="n">
        <f aca="false">Q!$N$14</f>
        <v>23.923</v>
      </c>
      <c r="O3263" s="38" t="n">
        <f aca="false">Q!$O$14</f>
        <v>25.696</v>
      </c>
      <c r="P3263" s="8" t="s">
        <v>621</v>
      </c>
    </row>
    <row r="3264" customFormat="false" ht="17.15" hidden="false" customHeight="false" outlineLevel="0" collapsed="false">
      <c r="A3264" s="0" t="s">
        <v>630</v>
      </c>
      <c r="B3264" s="0" t="s">
        <v>52</v>
      </c>
      <c r="E3264" s="12" t="n">
        <f aca="false">Sens!$E$3263/Sens!$N$3263-1</f>
        <v>0.135183714417088</v>
      </c>
      <c r="F3264" s="12" t="n">
        <f aca="false">Sens!$O$3263/(Q!$F$14+Q!$G$14)-1</f>
        <v>0.127709997366804</v>
      </c>
      <c r="G3264" s="12" t="n">
        <f aca="false">Sens!$G$3263/Sens!$D$3263-1</f>
        <v>0.131313329416905</v>
      </c>
      <c r="H3264" s="12" t="n">
        <f aca="false">Sens!$F$3264+(g_sub-Sens!$F$3264)*1/4</f>
        <v>0.113282498025103</v>
      </c>
      <c r="I3264" s="12" t="n">
        <f aca="false">Sens!$F$3264+(g_sub-Sens!$F$3264)*2/4</f>
        <v>0.0988549986834021</v>
      </c>
      <c r="J3264" s="12" t="n">
        <f aca="false">Sens!$F$3264+(g_sub-Sens!$F$3264)*3/4</f>
        <v>0.084427499341701</v>
      </c>
      <c r="K3264" s="12" t="n">
        <f aca="false">Sens!$F$3264+(g_sub-Sens!$F$3264)*4/4</f>
        <v>0.07</v>
      </c>
      <c r="L3264" s="12" t="n">
        <f aca="false">g_sub</f>
        <v>0.07</v>
      </c>
      <c r="M3264" s="12" t="n">
        <f aca="false">g_sub</f>
        <v>0.07</v>
      </c>
      <c r="P3264" s="8" t="s">
        <v>631</v>
      </c>
    </row>
    <row r="3265" customFormat="false" ht="17.15" hidden="false" customHeight="false" outlineLevel="0" collapsed="false">
      <c r="A3265" s="0" t="s">
        <v>484</v>
      </c>
      <c r="B3265" s="0" t="s">
        <v>73</v>
      </c>
      <c r="C3265" s="38" t="n">
        <f aca="false">Q!$D$15</f>
        <v>5.425</v>
      </c>
      <c r="D3265" s="38" t="n">
        <f aca="false">Q!$E$15</f>
        <v>5.935</v>
      </c>
      <c r="E3265" s="38" t="n">
        <f aca="false">Q!$P$15</f>
        <v>3.474</v>
      </c>
      <c r="F3265" s="38" t="n">
        <f aca="false">Sens!$O$3265*(1+Sens!$F$3266)</f>
        <v>3.36182431966931</v>
      </c>
      <c r="G3265" s="38" t="n">
        <f aca="false">Sens!$E$3265+Sens!$F$3265</f>
        <v>6.83582431966931</v>
      </c>
      <c r="H3265" s="38" t="n">
        <f aca="false">Sens!$G$3265*(1+Sens!$H$3266)</f>
        <v>7.31157108370141</v>
      </c>
      <c r="I3265" s="38" t="n">
        <f aca="false">Sens!$H$3265*(1+Sens!$I$3266)</f>
        <v>7.77266852639815</v>
      </c>
      <c r="J3265" s="38" t="n">
        <f aca="false">Sens!$I$3265*(1+Sens!$J$3266)</f>
        <v>8.2120733019884</v>
      </c>
      <c r="K3265" s="38" t="n">
        <f aca="false">Sens!$J$3265*(1+Sens!$K$3266)</f>
        <v>8.62267696708783</v>
      </c>
      <c r="L3265" s="38" t="n">
        <f aca="false">Sens!$K$3265*(1+Sens!$L$3266)</f>
        <v>9.05381081544222</v>
      </c>
      <c r="M3265" s="38" t="n">
        <f aca="false">Sens!$L$3265*(1+Sens!$M$3266)</f>
        <v>9.50650135621433</v>
      </c>
      <c r="N3265" s="38" t="n">
        <f aca="false">Q!$N$15</f>
        <v>2.811</v>
      </c>
      <c r="O3265" s="38" t="n">
        <f aca="false">Q!$O$15</f>
        <v>3.124</v>
      </c>
      <c r="P3265" s="8" t="s">
        <v>621</v>
      </c>
    </row>
    <row r="3266" customFormat="false" ht="17.15" hidden="false" customHeight="false" outlineLevel="0" collapsed="false">
      <c r="A3266" s="0" t="s">
        <v>632</v>
      </c>
      <c r="B3266" s="0" t="s">
        <v>52</v>
      </c>
      <c r="E3266" s="12" t="n">
        <f aca="false">Sens!$E$3265/Sens!$N$3265-1</f>
        <v>0.235859124866596</v>
      </c>
      <c r="F3266" s="12" t="n">
        <f aca="false">Sens!$O$3265/(Q!$F$15+Q!$G$15)-1</f>
        <v>0.0761281433000345</v>
      </c>
      <c r="G3266" s="12" t="n">
        <f aca="false">Sens!$G$3265/Sens!$D$3265-1</f>
        <v>0.151781688234087</v>
      </c>
      <c r="H3266" s="12" t="n">
        <f aca="false">Sens!$F$3266+(g_ot-Sens!$F$3266)*1/4</f>
        <v>0.0695961074750259</v>
      </c>
      <c r="I3266" s="12" t="n">
        <f aca="false">Sens!$F$3266+(g_ot-Sens!$F$3266)*2/4</f>
        <v>0.0630640716500172</v>
      </c>
      <c r="J3266" s="12" t="n">
        <f aca="false">Sens!$F$3266+(g_ot-Sens!$F$3266)*3/4</f>
        <v>0.0565320358250086</v>
      </c>
      <c r="K3266" s="12" t="n">
        <f aca="false">Sens!$F$3266+(g_ot-Sens!$F$3266)*4/4</f>
        <v>0.05</v>
      </c>
      <c r="L3266" s="12" t="n">
        <f aca="false">g_ot</f>
        <v>0.05</v>
      </c>
      <c r="M3266" s="12" t="n">
        <f aca="false">g_ot</f>
        <v>0.05</v>
      </c>
      <c r="P3266" s="8" t="s">
        <v>633</v>
      </c>
    </row>
    <row r="3267" customFormat="false" ht="17.15" hidden="false" customHeight="false" outlineLevel="0" collapsed="false">
      <c r="A3267" s="3" t="s">
        <v>634</v>
      </c>
      <c r="B3267" s="8" t="s">
        <v>73</v>
      </c>
      <c r="C3267" s="38" t="n">
        <f aca="false">Sens!$C$3255+Sens!$C$3257+Sens!$C$3259+Sens!$C$3261+Sens!$C$3263+Sens!$C$3265</f>
        <v>530.403</v>
      </c>
      <c r="D3267" s="38" t="n">
        <f aca="false">Sens!$D$3255+Sens!$D$3257+Sens!$D$3259+Sens!$D$3261+Sens!$D$3263+Sens!$D$3265</f>
        <v>588.199</v>
      </c>
      <c r="E3267" s="38" t="n">
        <f aca="false">Sens!$E$3255+Sens!$E$3257+Sens!$E$3259+Sens!$E$3261+Sens!$E$3263+Sens!$E$3265</f>
        <v>302.306</v>
      </c>
      <c r="F3267" s="38" t="n">
        <f aca="false">Sens!$F$3255+Sens!$F$3257+Sens!$F$3259+Sens!$F$3261+Sens!$F$3263+Sens!$F$3265</f>
        <v>356.93642920843</v>
      </c>
      <c r="G3267" s="38" t="n">
        <f aca="false">Sens!$G$3255+Sens!$G$3257+Sens!$G$3259+Sens!$G$3261+Sens!$G$3263+Sens!$G$3265</f>
        <v>659.24242920843</v>
      </c>
      <c r="H3267" s="38" t="n">
        <f aca="false">Sens!$H$3255+Sens!$H$3257+Sens!$H$3259+Sens!$H$3261+Sens!$H$3263+Sens!$H$3265</f>
        <v>729.935737621701</v>
      </c>
      <c r="I3267" s="38" t="n">
        <f aca="false">Sens!$I$3255+Sens!$I$3257+Sens!$I$3259+Sens!$I$3261+Sens!$I$3263+Sens!$I$3265</f>
        <v>798.295569697873</v>
      </c>
      <c r="J3267" s="38" t="n">
        <f aca="false">Sens!$J$3255+Sens!$J$3257+Sens!$J$3259+Sens!$J$3261+Sens!$J$3263+Sens!$J$3265</f>
        <v>861.736822325785</v>
      </c>
      <c r="K3267" s="38" t="n">
        <f aca="false">Sens!$K$3255+Sens!$K$3257+Sens!$K$3259+Sens!$K$3261+Sens!$K$3263+Sens!$K$3265</f>
        <v>917.557492101925</v>
      </c>
      <c r="L3267" s="38" t="n">
        <f aca="false">Sens!$L$3255+Sens!$L$3257+Sens!$L$3259+Sens!$L$3261+Sens!$L$3263+Sens!$L$3265</f>
        <v>977.285089743165</v>
      </c>
      <c r="M3267" s="38" t="n">
        <f aca="false">Sens!$M$3255+Sens!$M$3257+Sens!$M$3259+Sens!$M$3261+Sens!$M$3263+Sens!$M$3265</f>
        <v>1041.2140185435</v>
      </c>
      <c r="N3267" s="38" t="n">
        <f aca="false">Sens!$N$3255+Sens!$N$3257+Sens!$N$3259+Sens!$N$3261+Sens!$N$3263+Sens!$N$3265</f>
        <v>263.229</v>
      </c>
      <c r="O3267" s="38" t="n">
        <f aca="false">Sens!$O$3255+Sens!$O$3257+Sens!$O$3259+Sens!$O$3261+Sens!$O$3263+Sens!$O$3265</f>
        <v>324.97</v>
      </c>
    </row>
    <row r="3268" customFormat="false" ht="17.15" hidden="false" customHeight="false" outlineLevel="0" collapsed="false">
      <c r="A3268" s="5" t="s">
        <v>635</v>
      </c>
      <c r="B3268" s="0" t="s">
        <v>52</v>
      </c>
      <c r="C3268" s="12" t="n">
        <f aca="false">Q!$D$5/(Q!$D$5+Q!$D$6)</f>
        <v>0.730570905519011</v>
      </c>
      <c r="D3268" s="12" t="n">
        <f aca="false">Q!$E$5/(Q!$E$5+Q!$E$6)</f>
        <v>0.724763217890544</v>
      </c>
      <c r="E3268" s="12" t="n">
        <f aca="false">Q!$P$5/(Q!$P$5+Q!$P$6)</f>
        <v>0.728797972914861</v>
      </c>
      <c r="F3268" s="12" t="n">
        <f aca="false">Sens!$O$3268</f>
        <v>0.718066283041511</v>
      </c>
      <c r="G3268" s="12" t="n">
        <f aca="false">Sens!$G$3269/Sens!$G$3267</f>
        <v>0.722987468473627</v>
      </c>
      <c r="H3268" s="12" t="n">
        <f aca="false">Sens!$G$3268</f>
        <v>0.722987468473627</v>
      </c>
      <c r="I3268" s="12" t="n">
        <f aca="false">Sens!$G$3268</f>
        <v>0.722987468473627</v>
      </c>
      <c r="J3268" s="12" t="n">
        <f aca="false">Sens!$G$3268</f>
        <v>0.722987468473627</v>
      </c>
      <c r="K3268" s="12" t="n">
        <f aca="false">Sens!$G$3268</f>
        <v>0.722987468473627</v>
      </c>
      <c r="L3268" s="12" t="n">
        <f aca="false">Sens!$G$3268</f>
        <v>0.722987468473627</v>
      </c>
      <c r="M3268" s="12" t="n">
        <f aca="false">Sens!$G$3268</f>
        <v>0.722987468473627</v>
      </c>
      <c r="N3268" s="12" t="n">
        <f aca="false">Q!$N$5/(Q!$N$5+Q!$N$6)</f>
        <v>0.733030935041352</v>
      </c>
      <c r="O3268" s="12" t="n">
        <f aca="false">Q!$O$5/(Q!$O$5+Q!$O$6)</f>
        <v>0.718066283041511</v>
      </c>
      <c r="P3268" s="8" t="s">
        <v>636</v>
      </c>
    </row>
    <row r="3269" customFormat="false" ht="17.15" hidden="false" customHeight="false" outlineLevel="0" collapsed="false">
      <c r="A3269" s="1" t="s">
        <v>472</v>
      </c>
      <c r="B3269" s="8" t="s">
        <v>73</v>
      </c>
      <c r="C3269" s="38" t="n">
        <f aca="false">Q!$D$5</f>
        <v>387.497</v>
      </c>
      <c r="D3269" s="38" t="n">
        <f aca="false">Q!$E$5</f>
        <v>426.305</v>
      </c>
      <c r="E3269" s="38" t="n">
        <f aca="false">Q!$P$5</f>
        <v>220.32</v>
      </c>
      <c r="F3269" s="38" t="n">
        <f aca="false">Sens!$F$3267*Sens!$F$3268</f>
        <v>256.304015003807</v>
      </c>
      <c r="G3269" s="38" t="n">
        <f aca="false">Sens!$E$3269+Sens!$F$3269</f>
        <v>476.624015003807</v>
      </c>
      <c r="H3269" s="38" t="n">
        <f aca="false">Sens!$H$3267*Sens!$H$3268</f>
        <v>527.734391091543</v>
      </c>
      <c r="I3269" s="38" t="n">
        <f aca="false">Sens!$I$3267*Sens!$I$3268</f>
        <v>577.157693029577</v>
      </c>
      <c r="J3269" s="38" t="n">
        <f aca="false">Sens!$J$3267*Sens!$J$3268</f>
        <v>623.024923663827</v>
      </c>
      <c r="K3269" s="38" t="n">
        <f aca="false">Sens!$K$3267*Sens!$K$3268</f>
        <v>663.382568393781</v>
      </c>
      <c r="L3269" s="38" t="n">
        <f aca="false">Sens!$L$3267*Sens!$L$3268</f>
        <v>706.564873010432</v>
      </c>
      <c r="M3269" s="38" t="n">
        <f aca="false">Sens!$M$3267*Sens!$M$3268</f>
        <v>752.784687406019</v>
      </c>
      <c r="N3269" s="38" t="n">
        <f aca="false">Q!$N$5</f>
        <v>192.955</v>
      </c>
      <c r="O3269" s="38" t="n">
        <f aca="false">Q!$O$5</f>
        <v>233.35</v>
      </c>
      <c r="P3269" s="5" t="s">
        <v>637</v>
      </c>
    </row>
    <row r="3270" customFormat="false" ht="17.15" hidden="false" customHeight="false" outlineLevel="0" collapsed="false">
      <c r="A3270" s="1" t="s">
        <v>475</v>
      </c>
      <c r="B3270" s="8" t="s">
        <v>73</v>
      </c>
      <c r="C3270" s="38" t="n">
        <f aca="false">Q!$D$6</f>
        <v>142.906</v>
      </c>
      <c r="D3270" s="38" t="n">
        <f aca="false">Q!$E$6</f>
        <v>161.894</v>
      </c>
      <c r="E3270" s="38" t="n">
        <f aca="false">Q!$P$6</f>
        <v>81.986</v>
      </c>
      <c r="F3270" s="38" t="n">
        <f aca="false">Sens!$F$3267*(1-Sens!$F$3268)</f>
        <v>100.632414204623</v>
      </c>
      <c r="G3270" s="38" t="n">
        <f aca="false">Sens!$E$3270+Sens!$F$3270</f>
        <v>182.618414204623</v>
      </c>
      <c r="H3270" s="38" t="n">
        <f aca="false">Sens!$H$3267*(1-Sens!$H$3268)</f>
        <v>202.201346530158</v>
      </c>
      <c r="I3270" s="38" t="n">
        <f aca="false">Sens!$I$3267*(1-Sens!$I$3268)</f>
        <v>221.137876668296</v>
      </c>
      <c r="J3270" s="38" t="n">
        <f aca="false">Sens!$J$3267*(1-Sens!$J$3268)</f>
        <v>238.711898661958</v>
      </c>
      <c r="K3270" s="38" t="n">
        <f aca="false">Sens!$K$3267*(1-Sens!$K$3268)</f>
        <v>254.174923708144</v>
      </c>
      <c r="L3270" s="38" t="n">
        <f aca="false">Sens!$L$3267*(1-Sens!$L$3268)</f>
        <v>270.720216732733</v>
      </c>
      <c r="M3270" s="38" t="n">
        <f aca="false">Sens!$M$3267*(1-Sens!$M$3268)</f>
        <v>288.429331137484</v>
      </c>
      <c r="N3270" s="38" t="n">
        <f aca="false">Q!$N$6</f>
        <v>70.274</v>
      </c>
      <c r="O3270" s="38" t="n">
        <f aca="false">Q!$O$6</f>
        <v>91.62</v>
      </c>
      <c r="P3270" s="5" t="s">
        <v>638</v>
      </c>
    </row>
    <row r="3271" customFormat="false" ht="17.15" hidden="false" customHeight="false" outlineLevel="0" collapsed="false">
      <c r="A3271" s="5" t="s">
        <v>639</v>
      </c>
      <c r="B3271" s="0" t="s">
        <v>73</v>
      </c>
      <c r="C3271" s="38" t="n">
        <f aca="false">Sens!$C$3261*Sens!$C$3268</f>
        <v>41.0683128828457</v>
      </c>
      <c r="D3271" s="38" t="n">
        <f aca="false">Sens!$D$3261*Sens!$D$3268</f>
        <v>49.7441234599175</v>
      </c>
      <c r="E3271" s="38" t="n">
        <f aca="false">Sens!$E$3261*Sens!$E$3268</f>
        <v>27.0034224924414</v>
      </c>
      <c r="F3271" s="38" t="n">
        <f aca="false">Sens!$F$3261*Sens!$F$3268</f>
        <v>34.5772885649197</v>
      </c>
      <c r="G3271" s="38" t="n">
        <f aca="false">Sens!$G$3261*Sens!$G$3268</f>
        <v>61.6023917531772</v>
      </c>
      <c r="H3271" s="38" t="n">
        <f aca="false">Sens!$H$3261*Sens!$H$3268</f>
        <v>73.9568187320519</v>
      </c>
      <c r="I3271" s="38" t="n">
        <f aca="false">Sens!$I$3261*Sens!$I$3268</f>
        <v>86.3101265625461</v>
      </c>
      <c r="J3271" s="38" t="n">
        <f aca="false">Sens!$J$3261*Sens!$J$3268</f>
        <v>97.8339983977065</v>
      </c>
      <c r="K3271" s="38" t="n">
        <f aca="false">Sens!$K$3261*Sens!$K$3268</f>
        <v>107.617398237477</v>
      </c>
      <c r="L3271" s="38" t="n">
        <f aca="false">Sens!$L$3261*Sens!$L$3268</f>
        <v>118.379138061225</v>
      </c>
      <c r="M3271" s="38" t="n">
        <f aca="false">Sens!$M$3261*Sens!$M$3268</f>
        <v>130.217051867347</v>
      </c>
      <c r="N3271" s="38" t="n">
        <f aca="false">Sens!$N$3261*Sens!$N$3268</f>
        <v>21.7087111412496</v>
      </c>
      <c r="O3271" s="38" t="n">
        <f aca="false">Sens!$O$3261*Sens!$O$3268</f>
        <v>28.0189463642798</v>
      </c>
      <c r="P3271" s="5" t="s">
        <v>640</v>
      </c>
    </row>
    <row r="3272" customFormat="false" ht="15" hidden="false" customHeight="false" outlineLevel="0" collapsed="false">
      <c r="A3272" s="5" t="s">
        <v>641</v>
      </c>
      <c r="B3272" s="0" t="s">
        <v>73</v>
      </c>
      <c r="C3272" s="38" t="n">
        <f aca="false">Sens!$C$3261-Sens!$C$3271</f>
        <v>15.1456871171543</v>
      </c>
      <c r="D3272" s="38" t="n">
        <f aca="false">Sens!$D$3261-Sens!$D$3271</f>
        <v>18.8908765400825</v>
      </c>
      <c r="E3272" s="38" t="n">
        <f aca="false">Sens!$E$3261-Sens!$E$3271</f>
        <v>10.0485775075586</v>
      </c>
      <c r="F3272" s="38" t="n">
        <f aca="false">Sens!$F$3261-Sens!$F$3271</f>
        <v>13.5760496178185</v>
      </c>
      <c r="G3272" s="38" t="n">
        <f aca="false">Sens!$G$3261-Sens!$G$3271</f>
        <v>23.6029464295611</v>
      </c>
      <c r="H3272" s="38" t="n">
        <f aca="false">Sens!$H$3261-Sens!$H$3271</f>
        <v>28.3365431268884</v>
      </c>
      <c r="I3272" s="38" t="n">
        <f aca="false">Sens!$I$3261-Sens!$I$3271</f>
        <v>33.0697110226949</v>
      </c>
      <c r="J3272" s="38" t="n">
        <f aca="false">Sens!$J$3261-Sens!$J$3271</f>
        <v>37.4850806511378</v>
      </c>
      <c r="K3272" s="38" t="n">
        <f aca="false">Sens!$K$3261-Sens!$K$3271</f>
        <v>41.2335887162515</v>
      </c>
      <c r="L3272" s="38" t="n">
        <f aca="false">Sens!$L$3261-Sens!$L$3271</f>
        <v>45.3569475878767</v>
      </c>
      <c r="M3272" s="38" t="n">
        <f aca="false">Sens!$M$3261-Sens!$M$3271</f>
        <v>49.8926423466644</v>
      </c>
      <c r="N3272" s="38" t="n">
        <f aca="false">Sens!$N$3261-Sens!$N$3271</f>
        <v>7.90628885875037</v>
      </c>
      <c r="O3272" s="38" t="n">
        <f aca="false">Sens!$O$3261-Sens!$O$3271</f>
        <v>11.0010536357202</v>
      </c>
    </row>
    <row r="3273" customFormat="false" ht="19.4" hidden="false" customHeight="false" outlineLevel="0" collapsed="false">
      <c r="A3273" s="31" t="s">
        <v>1114</v>
      </c>
    </row>
    <row r="3274" customFormat="false" ht="17.15" hidden="false" customHeight="false" outlineLevel="0" collapsed="false">
      <c r="A3274" s="6" t="s">
        <v>16</v>
      </c>
      <c r="B3274" s="6" t="s">
        <v>17</v>
      </c>
      <c r="C3274" s="20" t="s">
        <v>457</v>
      </c>
      <c r="D3274" s="20" t="s">
        <v>458</v>
      </c>
      <c r="E3274" s="20" t="s">
        <v>540</v>
      </c>
      <c r="F3274" s="20" t="s">
        <v>541</v>
      </c>
      <c r="G3274" s="20" t="s">
        <v>542</v>
      </c>
      <c r="H3274" s="20" t="s">
        <v>543</v>
      </c>
      <c r="I3274" s="20" t="s">
        <v>544</v>
      </c>
      <c r="J3274" s="20" t="s">
        <v>545</v>
      </c>
      <c r="K3274" s="20" t="s">
        <v>546</v>
      </c>
      <c r="L3274" s="20" t="s">
        <v>547</v>
      </c>
      <c r="M3274" s="20" t="s">
        <v>548</v>
      </c>
      <c r="N3274" s="20" t="s">
        <v>549</v>
      </c>
      <c r="O3274" s="20" t="s">
        <v>550</v>
      </c>
      <c r="P3274" s="6" t="s">
        <v>23</v>
      </c>
      <c r="R3274" s="20" t="n">
        <v>2023</v>
      </c>
      <c r="S3274" s="20" t="n">
        <v>2024</v>
      </c>
      <c r="T3274" s="20" t="n">
        <v>2025</v>
      </c>
      <c r="U3274" s="20" t="n">
        <v>2026</v>
      </c>
      <c r="V3274" s="20" t="n">
        <v>2027</v>
      </c>
      <c r="W3274" s="20" t="n">
        <v>2028</v>
      </c>
      <c r="X3274" s="20" t="n">
        <v>2029</v>
      </c>
      <c r="Y3274" s="20" t="n">
        <v>2030</v>
      </c>
      <c r="Z3274" s="20" t="n">
        <v>2031</v>
      </c>
      <c r="AA3274" s="20" t="n">
        <v>2032</v>
      </c>
    </row>
    <row r="3275" customFormat="false" ht="17.15" hidden="false" customHeight="false" outlineLevel="0" collapsed="false">
      <c r="A3275" s="1" t="s">
        <v>551</v>
      </c>
    </row>
    <row r="3276" customFormat="false" ht="17.15" hidden="false" customHeight="false" outlineLevel="0" collapsed="false">
      <c r="A3276" s="14" t="s">
        <v>552</v>
      </c>
      <c r="B3276" s="13" t="s">
        <v>108</v>
      </c>
      <c r="C3276" s="32" t="n">
        <f aca="false">mw_ye24</f>
        <v>360</v>
      </c>
      <c r="D3276" s="32" t="n">
        <f aca="false">mw_ye25</f>
        <v>1440</v>
      </c>
      <c r="E3276" s="32" t="n">
        <f aca="false">mw_open</f>
        <v>2080</v>
      </c>
      <c r="F3276" s="32" t="n">
        <f aca="false">Sens!$E$3276+pace_B*0.5</f>
        <v>3897.15</v>
      </c>
      <c r="G3276" s="32" t="n">
        <f aca="false">Sens!$F$3276</f>
        <v>3897.15</v>
      </c>
      <c r="H3276" s="32" t="n">
        <f aca="false">Sens!$G$3276+pace_B</f>
        <v>7531.45</v>
      </c>
      <c r="I3276" s="32" t="n">
        <f aca="false">Sens!$H$3276+pace_B</f>
        <v>11165.75</v>
      </c>
      <c r="J3276" s="32" t="n">
        <f aca="false">Sens!$I$3276+pace_B</f>
        <v>14800.05</v>
      </c>
      <c r="K3276" s="32" t="n">
        <f aca="false">Sens!$J$3276+pace_B</f>
        <v>18434.35</v>
      </c>
      <c r="L3276" s="32" t="n">
        <f aca="false">Sens!$K$3276+pace_B</f>
        <v>22068.65</v>
      </c>
      <c r="M3276" s="32" t="n">
        <f aca="false">Sens!$L$3276+pace_B</f>
        <v>25702.95</v>
      </c>
      <c r="N3276" s="32" t="n">
        <f aca="false">(mw_ye24+mw_ye25)/2</f>
        <v>900</v>
      </c>
      <c r="O3276" s="32" t="n">
        <f aca="false">mw_ye25</f>
        <v>1440</v>
      </c>
      <c r="P3276" s="5" t="s">
        <v>553</v>
      </c>
    </row>
    <row r="3277" customFormat="false" ht="17.15" hidden="false" customHeight="false" outlineLevel="0" collapsed="false">
      <c r="A3277" s="5" t="s">
        <v>554</v>
      </c>
      <c r="B3277" s="0" t="s">
        <v>108</v>
      </c>
      <c r="C3277" s="33" t="n">
        <f aca="false">(mw_ye23+mw_ye24)/2</f>
        <v>240</v>
      </c>
      <c r="D3277" s="33" t="n">
        <f aca="false">(Sens!$C$3276+Sens!$D$3276)/2</f>
        <v>900</v>
      </c>
      <c r="E3277" s="33" t="n">
        <f aca="false">(Sens!$D$3276+Sens!$E$3276)/2</f>
        <v>1760</v>
      </c>
      <c r="F3277" s="33" t="n">
        <f aca="false">(Sens!$E$3276+Sens!$F$3276)/2</f>
        <v>2988.575</v>
      </c>
      <c r="G3277" s="33" t="n">
        <f aca="false">(Sens!$E$3277+Sens!$F$3277)/2</f>
        <v>2374.2875</v>
      </c>
      <c r="H3277" s="33" t="n">
        <f aca="false">(Sens!$G$3276+Sens!$H$3276)/2</f>
        <v>5714.3</v>
      </c>
      <c r="I3277" s="33" t="n">
        <f aca="false">(Sens!$H$3276+Sens!$I$3276)/2</f>
        <v>9348.6</v>
      </c>
      <c r="J3277" s="33" t="n">
        <f aca="false">(Sens!$I$3276+Sens!$J$3276)/2</f>
        <v>12982.9</v>
      </c>
      <c r="K3277" s="33" t="n">
        <f aca="false">(Sens!$J$3276+Sens!$K$3276)/2</f>
        <v>16617.2</v>
      </c>
      <c r="L3277" s="33" t="n">
        <f aca="false">(Sens!$K$3276+Sens!$L$3276)/2</f>
        <v>20251.5</v>
      </c>
      <c r="M3277" s="33" t="n">
        <f aca="false">(Sens!$L$3276+Sens!$M$3276)/2</f>
        <v>23885.8</v>
      </c>
      <c r="N3277" s="33" t="n">
        <f aca="false">(Sens!$C$3276+Sens!$N$3276)/2</f>
        <v>630</v>
      </c>
      <c r="O3277" s="33" t="n">
        <f aca="false">(Sens!$N$3276+Sens!$O$3276)/2</f>
        <v>1170</v>
      </c>
    </row>
    <row r="3278" customFormat="false" ht="15" hidden="false" customHeight="false" outlineLevel="0" collapsed="false">
      <c r="A3278" s="5" t="s">
        <v>555</v>
      </c>
      <c r="B3278" s="5" t="s">
        <v>102</v>
      </c>
      <c r="C3278" s="34" t="n">
        <v>1</v>
      </c>
      <c r="D3278" s="34" t="n">
        <v>1</v>
      </c>
      <c r="E3278" s="34" t="n">
        <v>0.5</v>
      </c>
      <c r="F3278" s="34" t="n">
        <v>0.5</v>
      </c>
      <c r="G3278" s="34" t="n">
        <v>1</v>
      </c>
      <c r="H3278" s="34" t="n">
        <v>1</v>
      </c>
      <c r="I3278" s="34" t="n">
        <v>1</v>
      </c>
      <c r="J3278" s="34" t="n">
        <v>1</v>
      </c>
      <c r="K3278" s="34" t="n">
        <v>1</v>
      </c>
      <c r="L3278" s="34" t="n">
        <v>1</v>
      </c>
      <c r="M3278" s="34" t="n">
        <v>1</v>
      </c>
      <c r="N3278" s="34" t="n">
        <v>0.5</v>
      </c>
      <c r="O3278" s="34" t="n">
        <v>0.5</v>
      </c>
    </row>
    <row r="3279" customFormat="false" ht="17.15" hidden="false" customHeight="false" outlineLevel="0" collapsed="false">
      <c r="A3279" s="5" t="s">
        <v>556</v>
      </c>
      <c r="B3279" s="0" t="s">
        <v>108</v>
      </c>
      <c r="C3279" s="33" t="n">
        <f aca="false">Sens!$C$3276-mw_ye23</f>
        <v>240</v>
      </c>
      <c r="D3279" s="33" t="n">
        <f aca="false">Sens!$D$3276-Sens!$C$3276</f>
        <v>1080</v>
      </c>
      <c r="E3279" s="33" t="n">
        <f aca="false">Sens!$E$3276-Sens!$D$3276</f>
        <v>640</v>
      </c>
      <c r="F3279" s="33" t="n">
        <f aca="false">Sens!$F$3276-Sens!$E$3276</f>
        <v>1817.15</v>
      </c>
      <c r="G3279" s="33" t="n">
        <f aca="false">Sens!$E$3279+Sens!$F$3279</f>
        <v>2457.15</v>
      </c>
      <c r="H3279" s="33" t="n">
        <f aca="false">Sens!$H$3276-Sens!$G$3276</f>
        <v>3634.3</v>
      </c>
      <c r="I3279" s="33" t="n">
        <f aca="false">Sens!$I$3276-Sens!$H$3276</f>
        <v>3634.3</v>
      </c>
      <c r="J3279" s="33" t="n">
        <f aca="false">Sens!$J$3276-Sens!$I$3276</f>
        <v>3634.3</v>
      </c>
      <c r="K3279" s="33" t="n">
        <f aca="false">Sens!$K$3276-Sens!$J$3276</f>
        <v>3634.3</v>
      </c>
      <c r="L3279" s="33" t="n">
        <f aca="false">Sens!$L$3276-Sens!$K$3276</f>
        <v>3634.3</v>
      </c>
      <c r="M3279" s="33" t="n">
        <f aca="false">Sens!$M$3276-Sens!$L$3276</f>
        <v>3634.3</v>
      </c>
      <c r="N3279" s="33" t="n">
        <f aca="false">Sens!$N$3276-Sens!$C$3276</f>
        <v>540</v>
      </c>
      <c r="O3279" s="33" t="n">
        <f aca="false">Sens!$O$3276-Sens!$N$3276</f>
        <v>540</v>
      </c>
    </row>
    <row r="3280" customFormat="false" ht="17.15" hidden="false" customHeight="false" outlineLevel="0" collapsed="false">
      <c r="A3280" s="5" t="s">
        <v>557</v>
      </c>
      <c r="B3280" s="0" t="s">
        <v>108</v>
      </c>
      <c r="C3280" s="33" t="n">
        <f aca="false">Sens!$C$3279/ext_sh</f>
        <v>300</v>
      </c>
      <c r="D3280" s="33" t="n">
        <f aca="false">Sens!$D$3279/ext_sh</f>
        <v>1350</v>
      </c>
      <c r="E3280" s="33" t="n">
        <f aca="false">Sens!$E$3279/ext_sh</f>
        <v>800</v>
      </c>
      <c r="F3280" s="33" t="n">
        <f aca="false">Sens!$F$3279/ext_sh</f>
        <v>2271.4375</v>
      </c>
      <c r="G3280" s="33" t="n">
        <f aca="false">Sens!$G$3279/ext_sh</f>
        <v>3071.4375</v>
      </c>
      <c r="H3280" s="33" t="n">
        <f aca="false">Sens!$H$3279/ext_sh</f>
        <v>4542.875</v>
      </c>
      <c r="I3280" s="33" t="n">
        <f aca="false">Sens!$I$3279/ext_sh</f>
        <v>4542.875</v>
      </c>
      <c r="J3280" s="33" t="n">
        <f aca="false">Sens!$J$3279/ext_sh</f>
        <v>4542.875</v>
      </c>
      <c r="K3280" s="33" t="n">
        <f aca="false">Sens!$K$3279/ext_sh</f>
        <v>4542.875</v>
      </c>
      <c r="L3280" s="33" t="n">
        <f aca="false">Sens!$L$3279/ext_sh</f>
        <v>4542.875</v>
      </c>
      <c r="M3280" s="33" t="n">
        <f aca="false">Sens!$M$3279/ext_sh</f>
        <v>4542.875</v>
      </c>
      <c r="N3280" s="33" t="n">
        <f aca="false">Sens!$N$3279/ext_sh</f>
        <v>675</v>
      </c>
      <c r="O3280" s="33" t="n">
        <f aca="false">Sens!$O$3279/ext_sh</f>
        <v>675</v>
      </c>
      <c r="P3280" s="8" t="s">
        <v>558</v>
      </c>
      <c r="R3280" s="33" t="n">
        <f aca="false">mw_ye23/ext_sh</f>
        <v>150</v>
      </c>
      <c r="S3280" s="33" t="n">
        <f aca="false">Sens!$C$3280</f>
        <v>300</v>
      </c>
      <c r="T3280" s="33" t="n">
        <f aca="false">Sens!$D$3280</f>
        <v>1350</v>
      </c>
      <c r="U3280" s="33" t="n">
        <f aca="false">Sens!$G$3280</f>
        <v>3071.4375</v>
      </c>
      <c r="V3280" s="33" t="n">
        <f aca="false">Sens!$H$3280</f>
        <v>4542.875</v>
      </c>
      <c r="W3280" s="33" t="n">
        <f aca="false">Sens!$I$3280</f>
        <v>4542.875</v>
      </c>
      <c r="X3280" s="33" t="n">
        <f aca="false">Sens!$J$3280</f>
        <v>4542.875</v>
      </c>
      <c r="Y3280" s="33" t="n">
        <f aca="false">Sens!$K$3280</f>
        <v>4542.875</v>
      </c>
      <c r="Z3280" s="33" t="n">
        <f aca="false">Sens!$L$3280</f>
        <v>4542.875</v>
      </c>
      <c r="AA3280" s="33" t="n">
        <f aca="false">Sens!$M$3280</f>
        <v>4542.875</v>
      </c>
    </row>
    <row r="3281" customFormat="false" ht="17.15" hidden="false" customHeight="false" outlineLevel="0" collapsed="false">
      <c r="A3281" s="1" t="s">
        <v>559</v>
      </c>
    </row>
    <row r="3282" customFormat="false" ht="17.15" hidden="false" customHeight="false" outlineLevel="0" collapsed="false">
      <c r="A3282" s="0" t="s">
        <v>560</v>
      </c>
      <c r="B3282" s="0" t="s">
        <v>52</v>
      </c>
      <c r="F3282" s="35" t="n">
        <f aca="false">na_vr26</f>
        <v>0</v>
      </c>
      <c r="G3282" s="35" t="n">
        <f aca="false">na_vr26</f>
        <v>0</v>
      </c>
      <c r="H3282" s="35" t="n">
        <f aca="false">na_vr27</f>
        <v>0.5</v>
      </c>
      <c r="I3282" s="35" t="n">
        <f aca="false">na_vr28</f>
        <v>1</v>
      </c>
      <c r="J3282" s="35" t="n">
        <f aca="false">na_vr28</f>
        <v>1</v>
      </c>
      <c r="K3282" s="35" t="n">
        <f aca="false">na_vr28</f>
        <v>1</v>
      </c>
      <c r="L3282" s="35" t="n">
        <f aca="false">na_vr28</f>
        <v>1</v>
      </c>
      <c r="M3282" s="35" t="n">
        <f aca="false">na_vr28</f>
        <v>1</v>
      </c>
    </row>
    <row r="3283" customFormat="false" ht="17.15" hidden="false" customHeight="false" outlineLevel="0" collapsed="false">
      <c r="A3283" s="5" t="s">
        <v>561</v>
      </c>
      <c r="B3283" s="0" t="s">
        <v>151</v>
      </c>
      <c r="F3283" s="36" t="n">
        <f aca="false">cust_sh*tk_he_gb300*cf_chip+(1-cust_sh)*((1-Sens!$F$3282)*tk_he_gb300+Sens!$F$3282*tk_he_vr200)</f>
        <v>10.8864110021101</v>
      </c>
      <c r="G3283" s="36" t="n">
        <f aca="false">cust_sh*tk_he_gb300*cf_chip+(1-cust_sh)*((1-Sens!$G$3282)*tk_he_gb300+Sens!$G$3282*tk_he_vr200)</f>
        <v>10.8864110021101</v>
      </c>
      <c r="H3283" s="36" t="n">
        <f aca="false">cust_sh*tk_he_gb300*cf_chip+(1-cust_sh)*((1-Sens!$H$3282)*tk_he_gb300+Sens!$H$3282*tk_he_vr200)</f>
        <v>11.2211760027286</v>
      </c>
      <c r="I3283" s="36" t="n">
        <f aca="false">cust_sh*tk_he_gb300*cf_chip+(1-cust_sh)*((1-Sens!$I$3282)*tk_he_gb300+Sens!$I$3282*tk_he_vr200)</f>
        <v>11.5559410033471</v>
      </c>
      <c r="J3283" s="36" t="n">
        <f aca="false">cust_sh*tk_he_gb300*cf_chip+(1-cust_sh)*((1-Sens!$J$3282)*tk_he_gb300+Sens!$J$3282*tk_he_vr200)</f>
        <v>11.5559410033471</v>
      </c>
      <c r="K3283" s="36" t="n">
        <f aca="false">cust_sh*tk_he_gb300*cf_chip+(1-cust_sh)*((1-Sens!$K$3282)*tk_he_gb300+Sens!$K$3282*tk_he_vr200)</f>
        <v>11.5559410033471</v>
      </c>
      <c r="L3283" s="36" t="n">
        <f aca="false">cust_sh*tk_he_gb300*cf_chip+(1-cust_sh)*((1-Sens!$L$3282)*tk_he_gb300+Sens!$L$3282*tk_he_vr200)</f>
        <v>11.5559410033471</v>
      </c>
      <c r="M3283" s="36" t="n">
        <f aca="false">cust_sh*tk_he_gb300*cf_chip+(1-cust_sh)*((1-Sens!$M$3282)*tk_he_gb300+Sens!$M$3282*tk_he_vr200)</f>
        <v>11.5559410033471</v>
      </c>
    </row>
    <row r="3284" customFormat="false" ht="17.15" hidden="false" customHeight="false" outlineLevel="0" collapsed="false">
      <c r="A3284" s="5" t="s">
        <v>562</v>
      </c>
      <c r="B3284" s="0" t="s">
        <v>151</v>
      </c>
      <c r="F3284" s="36" t="n">
        <f aca="false">cust_sh*tk_ox_gb300+(1-cust_sh)*((1-Sens!$F$3282)*tk_ox_gb300+Sens!$F$3282*tk_ox_vr200)</f>
        <v>1.98263481314457</v>
      </c>
      <c r="G3284" s="36" t="n">
        <f aca="false">cust_sh*tk_ox_gb300+(1-cust_sh)*((1-Sens!$G$3282)*tk_ox_gb300+Sens!$G$3282*tk_ox_vr200)</f>
        <v>1.98263481314457</v>
      </c>
      <c r="H3284" s="36" t="n">
        <f aca="false">cust_sh*tk_ox_gb300+(1-cust_sh)*((1-Sens!$H$3282)*tk_ox_gb300+Sens!$H$3282*tk_ox_vr200)</f>
        <v>2.01034999693694</v>
      </c>
      <c r="I3284" s="36" t="n">
        <f aca="false">cust_sh*tk_ox_gb300+(1-cust_sh)*((1-Sens!$I$3282)*tk_ox_gb300+Sens!$I$3282*tk_ox_vr200)</f>
        <v>2.0380651807293</v>
      </c>
      <c r="J3284" s="36" t="n">
        <f aca="false">cust_sh*tk_ox_gb300+(1-cust_sh)*((1-Sens!$J$3282)*tk_ox_gb300+Sens!$J$3282*tk_ox_vr200)</f>
        <v>2.0380651807293</v>
      </c>
      <c r="K3284" s="36" t="n">
        <f aca="false">cust_sh*tk_ox_gb300+(1-cust_sh)*((1-Sens!$K$3282)*tk_ox_gb300+Sens!$K$3282*tk_ox_vr200)</f>
        <v>2.0380651807293</v>
      </c>
      <c r="L3284" s="36" t="n">
        <f aca="false">cust_sh*tk_ox_gb300+(1-cust_sh)*((1-Sens!$L$3282)*tk_ox_gb300+Sens!$L$3282*tk_ox_vr200)</f>
        <v>2.0380651807293</v>
      </c>
      <c r="M3284" s="36" t="n">
        <f aca="false">cust_sh*tk_ox_gb300+(1-cust_sh)*((1-Sens!$M$3282)*tk_ox_gb300+Sens!$M$3282*tk_ox_vr200)</f>
        <v>2.0380651807293</v>
      </c>
    </row>
    <row r="3285" customFormat="false" ht="17.15" hidden="false" customHeight="false" outlineLevel="0" collapsed="false">
      <c r="A3285" s="5" t="s">
        <v>563</v>
      </c>
      <c r="B3285" s="0" t="s">
        <v>170</v>
      </c>
      <c r="F3285" s="36" t="n">
        <f aca="false">cust_sh*tk_cx_gb300*cf_cx+(1-cust_sh)*((1-Sens!$F$3282)*tk_cx_gb300+Sens!$F$3282*tk_cx_vr200)</f>
        <v>32.237224</v>
      </c>
      <c r="G3285" s="36" t="n">
        <f aca="false">cust_sh*tk_cx_gb300*cf_cx+(1-cust_sh)*((1-Sens!$G$3282)*tk_cx_gb300+Sens!$G$3282*tk_cx_vr200)</f>
        <v>32.237224</v>
      </c>
      <c r="H3285" s="36" t="n">
        <f aca="false">cust_sh*tk_cx_gb300*cf_cx+(1-cust_sh)*((1-Sens!$H$3282)*tk_cx_gb300+Sens!$H$3282*tk_cx_vr200)</f>
        <v>33.574506</v>
      </c>
      <c r="I3285" s="36" t="n">
        <f aca="false">cust_sh*tk_cx_gb300*cf_cx+(1-cust_sh)*((1-Sens!$I$3282)*tk_cx_gb300+Sens!$I$3282*tk_cx_vr200)</f>
        <v>34.911788</v>
      </c>
      <c r="J3285" s="36" t="n">
        <f aca="false">cust_sh*tk_cx_gb300*cf_cx+(1-cust_sh)*((1-Sens!$J$3282)*tk_cx_gb300+Sens!$J$3282*tk_cx_vr200)</f>
        <v>34.911788</v>
      </c>
      <c r="K3285" s="36" t="n">
        <f aca="false">cust_sh*tk_cx_gb300*cf_cx+(1-cust_sh)*((1-Sens!$K$3282)*tk_cx_gb300+Sens!$K$3282*tk_cx_vr200)</f>
        <v>34.911788</v>
      </c>
      <c r="L3285" s="36" t="n">
        <f aca="false">cust_sh*tk_cx_gb300*cf_cx+(1-cust_sh)*((1-Sens!$L$3282)*tk_cx_gb300+Sens!$L$3282*tk_cx_vr200)</f>
        <v>34.911788</v>
      </c>
      <c r="M3285" s="36" t="n">
        <f aca="false">cust_sh*tk_cx_gb300*cf_cx+(1-cust_sh)*((1-Sens!$M$3282)*tk_cx_gb300+Sens!$M$3282*tk_cx_vr200)</f>
        <v>34.911788</v>
      </c>
    </row>
    <row r="3286" customFormat="false" ht="17.15" hidden="false" customHeight="false" outlineLevel="0" collapsed="false">
      <c r="A3286" s="5" t="s">
        <v>564</v>
      </c>
      <c r="B3286" s="0" t="s">
        <v>108</v>
      </c>
      <c r="F3286" s="33" t="n">
        <f aca="false">Sens!$F$3276-mw_open</f>
        <v>1817.15</v>
      </c>
      <c r="G3286" s="33" t="n">
        <f aca="false">Sens!$F$3286</f>
        <v>1817.15</v>
      </c>
      <c r="H3286" s="33" t="n">
        <f aca="false">Sens!$H$3276-mw_open</f>
        <v>5451.45</v>
      </c>
      <c r="I3286" s="33" t="n">
        <f aca="false">Sens!$I$3276-mw_open</f>
        <v>9085.75</v>
      </c>
      <c r="J3286" s="33" t="n">
        <f aca="false">Sens!$J$3276-mw_open</f>
        <v>12720.05</v>
      </c>
      <c r="K3286" s="33" t="n">
        <f aca="false">Sens!$K$3276-mw_open</f>
        <v>16354.35</v>
      </c>
      <c r="L3286" s="33" t="n">
        <f aca="false">Sens!$L$3276-mw_open</f>
        <v>19988.65</v>
      </c>
      <c r="M3286" s="33" t="n">
        <f aca="false">Sens!$M$3276-mw_open</f>
        <v>23622.95</v>
      </c>
    </row>
    <row r="3287" customFormat="false" ht="17.15" hidden="false" customHeight="false" outlineLevel="0" collapsed="false">
      <c r="A3287" s="0" t="s">
        <v>565</v>
      </c>
      <c r="B3287" s="0" t="s">
        <v>566</v>
      </c>
      <c r="F3287" s="33" t="n">
        <f aca="false">Sens!$F$3279*Sens!$F$3283</f>
        <v>19782.2417524844</v>
      </c>
      <c r="G3287" s="33" t="n">
        <f aca="false">Sens!$F$3287</f>
        <v>19782.2417524844</v>
      </c>
      <c r="H3287" s="33" t="n">
        <f aca="false">Sens!$G$3287+Sens!$H$3279*Sens!$H$3283</f>
        <v>60563.3616992009</v>
      </c>
      <c r="I3287" s="33" t="n">
        <f aca="false">Sens!$H$3287+Sens!$I$3279*Sens!$I$3283</f>
        <v>102561.118087665</v>
      </c>
      <c r="J3287" s="33" t="n">
        <f aca="false">Sens!$I$3287+Sens!$J$3279*Sens!$J$3283</f>
        <v>144558.87447613</v>
      </c>
      <c r="K3287" s="33" t="n">
        <f aca="false">Sens!$J$3287+Sens!$K$3279*Sens!$K$3283</f>
        <v>186556.630864594</v>
      </c>
      <c r="L3287" s="33" t="n">
        <f aca="false">Sens!$K$3287+Sens!$L$3279*Sens!$L$3283</f>
        <v>228554.387253058</v>
      </c>
      <c r="M3287" s="33" t="n">
        <f aca="false">Sens!$L$3287+Sens!$M$3279*Sens!$M$3283</f>
        <v>270552.143641523</v>
      </c>
    </row>
    <row r="3288" customFormat="false" ht="17.15" hidden="false" customHeight="false" outlineLevel="0" collapsed="false">
      <c r="A3288" s="0" t="s">
        <v>567</v>
      </c>
      <c r="B3288" s="0" t="s">
        <v>566</v>
      </c>
      <c r="F3288" s="33" t="n">
        <f aca="false">Sens!$F$3279*Sens!$F$3284</f>
        <v>3602.74485070566</v>
      </c>
      <c r="G3288" s="33" t="n">
        <f aca="false">Sens!$F$3288</f>
        <v>3602.74485070566</v>
      </c>
      <c r="H3288" s="33" t="n">
        <f aca="false">Sens!$G$3288+Sens!$H$3279*Sens!$H$3284</f>
        <v>10908.9598445736</v>
      </c>
      <c r="I3288" s="33" t="n">
        <f aca="false">Sens!$H$3288+Sens!$I$3279*Sens!$I$3284</f>
        <v>18315.9001308981</v>
      </c>
      <c r="J3288" s="33" t="n">
        <f aca="false">Sens!$I$3288+Sens!$J$3279*Sens!$J$3284</f>
        <v>25722.8404172225</v>
      </c>
      <c r="K3288" s="33" t="n">
        <f aca="false">Sens!$J$3288+Sens!$K$3279*Sens!$K$3284</f>
        <v>33129.780703547</v>
      </c>
      <c r="L3288" s="33" t="n">
        <f aca="false">Sens!$K$3288+Sens!$L$3279*Sens!$L$3284</f>
        <v>40536.7209898715</v>
      </c>
      <c r="M3288" s="33" t="n">
        <f aca="false">Sens!$L$3288+Sens!$M$3279*Sens!$M$3284</f>
        <v>47943.661276196</v>
      </c>
    </row>
    <row r="3289" customFormat="false" ht="17.15" hidden="false" customHeight="false" outlineLevel="0" collapsed="false">
      <c r="A3289" s="5" t="s">
        <v>568</v>
      </c>
      <c r="B3289" s="0" t="s">
        <v>151</v>
      </c>
      <c r="F3289" s="36" t="n">
        <f aca="false">IF(Sens!$F$3286&gt;0,Sens!$F$3287/Sens!$F$3286,Sens!$F$3283)</f>
        <v>10.8864110021101</v>
      </c>
      <c r="G3289" s="36" t="n">
        <f aca="false">IF(Sens!$G$3286&gt;0,Sens!$G$3287/Sens!$G$3286,Sens!$G$3283)</f>
        <v>10.8864110021101</v>
      </c>
      <c r="H3289" s="36" t="n">
        <f aca="false">IF(Sens!$H$3286&gt;0,Sens!$H$3287/Sens!$H$3286,Sens!$H$3283)</f>
        <v>11.1095876691891</v>
      </c>
      <c r="I3289" s="36" t="n">
        <f aca="false">IF(Sens!$I$3286&gt;0,Sens!$I$3287/Sens!$I$3286,Sens!$I$3283)</f>
        <v>11.2881290028523</v>
      </c>
      <c r="J3289" s="36" t="n">
        <f aca="false">IF(Sens!$J$3286&gt;0,Sens!$J$3287/Sens!$J$3286,Sens!$J$3283)</f>
        <v>11.3646467172794</v>
      </c>
      <c r="K3289" s="36" t="n">
        <f aca="false">IF(Sens!$K$3286&gt;0,Sens!$K$3287/Sens!$K$3286,Sens!$K$3283)</f>
        <v>11.4071565586278</v>
      </c>
      <c r="L3289" s="36" t="n">
        <f aca="false">IF(Sens!$L$3286&gt;0,Sens!$L$3287/Sens!$L$3286,Sens!$L$3283)</f>
        <v>11.4342082758495</v>
      </c>
      <c r="M3289" s="36" t="n">
        <f aca="false">IF(Sens!$M$3286&gt;0,Sens!$M$3287/Sens!$M$3286,Sens!$M$3283)</f>
        <v>11.4529363877722</v>
      </c>
    </row>
    <row r="3290" customFormat="false" ht="17.15" hidden="false" customHeight="false" outlineLevel="0" collapsed="false">
      <c r="A3290" s="5" t="s">
        <v>569</v>
      </c>
      <c r="B3290" s="0" t="s">
        <v>151</v>
      </c>
      <c r="F3290" s="36" t="n">
        <f aca="false">IF(Sens!$F$3286&gt;0,Sens!$F$3288/Sens!$F$3286,Sens!$F$3284)</f>
        <v>1.98263481314457</v>
      </c>
      <c r="G3290" s="36" t="n">
        <f aca="false">IF(Sens!$G$3286&gt;0,Sens!$G$3288/Sens!$G$3286,Sens!$G$3284)</f>
        <v>1.98263481314457</v>
      </c>
      <c r="H3290" s="36" t="n">
        <f aca="false">IF(Sens!$H$3286&gt;0,Sens!$H$3288/Sens!$H$3286,Sens!$H$3284)</f>
        <v>2.00111160233948</v>
      </c>
      <c r="I3290" s="36" t="n">
        <f aca="false">IF(Sens!$I$3286&gt;0,Sens!$I$3288/Sens!$I$3286,Sens!$I$3284)</f>
        <v>2.01589303369541</v>
      </c>
      <c r="J3290" s="36" t="n">
        <f aca="false">IF(Sens!$J$3286&gt;0,Sens!$J$3288/Sens!$J$3286,Sens!$J$3284)</f>
        <v>2.02222793284795</v>
      </c>
      <c r="K3290" s="36" t="n">
        <f aca="false">IF(Sens!$K$3286&gt;0,Sens!$K$3288/Sens!$K$3286,Sens!$K$3284)</f>
        <v>2.02574732126603</v>
      </c>
      <c r="L3290" s="36" t="n">
        <f aca="false">IF(Sens!$L$3286&gt;0,Sens!$L$3288/Sens!$L$3286,Sens!$L$3284)</f>
        <v>2.02798693207753</v>
      </c>
      <c r="M3290" s="36" t="n">
        <f aca="false">IF(Sens!$M$3286&gt;0,Sens!$M$3288/Sens!$M$3286,Sens!$M$3284)</f>
        <v>2.02953743187011</v>
      </c>
    </row>
    <row r="3291" customFormat="false" ht="17.15" hidden="false" customHeight="false" outlineLevel="0" collapsed="false">
      <c r="A3291" s="14" t="s">
        <v>570</v>
      </c>
      <c r="B3291" s="13" t="s">
        <v>151</v>
      </c>
      <c r="C3291" s="13"/>
      <c r="D3291" s="13"/>
      <c r="E3291" s="13"/>
      <c r="F3291" s="37" t="n">
        <f aca="false">Sens!$F$3289*k_B</f>
        <v>10.7987645808025</v>
      </c>
      <c r="G3291" s="37" t="n">
        <f aca="false">Sens!$G$3289*k_B</f>
        <v>10.7987645808025</v>
      </c>
      <c r="H3291" s="37" t="n">
        <f aca="false">Sens!$H$3289*k_B</f>
        <v>11.0201444540452</v>
      </c>
      <c r="I3291" s="37" t="n">
        <f aca="false">Sens!$I$3289*k_B</f>
        <v>11.1972483526393</v>
      </c>
      <c r="J3291" s="37" t="n">
        <f aca="false">Sens!$J$3289*k_B</f>
        <v>11.2731500234653</v>
      </c>
      <c r="K3291" s="37" t="n">
        <f aca="false">Sens!$K$3289*k_B</f>
        <v>11.3153176183687</v>
      </c>
      <c r="L3291" s="37" t="n">
        <f aca="false">Sens!$L$3289*k_B</f>
        <v>11.3421515423981</v>
      </c>
      <c r="M3291" s="37" t="n">
        <f aca="false">Sens!$M$3289*k_B</f>
        <v>11.3607288744184</v>
      </c>
      <c r="N3291" s="13"/>
      <c r="O3291" s="13"/>
      <c r="P3291" s="5" t="s">
        <v>571</v>
      </c>
    </row>
    <row r="3292" customFormat="false" ht="17.15" hidden="false" customHeight="false" outlineLevel="0" collapsed="false">
      <c r="A3292" s="5" t="s">
        <v>572</v>
      </c>
      <c r="B3292" s="0" t="s">
        <v>108</v>
      </c>
      <c r="F3292" s="33" t="n">
        <f aca="false">Sens!$F$3286/2</f>
        <v>908.575</v>
      </c>
      <c r="H3292" s="33" t="n">
        <f aca="false">(Sens!$G$3286+Sens!$H$3286)/2</f>
        <v>3634.3</v>
      </c>
      <c r="I3292" s="33" t="n">
        <f aca="false">(Sens!$H$3286+Sens!$I$3286)/2</f>
        <v>7268.6</v>
      </c>
      <c r="J3292" s="33" t="n">
        <f aca="false">(Sens!$I$3286+Sens!$J$3286)/2</f>
        <v>10902.9</v>
      </c>
      <c r="K3292" s="33" t="n">
        <f aca="false">(Sens!$J$3286+Sens!$K$3286)/2</f>
        <v>14537.2</v>
      </c>
      <c r="L3292" s="33" t="n">
        <f aca="false">(Sens!$K$3286+Sens!$L$3286)/2</f>
        <v>18171.5</v>
      </c>
      <c r="M3292" s="33" t="n">
        <f aca="false">(Sens!$L$3286+Sens!$M$3286)/2</f>
        <v>21805.8</v>
      </c>
    </row>
    <row r="3293" customFormat="false" ht="17.15" hidden="false" customHeight="false" outlineLevel="0" collapsed="false">
      <c r="A3293" s="1" t="s">
        <v>573</v>
      </c>
    </row>
    <row r="3294" customFormat="false" ht="17.15" hidden="false" customHeight="false" outlineLevel="0" collapsed="false">
      <c r="A3294" s="1" t="s">
        <v>574</v>
      </c>
      <c r="B3294" s="8" t="s">
        <v>73</v>
      </c>
      <c r="C3294" s="38" t="n">
        <f aca="false">Sens!$C$3277*rpm_open*Sens!$C$3278/1000</f>
        <v>2.32100535697364</v>
      </c>
      <c r="D3294" s="38" t="n">
        <f aca="false">Sens!$D$3277*rpm_open*Sens!$D$3278/1000</f>
        <v>8.70377008865116</v>
      </c>
      <c r="E3294" s="38" t="n">
        <f aca="false">Sens!$E$3277*rpm_open*Sens!$E$3278/1000</f>
        <v>8.51035297557002</v>
      </c>
      <c r="F3294" s="38" t="n">
        <f aca="false">(mw_open*rpm_open+Sens!$F$3292*Sens!$F$3291)*Sens!$F$3278/1000</f>
        <v>14.9634336447205</v>
      </c>
      <c r="G3294" s="38" t="n">
        <f aca="false">Sens!$E$3294+Sens!$F$3294</f>
        <v>23.4737866202905</v>
      </c>
      <c r="H3294" s="38" t="n">
        <f aca="false">(mw_open*rpm_open+Sens!$H$3292*Sens!$H$3291)/1000</f>
        <v>60.1658907497746</v>
      </c>
      <c r="I3294" s="38" t="n">
        <f aca="false">(mw_open*rpm_open+Sens!$I$3292*Sens!$I$3291)/1000</f>
        <v>101.503699136432</v>
      </c>
      <c r="J3294" s="38" t="n">
        <f aca="false">(mw_open*rpm_open+Sens!$J$3292*Sens!$J$3291)/1000</f>
        <v>143.025407151278</v>
      </c>
      <c r="K3294" s="38" t="n">
        <f aca="false">(mw_open*rpm_open+Sens!$K$3292*Sens!$K$3291)/1000</f>
        <v>184.608415042187</v>
      </c>
      <c r="L3294" s="38" t="n">
        <f aca="false">(mw_open*rpm_open+Sens!$L$3292*Sens!$L$3291)/1000</f>
        <v>226.219286513125</v>
      </c>
      <c r="M3294" s="38" t="n">
        <f aca="false">(mw_open*rpm_open+Sens!$M$3292*Sens!$M$3291)/1000</f>
        <v>267.845161450232</v>
      </c>
      <c r="N3294" s="38" t="n">
        <f aca="false">Sens!$N$3277*rpm_open*Sens!$N$3278/1000</f>
        <v>3.04631953102791</v>
      </c>
      <c r="O3294" s="38" t="n">
        <f aca="false">Sens!$O$3277*rpm_open*Sens!$O$3278/1000</f>
        <v>5.65745055762326</v>
      </c>
      <c r="P3294" s="5" t="s">
        <v>575</v>
      </c>
    </row>
    <row r="3295" customFormat="false" ht="17.15" hidden="false" customHeight="false" outlineLevel="0" collapsed="false">
      <c r="A3295" s="5" t="s">
        <v>576</v>
      </c>
      <c r="B3295" s="0" t="s">
        <v>151</v>
      </c>
      <c r="C3295" s="36" t="n">
        <f aca="false">Sens!$C$3294*1000/(Sens!$C$3277*Sens!$C$3278)</f>
        <v>9.67085565405685</v>
      </c>
      <c r="D3295" s="36" t="n">
        <f aca="false">Sens!$D$3294*1000/(Sens!$D$3277*Sens!$D$3278)</f>
        <v>9.67085565405685</v>
      </c>
      <c r="E3295" s="36" t="n">
        <f aca="false">Sens!$E$3294*1000/(Sens!$E$3277*Sens!$E$3278)</f>
        <v>9.67085565405685</v>
      </c>
      <c r="F3295" s="36" t="n">
        <f aca="false">Sens!$F$3294*1000/(Sens!$F$3277*Sens!$F$3278)</f>
        <v>10.0137581588017</v>
      </c>
      <c r="G3295" s="36" t="n">
        <f aca="false">Sens!$G$3294*1000/(Sens!$G$3277*Sens!$G$3278)</f>
        <v>9.88666562928478</v>
      </c>
      <c r="H3295" s="36" t="n">
        <f aca="false">Sens!$H$3294*1000/(Sens!$H$3277*Sens!$H$3278)</f>
        <v>10.5290045586992</v>
      </c>
      <c r="I3295" s="36" t="n">
        <f aca="false">Sens!$I$3294*1000/(Sens!$I$3277*Sens!$I$3278)</f>
        <v>10.8576363451674</v>
      </c>
      <c r="J3295" s="36" t="n">
        <f aca="false">Sens!$J$3294*1000/(Sens!$J$3277*Sens!$J$3278)</f>
        <v>11.0164452588619</v>
      </c>
      <c r="K3295" s="36" t="n">
        <f aca="false">Sens!$K$3294*1000/(Sens!$K$3277*Sens!$K$3278)</f>
        <v>11.1094778327388</v>
      </c>
      <c r="L3295" s="36" t="n">
        <f aca="false">Sens!$L$3294*1000/(Sens!$L$3277*Sens!$L$3278)</f>
        <v>11.1704953466718</v>
      </c>
      <c r="M3295" s="36" t="n">
        <f aca="false">Sens!$M$3294*1000/(Sens!$M$3277*Sens!$M$3278)</f>
        <v>11.2135729785158</v>
      </c>
      <c r="N3295" s="36" t="n">
        <f aca="false">Sens!$N$3294*1000/(Sens!$N$3277*Sens!$N$3278)</f>
        <v>9.67085565405685</v>
      </c>
      <c r="O3295" s="36" t="n">
        <f aca="false">Sens!$O$3294*1000/(Sens!$O$3277*Sens!$O$3278)</f>
        <v>9.67085565405685</v>
      </c>
    </row>
    <row r="3296" customFormat="false" ht="17.15" hidden="false" customHeight="false" outlineLevel="0" collapsed="false">
      <c r="A3296" s="0" t="s">
        <v>577</v>
      </c>
      <c r="B3296" s="0" t="s">
        <v>73</v>
      </c>
      <c r="C3296" s="38" t="n">
        <f aca="false">Sens!$C$3277/ext_sh*(ox_open+rent_mw)*Sens!$C$3278/1000</f>
        <v>0.642569210675032</v>
      </c>
      <c r="D3296" s="38" t="n">
        <f aca="false">Sens!$D$3277/ext_sh*(ox_open+rent_mw)*Sens!$D$3278/1000</f>
        <v>2.40963454003137</v>
      </c>
      <c r="E3296" s="38" t="n">
        <f aca="false">Sens!$E$3277/ext_sh*(ox_open+rent_mw)*Sens!$E$3278/1000</f>
        <v>2.35608710580845</v>
      </c>
      <c r="F3296" s="38" t="n">
        <f aca="false">((mw_open*ox_open+Sens!$F$3292*Sens!$F$3290)/ext_sh+Sens!$F$3277/ext_sh*rent_mw)*Sens!$F$3278/1000</f>
        <v>4.05421991106232</v>
      </c>
      <c r="G3296" s="38" t="n">
        <f aca="false">Sens!$E$3296+Sens!$F$3296</f>
        <v>6.41030701687077</v>
      </c>
      <c r="H3296" s="38" t="n">
        <f aca="false">((mw_open*ox_open+Sens!$H$3292*Sens!$H$3290)/ext_sh+Sens!$H$3277/ext_sh*rent_mw)*Sens!$H$3278/1000</f>
        <v>15.8108975546616</v>
      </c>
      <c r="I3296" s="38" t="n">
        <f aca="false">((mw_open*ox_open+Sens!$I$3292*Sens!$I$3290)/ext_sh+Sens!$I$3277/ext_sh*rent_mw)*Sens!$I$3278/1000</f>
        <v>26.1871623400817</v>
      </c>
      <c r="J3296" s="38" t="n">
        <f aca="false">((mw_open*ox_open+Sens!$J$3292*Sens!$J$3290)/ext_sh+Sens!$J$3277/ext_sh*rent_mw)*Sens!$J$3278/1000</f>
        <v>36.5826128954935</v>
      </c>
      <c r="K3296" s="38" t="n">
        <f aca="false">((mw_open*ox_open+Sens!$K$3292*Sens!$K$3290)/ext_sh+Sens!$K$3277/ext_sh*rent_mw)*Sens!$K$3278/1000</f>
        <v>46.9844587075692</v>
      </c>
      <c r="L3296" s="38" t="n">
        <f aca="false">((mw_open*ox_open+Sens!$L$3292*Sens!$L$3290)/ext_sh+Sens!$L$3277/ext_sh*rent_mw)*Sens!$L$3278/1000</f>
        <v>57.3892114544922</v>
      </c>
      <c r="M3296" s="38" t="n">
        <f aca="false">((mw_open*ox_open+Sens!$M$3292*Sens!$M$3290)/ext_sh+Sens!$M$3277/ext_sh*rent_mw)*Sens!$M$3278/1000</f>
        <v>67.7955294740252</v>
      </c>
      <c r="N3296" s="38" t="n">
        <f aca="false">Sens!$N$3277/ext_sh*(ox_open+rent_mw)*Sens!$N$3278/1000</f>
        <v>0.84337208901098</v>
      </c>
      <c r="O3296" s="38" t="n">
        <f aca="false">Sens!$O$3277/ext_sh*(ox_open+rent_mw)*Sens!$O$3278/1000</f>
        <v>1.56626245102039</v>
      </c>
    </row>
    <row r="3297" customFormat="false" ht="17.15" hidden="false" customHeight="false" outlineLevel="0" collapsed="false">
      <c r="A3297" s="0" t="s">
        <v>578</v>
      </c>
      <c r="B3297" s="0" t="s">
        <v>73</v>
      </c>
      <c r="C3297" s="38" t="n">
        <f aca="false">Q!$D$7</f>
        <v>107.556</v>
      </c>
      <c r="D3297" s="38" t="n">
        <f aca="false">Q!$E$7</f>
        <v>128.725</v>
      </c>
      <c r="E3297" s="38" t="n">
        <f aca="false">Q!$P$7</f>
        <v>79.819</v>
      </c>
      <c r="N3297" s="38" t="n">
        <f aca="false">Q!$N$7</f>
        <v>60.14</v>
      </c>
      <c r="O3297" s="38" t="n">
        <f aca="false">Q!$O$7</f>
        <v>68.585</v>
      </c>
    </row>
    <row r="3298" customFormat="false" ht="17.15" hidden="false" customHeight="false" outlineLevel="0" collapsed="false">
      <c r="A3298" s="1" t="s">
        <v>579</v>
      </c>
      <c r="B3298" s="8" t="s">
        <v>73</v>
      </c>
      <c r="C3298" s="38" t="n">
        <f aca="false">Sens!$C$3297-Sens!$C$3294</f>
        <v>105.234994643026</v>
      </c>
      <c r="D3298" s="38" t="n">
        <f aca="false">Sens!$D$3297-Sens!$D$3294</f>
        <v>120.021229911349</v>
      </c>
      <c r="E3298" s="38" t="n">
        <f aca="false">Sens!$E$3297-Sens!$E$3294</f>
        <v>71.30864702443</v>
      </c>
      <c r="F3298" s="38" t="n">
        <f aca="false">Sens!$O$3298*(1+Sens!$F$3299)</f>
        <v>78.5950104186653</v>
      </c>
      <c r="G3298" s="38" t="n">
        <f aca="false">Sens!$E$3298+Sens!$F$3298</f>
        <v>149.903657443095</v>
      </c>
      <c r="H3298" s="38" t="n">
        <f aca="false">Sens!$G$3298*(1+Sens!$H$3299)</f>
        <v>180.893560768142</v>
      </c>
      <c r="I3298" s="38" t="n">
        <f aca="false">Sens!$H$3298*(1+Sens!$I$3299)</f>
        <v>210.64839721501</v>
      </c>
      <c r="J3298" s="38" t="n">
        <f aca="false">Sens!$I$3298*(1+Sens!$J$3299)</f>
        <v>236.398909446495</v>
      </c>
      <c r="K3298" s="38" t="n">
        <f aca="false">Sens!$J$3298*(1+Sens!$K$3299)</f>
        <v>255.310822202215</v>
      </c>
      <c r="L3298" s="38" t="n">
        <f aca="false">Sens!$K$3298*(1+Sens!$L$3299)</f>
        <v>275.735687978392</v>
      </c>
      <c r="M3298" s="38" t="n">
        <f aca="false">Sens!$L$3298*(1+Sens!$M$3299)</f>
        <v>297.794543016663</v>
      </c>
      <c r="N3298" s="38" t="n">
        <f aca="false">Sens!$N$3297-Sens!$N$3294</f>
        <v>57.0936804689721</v>
      </c>
      <c r="O3298" s="38" t="n">
        <f aca="false">Sens!$O$3297-Sens!$O$3294</f>
        <v>62.9275494423768</v>
      </c>
      <c r="P3298" s="5" t="s">
        <v>580</v>
      </c>
    </row>
    <row r="3299" customFormat="false" ht="17.15" hidden="false" customHeight="false" outlineLevel="0" collapsed="false">
      <c r="A3299" s="0" t="s">
        <v>581</v>
      </c>
      <c r="B3299" s="0" t="s">
        <v>52</v>
      </c>
      <c r="E3299" s="12" t="n">
        <f aca="false">Sens!$E$3298/Sens!$N$3298-1</f>
        <v>0.248976181579029</v>
      </c>
      <c r="F3299" s="12" t="n">
        <f aca="false">Sens!$E$3299</f>
        <v>0.248976181579029</v>
      </c>
      <c r="G3299" s="12" t="n">
        <f aca="false">Sens!$G$3298/Sens!$D$3298-1</f>
        <v>0.248976181579029</v>
      </c>
      <c r="H3299" s="12" t="n">
        <f aca="false">Sens!$E$3299+(g_awso_lt-Sens!$E$3299)*1/4</f>
        <v>0.206732136184272</v>
      </c>
      <c r="I3299" s="12" t="n">
        <f aca="false">Sens!$E$3299+(g_awso_lt-Sens!$E$3299)*2/4</f>
        <v>0.164488090789515</v>
      </c>
      <c r="J3299" s="12" t="n">
        <f aca="false">Sens!$E$3299+(g_awso_lt-Sens!$E$3299)*3/4</f>
        <v>0.122244045394757</v>
      </c>
      <c r="K3299" s="12" t="n">
        <f aca="false">Sens!$E$3299+(g_awso_lt-Sens!$E$3299)*4/4</f>
        <v>0.08</v>
      </c>
      <c r="L3299" s="12" t="n">
        <f aca="false">g_awso_lt</f>
        <v>0.08</v>
      </c>
      <c r="M3299" s="12" t="n">
        <f aca="false">g_awso_lt</f>
        <v>0.08</v>
      </c>
      <c r="P3299" s="8" t="s">
        <v>582</v>
      </c>
    </row>
    <row r="3300" customFormat="false" ht="17.15" hidden="false" customHeight="false" outlineLevel="0" collapsed="false">
      <c r="A3300" s="1" t="s">
        <v>583</v>
      </c>
    </row>
    <row r="3301" customFormat="false" ht="17.15" hidden="false" customHeight="false" outlineLevel="0" collapsed="false">
      <c r="A3301" s="0" t="s">
        <v>584</v>
      </c>
      <c r="B3301" s="0" t="s">
        <v>73</v>
      </c>
      <c r="F3301" s="38" t="n">
        <f aca="false">cx_rt*Sens!$F$3267+cx_awso*Sens!$F$3298</f>
        <v>36.8045765066526</v>
      </c>
    </row>
    <row r="3302" customFormat="false" ht="17.15" hidden="false" customHeight="false" outlineLevel="0" collapsed="false">
      <c r="A3302" s="0" t="s">
        <v>585</v>
      </c>
      <c r="B3302" s="0" t="s">
        <v>52</v>
      </c>
      <c r="C3302" s="12" t="n">
        <f aca="false">tk_cx_h100/(tk_cx_h100+tk_fac*(1-colo_sh))</f>
        <v>0.730756458006641</v>
      </c>
      <c r="D3302" s="12" t="n">
        <f aca="false">tk_cx_h100/(tk_cx_h100+tk_fac*(1-colo_sh))</f>
        <v>0.730756458006641</v>
      </c>
      <c r="E3302" s="12" t="n">
        <f aca="false">Sens!$F$3302</f>
        <v>0.760792334328868</v>
      </c>
      <c r="F3302" s="12" t="n">
        <f aca="false">Sens!$F$3285/(Sens!$F$3285+tk_fac*(1-colo_sh))</f>
        <v>0.760792334328868</v>
      </c>
      <c r="G3302" s="12" t="n">
        <f aca="false">Sens!$G$3285/(Sens!$G$3285+tk_fac*(1-colo_sh))</f>
        <v>0.760792334328868</v>
      </c>
      <c r="H3302" s="12" t="n">
        <f aca="false">Sens!$H$3285/(Sens!$H$3285+tk_fac*(1-colo_sh))</f>
        <v>0.768110668862996</v>
      </c>
      <c r="I3302" s="12" t="n">
        <f aca="false">Sens!$I$3285/(Sens!$I$3285+tk_fac*(1-colo_sh))</f>
        <v>0.77499450139483</v>
      </c>
      <c r="J3302" s="12" t="n">
        <f aca="false">Sens!$J$3285/(Sens!$J$3285+tk_fac*(1-colo_sh))</f>
        <v>0.77499450139483</v>
      </c>
      <c r="K3302" s="12" t="n">
        <f aca="false">Sens!$K$3285/(Sens!$K$3285+tk_fac*(1-colo_sh))</f>
        <v>0.77499450139483</v>
      </c>
      <c r="L3302" s="12" t="n">
        <f aca="false">Sens!$L$3285/(Sens!$L$3285+tk_fac*(1-colo_sh))</f>
        <v>0.77499450139483</v>
      </c>
      <c r="M3302" s="12" t="n">
        <f aca="false">Sens!$M$3285/(Sens!$M$3285+tk_fac*(1-colo_sh))</f>
        <v>0.77499450139483</v>
      </c>
    </row>
    <row r="3303" customFormat="false" ht="17.15" hidden="false" customHeight="false" outlineLevel="0" collapsed="false">
      <c r="A3303" s="1" t="s">
        <v>586</v>
      </c>
      <c r="B3303" s="8" t="s">
        <v>73</v>
      </c>
      <c r="C3303" s="38" t="n">
        <f aca="false">Q!$D$46-cx_rt*Q!$D$16-cx_awso*Sens!$C$3298</f>
        <v>25.2781053077374</v>
      </c>
      <c r="D3303" s="38" t="n">
        <f aca="false">Q!$E$46-cx_rt*Q!$E$16-cx_awso*Sens!$D$3298</f>
        <v>69.5686316310026</v>
      </c>
      <c r="E3303" s="38" t="n">
        <f aca="false">Q!$P$46-cx_rt*Q!$P$16-cx_awso*Sens!$E$3298</f>
        <v>64.1899206485108</v>
      </c>
      <c r="F3303" s="38" t="n">
        <f aca="false">MAX(Sens!$F$3280*(Sens!$F$3285+tk_fac*(1-colo_sh))/1000,capex_g26-Q!$P$46-Sens!$F$3301)</f>
        <v>96.2481299895</v>
      </c>
      <c r="G3303" s="38" t="n">
        <f aca="false">Sens!$E$3303+Sens!$F$3303</f>
        <v>160.438050638011</v>
      </c>
      <c r="H3303" s="38" t="n">
        <f aca="false">Sens!$H$3280*(Sens!$H$3285+tk_fac*(1-colo_sh))/1000+Sens!$H$3304</f>
        <v>198.57136494475</v>
      </c>
      <c r="I3303" s="38" t="n">
        <f aca="false">Sens!$I$3280*(Sens!$I$3285+tk_fac*(1-colo_sh))/1000+Sens!$I$3304</f>
        <v>204.6464699105</v>
      </c>
      <c r="J3303" s="38" t="n">
        <f aca="false">Sens!$J$3280*(Sens!$J$3285+tk_fac*(1-colo_sh))/1000+Sens!$J$3304</f>
        <v>209.8832381105</v>
      </c>
      <c r="K3303" s="38" t="n">
        <f aca="false">Sens!$K$3280*(Sens!$K$3285+tk_fac*(1-colo_sh))/1000+Sens!$K$3304</f>
        <v>215.1200063105</v>
      </c>
      <c r="L3303" s="38" t="n">
        <f aca="false">Sens!$L$3280*(Sens!$L$3285+tk_fac*(1-colo_sh))/1000+Sens!$L$3304</f>
        <v>251.7773837105</v>
      </c>
      <c r="M3303" s="38" t="n">
        <f aca="false">Sens!$M$3280*(Sens!$M$3285+tk_fac*(1-colo_sh))/1000+Sens!$M$3304</f>
        <v>311.87584476575</v>
      </c>
      <c r="P3303" s="5" t="s">
        <v>587</v>
      </c>
      <c r="R3303" s="38" t="n">
        <f aca="false">Q!$C$46-cx_rt*Q!$C$16-cx_awso*(Q!$C$7-mw_ye23/2*rpm_open/1000)</f>
        <v>1.50429979529945</v>
      </c>
      <c r="S3303" s="38" t="n">
        <f aca="false">Sens!$C$3303</f>
        <v>25.2781053077374</v>
      </c>
      <c r="T3303" s="38" t="n">
        <f aca="false">Sens!$D$3303</f>
        <v>69.5686316310026</v>
      </c>
      <c r="U3303" s="38" t="n">
        <f aca="false">Sens!$G$3303</f>
        <v>160.438050638011</v>
      </c>
      <c r="V3303" s="38" t="n">
        <f aca="false">Sens!$H$3303</f>
        <v>198.57136494475</v>
      </c>
      <c r="W3303" s="38" t="n">
        <f aca="false">Sens!$I$3303</f>
        <v>204.6464699105</v>
      </c>
      <c r="X3303" s="38" t="n">
        <f aca="false">Sens!$J$3303</f>
        <v>209.8832381105</v>
      </c>
      <c r="Y3303" s="38" t="n">
        <f aca="false">Sens!$K$3303</f>
        <v>215.1200063105</v>
      </c>
      <c r="Z3303" s="38" t="n">
        <f aca="false">Sens!$L$3303</f>
        <v>251.7773837105</v>
      </c>
      <c r="AA3303" s="38" t="n">
        <f aca="false">Sens!$M$3303</f>
        <v>311.87584476575</v>
      </c>
    </row>
    <row r="3304" customFormat="false" ht="17.15" hidden="false" customHeight="false" outlineLevel="0" collapsed="false">
      <c r="A3304" s="0" t="s">
        <v>588</v>
      </c>
      <c r="B3304" s="0" t="s">
        <v>73</v>
      </c>
      <c r="H3304" s="38" t="n">
        <f aca="false">SUMPRODUCT(--(Sens!$R$3274:$AA$3274=2027-tk_life),Sens!$R$3280:$AA$3280)*Sens!$H$3285/1000</f>
        <v>0</v>
      </c>
      <c r="I3304" s="38" t="n">
        <f aca="false">SUMPRODUCT(--(Sens!$R$3274:$AA$3274=2028-tk_life),Sens!$R$3280:$AA$3280)*Sens!$I$3285/1000</f>
        <v>0</v>
      </c>
      <c r="J3304" s="38" t="n">
        <f aca="false">SUMPRODUCT(--(Sens!$R$3274:$AA$3274=2029-tk_life),Sens!$R$3280:$AA$3280)*Sens!$J$3285/1000</f>
        <v>5.2367682</v>
      </c>
      <c r="K3304" s="38" t="n">
        <f aca="false">SUMPRODUCT(--(Sens!$R$3274:$AA$3274=2030-tk_life),Sens!$R$3280:$AA$3280)*Sens!$K$3285/1000</f>
        <v>10.4735364</v>
      </c>
      <c r="L3304" s="38" t="n">
        <f aca="false">SUMPRODUCT(--(Sens!$R$3274:$AA$3274=2031-tk_life),Sens!$R$3280:$AA$3280)*Sens!$L$3285/1000</f>
        <v>47.1309138</v>
      </c>
      <c r="M3304" s="38" t="n">
        <f aca="false">SUMPRODUCT(--(Sens!$R$3274:$AA$3274=2032-tk_life),Sens!$R$3280:$AA$3280)*Sens!$M$3285/1000</f>
        <v>107.22937485525</v>
      </c>
    </row>
    <row r="3305" customFormat="false" ht="17.15" hidden="false" customHeight="false" outlineLevel="0" collapsed="false">
      <c r="A3305" s="5" t="s">
        <v>589</v>
      </c>
      <c r="B3305" s="0" t="s">
        <v>73</v>
      </c>
      <c r="C3305" s="38" t="n">
        <f aca="false">Sens!$C$3303*Sens!$C$3302</f>
        <v>18.472138699801</v>
      </c>
      <c r="D3305" s="38" t="n">
        <f aca="false">Sens!$D$3303*Sens!$D$3302</f>
        <v>50.8377268390402</v>
      </c>
      <c r="E3305" s="38" t="n">
        <f aca="false">Sens!$E$3303*Sens!$E$3302</f>
        <v>48.8351995705653</v>
      </c>
      <c r="F3305" s="38" t="n">
        <f aca="false">Sens!$F$3303*Sens!$F$3302</f>
        <v>73.2248394895</v>
      </c>
      <c r="G3305" s="38" t="n">
        <f aca="false">Sens!$E$3305+Sens!$F$3305</f>
        <v>122.060039060065</v>
      </c>
      <c r="H3305" s="38" t="n">
        <f aca="false">(Sens!$H$3303-Sens!$H$3304)*Sens!$H$3302+Sens!$H$3304</f>
        <v>152.52478394475</v>
      </c>
      <c r="I3305" s="38" t="n">
        <f aca="false">(Sens!$I$3303-Sens!$I$3304)*Sens!$I$3302+Sens!$I$3304</f>
        <v>158.5998889105</v>
      </c>
      <c r="J3305" s="38" t="n">
        <f aca="false">(Sens!$J$3303-Sens!$J$3304)*Sens!$J$3302+Sens!$J$3304</f>
        <v>163.8366571105</v>
      </c>
      <c r="K3305" s="38" t="n">
        <f aca="false">(Sens!$K$3303-Sens!$K$3304)*Sens!$K$3302+Sens!$K$3304</f>
        <v>169.0734253105</v>
      </c>
      <c r="L3305" s="38" t="n">
        <f aca="false">(Sens!$L$3303-Sens!$L$3304)*Sens!$L$3302+Sens!$L$3304</f>
        <v>205.7308027105</v>
      </c>
      <c r="M3305" s="38" t="n">
        <f aca="false">(Sens!$M$3303-Sens!$M$3304)*Sens!$M$3302+Sens!$M$3304</f>
        <v>265.82926376575</v>
      </c>
      <c r="R3305" s="38" t="n">
        <f aca="false">Sens!$R$3303*Sens!$C$3302</f>
        <v>1.09927679019314</v>
      </c>
      <c r="S3305" s="38" t="n">
        <f aca="false">Sens!$C$3305</f>
        <v>18.472138699801</v>
      </c>
      <c r="T3305" s="38" t="n">
        <f aca="false">Sens!$D$3305</f>
        <v>50.8377268390402</v>
      </c>
      <c r="U3305" s="38" t="n">
        <f aca="false">Sens!$G$3305</f>
        <v>122.060039060065</v>
      </c>
      <c r="V3305" s="38" t="n">
        <f aca="false">Sens!$H$3305</f>
        <v>152.52478394475</v>
      </c>
      <c r="W3305" s="38" t="n">
        <f aca="false">Sens!$I$3305</f>
        <v>158.5998889105</v>
      </c>
      <c r="X3305" s="38" t="n">
        <f aca="false">Sens!$J$3305</f>
        <v>163.8366571105</v>
      </c>
      <c r="Y3305" s="38" t="n">
        <f aca="false">Sens!$K$3305</f>
        <v>169.0734253105</v>
      </c>
      <c r="Z3305" s="38" t="n">
        <f aca="false">Sens!$L$3305</f>
        <v>205.7308027105</v>
      </c>
      <c r="AA3305" s="38" t="n">
        <f aca="false">Sens!$M$3305</f>
        <v>265.82926376575</v>
      </c>
    </row>
    <row r="3306" customFormat="false" ht="15" hidden="false" customHeight="false" outlineLevel="0" collapsed="false">
      <c r="A3306" s="5" t="s">
        <v>590</v>
      </c>
      <c r="B3306" s="0" t="s">
        <v>73</v>
      </c>
      <c r="R3306" s="38" t="n">
        <f aca="false">Sens!$R$3303-Sens!$R$3305</f>
        <v>0.405023005106309</v>
      </c>
      <c r="S3306" s="38" t="n">
        <f aca="false">Sens!$S$3303-Sens!$S$3305</f>
        <v>6.80596660793636</v>
      </c>
      <c r="T3306" s="38" t="n">
        <f aca="false">Sens!$T$3303-Sens!$T$3305</f>
        <v>18.7309047919624</v>
      </c>
      <c r="U3306" s="38" t="n">
        <f aca="false">Sens!$U$3303-Sens!$U$3305</f>
        <v>38.3780115779455</v>
      </c>
      <c r="V3306" s="38" t="n">
        <f aca="false">Sens!$V$3303-Sens!$V$3305</f>
        <v>46.046581</v>
      </c>
      <c r="W3306" s="38" t="n">
        <f aca="false">Sens!$W$3303-Sens!$W$3305</f>
        <v>46.046581</v>
      </c>
      <c r="X3306" s="38" t="n">
        <f aca="false">Sens!$X$3303-Sens!$X$3305</f>
        <v>46.046581</v>
      </c>
      <c r="Y3306" s="38" t="n">
        <f aca="false">Sens!$Y$3303-Sens!$Y$3305</f>
        <v>46.046581</v>
      </c>
      <c r="Z3306" s="38" t="n">
        <f aca="false">Sens!$Z$3303-Sens!$Z$3305</f>
        <v>46.046581</v>
      </c>
      <c r="AA3306" s="38" t="n">
        <f aca="false">Sens!$AA$3303-Sens!$AA$3305</f>
        <v>46.046581</v>
      </c>
    </row>
    <row r="3307" customFormat="false" ht="17.15" hidden="false" customHeight="false" outlineLevel="0" collapsed="false">
      <c r="A3307" s="0" t="s">
        <v>591</v>
      </c>
      <c r="B3307" s="0" t="s">
        <v>73</v>
      </c>
      <c r="C3307" s="38" t="n">
        <f aca="false">Sens!$S$3307</f>
        <v>0.183212798365523</v>
      </c>
      <c r="D3307" s="38" t="n">
        <f aca="false">Sens!$T$3307</f>
        <v>3.2619025816657</v>
      </c>
      <c r="E3307" s="38" t="n">
        <f aca="false">Sens!$G$3307/2</f>
        <v>5.86742852741953</v>
      </c>
      <c r="F3307" s="38" t="n">
        <f aca="false">Sens!$G$3307/2</f>
        <v>5.86742852741953</v>
      </c>
      <c r="G3307" s="38" t="n">
        <f aca="false">Sens!$U$3307</f>
        <v>11.7348570548391</v>
      </c>
      <c r="H3307" s="38" t="n">
        <f aca="false">Sens!$V$3307</f>
        <v>32.0781968981833</v>
      </c>
      <c r="I3307" s="38" t="n">
        <f aca="false">Sens!$W$3307</f>
        <v>57.4989942223083</v>
      </c>
      <c r="J3307" s="38" t="n">
        <f aca="false">Sens!$X$3307</f>
        <v>83.932309040725</v>
      </c>
      <c r="K3307" s="38" t="n">
        <f aca="false">Sens!$Y$3307</f>
        <v>111.055205760776</v>
      </c>
      <c r="L3307" s="38" t="n">
        <f aca="false">Sens!$Z$3307</f>
        <v>136.155420195893</v>
      </c>
      <c r="M3307" s="38" t="n">
        <f aca="false">Sens!$AA$3307</f>
        <v>161.970932841136</v>
      </c>
      <c r="N3307" s="38" t="n">
        <f aca="false">Sens!$D$3307/2</f>
        <v>1.63095129083285</v>
      </c>
      <c r="O3307" s="38" t="n">
        <f aca="false">Sens!$D$3307/2</f>
        <v>1.63095129083285</v>
      </c>
      <c r="R3307" s="38" t="n">
        <f aca="false">SUMPRODUCT(--(Sens!$R$3274:$AA$3274&lt;Sens!R$3274),--(Sens!$R$3274:$AA$3274&gt;=Sens!R$3274-tk_life),Sens!$R$3305:$AA$3305)/tk_life</f>
        <v>0</v>
      </c>
      <c r="S3307" s="38" t="n">
        <f aca="false">SUMPRODUCT(--(Sens!$R$3274:$AA$3274&lt;Sens!S$3274),--(Sens!$R$3274:$AA$3274&gt;=Sens!S$3274-tk_life),Sens!$R$3305:$AA$3305)/tk_life</f>
        <v>0.183212798365523</v>
      </c>
      <c r="T3307" s="38" t="n">
        <f aca="false">SUMPRODUCT(--(Sens!$R$3274:$AA$3274&lt;Sens!T$3274),--(Sens!$R$3274:$AA$3274&gt;=Sens!T$3274-tk_life),Sens!$R$3305:$AA$3305)/tk_life</f>
        <v>3.2619025816657</v>
      </c>
      <c r="U3307" s="38" t="n">
        <f aca="false">SUMPRODUCT(--(Sens!$R$3274:$AA$3274&lt;Sens!U$3274),--(Sens!$R$3274:$AA$3274&gt;=Sens!U$3274-tk_life),Sens!$R$3305:$AA$3305)/tk_life</f>
        <v>11.7348570548391</v>
      </c>
      <c r="V3307" s="38" t="n">
        <f aca="false">SUMPRODUCT(--(Sens!$R$3274:$AA$3274&lt;Sens!V$3274),--(Sens!$R$3274:$AA$3274&gt;=Sens!V$3274-tk_life),Sens!$R$3305:$AA$3305)/tk_life</f>
        <v>32.0781968981833</v>
      </c>
      <c r="W3307" s="38" t="n">
        <f aca="false">SUMPRODUCT(--(Sens!$R$3274:$AA$3274&lt;Sens!W$3274),--(Sens!$R$3274:$AA$3274&gt;=Sens!W$3274-tk_life),Sens!$R$3305:$AA$3305)/tk_life</f>
        <v>57.4989942223083</v>
      </c>
      <c r="X3307" s="38" t="n">
        <f aca="false">SUMPRODUCT(--(Sens!$R$3274:$AA$3274&lt;Sens!X$3274),--(Sens!$R$3274:$AA$3274&gt;=Sens!X$3274-tk_life),Sens!$R$3305:$AA$3305)/tk_life</f>
        <v>83.932309040725</v>
      </c>
      <c r="Y3307" s="38" t="n">
        <f aca="false">SUMPRODUCT(--(Sens!$R$3274:$AA$3274&lt;Sens!Y$3274),--(Sens!$R$3274:$AA$3274&gt;=Sens!Y$3274-tk_life),Sens!$R$3305:$AA$3305)/tk_life</f>
        <v>111.055205760776</v>
      </c>
      <c r="Z3307" s="38" t="n">
        <f aca="false">SUMPRODUCT(--(Sens!$R$3274:$AA$3274&lt;Sens!Z$3274),--(Sens!$R$3274:$AA$3274&gt;=Sens!Z$3274-tk_life),Sens!$R$3305:$AA$3305)/tk_life</f>
        <v>136.155420195893</v>
      </c>
      <c r="AA3307" s="38" t="n">
        <f aca="false">SUMPRODUCT(--(Sens!$R$3274:$AA$3274&lt;Sens!AA$3274),--(Sens!$R$3274:$AA$3274&gt;=Sens!AA$3274-tk_life),Sens!$R$3305:$AA$3305)/tk_life</f>
        <v>161.970932841136</v>
      </c>
    </row>
    <row r="3308" customFormat="false" ht="17.15" hidden="false" customHeight="false" outlineLevel="0" collapsed="false">
      <c r="A3308" s="0" t="s">
        <v>592</v>
      </c>
      <c r="B3308" s="0" t="s">
        <v>73</v>
      </c>
      <c r="C3308" s="38" t="n">
        <f aca="false">Sens!$S$3308</f>
        <v>0.0202511502553155</v>
      </c>
      <c r="D3308" s="38" t="n">
        <f aca="false">Sens!$T$3308</f>
        <v>0.360549480652134</v>
      </c>
      <c r="E3308" s="38" t="n">
        <f aca="false">Sens!$G$3308/2</f>
        <v>0.648547360125127</v>
      </c>
      <c r="F3308" s="38" t="n">
        <f aca="false">Sens!$G$3308/2</f>
        <v>0.648547360125127</v>
      </c>
      <c r="G3308" s="38" t="n">
        <f aca="false">Sens!$U$3308</f>
        <v>1.29709472025025</v>
      </c>
      <c r="H3308" s="38" t="n">
        <f aca="false">Sens!$V$3308</f>
        <v>3.21599529914753</v>
      </c>
      <c r="I3308" s="38" t="n">
        <f aca="false">Sens!$W$3308</f>
        <v>5.51832434914753</v>
      </c>
      <c r="J3308" s="38" t="n">
        <f aca="false">Sens!$X$3308</f>
        <v>7.82065339914753</v>
      </c>
      <c r="K3308" s="38" t="n">
        <f aca="false">Sens!$Y$3308</f>
        <v>10.1229824491475</v>
      </c>
      <c r="L3308" s="38" t="n">
        <f aca="false">Sens!$Z$3308</f>
        <v>12.4253114991475</v>
      </c>
      <c r="M3308" s="38" t="n">
        <f aca="false">Sens!$AA$3308</f>
        <v>14.7276405491475</v>
      </c>
      <c r="N3308" s="38" t="n">
        <f aca="false">Sens!$D$3308/2</f>
        <v>0.180274740326067</v>
      </c>
      <c r="O3308" s="38" t="n">
        <f aca="false">Sens!$D$3308/2</f>
        <v>0.180274740326067</v>
      </c>
      <c r="R3308" s="38" t="n">
        <f aca="false">SUMPRODUCT(--(Sens!$R$3274:$AA$3274&lt;Sens!R$3274),Sens!$R$3306:$AA$3306)/fac_life</f>
        <v>0</v>
      </c>
      <c r="S3308" s="38" t="n">
        <f aca="false">SUMPRODUCT(--(Sens!$R$3274:$AA$3274&lt;Sens!S$3274),Sens!$R$3306:$AA$3306)/fac_life</f>
        <v>0.0202511502553155</v>
      </c>
      <c r="T3308" s="38" t="n">
        <f aca="false">SUMPRODUCT(--(Sens!$R$3274:$AA$3274&lt;Sens!T$3274),Sens!$R$3306:$AA$3306)/fac_life</f>
        <v>0.360549480652134</v>
      </c>
      <c r="U3308" s="38" t="n">
        <f aca="false">SUMPRODUCT(--(Sens!$R$3274:$AA$3274&lt;Sens!U$3274),Sens!$R$3306:$AA$3306)/fac_life</f>
        <v>1.29709472025025</v>
      </c>
      <c r="V3308" s="38" t="n">
        <f aca="false">SUMPRODUCT(--(Sens!$R$3274:$AA$3274&lt;Sens!V$3274),Sens!$R$3306:$AA$3306)/fac_life</f>
        <v>3.21599529914753</v>
      </c>
      <c r="W3308" s="38" t="n">
        <f aca="false">SUMPRODUCT(--(Sens!$R$3274:$AA$3274&lt;Sens!W$3274),Sens!$R$3306:$AA$3306)/fac_life</f>
        <v>5.51832434914753</v>
      </c>
      <c r="X3308" s="38" t="n">
        <f aca="false">SUMPRODUCT(--(Sens!$R$3274:$AA$3274&lt;Sens!X$3274),Sens!$R$3306:$AA$3306)/fac_life</f>
        <v>7.82065339914753</v>
      </c>
      <c r="Y3308" s="38" t="n">
        <f aca="false">SUMPRODUCT(--(Sens!$R$3274:$AA$3274&lt;Sens!Y$3274),Sens!$R$3306:$AA$3306)/fac_life</f>
        <v>10.1229824491475</v>
      </c>
      <c r="Z3308" s="38" t="n">
        <f aca="false">SUMPRODUCT(--(Sens!$R$3274:$AA$3274&lt;Sens!Z$3274),Sens!$R$3306:$AA$3306)/fac_life</f>
        <v>12.4253114991475</v>
      </c>
      <c r="AA3308" s="38" t="n">
        <f aca="false">SUMPRODUCT(--(Sens!$R$3274:$AA$3274&lt;Sens!AA$3274),Sens!$R$3306:$AA$3306)/fac_life</f>
        <v>14.7276405491475</v>
      </c>
    </row>
    <row r="3309" customFormat="false" ht="17.15" hidden="false" customHeight="false" outlineLevel="0" collapsed="false">
      <c r="A3309" s="1" t="s">
        <v>593</v>
      </c>
      <c r="B3309" s="8" t="s">
        <v>73</v>
      </c>
      <c r="C3309" s="38" t="n">
        <f aca="false">Sens!$C$3307+Sens!$C$3308</f>
        <v>0.203463948620839</v>
      </c>
      <c r="D3309" s="38" t="n">
        <f aca="false">Sens!$D$3307+Sens!$D$3308</f>
        <v>3.62245206231783</v>
      </c>
      <c r="E3309" s="38" t="n">
        <f aca="false">Sens!$E$3307+Sens!$E$3308</f>
        <v>6.51597588754466</v>
      </c>
      <c r="F3309" s="38" t="n">
        <f aca="false">Sens!$F$3307+Sens!$F$3308</f>
        <v>6.51597588754466</v>
      </c>
      <c r="G3309" s="38" t="n">
        <f aca="false">Sens!$G$3307+Sens!$G$3308</f>
        <v>13.0319517750893</v>
      </c>
      <c r="H3309" s="38" t="n">
        <f aca="false">Sens!$H$3307+Sens!$H$3308</f>
        <v>35.2941921973308</v>
      </c>
      <c r="I3309" s="38" t="n">
        <f aca="false">Sens!$I$3307+Sens!$I$3308</f>
        <v>63.0173185714558</v>
      </c>
      <c r="J3309" s="38" t="n">
        <f aca="false">Sens!$J$3307+Sens!$J$3308</f>
        <v>91.7529624398725</v>
      </c>
      <c r="K3309" s="38" t="n">
        <f aca="false">Sens!$K$3307+Sens!$K$3308</f>
        <v>121.178188209924</v>
      </c>
      <c r="L3309" s="38" t="n">
        <f aca="false">Sens!$L$3307+Sens!$L$3308</f>
        <v>148.58073169504</v>
      </c>
      <c r="M3309" s="38" t="n">
        <f aca="false">Sens!$M$3307+Sens!$M$3308</f>
        <v>176.698573390283</v>
      </c>
      <c r="N3309" s="38" t="n">
        <f aca="false">Sens!$N$3307+Sens!$N$3308</f>
        <v>1.81122603115892</v>
      </c>
      <c r="O3309" s="38" t="n">
        <f aca="false">Sens!$O$3307+Sens!$O$3308</f>
        <v>1.81122603115892</v>
      </c>
      <c r="R3309" s="38" t="n">
        <f aca="false">Sens!$R$3307+Sens!$R$3308</f>
        <v>0</v>
      </c>
      <c r="S3309" s="38" t="n">
        <f aca="false">Sens!$S$3307+Sens!$S$3308</f>
        <v>0.203463948620839</v>
      </c>
      <c r="T3309" s="38" t="n">
        <f aca="false">Sens!$T$3307+Sens!$T$3308</f>
        <v>3.62245206231783</v>
      </c>
      <c r="U3309" s="38" t="n">
        <f aca="false">Sens!$U$3307+Sens!$U$3308</f>
        <v>13.0319517750893</v>
      </c>
      <c r="V3309" s="38" t="n">
        <f aca="false">Sens!$V$3307+Sens!$V$3308</f>
        <v>35.2941921973308</v>
      </c>
      <c r="W3309" s="38" t="n">
        <f aca="false">Sens!$W$3307+Sens!$W$3308</f>
        <v>63.0173185714558</v>
      </c>
      <c r="X3309" s="38" t="n">
        <f aca="false">Sens!$X$3307+Sens!$X$3308</f>
        <v>91.7529624398725</v>
      </c>
      <c r="Y3309" s="38" t="n">
        <f aca="false">Sens!$Y$3307+Sens!$Y$3308</f>
        <v>121.178188209924</v>
      </c>
      <c r="Z3309" s="38" t="n">
        <f aca="false">Sens!$Z$3307+Sens!$Z$3308</f>
        <v>148.58073169504</v>
      </c>
      <c r="AA3309" s="38" t="n">
        <f aca="false">Sens!$AA$3307+Sens!$AA$3308</f>
        <v>176.698573390283</v>
      </c>
    </row>
    <row r="3310" customFormat="false" ht="17.15" hidden="false" customHeight="false" outlineLevel="0" collapsed="false">
      <c r="A3310" s="0" t="s">
        <v>594</v>
      </c>
      <c r="B3310" s="0" t="s">
        <v>73</v>
      </c>
      <c r="C3310" s="38" t="n">
        <f aca="false">Sens!$S$3310</f>
        <v>26.578941154416</v>
      </c>
      <c r="D3310" s="38" t="n">
        <f aca="false">Sens!$T$3310</f>
        <v>92.5251207231008</v>
      </c>
      <c r="G3310" s="38" t="n">
        <f aca="false">Sens!$U$3310</f>
        <v>239.931219586022</v>
      </c>
      <c r="H3310" s="38" t="n">
        <f aca="false">Sens!$V$3310</f>
        <v>403.208392333442</v>
      </c>
      <c r="I3310" s="38" t="n">
        <f aca="false">Sens!$W$3310</f>
        <v>544.837543672486</v>
      </c>
      <c r="J3310" s="38" t="n">
        <f aca="false">Sens!$X$3310</f>
        <v>662.967819343113</v>
      </c>
      <c r="K3310" s="38" t="n">
        <f aca="false">Sens!$Y$3310</f>
        <v>756.90963744369</v>
      </c>
      <c r="L3310" s="38" t="n">
        <f aca="false">Sens!$Z$3310</f>
        <v>860.10628945915</v>
      </c>
      <c r="M3310" s="38" t="n">
        <f aca="false">Sens!$AA$3310</f>
        <v>995.283560834616</v>
      </c>
      <c r="R3310" s="38" t="n">
        <f aca="false">SUM(Sens!$R$3303:$R$3303)-SUM(Sens!$R$3309:$R$3309)</f>
        <v>1.50429979529945</v>
      </c>
      <c r="S3310" s="38" t="n">
        <f aca="false">SUM(Sens!$R$3303:$S$3303)-SUM(Sens!$R$3309:$S$3309)</f>
        <v>26.578941154416</v>
      </c>
      <c r="T3310" s="38" t="n">
        <f aca="false">SUM(Sens!$R$3303:$T$3303)-SUM(Sens!$R$3309:$T$3309)</f>
        <v>92.5251207231008</v>
      </c>
      <c r="U3310" s="38" t="n">
        <f aca="false">SUM(Sens!$R$3303:$U$3303)-SUM(Sens!$R$3309:$U$3309)</f>
        <v>239.931219586022</v>
      </c>
      <c r="V3310" s="38" t="n">
        <f aca="false">SUM(Sens!$R$3303:$V$3303)-SUM(Sens!$R$3309:$V$3309)</f>
        <v>403.208392333442</v>
      </c>
      <c r="W3310" s="38" t="n">
        <f aca="false">SUM(Sens!$R$3303:$W$3303)-SUM(Sens!$R$3309:$W$3309)</f>
        <v>544.837543672486</v>
      </c>
      <c r="X3310" s="38" t="n">
        <f aca="false">SUM(Sens!$R$3303:$X$3303)-SUM(Sens!$R$3309:$X$3309)</f>
        <v>662.967819343113</v>
      </c>
      <c r="Y3310" s="38" t="n">
        <f aca="false">SUM(Sens!$R$3303:$Y$3303)-SUM(Sens!$R$3309:$Y$3309)</f>
        <v>756.90963744369</v>
      </c>
      <c r="Z3310" s="38" t="n">
        <f aca="false">SUM(Sens!$R$3303:$Z$3303)-SUM(Sens!$R$3309:$Z$3309)</f>
        <v>860.10628945915</v>
      </c>
      <c r="AA3310" s="38" t="n">
        <f aca="false">SUM(Sens!$R$3303:$AA$3303)-SUM(Sens!$R$3309:$AA$3309)</f>
        <v>995.283560834616</v>
      </c>
    </row>
    <row r="3311" customFormat="false" ht="17.15" hidden="false" customHeight="false" outlineLevel="0" collapsed="false">
      <c r="A3311" s="1" t="s">
        <v>595</v>
      </c>
    </row>
    <row r="3312" customFormat="false" ht="17.15" hidden="false" customHeight="false" outlineLevel="0" collapsed="false">
      <c r="A3312" s="0" t="s">
        <v>596</v>
      </c>
      <c r="B3312" s="0" t="s">
        <v>73</v>
      </c>
      <c r="C3312" s="38" t="n">
        <f aca="false">Sens!$C$3294-ext_sh*Sens!$C$3296</f>
        <v>1.80694998843362</v>
      </c>
      <c r="D3312" s="38" t="n">
        <f aca="false">Sens!$D$3294-ext_sh*Sens!$D$3296</f>
        <v>6.77606245662607</v>
      </c>
      <c r="E3312" s="38" t="n">
        <f aca="false">Sens!$E$3294-ext_sh*Sens!$E$3296</f>
        <v>6.62548329092326</v>
      </c>
      <c r="F3312" s="38" t="n">
        <f aca="false">Sens!$F$3294-ext_sh*Sens!$F$3296</f>
        <v>11.7200577158706</v>
      </c>
      <c r="G3312" s="38" t="n">
        <f aca="false">Sens!$G$3294-ext_sh*Sens!$G$3296</f>
        <v>18.3455410067939</v>
      </c>
      <c r="H3312" s="38" t="n">
        <f aca="false">Sens!$H$3294-ext_sh*Sens!$H$3296</f>
        <v>47.5171727060453</v>
      </c>
      <c r="I3312" s="38" t="n">
        <f aca="false">Sens!$I$3294-ext_sh*Sens!$I$3296</f>
        <v>80.5539692643667</v>
      </c>
      <c r="J3312" s="38" t="n">
        <f aca="false">Sens!$J$3294-ext_sh*Sens!$J$3296</f>
        <v>113.759316834883</v>
      </c>
      <c r="K3312" s="38" t="n">
        <f aca="false">Sens!$K$3294-ext_sh*Sens!$K$3296</f>
        <v>147.020848076132</v>
      </c>
      <c r="L3312" s="38" t="n">
        <f aca="false">Sens!$L$3294-ext_sh*Sens!$L$3296</f>
        <v>180.307917349531</v>
      </c>
      <c r="M3312" s="38" t="n">
        <f aca="false">Sens!$M$3294-ext_sh*Sens!$M$3296</f>
        <v>213.608737871012</v>
      </c>
      <c r="N3312" s="38" t="n">
        <f aca="false">Sens!$N$3294-ext_sh*Sens!$N$3296</f>
        <v>2.37162185981912</v>
      </c>
      <c r="O3312" s="38" t="n">
        <f aca="false">Sens!$O$3294-ext_sh*Sens!$O$3296</f>
        <v>4.40444059680694</v>
      </c>
    </row>
    <row r="3313" customFormat="false" ht="17.15" hidden="false" customHeight="false" outlineLevel="0" collapsed="false">
      <c r="A3313" s="1" t="s">
        <v>597</v>
      </c>
      <c r="B3313" s="8" t="s">
        <v>73</v>
      </c>
      <c r="C3313" s="38" t="n">
        <f aca="false">Sens!$C$3312-ext_sh*Sens!$C$3309</f>
        <v>1.64417882953695</v>
      </c>
      <c r="D3313" s="38" t="n">
        <f aca="false">Sens!$D$3312-ext_sh*Sens!$D$3309</f>
        <v>3.8781008067718</v>
      </c>
      <c r="E3313" s="38" t="n">
        <f aca="false">Sens!$E$3312-ext_sh*Sens!$E$3309</f>
        <v>1.41270258088753</v>
      </c>
      <c r="F3313" s="38" t="n">
        <f aca="false">Sens!$F$3312-ext_sh*Sens!$F$3309</f>
        <v>6.50727700583486</v>
      </c>
      <c r="G3313" s="38" t="n">
        <f aca="false">Sens!$G$3312-ext_sh*Sens!$G$3309</f>
        <v>7.9199795867224</v>
      </c>
      <c r="H3313" s="38" t="n">
        <f aca="false">Sens!$H$3312-ext_sh*Sens!$H$3309</f>
        <v>19.2818189481807</v>
      </c>
      <c r="I3313" s="38" t="n">
        <f aca="false">Sens!$I$3312-ext_sh*Sens!$I$3309</f>
        <v>30.140114407202</v>
      </c>
      <c r="J3313" s="38" t="n">
        <f aca="false">Sens!$J$3312-ext_sh*Sens!$J$3309</f>
        <v>40.3569468829854</v>
      </c>
      <c r="K3313" s="38" t="n">
        <f aca="false">Sens!$K$3312-ext_sh*Sens!$K$3309</f>
        <v>50.0782975081929</v>
      </c>
      <c r="L3313" s="38" t="n">
        <f aca="false">Sens!$L$3312-ext_sh*Sens!$L$3309</f>
        <v>61.443331993499</v>
      </c>
      <c r="M3313" s="38" t="n">
        <f aca="false">Sens!$M$3312-ext_sh*Sens!$M$3309</f>
        <v>72.2498791587849</v>
      </c>
      <c r="N3313" s="38" t="n">
        <f aca="false">Sens!$N$3312-ext_sh*Sens!$N$3309</f>
        <v>0.92264103489199</v>
      </c>
      <c r="O3313" s="38" t="n">
        <f aca="false">Sens!$O$3312-ext_sh*Sens!$O$3309</f>
        <v>2.95545977187981</v>
      </c>
    </row>
    <row r="3314" customFormat="false" ht="17.15" hidden="false" customHeight="false" outlineLevel="0" collapsed="false">
      <c r="A3314" s="0" t="s">
        <v>598</v>
      </c>
      <c r="B3314" s="0" t="s">
        <v>52</v>
      </c>
      <c r="C3314" s="12" t="n">
        <f aca="false">Sens!$C$3313/Sens!$C$3294</f>
        <v>0.708390794789371</v>
      </c>
      <c r="D3314" s="12" t="n">
        <f aca="false">Sens!$D$3313/Sens!$D$3294</f>
        <v>0.445565630441968</v>
      </c>
      <c r="E3314" s="12" t="n">
        <f aca="false">Sens!$E$3313/Sens!$E$3294</f>
        <v>0.165998118402711</v>
      </c>
      <c r="F3314" s="12" t="n">
        <f aca="false">Sens!$F$3313/Sens!$F$3294</f>
        <v>0.434878595403858</v>
      </c>
      <c r="G3314" s="12" t="n">
        <f aca="false">Sens!$G$3313/Sens!$G$3294</f>
        <v>0.3373967615381</v>
      </c>
      <c r="H3314" s="12" t="n">
        <f aca="false">Sens!$H$3313/Sens!$H$3294</f>
        <v>0.320477578041224</v>
      </c>
      <c r="I3314" s="12" t="n">
        <f aca="false">Sens!$I$3313/Sens!$I$3294</f>
        <v>0.296936118226494</v>
      </c>
      <c r="J3314" s="12" t="n">
        <f aca="false">Sens!$J$3313/Sens!$J$3294</f>
        <v>0.282166278613001</v>
      </c>
      <c r="K3314" s="12" t="n">
        <f aca="false">Sens!$K$3313/Sens!$K$3294</f>
        <v>0.271267685694333</v>
      </c>
      <c r="L3314" s="12" t="n">
        <f aca="false">Sens!$L$3313/Sens!$L$3294</f>
        <v>0.27160960915653</v>
      </c>
      <c r="M3314" s="12" t="n">
        <f aca="false">Sens!$M$3313/Sens!$M$3294</f>
        <v>0.26974494804234</v>
      </c>
      <c r="N3314" s="12" t="n">
        <f aca="false">Sens!$N$3313/Sens!$N$3294</f>
        <v>0.302870734830849</v>
      </c>
      <c r="O3314" s="12" t="n">
        <f aca="false">Sens!$O$3313/Sens!$O$3294</f>
        <v>0.52240134346334</v>
      </c>
    </row>
    <row r="3315" customFormat="false" ht="17.15" hidden="false" customHeight="false" outlineLevel="0" collapsed="false">
      <c r="A3315" s="5" t="s">
        <v>599</v>
      </c>
      <c r="B3315" s="0" t="s">
        <v>73</v>
      </c>
      <c r="C3315" s="38" t="n">
        <f aca="false">rd2*(1-ext_sh)/ext_sh*Sens!$C$3277*he_open*Sens!$C$3278/1000</f>
        <v>0</v>
      </c>
      <c r="D3315" s="38" t="n">
        <f aca="false">rd2*(1-ext_sh)/ext_sh*Sens!$D$3277*he_open*Sens!$D$3278/1000</f>
        <v>0</v>
      </c>
      <c r="E3315" s="38" t="n">
        <f aca="false">rd2*(1-ext_sh)/ext_sh*Sens!$E$3277*he_open*Sens!$E$3278/1000</f>
        <v>0</v>
      </c>
      <c r="F3315" s="38" t="n">
        <f aca="false">rd2*(1-ext_sh)/ext_sh*(mw_open*he_open+Sens!$F$3292*Sens!$F$3289)*Sens!$F$3278/1000</f>
        <v>0</v>
      </c>
      <c r="G3315" s="38" t="n">
        <f aca="false">Sens!$E$3315+Sens!$F$3315</f>
        <v>0</v>
      </c>
      <c r="H3315" s="38" t="n">
        <f aca="false">rd2*(1-ext_sh)/ext_sh*(mw_open*he_open+Sens!$H$3292*Sens!$H$3289)*Sens!$H$3278/1000</f>
        <v>0</v>
      </c>
      <c r="I3315" s="38" t="n">
        <f aca="false">rd2*(1-ext_sh)/ext_sh*(mw_open*he_open+Sens!$I$3292*Sens!$I$3289)*Sens!$I$3278/1000</f>
        <v>0</v>
      </c>
      <c r="J3315" s="38" t="n">
        <f aca="false">rd2*(1-ext_sh)/ext_sh*(mw_open*he_open+Sens!$J$3292*Sens!$J$3289)*Sens!$J$3278/1000</f>
        <v>0</v>
      </c>
      <c r="K3315" s="38" t="n">
        <f aca="false">rd2*(1-ext_sh)/ext_sh*(mw_open*he_open+Sens!$K$3292*Sens!$K$3289)*Sens!$K$3278/1000</f>
        <v>0</v>
      </c>
      <c r="L3315" s="38" t="n">
        <f aca="false">rd2*(1-ext_sh)/ext_sh*(mw_open*he_open+Sens!$L$3292*Sens!$L$3289)*Sens!$L$3278/1000</f>
        <v>0</v>
      </c>
      <c r="M3315" s="38" t="n">
        <f aca="false">rd2*(1-ext_sh)/ext_sh*(mw_open*he_open+Sens!$M$3292*Sens!$M$3289)*Sens!$M$3278/1000</f>
        <v>0</v>
      </c>
      <c r="N3315" s="38" t="n">
        <f aca="false">rd2*(1-ext_sh)/ext_sh*Sens!$N$3277*he_open*Sens!$N$3278/1000</f>
        <v>0</v>
      </c>
      <c r="O3315" s="38" t="n">
        <f aca="false">rd2*(1-ext_sh)/ext_sh*Sens!$O$3277*he_open*Sens!$O$3278/1000</f>
        <v>0</v>
      </c>
      <c r="P3315" s="8" t="s">
        <v>600</v>
      </c>
    </row>
    <row r="3316" customFormat="false" ht="17.15" hidden="false" customHeight="false" outlineLevel="0" collapsed="false">
      <c r="A3316" s="5" t="s">
        <v>601</v>
      </c>
      <c r="B3316" s="0" t="s">
        <v>73</v>
      </c>
      <c r="C3316" s="38" t="n">
        <f aca="false">(1-ext_sh)*(Sens!$C$3296+Sens!$C$3309)-Sens!$C$3315</f>
        <v>0.169206631859174</v>
      </c>
      <c r="D3316" s="38" t="n">
        <f aca="false">(1-ext_sh)*(Sens!$D$3296+Sens!$D$3309)-Sens!$D$3315</f>
        <v>1.20641732046984</v>
      </c>
      <c r="E3316" s="38" t="n">
        <f aca="false">(1-ext_sh)*(Sens!$E$3296+Sens!$E$3309)-Sens!$E$3315</f>
        <v>1.77441259867062</v>
      </c>
      <c r="F3316" s="38" t="n">
        <f aca="false">(1-ext_sh)*(Sens!$F$3296+Sens!$F$3309)-Sens!$F$3315</f>
        <v>2.1140391597214</v>
      </c>
      <c r="G3316" s="38" t="n">
        <f aca="false">(1-ext_sh)*(Sens!$G$3296+Sens!$G$3309)-Sens!$G$3315</f>
        <v>3.88845175839202</v>
      </c>
      <c r="H3316" s="38" t="n">
        <f aca="false">(1-ext_sh)*(Sens!$H$3296+Sens!$H$3309)-Sens!$H$3315</f>
        <v>10.2210179503985</v>
      </c>
      <c r="I3316" s="38" t="n">
        <f aca="false">(1-ext_sh)*(Sens!$I$3296+Sens!$I$3309)-Sens!$I$3315</f>
        <v>17.8408961823075</v>
      </c>
      <c r="J3316" s="38" t="n">
        <f aca="false">(1-ext_sh)*(Sens!$J$3296+Sens!$J$3309)-Sens!$J$3315</f>
        <v>25.6671150670732</v>
      </c>
      <c r="K3316" s="38" t="n">
        <f aca="false">(1-ext_sh)*(Sens!$K$3296+Sens!$K$3309)-Sens!$K$3315</f>
        <v>33.6325293834986</v>
      </c>
      <c r="L3316" s="38" t="n">
        <f aca="false">(1-ext_sh)*(Sens!$L$3296+Sens!$L$3309)-Sens!$L$3315</f>
        <v>41.1939886299065</v>
      </c>
      <c r="M3316" s="38" t="n">
        <f aca="false">(1-ext_sh)*(Sens!$M$3296+Sens!$M$3309)-Sens!$M$3315</f>
        <v>48.8988205728617</v>
      </c>
      <c r="N3316" s="38" t="n">
        <f aca="false">(1-ext_sh)*(Sens!$N$3296+Sens!$N$3309)-Sens!$N$3315</f>
        <v>0.530919624033979</v>
      </c>
      <c r="O3316" s="38" t="n">
        <f aca="false">(1-ext_sh)*(Sens!$O$3296+Sens!$O$3309)-Sens!$O$3315</f>
        <v>0.675497696435861</v>
      </c>
    </row>
    <row r="3317" customFormat="false" ht="17.15" hidden="false" customHeight="false" outlineLevel="0" collapsed="false">
      <c r="A3317" s="0" t="s">
        <v>602</v>
      </c>
      <c r="B3317" s="0" t="s">
        <v>73</v>
      </c>
      <c r="C3317" s="38" t="n">
        <f aca="false">Q!$D$24</f>
        <v>39.834</v>
      </c>
      <c r="D3317" s="38" t="n">
        <f aca="false">Q!$E$24</f>
        <v>45.606</v>
      </c>
      <c r="E3317" s="38" t="n">
        <f aca="false">Q!$P$24</f>
        <v>30.782</v>
      </c>
      <c r="N3317" s="38" t="n">
        <f aca="false">Q!$N$24</f>
        <v>21.707</v>
      </c>
      <c r="O3317" s="38" t="n">
        <f aca="false">Q!$O$24</f>
        <v>23.899</v>
      </c>
    </row>
    <row r="3318" customFormat="false" ht="17.15" hidden="false" customHeight="false" outlineLevel="0" collapsed="false">
      <c r="A3318" s="0" t="s">
        <v>603</v>
      </c>
      <c r="B3318" s="0" t="s">
        <v>73</v>
      </c>
      <c r="C3318" s="38" t="n">
        <f aca="false">Sens!$C$3317-Sens!$C$3313</f>
        <v>38.1898211704631</v>
      </c>
      <c r="D3318" s="38" t="n">
        <f aca="false">Sens!$D$3317-Sens!$D$3313</f>
        <v>41.7278991932282</v>
      </c>
      <c r="E3318" s="38" t="n">
        <f aca="false">Sens!$E$3317-Sens!$E$3313</f>
        <v>29.3692974191125</v>
      </c>
      <c r="F3318" s="38" t="n">
        <f aca="false">Sens!$F$3298*Sens!$F$3319</f>
        <v>29.458060516894</v>
      </c>
      <c r="G3318" s="38" t="n">
        <f aca="false">Sens!$E$3318+Sens!$F$3318</f>
        <v>58.8273579360065</v>
      </c>
      <c r="H3318" s="38" t="n">
        <f aca="false">Sens!$H$3298*Sens!$H$3319</f>
        <v>67.8004040185081</v>
      </c>
      <c r="I3318" s="38" t="n">
        <f aca="false">Sens!$I$3298*Sens!$I$3319</f>
        <v>78.9527630302702</v>
      </c>
      <c r="J3318" s="38" t="n">
        <f aca="false">Sens!$J$3298*Sens!$J$3319</f>
        <v>88.6042681781841</v>
      </c>
      <c r="K3318" s="38" t="n">
        <f aca="false">Sens!$K$3298*Sens!$K$3319</f>
        <v>95.6926096324389</v>
      </c>
      <c r="L3318" s="38" t="n">
        <f aca="false">Sens!$L$3298*Sens!$L$3319</f>
        <v>103.348018403034</v>
      </c>
      <c r="M3318" s="38" t="n">
        <f aca="false">Sens!$M$3298*Sens!$M$3319</f>
        <v>111.615859875277</v>
      </c>
      <c r="N3318" s="38" t="n">
        <f aca="false">Sens!$N$3317-Sens!$N$3313</f>
        <v>20.784358965108</v>
      </c>
      <c r="O3318" s="38" t="n">
        <f aca="false">Sens!$O$3317-Sens!$O$3313</f>
        <v>20.9435402281202</v>
      </c>
      <c r="P3318" s="5" t="s">
        <v>604</v>
      </c>
    </row>
    <row r="3319" customFormat="false" ht="17.15" hidden="false" customHeight="false" outlineLevel="0" collapsed="false">
      <c r="A3319" s="0" t="s">
        <v>605</v>
      </c>
      <c r="B3319" s="0" t="s">
        <v>52</v>
      </c>
      <c r="C3319" s="12" t="n">
        <f aca="false">Sens!$C$3318/Sens!$C$3298</f>
        <v>0.362900395443635</v>
      </c>
      <c r="D3319" s="12" t="n">
        <f aca="false">Sens!$D$3318/Sens!$D$3298</f>
        <v>0.34767098474203</v>
      </c>
      <c r="E3319" s="12" t="n">
        <f aca="false">Sens!$E$3318/Sens!$E$3298</f>
        <v>0.411861655558416</v>
      </c>
      <c r="F3319" s="12" t="n">
        <f aca="false">(Sens!$O$3318+Sens!$E$3318)/(Sens!$O$3298+Sens!$E$3298)</f>
        <v>0.37480827803158</v>
      </c>
      <c r="G3319" s="12" t="n">
        <f aca="false">Sens!$G$3318/Sens!$G$3298</f>
        <v>0.392434440489471</v>
      </c>
      <c r="H3319" s="12" t="n">
        <f aca="false">Sens!$F$3319</f>
        <v>0.37480827803158</v>
      </c>
      <c r="I3319" s="12" t="n">
        <f aca="false">Sens!$F$3319</f>
        <v>0.37480827803158</v>
      </c>
      <c r="J3319" s="12" t="n">
        <f aca="false">Sens!$F$3319</f>
        <v>0.37480827803158</v>
      </c>
      <c r="K3319" s="12" t="n">
        <f aca="false">Sens!$F$3319</f>
        <v>0.37480827803158</v>
      </c>
      <c r="L3319" s="12" t="n">
        <f aca="false">Sens!$F$3319</f>
        <v>0.37480827803158</v>
      </c>
      <c r="M3319" s="12" t="n">
        <f aca="false">Sens!$F$3319</f>
        <v>0.37480827803158</v>
      </c>
      <c r="N3319" s="12" t="n">
        <f aca="false">Sens!$N$3318/Sens!$N$3298</f>
        <v>0.364039571356823</v>
      </c>
      <c r="O3319" s="12" t="n">
        <f aca="false">Sens!$O$3318/Sens!$O$3298</f>
        <v>0.332819892300086</v>
      </c>
      <c r="P3319" s="8" t="s">
        <v>606</v>
      </c>
    </row>
    <row r="3320" customFormat="false" ht="17.15" hidden="false" customHeight="false" outlineLevel="0" collapsed="false">
      <c r="A3320" s="0" t="s">
        <v>607</v>
      </c>
      <c r="B3320" s="0" t="s">
        <v>52</v>
      </c>
      <c r="D3320" s="12" t="n">
        <f aca="false">(Q!$E$31-ext_sh*Sens!$D$3309)/Sens!$D$3298</f>
        <v>0.154572973163571</v>
      </c>
    </row>
    <row r="3321" customFormat="false" ht="17.15" hidden="false" customHeight="false" outlineLevel="0" collapsed="false">
      <c r="A3321" s="0" t="s">
        <v>608</v>
      </c>
      <c r="B3321" s="0" t="s">
        <v>73</v>
      </c>
      <c r="C3321" s="38" t="n">
        <f aca="false">Q!$D$31</f>
        <v>13.32</v>
      </c>
      <c r="D3321" s="38" t="n">
        <f aca="false">Q!$E$31</f>
        <v>21.45</v>
      </c>
      <c r="E3321" s="38" t="n">
        <f aca="false">Q!$P$31</f>
        <v>15.353</v>
      </c>
      <c r="F3321" s="38" t="n">
        <f aca="false">ext_sh*Sens!$F$3309+Sens!$D$3320*Sens!$F$3298</f>
        <v>17.3614451462707</v>
      </c>
      <c r="G3321" s="38" t="n">
        <f aca="false">Sens!$E$3321+Sens!$F$3321</f>
        <v>32.7144451462707</v>
      </c>
      <c r="H3321" s="38" t="n">
        <f aca="false">ext_sh*Sens!$H$3309+Sens!$D$3320*Sens!$H$3298</f>
        <v>56.1966092719415</v>
      </c>
      <c r="I3321" s="38" t="n">
        <f aca="false">ext_sh*Sens!$I$3309+Sens!$D$3320*Sens!$I$3298</f>
        <v>82.9744039068297</v>
      </c>
      <c r="J3321" s="38" t="n">
        <f aca="false">ext_sh*Sens!$J$3309+Sens!$D$3320*Sens!$J$3298</f>
        <v>109.943252237669</v>
      </c>
      <c r="K3321" s="38" t="n">
        <f aca="false">ext_sh*Sens!$K$3309+Sens!$D$3320*Sens!$K$3298</f>
        <v>136.406703436571</v>
      </c>
      <c r="L3321" s="38" t="n">
        <f aca="false">ext_sh*Sens!$L$3309+Sens!$D$3320*Sens!$L$3298</f>
        <v>161.485870454155</v>
      </c>
      <c r="M3321" s="38" t="n">
        <f aca="false">ext_sh*Sens!$M$3309+Sens!$D$3320*Sens!$M$3298</f>
        <v>187.389846618199</v>
      </c>
      <c r="N3321" s="38" t="n">
        <f aca="false">Q!$N$31</f>
        <v>9.234</v>
      </c>
      <c r="O3321" s="38" t="n">
        <f aca="false">Q!$O$31</f>
        <v>12.216</v>
      </c>
    </row>
    <row r="3322" customFormat="false" ht="17.15" hidden="false" customHeight="false" outlineLevel="0" collapsed="false">
      <c r="A3322" s="1" t="s">
        <v>609</v>
      </c>
    </row>
    <row r="3323" customFormat="false" ht="17.15" hidden="false" customHeight="false" outlineLevel="0" collapsed="false">
      <c r="A3323" s="14" t="s">
        <v>610</v>
      </c>
      <c r="B3323" s="13" t="s">
        <v>52</v>
      </c>
      <c r="C3323" s="13"/>
      <c r="D3323" s="13"/>
      <c r="E3323" s="13"/>
      <c r="F3323" s="13"/>
      <c r="G3323" s="16" t="n">
        <f aca="false">Sens!$G$3313*(1-tax)/(ext_sh*(Sens!$D$3310+Sens!$G$3310)/2)</f>
        <v>0.0492184452944045</v>
      </c>
      <c r="H3323" s="16" t="n">
        <f aca="false">Sens!$H$3313*(1-tax)/(ext_sh*(Sens!$G$3310+Sens!$H$3310)/2)</f>
        <v>0.0619414246858107</v>
      </c>
      <c r="I3323" s="16" t="n">
        <f aca="false">Sens!$I$3313*(1-tax)/(ext_sh*(Sens!$H$3310+Sens!$I$3310)/2)</f>
        <v>0.0656831488051666</v>
      </c>
      <c r="J3323" s="16" t="n">
        <f aca="false">Sens!$J$3313*(1-tax)/(ext_sh*(Sens!$I$3310+Sens!$J$3310)/2)</f>
        <v>0.0690334849962116</v>
      </c>
      <c r="K3323" s="16" t="n">
        <f aca="false">Sens!$K$3313*(1-tax)/(ext_sh*(Sens!$J$3310+Sens!$K$3310)/2)</f>
        <v>0.0728680488295485</v>
      </c>
      <c r="L3323" s="16" t="n">
        <f aca="false">Sens!$L$3313*(1-tax)/(ext_sh*(Sens!$K$3310+Sens!$L$3310)/2)</f>
        <v>0.0785052878122331</v>
      </c>
      <c r="M3323" s="16" t="n">
        <f aca="false">Sens!$M$3313*(1-tax)/(ext_sh*(Sens!$L$3310+Sens!$M$3310)/2)</f>
        <v>0.0804526580722741</v>
      </c>
      <c r="N3323" s="13"/>
      <c r="O3323" s="13"/>
      <c r="P3323" s="8" t="s">
        <v>611</v>
      </c>
    </row>
    <row r="3324" customFormat="false" ht="17.15" hidden="false" customHeight="false" outlineLevel="0" collapsed="false">
      <c r="A3324" s="5" t="s">
        <v>612</v>
      </c>
      <c r="B3324" s="0" t="s">
        <v>57</v>
      </c>
      <c r="H3324" s="36" t="n">
        <f aca="false">Sens!$H$3294*1000/(mw_open*he_open+Sens!$H$3292*Sens!$H$3289)</f>
        <v>0.991949006767191</v>
      </c>
      <c r="I3324" s="36" t="n">
        <f aca="false">Sens!$I$3294*1000/(mw_open*he_open+Sens!$I$3292*Sens!$I$3289)</f>
        <v>0.991949006767191</v>
      </c>
      <c r="J3324" s="36" t="n">
        <f aca="false">Sens!$J$3294*1000/(mw_open*he_open+Sens!$J$3292*Sens!$J$3289)</f>
        <v>0.991949006767191</v>
      </c>
      <c r="K3324" s="36" t="n">
        <f aca="false">Sens!$K$3294*1000/(mw_open*he_open+Sens!$K$3292*Sens!$K$3289)</f>
        <v>0.991949006767191</v>
      </c>
      <c r="L3324" s="36" t="n">
        <f aca="false">Sens!$L$3294*1000/(mw_open*he_open+Sens!$L$3292*Sens!$L$3289)</f>
        <v>0.991949006767191</v>
      </c>
      <c r="M3324" s="36" t="n">
        <f aca="false">Sens!$M$3294*1000/(mw_open*he_open+Sens!$M$3292*Sens!$M$3289)</f>
        <v>0.991949006767192</v>
      </c>
    </row>
    <row r="3325" customFormat="false" ht="17.15" hidden="false" customHeight="false" outlineLevel="0" collapsed="false">
      <c r="A3325" s="5" t="s">
        <v>613</v>
      </c>
      <c r="B3325" s="0" t="s">
        <v>57</v>
      </c>
      <c r="H3325" s="36" t="n">
        <f aca="false">Sens!$H$3324*(Sens!$H$3294+wacc*ext_sh*(Sens!$G$3310+Sens!$H$3310)/2/(1-tax)-Sens!$H$3313)/Sens!$H$3294</f>
        <v>1.3149781212103</v>
      </c>
      <c r="I3325" s="36" t="n">
        <f aca="false">Sens!$I$3324*(Sens!$I$3294+wacc*ext_sh*(Sens!$H$3310+Sens!$I$3310)/2/(1-tax)-Sens!$I$3313)/Sens!$I$3294</f>
        <v>1.25742005569107</v>
      </c>
      <c r="J3325" s="36" t="n">
        <f aca="false">Sens!$J$3324*(Sens!$J$3294+wacc*ext_sh*(Sens!$I$3310+Sens!$J$3310)/2/(1-tax)-Sens!$J$3313)/Sens!$J$3294</f>
        <v>1.21838845868559</v>
      </c>
      <c r="K3325" s="36" t="n">
        <f aca="false">Sens!$K$3324*(Sens!$K$3294+wacc*ext_sh*(Sens!$J$3310+Sens!$K$3310)/2/(1-tax)-Sens!$K$3313)/Sens!$K$3294</f>
        <v>1.18402644209548</v>
      </c>
      <c r="L3325" s="36" t="n">
        <f aca="false">Sens!$L$3324*(Sens!$L$3294+wacc*ext_sh*(Sens!$K$3310+Sens!$L$3310)/2/(1-tax)-Sens!$L$3313)/Sens!$L$3294</f>
        <v>1.15111215322059</v>
      </c>
      <c r="M3325" s="36" t="n">
        <f aca="false">Sens!$M$3324*(Sens!$M$3294+wacc*ext_sh*(Sens!$L$3310+Sens!$M$3310)/2/(1-tax)-Sens!$M$3313)/Sens!$M$3294</f>
        <v>1.1397166845677</v>
      </c>
    </row>
    <row r="3326" customFormat="false" ht="17.15" hidden="false" customHeight="false" outlineLevel="0" collapsed="false">
      <c r="A3326" s="5" t="s">
        <v>614</v>
      </c>
      <c r="B3326" s="0" t="s">
        <v>52</v>
      </c>
      <c r="C3326" s="12" t="n">
        <f aca="false">Sens!$C$3295/tk_pq</f>
        <v>0.195316432429398</v>
      </c>
      <c r="D3326" s="12" t="n">
        <f aca="false">Sens!$D$3295/tk_pq</f>
        <v>0.195316432429398</v>
      </c>
      <c r="E3326" s="12" t="n">
        <f aca="false">Sens!$E$3295/tk_pq</f>
        <v>0.195316432429398</v>
      </c>
      <c r="F3326" s="12" t="n">
        <f aca="false">Sens!$F$3295/tk_pq</f>
        <v>0.202241827274866</v>
      </c>
      <c r="G3326" s="12" t="n">
        <f aca="false">Sens!$G$3295/tk_pq</f>
        <v>0.199675016194063</v>
      </c>
      <c r="H3326" s="12" t="n">
        <f aca="false">Sens!$H$3295/tk_pq</f>
        <v>0.212647947710325</v>
      </c>
      <c r="I3326" s="12" t="n">
        <f aca="false">Sens!$I$3295/tk_pq</f>
        <v>0.219285125475351</v>
      </c>
      <c r="J3326" s="12" t="n">
        <f aca="false">Sens!$J$3295/tk_pq</f>
        <v>0.222492493217189</v>
      </c>
      <c r="K3326" s="12" t="n">
        <f aca="false">Sens!$K$3295/tk_pq</f>
        <v>0.224371415939166</v>
      </c>
      <c r="L3326" s="12" t="n">
        <f aca="false">Sens!$L$3295/tk_pq</f>
        <v>0.225603749825993</v>
      </c>
      <c r="M3326" s="12" t="n">
        <f aca="false">Sens!$M$3295/tk_pq</f>
        <v>0.22647376274628</v>
      </c>
      <c r="N3326" s="12" t="n">
        <f aca="false">Sens!$N$3295/tk_pq</f>
        <v>0.195316432429398</v>
      </c>
      <c r="O3326" s="12" t="n">
        <f aca="false">Sens!$O$3295/tk_pq</f>
        <v>0.195316432429398</v>
      </c>
      <c r="P3326" s="5" t="s">
        <v>615</v>
      </c>
    </row>
    <row r="3329" customFormat="false" ht="17.15" hidden="false" customHeight="false" outlineLevel="0" collapsed="false">
      <c r="A3329" s="1" t="s">
        <v>642</v>
      </c>
    </row>
    <row r="3330" customFormat="false" ht="17.15" hidden="false" customHeight="false" outlineLevel="0" collapsed="false">
      <c r="A3330" s="0" t="s">
        <v>643</v>
      </c>
      <c r="B3330" s="0" t="s">
        <v>73</v>
      </c>
      <c r="C3330" s="38" t="n">
        <f aca="false">Sens!$C$3294</f>
        <v>2.32100535697364</v>
      </c>
      <c r="D3330" s="38" t="n">
        <f aca="false">Sens!$D$3294</f>
        <v>8.70377008865116</v>
      </c>
      <c r="E3330" s="38" t="n">
        <f aca="false">Sens!$E$3294</f>
        <v>8.51035297557002</v>
      </c>
      <c r="F3330" s="38" t="n">
        <f aca="false">Sens!$F$3294</f>
        <v>14.9634336447205</v>
      </c>
      <c r="G3330" s="38" t="n">
        <f aca="false">Sens!$G$3294</f>
        <v>23.4737866202905</v>
      </c>
      <c r="H3330" s="38" t="n">
        <f aca="false">Sens!$H$3294</f>
        <v>60.1658907497746</v>
      </c>
      <c r="I3330" s="38" t="n">
        <f aca="false">Sens!$I$3294</f>
        <v>101.503699136432</v>
      </c>
      <c r="J3330" s="38" t="n">
        <f aca="false">Sens!$J$3294</f>
        <v>143.025407151278</v>
      </c>
      <c r="K3330" s="38" t="n">
        <f aca="false">Sens!$K$3294</f>
        <v>184.608415042187</v>
      </c>
      <c r="L3330" s="38" t="n">
        <f aca="false">Sens!$L$3294</f>
        <v>226.219286513125</v>
      </c>
      <c r="M3330" s="38" t="n">
        <f aca="false">Sens!$M$3294</f>
        <v>267.845161450232</v>
      </c>
      <c r="N3330" s="38" t="n">
        <f aca="false">Sens!$N$3294</f>
        <v>3.04631953102791</v>
      </c>
      <c r="O3330" s="38" t="n">
        <f aca="false">Sens!$O$3294</f>
        <v>5.65745055762326</v>
      </c>
      <c r="P3330" s="8" t="s">
        <v>644</v>
      </c>
    </row>
    <row r="3331" customFormat="false" ht="17.15" hidden="false" customHeight="false" outlineLevel="0" collapsed="false">
      <c r="A3331" s="0" t="s">
        <v>645</v>
      </c>
      <c r="B3331" s="0" t="s">
        <v>73</v>
      </c>
      <c r="C3331" s="38" t="n">
        <f aca="false">Sens!$C$3298</f>
        <v>105.234994643026</v>
      </c>
      <c r="D3331" s="38" t="n">
        <f aca="false">Sens!$D$3298</f>
        <v>120.021229911349</v>
      </c>
      <c r="E3331" s="38" t="n">
        <f aca="false">Sens!$E$3298</f>
        <v>71.30864702443</v>
      </c>
      <c r="F3331" s="38" t="n">
        <f aca="false">Sens!$F$3298</f>
        <v>78.5950104186653</v>
      </c>
      <c r="G3331" s="38" t="n">
        <f aca="false">Sens!$G$3298</f>
        <v>149.903657443095</v>
      </c>
      <c r="H3331" s="38" t="n">
        <f aca="false">Sens!$H$3298</f>
        <v>180.893560768142</v>
      </c>
      <c r="I3331" s="38" t="n">
        <f aca="false">Sens!$I$3298</f>
        <v>210.64839721501</v>
      </c>
      <c r="J3331" s="38" t="n">
        <f aca="false">Sens!$J$3298</f>
        <v>236.398909446495</v>
      </c>
      <c r="K3331" s="38" t="n">
        <f aca="false">Sens!$K$3298</f>
        <v>255.310822202215</v>
      </c>
      <c r="L3331" s="38" t="n">
        <f aca="false">Sens!$L$3298</f>
        <v>275.735687978392</v>
      </c>
      <c r="M3331" s="38" t="n">
        <f aca="false">Sens!$M$3298</f>
        <v>297.794543016663</v>
      </c>
      <c r="N3331" s="38" t="n">
        <f aca="false">Sens!$N$3298</f>
        <v>57.0936804689721</v>
      </c>
      <c r="O3331" s="38" t="n">
        <f aca="false">Sens!$O$3298</f>
        <v>62.9275494423768</v>
      </c>
      <c r="P3331" s="8" t="s">
        <v>644</v>
      </c>
    </row>
    <row r="3332" customFormat="false" ht="17.15" hidden="false" customHeight="false" outlineLevel="0" collapsed="false">
      <c r="A3332" s="1" t="s">
        <v>476</v>
      </c>
      <c r="B3332" s="8" t="s">
        <v>73</v>
      </c>
      <c r="C3332" s="38" t="n">
        <f aca="false">Q!$D$7</f>
        <v>107.556</v>
      </c>
      <c r="D3332" s="38" t="n">
        <f aca="false">Q!$E$7</f>
        <v>128.725</v>
      </c>
      <c r="E3332" s="38" t="n">
        <f aca="false">Q!$P$7</f>
        <v>79.819</v>
      </c>
      <c r="F3332" s="38" t="n">
        <f aca="false">Sens!$F$3330+Sens!$F$3331</f>
        <v>93.5584440633857</v>
      </c>
      <c r="G3332" s="38" t="n">
        <f aca="false">Sens!$G$3330+Sens!$G$3331</f>
        <v>173.377444063386</v>
      </c>
      <c r="H3332" s="38" t="n">
        <f aca="false">Sens!$H$3330+Sens!$H$3331</f>
        <v>241.059451517916</v>
      </c>
      <c r="I3332" s="38" t="n">
        <f aca="false">Sens!$I$3330+Sens!$I$3331</f>
        <v>312.152096351442</v>
      </c>
      <c r="J3332" s="38" t="n">
        <f aca="false">Sens!$J$3330+Sens!$J$3331</f>
        <v>379.424316597773</v>
      </c>
      <c r="K3332" s="38" t="n">
        <f aca="false">Sens!$K$3330+Sens!$K$3331</f>
        <v>439.919237244402</v>
      </c>
      <c r="L3332" s="38" t="n">
        <f aca="false">Sens!$L$3330+Sens!$L$3331</f>
        <v>501.954974491517</v>
      </c>
      <c r="M3332" s="38" t="n">
        <f aca="false">Sens!$M$3330+Sens!$M$3331</f>
        <v>565.639704466895</v>
      </c>
      <c r="N3332" s="38" t="n">
        <f aca="false">Q!$N$7</f>
        <v>60.14</v>
      </c>
      <c r="O3332" s="38" t="n">
        <f aca="false">Q!$O$7</f>
        <v>68.585</v>
      </c>
      <c r="P3332" s="5" t="s">
        <v>646</v>
      </c>
    </row>
    <row r="3333" customFormat="false" ht="15" hidden="false" customHeight="false" outlineLevel="0" collapsed="false">
      <c r="A3333" s="3" t="s">
        <v>647</v>
      </c>
      <c r="B3333" s="8" t="s">
        <v>73</v>
      </c>
      <c r="C3333" s="38" t="n">
        <f aca="false">Q!$D$8</f>
        <v>637.959</v>
      </c>
      <c r="D3333" s="38" t="n">
        <f aca="false">Q!$E$8</f>
        <v>716.924</v>
      </c>
      <c r="E3333" s="38" t="n">
        <f aca="false">Q!$P$8</f>
        <v>382.125</v>
      </c>
      <c r="F3333" s="38" t="n">
        <f aca="false">Sens!$F$3267+Sens!$F$3332</f>
        <v>450.494873271816</v>
      </c>
      <c r="G3333" s="38" t="n">
        <f aca="false">Sens!$G$3267+Sens!$G$3332</f>
        <v>832.619873271816</v>
      </c>
      <c r="H3333" s="38" t="n">
        <f aca="false">Sens!$H$3267+Sens!$H$3332</f>
        <v>970.995189139617</v>
      </c>
      <c r="I3333" s="38" t="n">
        <f aca="false">Sens!$I$3267+Sens!$I$3332</f>
        <v>1110.44766604932</v>
      </c>
      <c r="J3333" s="38" t="n">
        <f aca="false">Sens!$J$3267+Sens!$J$3332</f>
        <v>1241.16113892356</v>
      </c>
      <c r="K3333" s="38" t="n">
        <f aca="false">Sens!$K$3267+Sens!$K$3332</f>
        <v>1357.47672934633</v>
      </c>
      <c r="L3333" s="38" t="n">
        <f aca="false">Sens!$L$3267+Sens!$L$3332</f>
        <v>1479.24006423468</v>
      </c>
      <c r="M3333" s="38" t="n">
        <f aca="false">Sens!$M$3267+Sens!$M$3332</f>
        <v>1606.8537230104</v>
      </c>
      <c r="N3333" s="38" t="n">
        <f aca="false">Q!$N$8</f>
        <v>323.369</v>
      </c>
      <c r="O3333" s="38" t="n">
        <f aca="false">Q!$O$8</f>
        <v>393.555</v>
      </c>
    </row>
    <row r="3334" customFormat="false" ht="17.15" hidden="false" customHeight="false" outlineLevel="0" collapsed="false">
      <c r="A3334" s="24" t="s">
        <v>655</v>
      </c>
      <c r="B3334" s="25" t="s">
        <v>73</v>
      </c>
      <c r="C3334" s="39" t="n">
        <f aca="false">Sens!$C$3267-(Sens!$C$3269+Sens!$C$3270)</f>
        <v>0</v>
      </c>
      <c r="D3334" s="39" t="n">
        <f aca="false">Sens!$D$3267-(Sens!$D$3269+Sens!$D$3270)</f>
        <v>0</v>
      </c>
      <c r="E3334" s="39" t="n">
        <f aca="false">Sens!$E$3267-(Sens!$E$3269+Sens!$E$3270)</f>
        <v>0</v>
      </c>
      <c r="F3334" s="39" t="n">
        <f aca="false">Sens!$F$3267-(Sens!$F$3269+Sens!$F$3270)</f>
        <v>0</v>
      </c>
      <c r="G3334" s="39" t="n">
        <f aca="false">Sens!$G$3267-(Sens!$G$3269+Sens!$G$3270)</f>
        <v>0</v>
      </c>
      <c r="H3334" s="39" t="n">
        <f aca="false">Sens!$H$3267-(Sens!$H$3269+Sens!$H$3270)</f>
        <v>0</v>
      </c>
      <c r="I3334" s="39" t="n">
        <f aca="false">Sens!$I$3267-(Sens!$I$3269+Sens!$I$3270)</f>
        <v>0</v>
      </c>
      <c r="J3334" s="39" t="n">
        <f aca="false">Sens!$J$3267-(Sens!$J$3269+Sens!$J$3270)</f>
        <v>0</v>
      </c>
      <c r="K3334" s="39" t="n">
        <f aca="false">Sens!$K$3267-(Sens!$K$3269+Sens!$K$3270)</f>
        <v>0</v>
      </c>
      <c r="L3334" s="39" t="n">
        <f aca="false">Sens!$L$3267-(Sens!$L$3269+Sens!$L$3270)</f>
        <v>0</v>
      </c>
      <c r="M3334" s="39" t="n">
        <f aca="false">Sens!$M$3267-(Sens!$M$3269+Sens!$M$3270)</f>
        <v>0</v>
      </c>
      <c r="N3334" s="39" t="n">
        <f aca="false">Sens!$N$3267-(Sens!$N$3269+Sens!$N$3270)</f>
        <v>0</v>
      </c>
      <c r="O3334" s="39" t="n">
        <f aca="false">Sens!$O$3267-(Sens!$O$3269+Sens!$O$3270)</f>
        <v>0</v>
      </c>
    </row>
    <row r="3335" customFormat="false" ht="17.15" hidden="false" customHeight="false" outlineLevel="0" collapsed="false">
      <c r="A3335" s="24" t="s">
        <v>656</v>
      </c>
      <c r="B3335" s="25" t="s">
        <v>73</v>
      </c>
      <c r="C3335" s="39" t="n">
        <f aca="false">Sens!$C$3330+Sens!$C$3331-Sens!$C$3332</f>
        <v>0</v>
      </c>
      <c r="D3335" s="39" t="n">
        <f aca="false">Sens!$D$3330+Sens!$D$3331-Sens!$D$3332</f>
        <v>0</v>
      </c>
      <c r="E3335" s="39" t="n">
        <f aca="false">Sens!$E$3330+Sens!$E$3331-Sens!$E$3332</f>
        <v>0</v>
      </c>
      <c r="F3335" s="39" t="n">
        <f aca="false">Sens!$F$3330+Sens!$F$3331-Sens!$F$3332</f>
        <v>0</v>
      </c>
      <c r="G3335" s="39" t="n">
        <f aca="false">Sens!$G$3330+Sens!$G$3331-Sens!$G$3332</f>
        <v>0</v>
      </c>
      <c r="H3335" s="39" t="n">
        <f aca="false">Sens!$H$3330+Sens!$H$3331-Sens!$H$3332</f>
        <v>0</v>
      </c>
      <c r="I3335" s="39" t="n">
        <f aca="false">Sens!$I$3330+Sens!$I$3331-Sens!$I$3332</f>
        <v>0</v>
      </c>
      <c r="J3335" s="39" t="n">
        <f aca="false">Sens!$J$3330+Sens!$J$3331-Sens!$J$3332</f>
        <v>0</v>
      </c>
      <c r="K3335" s="39" t="n">
        <f aca="false">Sens!$K$3330+Sens!$K$3331-Sens!$K$3332</f>
        <v>0</v>
      </c>
      <c r="L3335" s="39" t="n">
        <f aca="false">Sens!$L$3330+Sens!$L$3331-Sens!$L$3332</f>
        <v>0</v>
      </c>
      <c r="M3335" s="39" t="n">
        <f aca="false">Sens!$M$3330+Sens!$M$3331-Sens!$M$3332</f>
        <v>0</v>
      </c>
      <c r="N3335" s="39" t="n">
        <f aca="false">Sens!$N$3330+Sens!$N$3331-Sens!$N$3332</f>
        <v>0</v>
      </c>
      <c r="O3335" s="39" t="n">
        <f aca="false">Sens!$O$3330+Sens!$O$3331-Sens!$O$3332</f>
        <v>0</v>
      </c>
    </row>
    <row r="3336" customFormat="false" ht="17.15" hidden="false" customHeight="false" outlineLevel="0" collapsed="false">
      <c r="A3336" s="24" t="s">
        <v>657</v>
      </c>
      <c r="B3336" s="25" t="s">
        <v>73</v>
      </c>
      <c r="C3336" s="39" t="n">
        <f aca="false">Sens!$C$3269+Sens!$C$3270+Sens!$C$3332-Sens!$C$3333</f>
        <v>0</v>
      </c>
      <c r="D3336" s="39" t="n">
        <f aca="false">Sens!$D$3269+Sens!$D$3270+Sens!$D$3332-Sens!$D$3333</f>
        <v>0</v>
      </c>
      <c r="E3336" s="39" t="n">
        <f aca="false">Sens!$E$3269+Sens!$E$3270+Sens!$E$3332-Sens!$E$3333</f>
        <v>0</v>
      </c>
      <c r="F3336" s="39" t="n">
        <f aca="false">Sens!$F$3269+Sens!$F$3270+Sens!$F$3332-Sens!$F$3333</f>
        <v>0</v>
      </c>
      <c r="G3336" s="39" t="n">
        <f aca="false">Sens!$G$3269+Sens!$G$3270+Sens!$G$3332-Sens!$G$3333</f>
        <v>0</v>
      </c>
      <c r="H3336" s="39" t="n">
        <f aca="false">Sens!$H$3269+Sens!$H$3270+Sens!$H$3332-Sens!$H$3333</f>
        <v>0</v>
      </c>
      <c r="I3336" s="39" t="n">
        <f aca="false">Sens!$I$3269+Sens!$I$3270+Sens!$I$3332-Sens!$I$3333</f>
        <v>0</v>
      </c>
      <c r="J3336" s="39" t="n">
        <f aca="false">Sens!$J$3269+Sens!$J$3270+Sens!$J$3332-Sens!$J$3333</f>
        <v>0</v>
      </c>
      <c r="K3336" s="39" t="n">
        <f aca="false">Sens!$K$3269+Sens!$K$3270+Sens!$K$3332-Sens!$K$3333</f>
        <v>0</v>
      </c>
      <c r="L3336" s="39" t="n">
        <f aca="false">Sens!$L$3269+Sens!$L$3270+Sens!$L$3332-Sens!$L$3333</f>
        <v>0</v>
      </c>
      <c r="M3336" s="39" t="n">
        <f aca="false">Sens!$M$3269+Sens!$M$3270+Sens!$M$3332-Sens!$M$3333</f>
        <v>0</v>
      </c>
      <c r="N3336" s="39" t="n">
        <f aca="false">Sens!$N$3269+Sens!$N$3270+Sens!$N$3332-Sens!$N$3333</f>
        <v>0</v>
      </c>
      <c r="O3336" s="39" t="n">
        <f aca="false">Sens!$O$3269+Sens!$O$3270+Sens!$O$3332-Sens!$O$3333</f>
        <v>0</v>
      </c>
    </row>
    <row r="3337" customFormat="false" ht="15" hidden="false" customHeight="false" outlineLevel="0" collapsed="false">
      <c r="A3337" s="5" t="s">
        <v>651</v>
      </c>
      <c r="B3337" s="0" t="s">
        <v>52</v>
      </c>
      <c r="G3337" s="12" t="n">
        <f aca="false">Sens!$G$3333/Sens!$D$3333-1</f>
        <v>0.161378156222718</v>
      </c>
      <c r="H3337" s="12" t="n">
        <f aca="false">Sens!$H$3333/Sens!$G$3333-1</f>
        <v>0.166192665236357</v>
      </c>
      <c r="I3337" s="12" t="n">
        <f aca="false">Sens!$I$3333/Sens!$H$3333-1</f>
        <v>0.143618092519351</v>
      </c>
      <c r="J3337" s="12" t="n">
        <f aca="false">Sens!$J$3333/Sens!$I$3333-1</f>
        <v>0.117712411733268</v>
      </c>
      <c r="K3337" s="12" t="n">
        <f aca="false">Sens!$K$3333/Sens!$J$3333-1</f>
        <v>0.0937151404237868</v>
      </c>
      <c r="L3337" s="12" t="n">
        <f aca="false">Sens!$L$3333/Sens!$K$3333-1</f>
        <v>0.0896982852494186</v>
      </c>
      <c r="M3337" s="12" t="n">
        <f aca="false">Sens!$M$3333/Sens!$L$3333-1</f>
        <v>0.0862697420528154</v>
      </c>
    </row>
    <row r="3338" customFormat="false" ht="17.15" hidden="false" customHeight="false" outlineLevel="0" collapsed="false">
      <c r="A3338" s="0" t="s">
        <v>652</v>
      </c>
      <c r="B3338" s="0" t="s">
        <v>52</v>
      </c>
      <c r="C3338" s="12" t="n">
        <f aca="false">Sens!$C$3332/Sens!$C$3333</f>
        <v>0.168593906504964</v>
      </c>
      <c r="D3338" s="12" t="n">
        <f aca="false">Sens!$D$3332/Sens!$D$3333</f>
        <v>0.179551807444025</v>
      </c>
      <c r="E3338" s="12" t="n">
        <f aca="false">Sens!$E$3332/Sens!$E$3333</f>
        <v>0.208881910369643</v>
      </c>
      <c r="F3338" s="12" t="n">
        <f aca="false">Sens!$F$3332/Sens!$F$3333</f>
        <v>0.207679264769203</v>
      </c>
      <c r="G3338" s="12" t="n">
        <f aca="false">Sens!$G$3332/Sens!$G$3333</f>
        <v>0.208231210458731</v>
      </c>
      <c r="H3338" s="12" t="n">
        <f aca="false">Sens!$H$3332/Sens!$H$3333</f>
        <v>0.248260191414043</v>
      </c>
      <c r="I3338" s="12" t="n">
        <f aca="false">Sens!$I$3332/Sens!$I$3333</f>
        <v>0.28110473450946</v>
      </c>
      <c r="J3338" s="12" t="n">
        <f aca="false">Sens!$J$3332/Sens!$J$3333</f>
        <v>0.30570109287086</v>
      </c>
      <c r="K3338" s="12" t="n">
        <f aca="false">Sens!$K$3332/Sens!$K$3333</f>
        <v>0.324071291782835</v>
      </c>
      <c r="L3338" s="12" t="n">
        <f aca="false">Sens!$L$3332/Sens!$L$3333</f>
        <v>0.339333003903741</v>
      </c>
      <c r="M3338" s="12" t="n">
        <f aca="false">Sens!$M$3332/Sens!$M$3333</f>
        <v>0.3520169237354</v>
      </c>
      <c r="N3338" s="12" t="n">
        <f aca="false">Sens!$N$3332/Sens!$N$3333</f>
        <v>0.185979484737251</v>
      </c>
      <c r="O3338" s="12" t="n">
        <f aca="false">Sens!$O$3332/Sens!$O$3333</f>
        <v>0.174270432341096</v>
      </c>
    </row>
    <row r="3339" customFormat="false" ht="17.15" hidden="false" customHeight="false" outlineLevel="0" collapsed="false">
      <c r="A3339" s="0" t="s">
        <v>653</v>
      </c>
      <c r="B3339" s="0" t="s">
        <v>52</v>
      </c>
      <c r="C3339" s="12" t="n">
        <f aca="false">Sens!$C$3330/Sens!$C$3332</f>
        <v>0.0215795060896058</v>
      </c>
      <c r="D3339" s="12" t="n">
        <f aca="false">Sens!$D$3330/Sens!$D$3332</f>
        <v>0.0676152269462122</v>
      </c>
      <c r="E3339" s="12" t="n">
        <f aca="false">Sens!$E$3330/Sens!$E$3332</f>
        <v>0.106620641395783</v>
      </c>
      <c r="F3339" s="12" t="n">
        <f aca="false">Sens!$F$3330/Sens!$F$3332</f>
        <v>0.159936751776064</v>
      </c>
      <c r="G3339" s="12" t="n">
        <f aca="false">Sens!$G$3330/Sens!$G$3332</f>
        <v>0.135391237003751</v>
      </c>
      <c r="H3339" s="12" t="n">
        <f aca="false">Sens!$H$3330/Sens!$H$3332</f>
        <v>0.249589428545194</v>
      </c>
      <c r="I3339" s="12" t="n">
        <f aca="false">Sens!$I$3330/Sens!$I$3332</f>
        <v>0.325173850577483</v>
      </c>
      <c r="J3339" s="12" t="n">
        <f aca="false">Sens!$J$3330/Sens!$J$3332</f>
        <v>0.376953718817392</v>
      </c>
      <c r="K3339" s="12" t="n">
        <f aca="false">Sens!$K$3330/Sens!$K$3332</f>
        <v>0.419641605578676</v>
      </c>
      <c r="L3339" s="12" t="n">
        <f aca="false">Sens!$L$3330/Sens!$L$3332</f>
        <v>0.450676451094615</v>
      </c>
      <c r="M3339" s="12" t="n">
        <f aca="false">Sens!$M$3330/Sens!$M$3332</f>
        <v>0.473526096798086</v>
      </c>
      <c r="N3339" s="12" t="n">
        <f aca="false">Sens!$N$3330/Sens!$N$3332</f>
        <v>0.0506537999838362</v>
      </c>
      <c r="O3339" s="12" t="n">
        <f aca="false">Sens!$O$3330/Sens!$O$3332</f>
        <v>0.0824881615167056</v>
      </c>
    </row>
    <row r="3342" customFormat="false" ht="19.4" hidden="false" customHeight="false" outlineLevel="0" collapsed="false">
      <c r="A3342" s="31" t="s">
        <v>1115</v>
      </c>
    </row>
    <row r="3343" customFormat="false" ht="17.15" hidden="false" customHeight="false" outlineLevel="0" collapsed="false">
      <c r="A3343" s="6" t="s">
        <v>16</v>
      </c>
      <c r="B3343" s="6" t="s">
        <v>17</v>
      </c>
      <c r="C3343" s="20" t="s">
        <v>457</v>
      </c>
      <c r="D3343" s="20" t="s">
        <v>458</v>
      </c>
      <c r="E3343" s="20" t="s">
        <v>540</v>
      </c>
      <c r="F3343" s="20" t="s">
        <v>541</v>
      </c>
      <c r="G3343" s="20" t="s">
        <v>542</v>
      </c>
      <c r="H3343" s="20" t="s">
        <v>543</v>
      </c>
      <c r="I3343" s="20" t="s">
        <v>544</v>
      </c>
      <c r="J3343" s="20" t="s">
        <v>545</v>
      </c>
      <c r="K3343" s="20" t="s">
        <v>546</v>
      </c>
      <c r="L3343" s="20" t="s">
        <v>547</v>
      </c>
      <c r="M3343" s="20" t="s">
        <v>548</v>
      </c>
      <c r="N3343" s="20" t="s">
        <v>549</v>
      </c>
      <c r="O3343" s="20" t="s">
        <v>550</v>
      </c>
      <c r="P3343" s="6" t="s">
        <v>23</v>
      </c>
      <c r="R3343" s="20" t="n">
        <v>2023</v>
      </c>
      <c r="S3343" s="20" t="n">
        <v>2024</v>
      </c>
      <c r="T3343" s="20" t="n">
        <v>2025</v>
      </c>
      <c r="U3343" s="20" t="n">
        <v>2026</v>
      </c>
      <c r="V3343" s="20" t="n">
        <v>2027</v>
      </c>
      <c r="W3343" s="20" t="n">
        <v>2028</v>
      </c>
      <c r="X3343" s="20" t="n">
        <v>2029</v>
      </c>
      <c r="Y3343" s="20" t="n">
        <v>2030</v>
      </c>
      <c r="Z3343" s="20" t="n">
        <v>2031</v>
      </c>
      <c r="AA3343" s="20" t="n">
        <v>2032</v>
      </c>
    </row>
    <row r="3344" customFormat="false" ht="17.15" hidden="false" customHeight="false" outlineLevel="0" collapsed="false">
      <c r="A3344" s="1" t="s">
        <v>668</v>
      </c>
    </row>
    <row r="3345" customFormat="false" ht="15" hidden="false" customHeight="false" outlineLevel="0" collapsed="false">
      <c r="A3345" s="0" t="s">
        <v>479</v>
      </c>
      <c r="B3345" s="0" t="s">
        <v>73</v>
      </c>
      <c r="C3345" s="38" t="n">
        <f aca="false">Sens!$C$3255</f>
        <v>247.029</v>
      </c>
      <c r="D3345" s="38" t="n">
        <f aca="false">Sens!$D$3255</f>
        <v>269.287</v>
      </c>
      <c r="E3345" s="38" t="n">
        <f aca="false">Sens!$E$3255</f>
        <v>134.686</v>
      </c>
      <c r="F3345" s="38" t="n">
        <f aca="false">Sens!$F$3255</f>
        <v>160.728085930082</v>
      </c>
      <c r="G3345" s="38" t="n">
        <f aca="false">Sens!$G$3255</f>
        <v>295.414085930082</v>
      </c>
      <c r="H3345" s="38" t="n">
        <f aca="false">Sens!$H$3255</f>
        <v>320.828163943375</v>
      </c>
      <c r="I3345" s="38" t="n">
        <f aca="false">Sens!$I$3255</f>
        <v>344.575578072228</v>
      </c>
      <c r="J3345" s="38" t="n">
        <f aca="false">Sens!$J$3255</f>
        <v>365.942555779681</v>
      </c>
      <c r="K3345" s="38" t="n">
        <f aca="false">Sens!$K$3255</f>
        <v>384.239683568665</v>
      </c>
      <c r="L3345" s="38" t="n">
        <f aca="false">Sens!$L$3255</f>
        <v>403.451667747098</v>
      </c>
      <c r="M3345" s="38" t="n">
        <f aca="false">Sens!$M$3255</f>
        <v>423.624251134453</v>
      </c>
      <c r="N3345" s="38" t="n">
        <f aca="false">Sens!$N$3255</f>
        <v>118.892</v>
      </c>
      <c r="O3345" s="38" t="n">
        <f aca="false">Sens!$O$3255</f>
        <v>150.395</v>
      </c>
    </row>
    <row r="3346" customFormat="false" ht="15" hidden="false" customHeight="false" outlineLevel="0" collapsed="false">
      <c r="A3346" s="0" t="s">
        <v>480</v>
      </c>
      <c r="B3346" s="0" t="s">
        <v>73</v>
      </c>
      <c r="C3346" s="38" t="n">
        <f aca="false">Sens!$C$3257</f>
        <v>21.215</v>
      </c>
      <c r="D3346" s="38" t="n">
        <f aca="false">Sens!$D$3257</f>
        <v>22.561</v>
      </c>
      <c r="E3346" s="38" t="n">
        <f aca="false">Sens!$E$3257</f>
        <v>11.579</v>
      </c>
      <c r="F3346" s="38" t="n">
        <f aca="false">Sens!$F$3257</f>
        <v>12.0952613121125</v>
      </c>
      <c r="G3346" s="38" t="n">
        <f aca="false">Sens!$G$3257</f>
        <v>23.6742613121125</v>
      </c>
      <c r="H3346" s="38" t="n">
        <f aca="false">Sens!$H$3257</f>
        <v>24.8803243963206</v>
      </c>
      <c r="I3346" s="38" t="n">
        <f aca="false">Sens!$I$3257</f>
        <v>25.9741308664154</v>
      </c>
      <c r="J3346" s="38" t="n">
        <f aca="false">Sens!$J$3257</f>
        <v>26.9346894124267</v>
      </c>
      <c r="K3346" s="38" t="n">
        <f aca="false">Sens!$K$3257</f>
        <v>27.7427300947995</v>
      </c>
      <c r="L3346" s="38" t="n">
        <f aca="false">Sens!$L$3257</f>
        <v>28.5750119976435</v>
      </c>
      <c r="M3346" s="38" t="n">
        <f aca="false">Sens!$M$3257</f>
        <v>29.4322623575728</v>
      </c>
      <c r="N3346" s="38" t="n">
        <f aca="false">Sens!$N$3257</f>
        <v>11.128</v>
      </c>
      <c r="O3346" s="38" t="n">
        <f aca="false">Sens!$O$3257</f>
        <v>11.433</v>
      </c>
    </row>
    <row r="3347" customFormat="false" ht="15" hidden="false" customHeight="false" outlineLevel="0" collapsed="false">
      <c r="A3347" s="0" t="s">
        <v>481</v>
      </c>
      <c r="B3347" s="0" t="s">
        <v>73</v>
      </c>
      <c r="C3347" s="38" t="n">
        <f aca="false">Sens!$C$3259</f>
        <v>156.146</v>
      </c>
      <c r="D3347" s="38" t="n">
        <f aca="false">Sens!$D$3259</f>
        <v>172.162</v>
      </c>
      <c r="E3347" s="38" t="n">
        <f aca="false">Sens!$E$3259</f>
        <v>88.358</v>
      </c>
      <c r="F3347" s="38" t="n">
        <f aca="false">Sens!$F$3259</f>
        <v>103.62028337149</v>
      </c>
      <c r="G3347" s="38" t="n">
        <f aca="false">Sens!$G$3259</f>
        <v>191.97828337149</v>
      </c>
      <c r="H3347" s="38" t="n">
        <f aca="false">Sens!$H$3259</f>
        <v>212.128608444755</v>
      </c>
      <c r="I3347" s="38" t="n">
        <f aca="false">Sens!$I$3259</f>
        <v>231.92183134134</v>
      </c>
      <c r="J3347" s="38" t="n">
        <f aca="false">Sens!$J$3259</f>
        <v>250.859136487863</v>
      </c>
      <c r="K3347" s="38" t="n">
        <f aca="false">Sens!$K$3259</f>
        <v>268.419276042014</v>
      </c>
      <c r="L3347" s="38" t="n">
        <f aca="false">Sens!$L$3259</f>
        <v>287.208625364954</v>
      </c>
      <c r="M3347" s="38" t="n">
        <f aca="false">Sens!$M$3259</f>
        <v>307.313229140501</v>
      </c>
      <c r="N3347" s="38" t="n">
        <f aca="false">Sens!$N$3259</f>
        <v>76.86</v>
      </c>
      <c r="O3347" s="38" t="n">
        <f aca="false">Sens!$O$3259</f>
        <v>95.302</v>
      </c>
    </row>
    <row r="3348" customFormat="false" ht="15" hidden="false" customHeight="false" outlineLevel="0" collapsed="false">
      <c r="A3348" s="0" t="s">
        <v>482</v>
      </c>
      <c r="B3348" s="0" t="s">
        <v>73</v>
      </c>
      <c r="C3348" s="38" t="n">
        <f aca="false">Sens!$C$3261</f>
        <v>56.214</v>
      </c>
      <c r="D3348" s="38" t="n">
        <f aca="false">Sens!$D$3261</f>
        <v>68.635</v>
      </c>
      <c r="E3348" s="38" t="n">
        <f aca="false">Sens!$E$3261</f>
        <v>37.052</v>
      </c>
      <c r="F3348" s="38" t="n">
        <f aca="false">Sens!$F$3261</f>
        <v>48.1533381827382</v>
      </c>
      <c r="G3348" s="38" t="n">
        <f aca="false">Sens!$G$3261</f>
        <v>85.2053381827382</v>
      </c>
      <c r="H3348" s="38" t="n">
        <f aca="false">Sens!$H$3261</f>
        <v>102.29336185894</v>
      </c>
      <c r="I3348" s="38" t="n">
        <f aca="false">Sens!$I$3261</f>
        <v>119.379837585241</v>
      </c>
      <c r="J3348" s="38" t="n">
        <f aca="false">Sens!$J$3261</f>
        <v>135.319079048844</v>
      </c>
      <c r="K3348" s="38" t="n">
        <f aca="false">Sens!$K$3261</f>
        <v>148.850986953729</v>
      </c>
      <c r="L3348" s="38" t="n">
        <f aca="false">Sens!$L$3261</f>
        <v>163.736085649102</v>
      </c>
      <c r="M3348" s="38" t="n">
        <f aca="false">Sens!$M$3261</f>
        <v>180.109694214012</v>
      </c>
      <c r="N3348" s="38" t="n">
        <f aca="false">Sens!$N$3261</f>
        <v>29.615</v>
      </c>
      <c r="O3348" s="38" t="n">
        <f aca="false">Sens!$O$3261</f>
        <v>39.02</v>
      </c>
    </row>
    <row r="3349" customFormat="false" ht="15" hidden="false" customHeight="false" outlineLevel="0" collapsed="false">
      <c r="A3349" s="0" t="s">
        <v>483</v>
      </c>
      <c r="B3349" s="0" t="s">
        <v>73</v>
      </c>
      <c r="C3349" s="38" t="n">
        <f aca="false">Sens!$C$3263</f>
        <v>44.374</v>
      </c>
      <c r="D3349" s="38" t="n">
        <f aca="false">Sens!$D$3263</f>
        <v>49.619</v>
      </c>
      <c r="E3349" s="38" t="n">
        <f aca="false">Sens!$E$3263</f>
        <v>27.157</v>
      </c>
      <c r="F3349" s="38" t="n">
        <f aca="false">Sens!$F$3263</f>
        <v>28.9776360923374</v>
      </c>
      <c r="G3349" s="38" t="n">
        <f aca="false">Sens!$G$3263</f>
        <v>56.1346360923374</v>
      </c>
      <c r="H3349" s="38" t="n">
        <f aca="false">Sens!$H$3263</f>
        <v>62.4937078946075</v>
      </c>
      <c r="I3349" s="38" t="n">
        <f aca="false">Sens!$I$3263</f>
        <v>68.6715233062498</v>
      </c>
      <c r="J3349" s="38" t="n">
        <f aca="false">Sens!$J$3263</f>
        <v>74.4692882949818</v>
      </c>
      <c r="K3349" s="38" t="n">
        <f aca="false">Sens!$K$3263</f>
        <v>79.6821384756306</v>
      </c>
      <c r="L3349" s="38" t="n">
        <f aca="false">Sens!$L$3263</f>
        <v>85.2598881689247</v>
      </c>
      <c r="M3349" s="38" t="n">
        <f aca="false">Sens!$M$3263</f>
        <v>91.2280803407494</v>
      </c>
      <c r="N3349" s="38" t="n">
        <f aca="false">Sens!$N$3263</f>
        <v>23.923</v>
      </c>
      <c r="O3349" s="38" t="n">
        <f aca="false">Sens!$O$3263</f>
        <v>25.696</v>
      </c>
    </row>
    <row r="3350" customFormat="false" ht="15" hidden="false" customHeight="false" outlineLevel="0" collapsed="false">
      <c r="A3350" s="0" t="s">
        <v>484</v>
      </c>
      <c r="B3350" s="0" t="s">
        <v>73</v>
      </c>
      <c r="C3350" s="38" t="n">
        <f aca="false">Sens!$C$3265</f>
        <v>5.425</v>
      </c>
      <c r="D3350" s="38" t="n">
        <f aca="false">Sens!$D$3265</f>
        <v>5.935</v>
      </c>
      <c r="E3350" s="38" t="n">
        <f aca="false">Sens!$E$3265</f>
        <v>3.474</v>
      </c>
      <c r="F3350" s="38" t="n">
        <f aca="false">Sens!$F$3265</f>
        <v>3.36182431966931</v>
      </c>
      <c r="G3350" s="38" t="n">
        <f aca="false">Sens!$G$3265</f>
        <v>6.83582431966931</v>
      </c>
      <c r="H3350" s="38" t="n">
        <f aca="false">Sens!$H$3265</f>
        <v>7.31157108370141</v>
      </c>
      <c r="I3350" s="38" t="n">
        <f aca="false">Sens!$I$3265</f>
        <v>7.77266852639815</v>
      </c>
      <c r="J3350" s="38" t="n">
        <f aca="false">Sens!$J$3265</f>
        <v>8.2120733019884</v>
      </c>
      <c r="K3350" s="38" t="n">
        <f aca="false">Sens!$K$3265</f>
        <v>8.62267696708783</v>
      </c>
      <c r="L3350" s="38" t="n">
        <f aca="false">Sens!$L$3265</f>
        <v>9.05381081544222</v>
      </c>
      <c r="M3350" s="38" t="n">
        <f aca="false">Sens!$M$3265</f>
        <v>9.50650135621433</v>
      </c>
      <c r="N3350" s="38" t="n">
        <f aca="false">Sens!$N$3265</f>
        <v>2.811</v>
      </c>
      <c r="O3350" s="38" t="n">
        <f aca="false">Sens!$O$3265</f>
        <v>3.124</v>
      </c>
    </row>
    <row r="3351" customFormat="false" ht="17.15" hidden="false" customHeight="false" outlineLevel="0" collapsed="false">
      <c r="A3351" s="0" t="s">
        <v>669</v>
      </c>
      <c r="B3351" s="0" t="s">
        <v>73</v>
      </c>
      <c r="C3351" s="38" t="n">
        <f aca="false">Sens!$C$3332</f>
        <v>107.556</v>
      </c>
      <c r="D3351" s="38" t="n">
        <f aca="false">Sens!$D$3332</f>
        <v>128.725</v>
      </c>
      <c r="E3351" s="38" t="n">
        <f aca="false">Sens!$E$3332</f>
        <v>79.819</v>
      </c>
      <c r="F3351" s="38" t="n">
        <f aca="false">Sens!$F$3332</f>
        <v>93.5584440633857</v>
      </c>
      <c r="G3351" s="38" t="n">
        <f aca="false">Sens!$G$3332</f>
        <v>173.377444063386</v>
      </c>
      <c r="H3351" s="38" t="n">
        <f aca="false">Sens!$H$3332</f>
        <v>241.059451517916</v>
      </c>
      <c r="I3351" s="38" t="n">
        <f aca="false">Sens!$I$3332</f>
        <v>312.152096351442</v>
      </c>
      <c r="J3351" s="38" t="n">
        <f aca="false">Sens!$J$3332</f>
        <v>379.424316597773</v>
      </c>
      <c r="K3351" s="38" t="n">
        <f aca="false">Sens!$K$3332</f>
        <v>439.919237244402</v>
      </c>
      <c r="L3351" s="38" t="n">
        <f aca="false">Sens!$L$3332</f>
        <v>501.954974491517</v>
      </c>
      <c r="M3351" s="38" t="n">
        <f aca="false">Sens!$M$3332</f>
        <v>565.639704466895</v>
      </c>
      <c r="N3351" s="38" t="n">
        <f aca="false">Sens!$N$3332</f>
        <v>60.14</v>
      </c>
      <c r="O3351" s="38" t="n">
        <f aca="false">Sens!$O$3332</f>
        <v>68.585</v>
      </c>
    </row>
    <row r="3352" customFormat="false" ht="15" hidden="false" customHeight="false" outlineLevel="0" collapsed="false">
      <c r="A3352" s="1" t="s">
        <v>472</v>
      </c>
      <c r="B3352" s="8" t="s">
        <v>73</v>
      </c>
      <c r="C3352" s="38" t="n">
        <f aca="false">Sens!$C$3269</f>
        <v>387.497</v>
      </c>
      <c r="D3352" s="38" t="n">
        <f aca="false">Sens!$D$3269</f>
        <v>426.305</v>
      </c>
      <c r="E3352" s="38" t="n">
        <f aca="false">Sens!$E$3269</f>
        <v>220.32</v>
      </c>
      <c r="F3352" s="38" t="n">
        <f aca="false">Sens!$F$3269</f>
        <v>256.304015003807</v>
      </c>
      <c r="G3352" s="38" t="n">
        <f aca="false">Sens!$G$3269</f>
        <v>476.624015003807</v>
      </c>
      <c r="H3352" s="38" t="n">
        <f aca="false">Sens!$H$3269</f>
        <v>527.734391091543</v>
      </c>
      <c r="I3352" s="38" t="n">
        <f aca="false">Sens!$I$3269</f>
        <v>577.157693029577</v>
      </c>
      <c r="J3352" s="38" t="n">
        <f aca="false">Sens!$J$3269</f>
        <v>623.024923663827</v>
      </c>
      <c r="K3352" s="38" t="n">
        <f aca="false">Sens!$K$3269</f>
        <v>663.382568393781</v>
      </c>
      <c r="L3352" s="38" t="n">
        <f aca="false">Sens!$L$3269</f>
        <v>706.564873010432</v>
      </c>
      <c r="M3352" s="38" t="n">
        <f aca="false">Sens!$M$3269</f>
        <v>752.784687406019</v>
      </c>
      <c r="N3352" s="38" t="n">
        <f aca="false">Sens!$N$3269</f>
        <v>192.955</v>
      </c>
      <c r="O3352" s="38" t="n">
        <f aca="false">Sens!$O$3269</f>
        <v>233.35</v>
      </c>
    </row>
    <row r="3353" customFormat="false" ht="15" hidden="false" customHeight="false" outlineLevel="0" collapsed="false">
      <c r="A3353" s="1" t="s">
        <v>475</v>
      </c>
      <c r="B3353" s="8" t="s">
        <v>73</v>
      </c>
      <c r="C3353" s="38" t="n">
        <f aca="false">Sens!$C$3270</f>
        <v>142.906</v>
      </c>
      <c r="D3353" s="38" t="n">
        <f aca="false">Sens!$D$3270</f>
        <v>161.894</v>
      </c>
      <c r="E3353" s="38" t="n">
        <f aca="false">Sens!$E$3270</f>
        <v>81.986</v>
      </c>
      <c r="F3353" s="38" t="n">
        <f aca="false">Sens!$F$3270</f>
        <v>100.632414204623</v>
      </c>
      <c r="G3353" s="38" t="n">
        <f aca="false">Sens!$G$3270</f>
        <v>182.618414204623</v>
      </c>
      <c r="H3353" s="38" t="n">
        <f aca="false">Sens!$H$3270</f>
        <v>202.201346530158</v>
      </c>
      <c r="I3353" s="38" t="n">
        <f aca="false">Sens!$I$3270</f>
        <v>221.137876668296</v>
      </c>
      <c r="J3353" s="38" t="n">
        <f aca="false">Sens!$J$3270</f>
        <v>238.711898661958</v>
      </c>
      <c r="K3353" s="38" t="n">
        <f aca="false">Sens!$K$3270</f>
        <v>254.174923708144</v>
      </c>
      <c r="L3353" s="38" t="n">
        <f aca="false">Sens!$L$3270</f>
        <v>270.720216732733</v>
      </c>
      <c r="M3353" s="38" t="n">
        <f aca="false">Sens!$M$3270</f>
        <v>288.429331137484</v>
      </c>
      <c r="N3353" s="38" t="n">
        <f aca="false">Sens!$N$3270</f>
        <v>70.274</v>
      </c>
      <c r="O3353" s="38" t="n">
        <f aca="false">Sens!$O$3270</f>
        <v>91.62</v>
      </c>
    </row>
    <row r="3354" customFormat="false" ht="15" hidden="false" customHeight="false" outlineLevel="0" collapsed="false">
      <c r="A3354" s="1" t="s">
        <v>476</v>
      </c>
      <c r="B3354" s="8" t="s">
        <v>73</v>
      </c>
      <c r="C3354" s="38" t="n">
        <f aca="false">Sens!$C$3332</f>
        <v>107.556</v>
      </c>
      <c r="D3354" s="38" t="n">
        <f aca="false">Sens!$D$3332</f>
        <v>128.725</v>
      </c>
      <c r="E3354" s="38" t="n">
        <f aca="false">Sens!$E$3332</f>
        <v>79.819</v>
      </c>
      <c r="F3354" s="38" t="n">
        <f aca="false">Sens!$F$3332</f>
        <v>93.5584440633857</v>
      </c>
      <c r="G3354" s="38" t="n">
        <f aca="false">Sens!$G$3332</f>
        <v>173.377444063386</v>
      </c>
      <c r="H3354" s="38" t="n">
        <f aca="false">Sens!$H$3332</f>
        <v>241.059451517916</v>
      </c>
      <c r="I3354" s="38" t="n">
        <f aca="false">Sens!$I$3332</f>
        <v>312.152096351442</v>
      </c>
      <c r="J3354" s="38" t="n">
        <f aca="false">Sens!$J$3332</f>
        <v>379.424316597773</v>
      </c>
      <c r="K3354" s="38" t="n">
        <f aca="false">Sens!$K$3332</f>
        <v>439.919237244402</v>
      </c>
      <c r="L3354" s="38" t="n">
        <f aca="false">Sens!$L$3332</f>
        <v>501.954974491517</v>
      </c>
      <c r="M3354" s="38" t="n">
        <f aca="false">Sens!$M$3332</f>
        <v>565.639704466895</v>
      </c>
      <c r="N3354" s="38" t="n">
        <f aca="false">Sens!$N$3332</f>
        <v>60.14</v>
      </c>
      <c r="O3354" s="38" t="n">
        <f aca="false">Sens!$O$3332</f>
        <v>68.585</v>
      </c>
    </row>
    <row r="3355" customFormat="false" ht="17.15" hidden="false" customHeight="false" outlineLevel="0" collapsed="false">
      <c r="A3355" s="0" t="s">
        <v>643</v>
      </c>
      <c r="B3355" s="0" t="s">
        <v>73</v>
      </c>
      <c r="C3355" s="38" t="n">
        <f aca="false">Sens!$C$3330</f>
        <v>2.32100535697364</v>
      </c>
      <c r="D3355" s="38" t="n">
        <f aca="false">Sens!$D$3330</f>
        <v>8.70377008865116</v>
      </c>
      <c r="E3355" s="38" t="n">
        <f aca="false">Sens!$E$3330</f>
        <v>8.51035297557002</v>
      </c>
      <c r="F3355" s="38" t="n">
        <f aca="false">Sens!$F$3330</f>
        <v>14.9634336447205</v>
      </c>
      <c r="G3355" s="38" t="n">
        <f aca="false">Sens!$G$3330</f>
        <v>23.4737866202905</v>
      </c>
      <c r="H3355" s="38" t="n">
        <f aca="false">Sens!$H$3330</f>
        <v>60.1658907497746</v>
      </c>
      <c r="I3355" s="38" t="n">
        <f aca="false">Sens!$I$3330</f>
        <v>101.503699136432</v>
      </c>
      <c r="J3355" s="38" t="n">
        <f aca="false">Sens!$J$3330</f>
        <v>143.025407151278</v>
      </c>
      <c r="K3355" s="38" t="n">
        <f aca="false">Sens!$K$3330</f>
        <v>184.608415042187</v>
      </c>
      <c r="L3355" s="38" t="n">
        <f aca="false">Sens!$L$3330</f>
        <v>226.219286513125</v>
      </c>
      <c r="M3355" s="38" t="n">
        <f aca="false">Sens!$M$3330</f>
        <v>267.845161450232</v>
      </c>
      <c r="N3355" s="38" t="n">
        <f aca="false">Sens!$N$3330</f>
        <v>3.04631953102791</v>
      </c>
      <c r="O3355" s="38" t="n">
        <f aca="false">Sens!$O$3330</f>
        <v>5.65745055762326</v>
      </c>
    </row>
    <row r="3356" customFormat="false" ht="17.15" hidden="false" customHeight="false" outlineLevel="0" collapsed="false">
      <c r="A3356" s="0" t="s">
        <v>645</v>
      </c>
      <c r="B3356" s="0" t="s">
        <v>73</v>
      </c>
      <c r="C3356" s="38" t="n">
        <f aca="false">Sens!$C$3331</f>
        <v>105.234994643026</v>
      </c>
      <c r="D3356" s="38" t="n">
        <f aca="false">Sens!$D$3331</f>
        <v>120.021229911349</v>
      </c>
      <c r="E3356" s="38" t="n">
        <f aca="false">Sens!$E$3331</f>
        <v>71.30864702443</v>
      </c>
      <c r="F3356" s="38" t="n">
        <f aca="false">Sens!$F$3331</f>
        <v>78.5950104186653</v>
      </c>
      <c r="G3356" s="38" t="n">
        <f aca="false">Sens!$G$3331</f>
        <v>149.903657443095</v>
      </c>
      <c r="H3356" s="38" t="n">
        <f aca="false">Sens!$H$3331</f>
        <v>180.893560768142</v>
      </c>
      <c r="I3356" s="38" t="n">
        <f aca="false">Sens!$I$3331</f>
        <v>210.64839721501</v>
      </c>
      <c r="J3356" s="38" t="n">
        <f aca="false">Sens!$J$3331</f>
        <v>236.398909446495</v>
      </c>
      <c r="K3356" s="38" t="n">
        <f aca="false">Sens!$K$3331</f>
        <v>255.310822202215</v>
      </c>
      <c r="L3356" s="38" t="n">
        <f aca="false">Sens!$L$3331</f>
        <v>275.735687978392</v>
      </c>
      <c r="M3356" s="38" t="n">
        <f aca="false">Sens!$M$3331</f>
        <v>297.794543016663</v>
      </c>
      <c r="N3356" s="38" t="n">
        <f aca="false">Sens!$N$3331</f>
        <v>57.0936804689721</v>
      </c>
      <c r="O3356" s="38" t="n">
        <f aca="false">Sens!$O$3331</f>
        <v>62.9275494423768</v>
      </c>
    </row>
    <row r="3357" customFormat="false" ht="15" hidden="false" customHeight="false" outlineLevel="0" collapsed="false">
      <c r="A3357" s="3" t="s">
        <v>477</v>
      </c>
      <c r="B3357" s="8" t="s">
        <v>73</v>
      </c>
      <c r="C3357" s="38" t="n">
        <f aca="false">Sens!$C$3333</f>
        <v>637.959</v>
      </c>
      <c r="D3357" s="38" t="n">
        <f aca="false">Sens!$D$3333</f>
        <v>716.924</v>
      </c>
      <c r="E3357" s="38" t="n">
        <f aca="false">Sens!$E$3333</f>
        <v>382.125</v>
      </c>
      <c r="F3357" s="38" t="n">
        <f aca="false">Sens!$F$3333</f>
        <v>450.494873271816</v>
      </c>
      <c r="G3357" s="38" t="n">
        <f aca="false">Sens!$G$3333</f>
        <v>832.619873271816</v>
      </c>
      <c r="H3357" s="38" t="n">
        <f aca="false">Sens!$H$3333</f>
        <v>970.995189139617</v>
      </c>
      <c r="I3357" s="38" t="n">
        <f aca="false">Sens!$I$3333</f>
        <v>1110.44766604932</v>
      </c>
      <c r="J3357" s="38" t="n">
        <f aca="false">Sens!$J$3333</f>
        <v>1241.16113892356</v>
      </c>
      <c r="K3357" s="38" t="n">
        <f aca="false">Sens!$K$3333</f>
        <v>1357.47672934633</v>
      </c>
      <c r="L3357" s="38" t="n">
        <f aca="false">Sens!$L$3333</f>
        <v>1479.24006423468</v>
      </c>
      <c r="M3357" s="38" t="n">
        <f aca="false">Sens!$M$3333</f>
        <v>1606.8537230104</v>
      </c>
      <c r="N3357" s="38" t="n">
        <f aca="false">Sens!$N$3333</f>
        <v>323.369</v>
      </c>
      <c r="O3357" s="38" t="n">
        <f aca="false">Sens!$O$3333</f>
        <v>393.555</v>
      </c>
    </row>
    <row r="3358" customFormat="false" ht="17.15" hidden="false" customHeight="false" outlineLevel="0" collapsed="false">
      <c r="A3358" s="24" t="s">
        <v>655</v>
      </c>
      <c r="B3358" s="25" t="s">
        <v>73</v>
      </c>
      <c r="C3358" s="39" t="n">
        <f aca="false">Sens!$C$3345+Sens!$C$3346+Sens!$C$3347+Sens!$C$3348+Sens!$C$3349+Sens!$C$3350-(Sens!$C$3352+Sens!$C$3353)</f>
        <v>0</v>
      </c>
      <c r="D3358" s="39" t="n">
        <f aca="false">Sens!$D$3345+Sens!$D$3346+Sens!$D$3347+Sens!$D$3348+Sens!$D$3349+Sens!$D$3350-(Sens!$D$3352+Sens!$D$3353)</f>
        <v>0</v>
      </c>
      <c r="E3358" s="39" t="n">
        <f aca="false">Sens!$E$3345+Sens!$E$3346+Sens!$E$3347+Sens!$E$3348+Sens!$E$3349+Sens!$E$3350-(Sens!$E$3352+Sens!$E$3353)</f>
        <v>0</v>
      </c>
      <c r="F3358" s="39" t="n">
        <f aca="false">Sens!$F$3345+Sens!$F$3346+Sens!$F$3347+Sens!$F$3348+Sens!$F$3349+Sens!$F$3350-(Sens!$F$3352+Sens!$F$3353)</f>
        <v>0</v>
      </c>
      <c r="G3358" s="39" t="n">
        <f aca="false">Sens!$G$3345+Sens!$G$3346+Sens!$G$3347+Sens!$G$3348+Sens!$G$3349+Sens!$G$3350-(Sens!$G$3352+Sens!$G$3353)</f>
        <v>0</v>
      </c>
      <c r="H3358" s="39" t="n">
        <f aca="false">Sens!$H$3345+Sens!$H$3346+Sens!$H$3347+Sens!$H$3348+Sens!$H$3349+Sens!$H$3350-(Sens!$H$3352+Sens!$H$3353)</f>
        <v>0</v>
      </c>
      <c r="I3358" s="39" t="n">
        <f aca="false">Sens!$I$3345+Sens!$I$3346+Sens!$I$3347+Sens!$I$3348+Sens!$I$3349+Sens!$I$3350-(Sens!$I$3352+Sens!$I$3353)</f>
        <v>0</v>
      </c>
      <c r="J3358" s="39" t="n">
        <f aca="false">Sens!$J$3345+Sens!$J$3346+Sens!$J$3347+Sens!$J$3348+Sens!$J$3349+Sens!$J$3350-(Sens!$J$3352+Sens!$J$3353)</f>
        <v>0</v>
      </c>
      <c r="K3358" s="39" t="n">
        <f aca="false">Sens!$K$3345+Sens!$K$3346+Sens!$K$3347+Sens!$K$3348+Sens!$K$3349+Sens!$K$3350-(Sens!$K$3352+Sens!$K$3353)</f>
        <v>0</v>
      </c>
      <c r="L3358" s="39" t="n">
        <f aca="false">Sens!$L$3345+Sens!$L$3346+Sens!$L$3347+Sens!$L$3348+Sens!$L$3349+Sens!$L$3350-(Sens!$L$3352+Sens!$L$3353)</f>
        <v>0</v>
      </c>
      <c r="M3358" s="39" t="n">
        <f aca="false">Sens!$M$3345+Sens!$M$3346+Sens!$M$3347+Sens!$M$3348+Sens!$M$3349+Sens!$M$3350-(Sens!$M$3352+Sens!$M$3353)</f>
        <v>0</v>
      </c>
      <c r="N3358" s="39" t="n">
        <f aca="false">Sens!$N$3345+Sens!$N$3346+Sens!$N$3347+Sens!$N$3348+Sens!$N$3349+Sens!$N$3350-(Sens!$N$3352+Sens!$N$3353)</f>
        <v>0</v>
      </c>
      <c r="O3358" s="39" t="n">
        <f aca="false">Sens!$O$3345+Sens!$O$3346+Sens!$O$3347+Sens!$O$3348+Sens!$O$3349+Sens!$O$3350-(Sens!$O$3352+Sens!$O$3353)</f>
        <v>0</v>
      </c>
    </row>
    <row r="3359" customFormat="false" ht="17.15" hidden="false" customHeight="false" outlineLevel="0" collapsed="false">
      <c r="A3359" s="24" t="s">
        <v>656</v>
      </c>
      <c r="B3359" s="25" t="s">
        <v>73</v>
      </c>
      <c r="C3359" s="39" t="n">
        <f aca="false">Sens!$C$3355+Sens!$C$3356-Sens!$C$3354</f>
        <v>0</v>
      </c>
      <c r="D3359" s="39" t="n">
        <f aca="false">Sens!$D$3355+Sens!$D$3356-Sens!$D$3354</f>
        <v>0</v>
      </c>
      <c r="E3359" s="39" t="n">
        <f aca="false">Sens!$E$3355+Sens!$E$3356-Sens!$E$3354</f>
        <v>0</v>
      </c>
      <c r="F3359" s="39" t="n">
        <f aca="false">Sens!$F$3355+Sens!$F$3356-Sens!$F$3354</f>
        <v>0</v>
      </c>
      <c r="G3359" s="39" t="n">
        <f aca="false">Sens!$G$3355+Sens!$G$3356-Sens!$G$3354</f>
        <v>0</v>
      </c>
      <c r="H3359" s="39" t="n">
        <f aca="false">Sens!$H$3355+Sens!$H$3356-Sens!$H$3354</f>
        <v>0</v>
      </c>
      <c r="I3359" s="39" t="n">
        <f aca="false">Sens!$I$3355+Sens!$I$3356-Sens!$I$3354</f>
        <v>0</v>
      </c>
      <c r="J3359" s="39" t="n">
        <f aca="false">Sens!$J$3355+Sens!$J$3356-Sens!$J$3354</f>
        <v>0</v>
      </c>
      <c r="K3359" s="39" t="n">
        <f aca="false">Sens!$K$3355+Sens!$K$3356-Sens!$K$3354</f>
        <v>0</v>
      </c>
      <c r="L3359" s="39" t="n">
        <f aca="false">Sens!$L$3355+Sens!$L$3356-Sens!$L$3354</f>
        <v>0</v>
      </c>
      <c r="M3359" s="39" t="n">
        <f aca="false">Sens!$M$3355+Sens!$M$3356-Sens!$M$3354</f>
        <v>0</v>
      </c>
      <c r="N3359" s="39" t="n">
        <f aca="false">Sens!$N$3355+Sens!$N$3356-Sens!$N$3354</f>
        <v>0</v>
      </c>
      <c r="O3359" s="39" t="n">
        <f aca="false">Sens!$O$3355+Sens!$O$3356-Sens!$O$3354</f>
        <v>0</v>
      </c>
    </row>
    <row r="3360" customFormat="false" ht="17.15" hidden="false" customHeight="false" outlineLevel="0" collapsed="false">
      <c r="A3360" s="24" t="s">
        <v>710</v>
      </c>
      <c r="B3360" s="25" t="s">
        <v>73</v>
      </c>
      <c r="C3360" s="39" t="n">
        <f aca="false">Sens!$C$3345+Sens!$C$3346+Sens!$C$3347+Sens!$C$3348+Sens!$C$3349+Sens!$C$3350+Sens!$C$3351-Sens!$C$3357</f>
        <v>0</v>
      </c>
      <c r="D3360" s="39" t="n">
        <f aca="false">Sens!$D$3345+Sens!$D$3346+Sens!$D$3347+Sens!$D$3348+Sens!$D$3349+Sens!$D$3350+Sens!$D$3351-Sens!$D$3357</f>
        <v>0</v>
      </c>
      <c r="E3360" s="39" t="n">
        <f aca="false">Sens!$E$3345+Sens!$E$3346+Sens!$E$3347+Sens!$E$3348+Sens!$E$3349+Sens!$E$3350+Sens!$E$3351-Sens!$E$3357</f>
        <v>0</v>
      </c>
      <c r="F3360" s="39" t="n">
        <f aca="false">Sens!$F$3345+Sens!$F$3346+Sens!$F$3347+Sens!$F$3348+Sens!$F$3349+Sens!$F$3350+Sens!$F$3351-Sens!$F$3357</f>
        <v>0</v>
      </c>
      <c r="G3360" s="39" t="n">
        <f aca="false">Sens!$G$3345+Sens!$G$3346+Sens!$G$3347+Sens!$G$3348+Sens!$G$3349+Sens!$G$3350+Sens!$G$3351-Sens!$G$3357</f>
        <v>0</v>
      </c>
      <c r="H3360" s="39" t="n">
        <f aca="false">Sens!$H$3345+Sens!$H$3346+Sens!$H$3347+Sens!$H$3348+Sens!$H$3349+Sens!$H$3350+Sens!$H$3351-Sens!$H$3357</f>
        <v>0</v>
      </c>
      <c r="I3360" s="39" t="n">
        <f aca="false">Sens!$I$3345+Sens!$I$3346+Sens!$I$3347+Sens!$I$3348+Sens!$I$3349+Sens!$I$3350+Sens!$I$3351-Sens!$I$3357</f>
        <v>0</v>
      </c>
      <c r="J3360" s="39" t="n">
        <f aca="false">Sens!$J$3345+Sens!$J$3346+Sens!$J$3347+Sens!$J$3348+Sens!$J$3349+Sens!$J$3350+Sens!$J$3351-Sens!$J$3357</f>
        <v>0</v>
      </c>
      <c r="K3360" s="39" t="n">
        <f aca="false">Sens!$K$3345+Sens!$K$3346+Sens!$K$3347+Sens!$K$3348+Sens!$K$3349+Sens!$K$3350+Sens!$K$3351-Sens!$K$3357</f>
        <v>0</v>
      </c>
      <c r="L3360" s="39" t="n">
        <f aca="false">Sens!$L$3345+Sens!$L$3346+Sens!$L$3347+Sens!$L$3348+Sens!$L$3349+Sens!$L$3350+Sens!$L$3351-Sens!$L$3357</f>
        <v>0</v>
      </c>
      <c r="M3360" s="39" t="n">
        <f aca="false">Sens!$M$3345+Sens!$M$3346+Sens!$M$3347+Sens!$M$3348+Sens!$M$3349+Sens!$M$3350+Sens!$M$3351-Sens!$M$3357</f>
        <v>0</v>
      </c>
      <c r="N3360" s="39" t="n">
        <f aca="false">Sens!$N$3345+Sens!$N$3346+Sens!$N$3347+Sens!$N$3348+Sens!$N$3349+Sens!$N$3350+Sens!$N$3351-Sens!$N$3357</f>
        <v>0</v>
      </c>
      <c r="O3360" s="39" t="n">
        <f aca="false">Sens!$O$3345+Sens!$O$3346+Sens!$O$3347+Sens!$O$3348+Sens!$O$3349+Sens!$O$3350+Sens!$O$3351-Sens!$O$3357</f>
        <v>0</v>
      </c>
    </row>
    <row r="3361" customFormat="false" ht="17.15" hidden="false" customHeight="false" outlineLevel="0" collapsed="false">
      <c r="A3361" s="24" t="s">
        <v>657</v>
      </c>
      <c r="B3361" s="25" t="s">
        <v>73</v>
      </c>
      <c r="C3361" s="39" t="n">
        <f aca="false">Sens!$C$3352+Sens!$C$3353+Sens!$C$3354-Sens!$C$3357</f>
        <v>0</v>
      </c>
      <c r="D3361" s="39" t="n">
        <f aca="false">Sens!$D$3352+Sens!$D$3353+Sens!$D$3354-Sens!$D$3357</f>
        <v>0</v>
      </c>
      <c r="E3361" s="39" t="n">
        <f aca="false">Sens!$E$3352+Sens!$E$3353+Sens!$E$3354-Sens!$E$3357</f>
        <v>0</v>
      </c>
      <c r="F3361" s="39" t="n">
        <f aca="false">Sens!$F$3352+Sens!$F$3353+Sens!$F$3354-Sens!$F$3357</f>
        <v>0</v>
      </c>
      <c r="G3361" s="39" t="n">
        <f aca="false">Sens!$G$3352+Sens!$G$3353+Sens!$G$3354-Sens!$G$3357</f>
        <v>0</v>
      </c>
      <c r="H3361" s="39" t="n">
        <f aca="false">Sens!$H$3352+Sens!$H$3353+Sens!$H$3354-Sens!$H$3357</f>
        <v>0</v>
      </c>
      <c r="I3361" s="39" t="n">
        <f aca="false">Sens!$I$3352+Sens!$I$3353+Sens!$I$3354-Sens!$I$3357</f>
        <v>0</v>
      </c>
      <c r="J3361" s="39" t="n">
        <f aca="false">Sens!$J$3352+Sens!$J$3353+Sens!$J$3354-Sens!$J$3357</f>
        <v>0</v>
      </c>
      <c r="K3361" s="39" t="n">
        <f aca="false">Sens!$K$3352+Sens!$K$3353+Sens!$K$3354-Sens!$K$3357</f>
        <v>0</v>
      </c>
      <c r="L3361" s="39" t="n">
        <f aca="false">Sens!$L$3352+Sens!$L$3353+Sens!$L$3354-Sens!$L$3357</f>
        <v>0</v>
      </c>
      <c r="M3361" s="39" t="n">
        <f aca="false">Sens!$M$3352+Sens!$M$3353+Sens!$M$3354-Sens!$M$3357</f>
        <v>0</v>
      </c>
      <c r="N3361" s="39" t="n">
        <f aca="false">Sens!$N$3352+Sens!$N$3353+Sens!$N$3354-Sens!$N$3357</f>
        <v>0</v>
      </c>
      <c r="O3361" s="39" t="n">
        <f aca="false">Sens!$O$3352+Sens!$O$3353+Sens!$O$3354-Sens!$O$3357</f>
        <v>0</v>
      </c>
    </row>
    <row r="3362" customFormat="false" ht="17.15" hidden="false" customHeight="false" outlineLevel="0" collapsed="false">
      <c r="A3362" s="1" t="s">
        <v>671</v>
      </c>
    </row>
    <row r="3363" customFormat="false" ht="17.15" hidden="false" customHeight="false" outlineLevel="0" collapsed="false">
      <c r="A3363" s="0" t="s">
        <v>672</v>
      </c>
      <c r="B3363" s="0" t="s">
        <v>73</v>
      </c>
      <c r="C3363" s="38" t="n">
        <f aca="false">Sens!$C$3271*m_ad_hi</f>
        <v>24.6409877297074</v>
      </c>
      <c r="D3363" s="38" t="n">
        <f aca="false">Sens!$D$3271*m_ad_hi</f>
        <v>29.8464740759505</v>
      </c>
      <c r="E3363" s="38" t="n">
        <f aca="false">Sens!$E$3271*m_ad_hi</f>
        <v>16.2020534954649</v>
      </c>
      <c r="F3363" s="38" t="n">
        <f aca="false">Sens!$F$3271*m_ad_hi</f>
        <v>20.7463731389518</v>
      </c>
      <c r="G3363" s="38" t="n">
        <f aca="false">Sens!$G$3271*m_ad_hi</f>
        <v>36.9614350519063</v>
      </c>
      <c r="H3363" s="38" t="n">
        <f aca="false">Sens!$H$3271*m_ad_hi</f>
        <v>44.3740912392312</v>
      </c>
      <c r="I3363" s="38" t="n">
        <f aca="false">Sens!$I$3271*m_ad_hi</f>
        <v>51.7860759375277</v>
      </c>
      <c r="J3363" s="38" t="n">
        <f aca="false">Sens!$J$3271*m_ad_hi</f>
        <v>58.7003990386239</v>
      </c>
      <c r="K3363" s="38" t="n">
        <f aca="false">Sens!$K$3271*m_ad_hi</f>
        <v>64.5704389424863</v>
      </c>
      <c r="L3363" s="38" t="n">
        <f aca="false">Sens!$L$3271*m_ad_hi</f>
        <v>71.0274828367349</v>
      </c>
      <c r="M3363" s="38" t="n">
        <f aca="false">Sens!$M$3271*m_ad_hi</f>
        <v>78.1302311204084</v>
      </c>
      <c r="N3363" s="38" t="n">
        <f aca="false">Sens!$N$3271*m_ad_hi</f>
        <v>13.0252266847498</v>
      </c>
      <c r="O3363" s="38" t="n">
        <f aca="false">Sens!$O$3271*m_ad_hi</f>
        <v>16.8113678185679</v>
      </c>
    </row>
    <row r="3364" customFormat="false" ht="17.15" hidden="false" customHeight="false" outlineLevel="0" collapsed="false">
      <c r="A3364" s="0" t="s">
        <v>673</v>
      </c>
      <c r="B3364" s="0" t="s">
        <v>73</v>
      </c>
      <c r="C3364" s="38" t="n">
        <f aca="false">Sens!$C$3269-Sens!$C$3271</f>
        <v>346.428687117154</v>
      </c>
      <c r="D3364" s="38" t="n">
        <f aca="false">Sens!$D$3269-Sens!$D$3271</f>
        <v>376.560876540083</v>
      </c>
      <c r="E3364" s="38" t="n">
        <f aca="false">Sens!$E$3269-Sens!$E$3271</f>
        <v>193.316577507559</v>
      </c>
      <c r="F3364" s="38" t="n">
        <f aca="false">Sens!$F$3269-Sens!$F$3271</f>
        <v>221.726726438887</v>
      </c>
      <c r="G3364" s="38" t="n">
        <f aca="false">Sens!$G$3269-Sens!$G$3271</f>
        <v>415.02162325063</v>
      </c>
      <c r="H3364" s="38" t="n">
        <f aca="false">Sens!$H$3269-Sens!$H$3271</f>
        <v>453.777572359491</v>
      </c>
      <c r="I3364" s="38" t="n">
        <f aca="false">Sens!$I$3269-Sens!$I$3271</f>
        <v>490.847566467031</v>
      </c>
      <c r="J3364" s="38" t="n">
        <f aca="false">Sens!$J$3269-Sens!$J$3271</f>
        <v>525.190925266121</v>
      </c>
      <c r="K3364" s="38" t="n">
        <f aca="false">Sens!$K$3269-Sens!$K$3271</f>
        <v>555.765170156304</v>
      </c>
      <c r="L3364" s="38" t="n">
        <f aca="false">Sens!$L$3269-Sens!$L$3271</f>
        <v>588.185734949207</v>
      </c>
      <c r="M3364" s="38" t="n">
        <f aca="false">Sens!$M$3269-Sens!$M$3271</f>
        <v>622.567635538672</v>
      </c>
      <c r="N3364" s="38" t="n">
        <f aca="false">Sens!$N$3269-Sens!$N$3271</f>
        <v>171.24628885875</v>
      </c>
      <c r="O3364" s="38" t="n">
        <f aca="false">Sens!$O$3269-Sens!$O$3271</f>
        <v>205.33105363572</v>
      </c>
    </row>
    <row r="3365" customFormat="false" ht="17.15" hidden="false" customHeight="false" outlineLevel="0" collapsed="false">
      <c r="A3365" s="0" t="s">
        <v>674</v>
      </c>
      <c r="B3365" s="0" t="s">
        <v>73</v>
      </c>
      <c r="C3365" s="38" t="n">
        <f aca="false">Sens!$C$3316*Sens!$C$3268</f>
        <v>0.123617442257179</v>
      </c>
      <c r="D3365" s="38" t="n">
        <f aca="false">Sens!$D$3316*Sens!$D$3268</f>
        <v>0.874366899302609</v>
      </c>
      <c r="E3365" s="38" t="n">
        <f aca="false">Sens!$E$3316*Sens!$E$3268</f>
        <v>1.29318830502574</v>
      </c>
      <c r="F3365" s="38" t="n">
        <f aca="false">Sens!$F$3316*Sens!$F$3268</f>
        <v>1.51802024162534</v>
      </c>
      <c r="G3365" s="38" t="n">
        <f aca="false">Sens!$G$3316*Sens!$G$3268</f>
        <v>2.81130189308167</v>
      </c>
      <c r="H3365" s="38" t="n">
        <f aca="false">Sens!$H$3316*Sens!$H$3268</f>
        <v>7.38966789318209</v>
      </c>
      <c r="I3365" s="38" t="n">
        <f aca="false">Sens!$I$3316*Sens!$I$3268</f>
        <v>12.8987443661473</v>
      </c>
      <c r="J3365" s="38" t="n">
        <f aca="false">Sens!$J$3316*Sens!$J$3268</f>
        <v>18.5570025453645</v>
      </c>
      <c r="K3365" s="38" t="n">
        <f aca="false">Sens!$K$3316*Sens!$K$3268</f>
        <v>24.3158972773405</v>
      </c>
      <c r="L3365" s="38" t="n">
        <f aca="false">Sens!$L$3316*Sens!$L$3268</f>
        <v>29.7827375558674</v>
      </c>
      <c r="M3365" s="38" t="n">
        <f aca="false">Sens!$M$3316*Sens!$M$3268</f>
        <v>35.3532344973194</v>
      </c>
      <c r="N3365" s="38" t="n">
        <f aca="false">Sens!$N$3316*Sens!$N$3268</f>
        <v>0.389180508437431</v>
      </c>
      <c r="O3365" s="38" t="n">
        <f aca="false">Sens!$O$3316*Sens!$O$3268</f>
        <v>0.485052120082802</v>
      </c>
    </row>
    <row r="3366" customFormat="false" ht="17.15" hidden="false" customHeight="false" outlineLevel="0" collapsed="false">
      <c r="A3366" s="0" t="s">
        <v>675</v>
      </c>
      <c r="B3366" s="0" t="s">
        <v>52</v>
      </c>
      <c r="C3366" s="28" t="n">
        <f aca="false">(Sens!$C$3367-Sens!$C$3363+Sens!$C$3365)/Sens!$C$3364</f>
        <v>0.00129789976774559</v>
      </c>
      <c r="D3366" s="28" t="n">
        <f aca="false">(Sens!$D$3367-Sens!$D$3363+Sens!$D$3365)/Sens!$D$3364</f>
        <v>0.00171789706168073</v>
      </c>
      <c r="E3366" s="28" t="n">
        <f aca="false">(Sens!$E$3367-Sens!$E$3363+Sens!$E$3365)/Sens!$E$3364</f>
        <v>0.0128345682587096</v>
      </c>
      <c r="F3366" s="28" t="n">
        <f aca="false">Sens!$O$3366+(Sens!$E$3366-Sens!$N$3366)</f>
        <v>0.00830058867948629</v>
      </c>
      <c r="G3366" s="28" t="n">
        <f aca="false">(Sens!$G$3367-Sens!$G$3363+Sens!$G$3365)/Sens!$G$3364</f>
        <v>0.0103818255544677</v>
      </c>
      <c r="H3366" s="28" t="n">
        <f aca="false">Sens!$G$3366+step_na</f>
        <v>0.0133818255544677</v>
      </c>
      <c r="I3366" s="28" t="n">
        <f aca="false">Sens!$H$3366+step_na</f>
        <v>0.0163818255544677</v>
      </c>
      <c r="J3366" s="28" t="n">
        <f aca="false">Sens!$I$3366+step_na</f>
        <v>0.0193818255544677</v>
      </c>
      <c r="K3366" s="28" t="n">
        <f aca="false">Sens!$J$3366+step_na</f>
        <v>0.0223818255544677</v>
      </c>
      <c r="L3366" s="28" t="n">
        <f aca="false">Sens!$K$3366</f>
        <v>0.0223818255544677</v>
      </c>
      <c r="M3366" s="28" t="n">
        <f aca="false">Sens!$L$3366</f>
        <v>0.0223818255544677</v>
      </c>
      <c r="N3366" s="28" t="n">
        <f aca="false">(Sens!$N$3367-Sens!$N$3363+Sens!$N$3365)/Sens!$N$3364</f>
        <v>0.00421588011336783</v>
      </c>
      <c r="O3366" s="28" t="n">
        <f aca="false">(Sens!$O$3367-Sens!$O$3363+Sens!$O$3365)/Sens!$O$3364</f>
        <v>-0.000318099465855462</v>
      </c>
      <c r="P3366" s="8" t="s">
        <v>676</v>
      </c>
    </row>
    <row r="3367" customFormat="false" ht="17.15" hidden="false" customHeight="false" outlineLevel="0" collapsed="false">
      <c r="A3367" s="1" t="s">
        <v>677</v>
      </c>
      <c r="B3367" s="8" t="s">
        <v>73</v>
      </c>
      <c r="C3367" s="38" t="n">
        <f aca="false">Q!$D$22</f>
        <v>24.967</v>
      </c>
      <c r="D3367" s="38" t="n">
        <f aca="false">Q!$E$22</f>
        <v>29.619</v>
      </c>
      <c r="E3367" s="38" t="n">
        <f aca="false">Q!$P$22</f>
        <v>17.39</v>
      </c>
      <c r="F3367" s="38" t="n">
        <f aca="false">Sens!$F$3363+Sens!$F$3364*Sens!$F$3366-Sens!$F$3365</f>
        <v>21.0688152527447</v>
      </c>
      <c r="G3367" s="38" t="n">
        <f aca="false">Sens!$E$3367+Sens!$F$3367</f>
        <v>38.4588152527447</v>
      </c>
      <c r="H3367" s="38" t="n">
        <f aca="false">Sens!$H$3363+Sens!$H$3364*Sens!$H$3366-Sens!$H$3365</f>
        <v>43.0567956598936</v>
      </c>
      <c r="I3367" s="38" t="n">
        <f aca="false">Sens!$I$3363+Sens!$I$3364*Sens!$I$3366-Sens!$I$3365</f>
        <v>46.9283107790782</v>
      </c>
      <c r="J3367" s="38" t="n">
        <f aca="false">Sens!$J$3363+Sens!$J$3364*Sens!$J$3366-Sens!$J$3365</f>
        <v>50.3225553895568</v>
      </c>
      <c r="K3367" s="38" t="n">
        <f aca="false">Sens!$K$3363+Sens!$K$3364*Sens!$K$3366-Sens!$K$3365</f>
        <v>52.6935807528332</v>
      </c>
      <c r="L3367" s="38" t="n">
        <f aca="false">Sens!$L$3363+Sens!$L$3364*Sens!$L$3366-Sens!$L$3365</f>
        <v>54.409415794127</v>
      </c>
      <c r="M3367" s="38" t="n">
        <f aca="false">Sens!$M$3363+Sens!$M$3364*Sens!$M$3366-Sens!$M$3365</f>
        <v>56.711196837573</v>
      </c>
      <c r="N3367" s="38" t="n">
        <f aca="false">Q!$N$22</f>
        <v>13.358</v>
      </c>
      <c r="O3367" s="38" t="n">
        <f aca="false">Q!$O$22</f>
        <v>16.261</v>
      </c>
    </row>
    <row r="3368" customFormat="false" ht="17.15" hidden="false" customHeight="false" outlineLevel="0" collapsed="false">
      <c r="A3368" s="0" t="s">
        <v>678</v>
      </c>
      <c r="B3368" s="0" t="s">
        <v>73</v>
      </c>
      <c r="C3368" s="38" t="n">
        <f aca="false">Sens!$C$3272*m_ad_hi</f>
        <v>9.08741227029259</v>
      </c>
      <c r="D3368" s="38" t="n">
        <f aca="false">Sens!$D$3272*m_ad_hi</f>
        <v>11.3345259240495</v>
      </c>
      <c r="E3368" s="38" t="n">
        <f aca="false">Sens!$E$3272*m_ad_hi</f>
        <v>6.02914650453514</v>
      </c>
      <c r="F3368" s="38" t="n">
        <f aca="false">Sens!$F$3272*m_ad_hi</f>
        <v>8.1456297706911</v>
      </c>
      <c r="G3368" s="38" t="n">
        <f aca="false">Sens!$G$3272*m_ad_hi</f>
        <v>14.1617678577366</v>
      </c>
      <c r="H3368" s="38" t="n">
        <f aca="false">Sens!$H$3272*m_ad_hi</f>
        <v>17.001925876133</v>
      </c>
      <c r="I3368" s="38" t="n">
        <f aca="false">Sens!$I$3272*m_ad_hi</f>
        <v>19.8418266136169</v>
      </c>
      <c r="J3368" s="38" t="n">
        <f aca="false">Sens!$J$3272*m_ad_hi</f>
        <v>22.4910483906827</v>
      </c>
      <c r="K3368" s="38" t="n">
        <f aca="false">Sens!$K$3272*m_ad_hi</f>
        <v>24.7401532297509</v>
      </c>
      <c r="L3368" s="38" t="n">
        <f aca="false">Sens!$L$3272*m_ad_hi</f>
        <v>27.214168552726</v>
      </c>
      <c r="M3368" s="38" t="n">
        <f aca="false">Sens!$M$3272*m_ad_hi</f>
        <v>29.9355854079986</v>
      </c>
      <c r="N3368" s="38" t="n">
        <f aca="false">Sens!$N$3272*m_ad_hi</f>
        <v>4.74377331525022</v>
      </c>
      <c r="O3368" s="38" t="n">
        <f aca="false">Sens!$O$3272*m_ad_hi</f>
        <v>6.60063218143213</v>
      </c>
    </row>
    <row r="3369" customFormat="false" ht="17.15" hidden="false" customHeight="false" outlineLevel="0" collapsed="false">
      <c r="A3369" s="0" t="s">
        <v>679</v>
      </c>
      <c r="B3369" s="0" t="s">
        <v>73</v>
      </c>
      <c r="C3369" s="38" t="n">
        <f aca="false">Sens!$C$3270-Sens!$C$3272</f>
        <v>127.760312882846</v>
      </c>
      <c r="D3369" s="38" t="n">
        <f aca="false">Sens!$D$3270-Sens!$D$3272</f>
        <v>143.003123459917</v>
      </c>
      <c r="E3369" s="38" t="n">
        <f aca="false">Sens!$E$3270-Sens!$E$3272</f>
        <v>71.9374224924414</v>
      </c>
      <c r="F3369" s="38" t="n">
        <f aca="false">Sens!$F$3270-Sens!$F$3272</f>
        <v>87.0563645868046</v>
      </c>
      <c r="G3369" s="38" t="n">
        <f aca="false">Sens!$G$3270-Sens!$G$3272</f>
        <v>159.015467775062</v>
      </c>
      <c r="H3369" s="38" t="n">
        <f aca="false">Sens!$H$3270-Sens!$H$3272</f>
        <v>173.864803403269</v>
      </c>
      <c r="I3369" s="38" t="n">
        <f aca="false">Sens!$I$3270-Sens!$I$3272</f>
        <v>188.068165645601</v>
      </c>
      <c r="J3369" s="38" t="n">
        <f aca="false">Sens!$J$3270-Sens!$J$3272</f>
        <v>201.22681801082</v>
      </c>
      <c r="K3369" s="38" t="n">
        <f aca="false">Sens!$K$3270-Sens!$K$3272</f>
        <v>212.941334991893</v>
      </c>
      <c r="L3369" s="38" t="n">
        <f aca="false">Sens!$L$3270-Sens!$L$3272</f>
        <v>225.363269144856</v>
      </c>
      <c r="M3369" s="38" t="n">
        <f aca="false">Sens!$M$3270-Sens!$M$3272</f>
        <v>238.536688790819</v>
      </c>
      <c r="N3369" s="38" t="n">
        <f aca="false">Sens!$N$3270-Sens!$N$3272</f>
        <v>62.3677111412496</v>
      </c>
      <c r="O3369" s="38" t="n">
        <f aca="false">Sens!$O$3270-Sens!$O$3272</f>
        <v>80.6189463642798</v>
      </c>
    </row>
    <row r="3370" customFormat="false" ht="17.15" hidden="false" customHeight="false" outlineLevel="0" collapsed="false">
      <c r="A3370" s="0" t="s">
        <v>680</v>
      </c>
      <c r="B3370" s="0" t="s">
        <v>73</v>
      </c>
      <c r="C3370" s="38" t="n">
        <f aca="false">Sens!$C$3316*(1-Sens!$C$3268)</f>
        <v>0.0455891896019953</v>
      </c>
      <c r="D3370" s="38" t="n">
        <f aca="false">Sens!$D$3316*(1-Sens!$D$3268)</f>
        <v>0.332050421167231</v>
      </c>
      <c r="E3370" s="38" t="n">
        <f aca="false">Sens!$E$3316*(1-Sens!$E$3268)</f>
        <v>0.481224293644882</v>
      </c>
      <c r="F3370" s="38" t="n">
        <f aca="false">Sens!$F$3316*(1-Sens!$F$3268)</f>
        <v>0.596018918096053</v>
      </c>
      <c r="G3370" s="38" t="n">
        <f aca="false">Sens!$G$3316*(1-Sens!$G$3268)</f>
        <v>1.07714986531035</v>
      </c>
      <c r="H3370" s="38" t="n">
        <f aca="false">Sens!$H$3316*(1-Sens!$H$3268)</f>
        <v>2.83135005721638</v>
      </c>
      <c r="I3370" s="38" t="n">
        <f aca="false">Sens!$I$3316*(1-Sens!$I$3268)</f>
        <v>4.9421518161602</v>
      </c>
      <c r="J3370" s="38" t="n">
        <f aca="false">Sens!$J$3316*(1-Sens!$J$3268)</f>
        <v>7.11011252170866</v>
      </c>
      <c r="K3370" s="38" t="n">
        <f aca="false">Sens!$K$3316*(1-Sens!$K$3268)</f>
        <v>9.31663210615807</v>
      </c>
      <c r="L3370" s="38" t="n">
        <f aca="false">Sens!$L$3316*(1-Sens!$L$3268)</f>
        <v>11.411251074039</v>
      </c>
      <c r="M3370" s="38" t="n">
        <f aca="false">Sens!$M$3316*(1-Sens!$M$3268)</f>
        <v>13.5455860755423</v>
      </c>
      <c r="N3370" s="38" t="n">
        <f aca="false">Sens!$N$3316*(1-Sens!$N$3268)</f>
        <v>0.141739115596548</v>
      </c>
      <c r="O3370" s="38" t="n">
        <f aca="false">Sens!$O$3316*(1-Sens!$O$3268)</f>
        <v>0.190445576353059</v>
      </c>
    </row>
    <row r="3371" customFormat="false" ht="17.15" hidden="false" customHeight="false" outlineLevel="0" collapsed="false">
      <c r="A3371" s="0" t="s">
        <v>681</v>
      </c>
      <c r="B3371" s="0" t="s">
        <v>52</v>
      </c>
      <c r="C3371" s="28" t="n">
        <f aca="false">(Sens!$C$3372-Sens!$C$3368+Sens!$C$3370)/Sens!$C$3369</f>
        <v>-0.0410911883528698</v>
      </c>
      <c r="D3371" s="28" t="n">
        <f aca="false">(Sens!$D$3372-Sens!$D$3368+Sens!$D$3370)/Sens!$D$3369</f>
        <v>-0.043722649908656</v>
      </c>
      <c r="E3371" s="28" t="n">
        <f aca="false">(Sens!$E$3372-Sens!$E$3368+Sens!$E$3370)/Sens!$E$3369</f>
        <v>-0.0334585550537782</v>
      </c>
      <c r="F3371" s="28" t="n">
        <f aca="false">Sens!$O$3371+(Sens!$E$3371-Sens!$N$3371)</f>
        <v>-0.0516705754164325</v>
      </c>
      <c r="G3371" s="28" t="n">
        <f aca="false">(Sens!$G$3372-Sens!$G$3368+Sens!$G$3370)/Sens!$G$3369</f>
        <v>-0.0433433280933634</v>
      </c>
      <c r="H3371" s="28" t="n">
        <f aca="false">Sens!$G$3371+step_in</f>
        <v>-0.0433433280933634</v>
      </c>
      <c r="I3371" s="28" t="n">
        <f aca="false">Sens!$H$3371+step_in</f>
        <v>-0.0433433280933634</v>
      </c>
      <c r="J3371" s="28" t="n">
        <f aca="false">Sens!$I$3371+step_in</f>
        <v>-0.0433433280933634</v>
      </c>
      <c r="K3371" s="28" t="n">
        <f aca="false">Sens!$J$3371+step_in</f>
        <v>-0.0433433280933634</v>
      </c>
      <c r="L3371" s="28" t="n">
        <f aca="false">Sens!$K$3371</f>
        <v>-0.0433433280933634</v>
      </c>
      <c r="M3371" s="28" t="n">
        <f aca="false">Sens!$L$3371</f>
        <v>-0.0433433280933634</v>
      </c>
      <c r="N3371" s="28" t="n">
        <f aca="false">(Sens!$N$3372-Sens!$N$3368+Sens!$N$3370)/Sens!$N$3369</f>
        <v>-0.0335275122557876</v>
      </c>
      <c r="O3371" s="28" t="n">
        <f aca="false">(Sens!$O$3372-Sens!$O$3368+Sens!$O$3370)/Sens!$O$3369</f>
        <v>-0.0517395326184419</v>
      </c>
      <c r="P3371" s="8" t="s">
        <v>676</v>
      </c>
    </row>
    <row r="3372" customFormat="false" ht="17.15" hidden="false" customHeight="false" outlineLevel="0" collapsed="false">
      <c r="A3372" s="1" t="s">
        <v>682</v>
      </c>
      <c r="B3372" s="8" t="s">
        <v>73</v>
      </c>
      <c r="C3372" s="38" t="n">
        <f aca="false">Q!$D$23</f>
        <v>3.792</v>
      </c>
      <c r="D3372" s="38" t="n">
        <f aca="false">Q!$E$23</f>
        <v>4.75</v>
      </c>
      <c r="E3372" s="38" t="n">
        <f aca="false">Q!$P$23</f>
        <v>3.141</v>
      </c>
      <c r="F3372" s="38" t="n">
        <f aca="false">Sens!$F$3368+Sens!$F$3369*Sens!$F$3371-Sens!$F$3370</f>
        <v>3.05135840073211</v>
      </c>
      <c r="G3372" s="38" t="n">
        <f aca="false">Sens!$E$3372+Sens!$F$3372</f>
        <v>6.19235840073211</v>
      </c>
      <c r="H3372" s="38" t="n">
        <f aca="false">Sens!$H$3368+Sens!$H$3369*Sens!$H$3371-Sens!$H$3370</f>
        <v>6.63469660112062</v>
      </c>
      <c r="I3372" s="38" t="n">
        <f aca="false">Sens!$I$3368+Sens!$I$3369*Sens!$I$3371-Sens!$I$3370</f>
        <v>6.7481745899624</v>
      </c>
      <c r="J3372" s="38" t="n">
        <f aca="false">Sens!$J$3368+Sens!$J$3369*Sens!$J$3371-Sens!$J$3370</f>
        <v>6.65909587474747</v>
      </c>
      <c r="K3372" s="38" t="n">
        <f aca="false">Sens!$K$3368+Sens!$K$3369*Sens!$K$3371-Sens!$K$3370</f>
        <v>6.19393497640042</v>
      </c>
      <c r="L3372" s="38" t="n">
        <f aca="false">Sens!$L$3368+Sens!$L$3369*Sens!$L$3371-Sens!$L$3370</f>
        <v>6.03492336394852</v>
      </c>
      <c r="M3372" s="38" t="n">
        <f aca="false">Sens!$M$3368+Sens!$M$3369*Sens!$M$3371-Sens!$M$3370</f>
        <v>6.05102536789129</v>
      </c>
      <c r="N3372" s="38" t="n">
        <f aca="false">Q!$N$23</f>
        <v>2.511</v>
      </c>
      <c r="O3372" s="38" t="n">
        <f aca="false">Q!$O$23</f>
        <v>2.239</v>
      </c>
    </row>
    <row r="3373" customFormat="false" ht="17.15" hidden="false" customHeight="false" outlineLevel="0" collapsed="false">
      <c r="A3373" s="0" t="s">
        <v>683</v>
      </c>
      <c r="B3373" s="0" t="s">
        <v>73</v>
      </c>
      <c r="C3373" s="38" t="n">
        <f aca="false">Sens!$C$3313</f>
        <v>1.64417882953695</v>
      </c>
      <c r="D3373" s="38" t="n">
        <f aca="false">Sens!$D$3313</f>
        <v>3.8781008067718</v>
      </c>
      <c r="E3373" s="38" t="n">
        <f aca="false">Sens!$E$3313</f>
        <v>1.41270258088753</v>
      </c>
      <c r="F3373" s="38" t="n">
        <f aca="false">Sens!$F$3313</f>
        <v>6.50727700583486</v>
      </c>
      <c r="G3373" s="38" t="n">
        <f aca="false">Sens!$G$3313</f>
        <v>7.9199795867224</v>
      </c>
      <c r="H3373" s="38" t="n">
        <f aca="false">Sens!$H$3313</f>
        <v>19.2818189481807</v>
      </c>
      <c r="I3373" s="38" t="n">
        <f aca="false">Sens!$I$3313</f>
        <v>30.140114407202</v>
      </c>
      <c r="J3373" s="38" t="n">
        <f aca="false">Sens!$J$3313</f>
        <v>40.3569468829854</v>
      </c>
      <c r="K3373" s="38" t="n">
        <f aca="false">Sens!$K$3313</f>
        <v>50.0782975081929</v>
      </c>
      <c r="L3373" s="38" t="n">
        <f aca="false">Sens!$L$3313</f>
        <v>61.443331993499</v>
      </c>
      <c r="M3373" s="38" t="n">
        <f aca="false">Sens!$M$3313</f>
        <v>72.2498791587849</v>
      </c>
      <c r="N3373" s="38" t="n">
        <f aca="false">Sens!$N$3313</f>
        <v>0.92264103489199</v>
      </c>
      <c r="O3373" s="38" t="n">
        <f aca="false">Sens!$O$3313</f>
        <v>2.95545977187981</v>
      </c>
    </row>
    <row r="3374" customFormat="false" ht="17.15" hidden="false" customHeight="false" outlineLevel="0" collapsed="false">
      <c r="A3374" s="0" t="s">
        <v>603</v>
      </c>
      <c r="B3374" s="0" t="s">
        <v>73</v>
      </c>
      <c r="C3374" s="38" t="n">
        <f aca="false">Sens!$C$3318</f>
        <v>38.1898211704631</v>
      </c>
      <c r="D3374" s="38" t="n">
        <f aca="false">Sens!$D$3318</f>
        <v>41.7278991932282</v>
      </c>
      <c r="E3374" s="38" t="n">
        <f aca="false">Sens!$E$3318</f>
        <v>29.3692974191125</v>
      </c>
      <c r="F3374" s="38" t="n">
        <f aca="false">Sens!$F$3318</f>
        <v>29.458060516894</v>
      </c>
      <c r="G3374" s="38" t="n">
        <f aca="false">Sens!$G$3318</f>
        <v>58.8273579360065</v>
      </c>
      <c r="H3374" s="38" t="n">
        <f aca="false">Sens!$H$3318</f>
        <v>67.8004040185081</v>
      </c>
      <c r="I3374" s="38" t="n">
        <f aca="false">Sens!$I$3318</f>
        <v>78.9527630302702</v>
      </c>
      <c r="J3374" s="38" t="n">
        <f aca="false">Sens!$J$3318</f>
        <v>88.6042681781841</v>
      </c>
      <c r="K3374" s="38" t="n">
        <f aca="false">Sens!$K$3318</f>
        <v>95.6926096324389</v>
      </c>
      <c r="L3374" s="38" t="n">
        <f aca="false">Sens!$L$3318</f>
        <v>103.348018403034</v>
      </c>
      <c r="M3374" s="38" t="n">
        <f aca="false">Sens!$M$3318</f>
        <v>111.615859875277</v>
      </c>
      <c r="N3374" s="38" t="n">
        <f aca="false">Sens!$N$3318</f>
        <v>20.784358965108</v>
      </c>
      <c r="O3374" s="38" t="n">
        <f aca="false">Sens!$O$3318</f>
        <v>20.9435402281202</v>
      </c>
    </row>
    <row r="3375" customFormat="false" ht="17.15" hidden="false" customHeight="false" outlineLevel="0" collapsed="false">
      <c r="A3375" s="1" t="s">
        <v>684</v>
      </c>
      <c r="B3375" s="8" t="s">
        <v>73</v>
      </c>
      <c r="C3375" s="38" t="n">
        <f aca="false">Q!$D$24</f>
        <v>39.834</v>
      </c>
      <c r="D3375" s="38" t="n">
        <f aca="false">Q!$E$24</f>
        <v>45.606</v>
      </c>
      <c r="E3375" s="38" t="n">
        <f aca="false">Q!$P$24</f>
        <v>30.782</v>
      </c>
      <c r="F3375" s="38" t="n">
        <f aca="false">Sens!$F$3373+Sens!$F$3374</f>
        <v>35.9653375227289</v>
      </c>
      <c r="G3375" s="38" t="n">
        <f aca="false">Sens!$G$3373+Sens!$G$3374</f>
        <v>66.7473375227289</v>
      </c>
      <c r="H3375" s="38" t="n">
        <f aca="false">Sens!$H$3373+Sens!$H$3374</f>
        <v>87.0822229666888</v>
      </c>
      <c r="I3375" s="38" t="n">
        <f aca="false">Sens!$I$3373+Sens!$I$3374</f>
        <v>109.092877437472</v>
      </c>
      <c r="J3375" s="38" t="n">
        <f aca="false">Sens!$J$3373+Sens!$J$3374</f>
        <v>128.96121506117</v>
      </c>
      <c r="K3375" s="38" t="n">
        <f aca="false">Sens!$K$3373+Sens!$K$3374</f>
        <v>145.770907140632</v>
      </c>
      <c r="L3375" s="38" t="n">
        <f aca="false">Sens!$L$3373+Sens!$L$3374</f>
        <v>164.791350396533</v>
      </c>
      <c r="M3375" s="38" t="n">
        <f aca="false">Sens!$M$3373+Sens!$M$3374</f>
        <v>183.865739034062</v>
      </c>
      <c r="N3375" s="38" t="n">
        <f aca="false">Q!$N$24</f>
        <v>21.707</v>
      </c>
      <c r="O3375" s="38" t="n">
        <f aca="false">Q!$O$24</f>
        <v>23.899</v>
      </c>
    </row>
    <row r="3376" customFormat="false" ht="17.15" hidden="false" customHeight="false" outlineLevel="0" collapsed="false">
      <c r="A3376" s="5" t="s">
        <v>685</v>
      </c>
      <c r="B3376" s="0" t="s">
        <v>73</v>
      </c>
      <c r="C3376" s="38" t="n">
        <f aca="false">Q!$D$26</f>
        <v>0</v>
      </c>
      <c r="D3376" s="38" t="n">
        <f aca="false">Q!$E$26</f>
        <v>0</v>
      </c>
      <c r="E3376" s="38" t="n">
        <f aca="false">Q!$P$26</f>
        <v>0</v>
      </c>
      <c r="F3376" s="41" t="n">
        <v>0</v>
      </c>
      <c r="G3376" s="38" t="n">
        <f aca="false">Sens!$E$3376+Sens!$F$3376</f>
        <v>0</v>
      </c>
      <c r="H3376" s="41" t="n">
        <v>0</v>
      </c>
      <c r="I3376" s="41" t="n">
        <v>0</v>
      </c>
      <c r="J3376" s="41" t="n">
        <v>0</v>
      </c>
      <c r="K3376" s="41" t="n">
        <v>0</v>
      </c>
      <c r="L3376" s="41" t="n">
        <v>0</v>
      </c>
      <c r="M3376" s="41" t="n">
        <v>0</v>
      </c>
      <c r="N3376" s="38" t="n">
        <f aca="false">Q!$N$26</f>
        <v>0</v>
      </c>
      <c r="O3376" s="38" t="n">
        <f aca="false">Q!$O$26</f>
        <v>0</v>
      </c>
    </row>
    <row r="3377" customFormat="false" ht="15" hidden="false" customHeight="false" outlineLevel="0" collapsed="false">
      <c r="A3377" s="3" t="s">
        <v>494</v>
      </c>
      <c r="B3377" s="8" t="s">
        <v>73</v>
      </c>
      <c r="C3377" s="38" t="n">
        <f aca="false">Q!$D$25</f>
        <v>68.593</v>
      </c>
      <c r="D3377" s="38" t="n">
        <f aca="false">Q!$E$25</f>
        <v>79.975</v>
      </c>
      <c r="E3377" s="38" t="n">
        <f aca="false">Q!$P$25</f>
        <v>51.313</v>
      </c>
      <c r="F3377" s="38" t="n">
        <f aca="false">Sens!$F$3367+Sens!$F$3372+Sens!$F$3375+Sens!$F$3376</f>
        <v>60.0855111762056</v>
      </c>
      <c r="G3377" s="38" t="n">
        <f aca="false">Sens!$G$3367+Sens!$G$3372+Sens!$G$3375+Sens!$G$3376</f>
        <v>111.398511176206</v>
      </c>
      <c r="H3377" s="38" t="n">
        <f aca="false">Sens!$H$3367+Sens!$H$3372+Sens!$H$3375+Sens!$H$3376</f>
        <v>136.773715227703</v>
      </c>
      <c r="I3377" s="38" t="n">
        <f aca="false">Sens!$I$3367+Sens!$I$3372+Sens!$I$3375+Sens!$I$3376</f>
        <v>162.769362806513</v>
      </c>
      <c r="J3377" s="38" t="n">
        <f aca="false">Sens!$J$3367+Sens!$J$3372+Sens!$J$3375+Sens!$J$3376</f>
        <v>185.942866325474</v>
      </c>
      <c r="K3377" s="38" t="n">
        <f aca="false">Sens!$K$3367+Sens!$K$3372+Sens!$K$3375+Sens!$K$3376</f>
        <v>204.658422869865</v>
      </c>
      <c r="L3377" s="38" t="n">
        <f aca="false">Sens!$L$3367+Sens!$L$3372+Sens!$L$3375+Sens!$L$3376</f>
        <v>225.235689554608</v>
      </c>
      <c r="M3377" s="38" t="n">
        <f aca="false">Sens!$M$3367+Sens!$M$3372+Sens!$M$3375+Sens!$M$3376</f>
        <v>246.627961239526</v>
      </c>
      <c r="N3377" s="38" t="n">
        <f aca="false">Q!$N$25</f>
        <v>37.576</v>
      </c>
      <c r="O3377" s="38" t="n">
        <f aca="false">Q!$O$25</f>
        <v>42.399</v>
      </c>
    </row>
    <row r="3378" customFormat="false" ht="17.15" hidden="false" customHeight="false" outlineLevel="0" collapsed="false">
      <c r="A3378" s="24" t="s">
        <v>711</v>
      </c>
      <c r="B3378" s="25" t="s">
        <v>73</v>
      </c>
      <c r="C3378" s="39" t="n">
        <f aca="false">Sens!$C$3367+Sens!$C$3372+Sens!$C$3375+Sens!$C$3376-Sens!$C$3377</f>
        <v>0</v>
      </c>
      <c r="D3378" s="39" t="n">
        <f aca="false">Sens!$D$3367+Sens!$D$3372+Sens!$D$3375+Sens!$D$3376-Sens!$D$3377</f>
        <v>0</v>
      </c>
      <c r="E3378" s="39" t="n">
        <f aca="false">Sens!$E$3367+Sens!$E$3372+Sens!$E$3375+Sens!$E$3376-Sens!$E$3377</f>
        <v>0</v>
      </c>
      <c r="F3378" s="39" t="n">
        <f aca="false">Sens!$F$3367+Sens!$F$3372+Sens!$F$3375+Sens!$F$3376-Sens!$F$3377</f>
        <v>0</v>
      </c>
      <c r="G3378" s="39" t="n">
        <f aca="false">Sens!$G$3367+Sens!$G$3372+Sens!$G$3375+Sens!$G$3376-Sens!$G$3377</f>
        <v>0</v>
      </c>
      <c r="H3378" s="39" t="n">
        <f aca="false">Sens!$H$3367+Sens!$H$3372+Sens!$H$3375+Sens!$H$3376-Sens!$H$3377</f>
        <v>0</v>
      </c>
      <c r="I3378" s="39" t="n">
        <f aca="false">Sens!$I$3367+Sens!$I$3372+Sens!$I$3375+Sens!$I$3376-Sens!$I$3377</f>
        <v>0</v>
      </c>
      <c r="J3378" s="39" t="n">
        <f aca="false">Sens!$J$3367+Sens!$J$3372+Sens!$J$3375+Sens!$J$3376-Sens!$J$3377</f>
        <v>0</v>
      </c>
      <c r="K3378" s="39" t="n">
        <f aca="false">Sens!$K$3367+Sens!$K$3372+Sens!$K$3375+Sens!$K$3376-Sens!$K$3377</f>
        <v>0</v>
      </c>
      <c r="L3378" s="39" t="n">
        <f aca="false">Sens!$L$3367+Sens!$L$3372+Sens!$L$3375+Sens!$L$3376-Sens!$L$3377</f>
        <v>0</v>
      </c>
      <c r="M3378" s="39" t="n">
        <f aca="false">Sens!$M$3367+Sens!$M$3372+Sens!$M$3375+Sens!$M$3376-Sens!$M$3377</f>
        <v>0</v>
      </c>
      <c r="N3378" s="39" t="n">
        <f aca="false">Sens!$N$3367+Sens!$N$3372+Sens!$N$3375+Sens!$N$3376-Sens!$N$3377</f>
        <v>0</v>
      </c>
      <c r="O3378" s="39" t="n">
        <f aca="false">Sens!$O$3367+Sens!$O$3372+Sens!$O$3375+Sens!$O$3376-Sens!$O$3377</f>
        <v>0</v>
      </c>
    </row>
    <row r="3379" customFormat="false" ht="17.15" hidden="false" customHeight="false" outlineLevel="0" collapsed="false">
      <c r="A3379" s="0" t="s">
        <v>687</v>
      </c>
      <c r="B3379" s="0" t="s">
        <v>52</v>
      </c>
      <c r="C3379" s="12" t="n">
        <f aca="false">Sens!$C$3367/Sens!$C$3352</f>
        <v>0.0644314665661928</v>
      </c>
      <c r="D3379" s="12" t="n">
        <f aca="false">Sens!$D$3367/Sens!$D$3352</f>
        <v>0.0694784250712518</v>
      </c>
      <c r="E3379" s="12" t="n">
        <f aca="false">Sens!$E$3367/Sens!$E$3352</f>
        <v>0.0789306463326071</v>
      </c>
      <c r="F3379" s="12" t="n">
        <f aca="false">Sens!$F$3367/Sens!$F$3352</f>
        <v>0.0822024393665145</v>
      </c>
      <c r="G3379" s="12" t="n">
        <f aca="false">Sens!$G$3367/Sens!$G$3352</f>
        <v>0.080690049267529</v>
      </c>
      <c r="H3379" s="12" t="n">
        <f aca="false">Sens!$H$3367/Sens!$H$3352</f>
        <v>0.0815880040920524</v>
      </c>
      <c r="I3379" s="12" t="n">
        <f aca="false">Sens!$I$3367/Sens!$I$3352</f>
        <v>0.0813093394506194</v>
      </c>
      <c r="J3379" s="12" t="n">
        <f aca="false">Sens!$J$3367/Sens!$J$3352</f>
        <v>0.080771335910006</v>
      </c>
      <c r="K3379" s="12" t="n">
        <f aca="false">Sens!$K$3367/Sens!$K$3352</f>
        <v>0.0794316632111964</v>
      </c>
      <c r="L3379" s="12" t="n">
        <f aca="false">Sens!$L$3367/Sens!$L$3352</f>
        <v>0.0770055487789919</v>
      </c>
      <c r="M3379" s="12" t="n">
        <f aca="false">Sens!$M$3367/Sens!$M$3352</f>
        <v>0.0753352157480662</v>
      </c>
      <c r="N3379" s="12" t="n">
        <f aca="false">Sens!$N$3367/Sens!$N$3352</f>
        <v>0.069228576611127</v>
      </c>
      <c r="O3379" s="12" t="n">
        <f aca="false">Sens!$O$3367/Sens!$O$3352</f>
        <v>0.069685022498393</v>
      </c>
    </row>
    <row r="3380" customFormat="false" ht="17.15" hidden="false" customHeight="false" outlineLevel="0" collapsed="false">
      <c r="A3380" s="0" t="s">
        <v>688</v>
      </c>
      <c r="B3380" s="0" t="s">
        <v>52</v>
      </c>
      <c r="C3380" s="12" t="n">
        <f aca="false">Sens!$C$3372/Sens!$C$3353</f>
        <v>0.026534925055631</v>
      </c>
      <c r="D3380" s="12" t="n">
        <f aca="false">Sens!$D$3372/Sens!$D$3353</f>
        <v>0.0293401855535103</v>
      </c>
      <c r="E3380" s="12" t="n">
        <f aca="false">Sens!$E$3372/Sens!$E$3353</f>
        <v>0.03831141902276</v>
      </c>
      <c r="F3380" s="12" t="n">
        <f aca="false">Sens!$F$3372/Sens!$F$3353</f>
        <v>0.0303218244821949</v>
      </c>
      <c r="G3380" s="12" t="n">
        <f aca="false">Sens!$G$3372/Sens!$G$3353</f>
        <v>0.0339087294548161</v>
      </c>
      <c r="H3380" s="12" t="n">
        <f aca="false">Sens!$H$3372/Sens!$H$3353</f>
        <v>0.0328123265001654</v>
      </c>
      <c r="I3380" s="12" t="n">
        <f aca="false">Sens!$I$3372/Sens!$I$3353</f>
        <v>0.0305156886356677</v>
      </c>
      <c r="J3380" s="12" t="n">
        <f aca="false">Sens!$J$3372/Sens!$J$3353</f>
        <v>0.0278959528706923</v>
      </c>
      <c r="K3380" s="12" t="n">
        <f aca="false">Sens!$K$3372/Sens!$K$3353</f>
        <v>0.0243687885729931</v>
      </c>
      <c r="L3380" s="12" t="n">
        <f aca="false">Sens!$L$3372/Sens!$L$3353</f>
        <v>0.0222921045084212</v>
      </c>
      <c r="M3380" s="12" t="n">
        <f aca="false">Sens!$M$3372/Sens!$M$3353</f>
        <v>0.0209792303162364</v>
      </c>
      <c r="N3380" s="12" t="n">
        <f aca="false">Sens!$N$3372/Sens!$N$3353</f>
        <v>0.0357315650169337</v>
      </c>
      <c r="O3380" s="12" t="n">
        <f aca="false">Sens!$O$3372/Sens!$O$3353</f>
        <v>0.0244378956559703</v>
      </c>
    </row>
    <row r="3381" customFormat="false" ht="17.15" hidden="false" customHeight="false" outlineLevel="0" collapsed="false">
      <c r="A3381" s="13" t="s">
        <v>689</v>
      </c>
      <c r="B3381" s="13" t="s">
        <v>52</v>
      </c>
      <c r="C3381" s="16" t="n">
        <f aca="false">Sens!$C$3375/Sens!$C$3354</f>
        <v>0.370355907620217</v>
      </c>
      <c r="D3381" s="16" t="n">
        <f aca="false">Sens!$D$3375/Sens!$D$3354</f>
        <v>0.35429015342785</v>
      </c>
      <c r="E3381" s="16" t="n">
        <f aca="false">Sens!$E$3375/Sens!$E$3354</f>
        <v>0.385647527531039</v>
      </c>
      <c r="F3381" s="16" t="n">
        <f aca="false">Sens!$F$3375/Sens!$F$3354</f>
        <v>0.384415729470259</v>
      </c>
      <c r="G3381" s="16" t="n">
        <f aca="false">Sens!$G$3375/Sens!$G$3354</f>
        <v>0.38498282105443</v>
      </c>
      <c r="H3381" s="16" t="n">
        <f aca="false">Sens!$H$3375/Sens!$H$3354</f>
        <v>0.361247909668527</v>
      </c>
      <c r="I3381" s="16" t="n">
        <f aca="false">Sens!$I$3375/Sens!$I$3354</f>
        <v>0.349486287974975</v>
      </c>
      <c r="J3381" s="16" t="n">
        <f aca="false">Sens!$J$3375/Sens!$J$3354</f>
        <v>0.339886531832068</v>
      </c>
      <c r="K3381" s="16" t="n">
        <f aca="false">Sens!$K$3375/Sens!$K$3354</f>
        <v>0.33135833762061</v>
      </c>
      <c r="L3381" s="16" t="n">
        <f aca="false">Sens!$L$3375/Sens!$L$3354</f>
        <v>0.328299068185284</v>
      </c>
      <c r="M3381" s="16" t="n">
        <f aca="false">Sens!$M$3375/Sens!$M$3354</f>
        <v>0.325058049465166</v>
      </c>
      <c r="N3381" s="16" t="n">
        <f aca="false">Sens!$N$3375/Sens!$N$3354</f>
        <v>0.360941137346192</v>
      </c>
      <c r="O3381" s="16" t="n">
        <f aca="false">Sens!$O$3375/Sens!$O$3354</f>
        <v>0.348458117664212</v>
      </c>
    </row>
    <row r="3382" customFormat="false" ht="17.15" hidden="false" customHeight="false" outlineLevel="0" collapsed="false">
      <c r="A3382" s="0" t="s">
        <v>690</v>
      </c>
      <c r="B3382" s="0" t="s">
        <v>52</v>
      </c>
      <c r="C3382" s="12" t="n">
        <f aca="false">Sens!$C$3373/Sens!$C$3355</f>
        <v>0.708390794789371</v>
      </c>
      <c r="D3382" s="12" t="n">
        <f aca="false">Sens!$D$3373/Sens!$D$3355</f>
        <v>0.445565630441968</v>
      </c>
      <c r="E3382" s="12" t="n">
        <f aca="false">Sens!$E$3373/Sens!$E$3355</f>
        <v>0.165998118402711</v>
      </c>
      <c r="F3382" s="12" t="n">
        <f aca="false">Sens!$F$3373/Sens!$F$3355</f>
        <v>0.434878595403858</v>
      </c>
      <c r="G3382" s="12" t="n">
        <f aca="false">Sens!$G$3373/Sens!$G$3355</f>
        <v>0.3373967615381</v>
      </c>
      <c r="H3382" s="12" t="n">
        <f aca="false">Sens!$H$3373/Sens!$H$3355</f>
        <v>0.320477578041224</v>
      </c>
      <c r="I3382" s="12" t="n">
        <f aca="false">Sens!$I$3373/Sens!$I$3355</f>
        <v>0.296936118226494</v>
      </c>
      <c r="J3382" s="12" t="n">
        <f aca="false">Sens!$J$3373/Sens!$J$3355</f>
        <v>0.282166278613001</v>
      </c>
      <c r="K3382" s="12" t="n">
        <f aca="false">Sens!$K$3373/Sens!$K$3355</f>
        <v>0.271267685694333</v>
      </c>
      <c r="L3382" s="12" t="n">
        <f aca="false">Sens!$L$3373/Sens!$L$3355</f>
        <v>0.27160960915653</v>
      </c>
      <c r="M3382" s="12" t="n">
        <f aca="false">Sens!$M$3373/Sens!$M$3355</f>
        <v>0.26974494804234</v>
      </c>
      <c r="N3382" s="12" t="n">
        <f aca="false">Sens!$N$3373/Sens!$N$3355</f>
        <v>0.302870734830849</v>
      </c>
      <c r="O3382" s="12" t="n">
        <f aca="false">Sens!$O$3373/Sens!$O$3355</f>
        <v>0.52240134346334</v>
      </c>
    </row>
    <row r="3383" customFormat="false" ht="15" hidden="false" customHeight="false" outlineLevel="0" collapsed="false">
      <c r="A3383" s="5" t="s">
        <v>691</v>
      </c>
      <c r="B3383" s="0" t="s">
        <v>52</v>
      </c>
      <c r="C3383" s="12" t="n">
        <f aca="false">Sens!$C$3377/Sens!$C$3357</f>
        <v>0.107519448742004</v>
      </c>
      <c r="D3383" s="12" t="n">
        <f aca="false">Sens!$D$3377/Sens!$D$3357</f>
        <v>0.111552967957552</v>
      </c>
      <c r="E3383" s="12" t="n">
        <f aca="false">Sens!$E$3377/Sens!$E$3357</f>
        <v>0.13428328426562</v>
      </c>
      <c r="F3383" s="12" t="n">
        <f aca="false">Sens!$F$3377/Sens!$F$3357</f>
        <v>0.133376681381126</v>
      </c>
      <c r="G3383" s="12" t="n">
        <f aca="false">Sens!$G$3377/Sens!$G$3357</f>
        <v>0.133792760360692</v>
      </c>
      <c r="H3383" s="12" t="n">
        <f aca="false">Sens!$H$3377/Sens!$H$3357</f>
        <v>0.140859312957973</v>
      </c>
      <c r="I3383" s="12" t="n">
        <f aca="false">Sens!$I$3377/Sens!$I$3357</f>
        <v>0.146579949495147</v>
      </c>
      <c r="J3383" s="12" t="n">
        <f aca="false">Sens!$J$3377/Sens!$J$3357</f>
        <v>0.149813638611614</v>
      </c>
      <c r="K3383" s="12" t="n">
        <f aca="false">Sens!$K$3377/Sens!$K$3357</f>
        <v>0.150763853586216</v>
      </c>
      <c r="L3383" s="12" t="n">
        <f aca="false">Sens!$L$3377/Sens!$L$3357</f>
        <v>0.152264459975359</v>
      </c>
      <c r="M3383" s="12" t="n">
        <f aca="false">Sens!$M$3377/Sens!$M$3357</f>
        <v>0.153485010930226</v>
      </c>
      <c r="N3383" s="12" t="n">
        <f aca="false">Sens!$N$3377/Sens!$N$3357</f>
        <v>0.116201614873411</v>
      </c>
      <c r="O3383" s="12" t="n">
        <f aca="false">Sens!$O$3377/Sens!$O$3357</f>
        <v>0.107733353660861</v>
      </c>
    </row>
    <row r="3384" customFormat="false" ht="17.15" hidden="false" customHeight="false" outlineLevel="0" collapsed="false">
      <c r="A3384" s="1" t="s">
        <v>692</v>
      </c>
    </row>
    <row r="3385" customFormat="false" ht="17.15" hidden="false" customHeight="false" outlineLevel="0" collapsed="false">
      <c r="A3385" s="5" t="s">
        <v>693</v>
      </c>
      <c r="B3385" s="0" t="s">
        <v>52</v>
      </c>
      <c r="D3385" s="28" t="n">
        <f aca="false">(Q!$E$29+Q!$E$30-(1-ext_sh)*Sens!$D$3309)/Sens!$D$3267</f>
        <v>0.0334674312393194</v>
      </c>
    </row>
    <row r="3386" customFormat="false" ht="17.15" hidden="false" customHeight="false" outlineLevel="0" collapsed="false">
      <c r="A3386" s="0" t="s">
        <v>498</v>
      </c>
      <c r="B3386" s="0" t="s">
        <v>73</v>
      </c>
      <c r="C3386" s="38" t="n">
        <f aca="false">Q!$D$29</f>
        <v>14.285</v>
      </c>
      <c r="D3386" s="38" t="n">
        <f aca="false">Q!$E$29</f>
        <v>15.503</v>
      </c>
      <c r="E3386" s="38" t="n">
        <f aca="false">Q!$P$29</f>
        <v>8.78</v>
      </c>
      <c r="F3386" s="38" t="n">
        <f aca="false">(Sens!$D$3385*Sens!$F$3267+(1-ext_sh)*Sens!$F$3309)*Sens!$F$3268</f>
        <v>9.51361751569285</v>
      </c>
      <c r="G3386" s="38" t="n">
        <f aca="false">Sens!$E$3386+Sens!$F$3386</f>
        <v>18.2936175156929</v>
      </c>
      <c r="H3386" s="38" t="n">
        <f aca="false">(Sens!$D$3385*Sens!$H$3267+(1-ext_sh)*Sens!$H$3309)*Sens!$H$3268</f>
        <v>22.7653661801943</v>
      </c>
      <c r="I3386" s="38" t="n">
        <f aca="false">(Sens!$D$3385*Sens!$I$3267+(1-ext_sh)*Sens!$I$3309)*Sens!$I$3268</f>
        <v>28.4281317305062</v>
      </c>
      <c r="J3386" s="38" t="n">
        <f aca="false">(Sens!$D$3385*Sens!$J$3267+(1-ext_sh)*Sens!$J$3309)*Sens!$J$3268</f>
        <v>34.1182922009732</v>
      </c>
      <c r="K3386" s="38" t="n">
        <f aca="false">(Sens!$D$3385*Sens!$K$3267+(1-ext_sh)*Sens!$K$3309)*Sens!$K$3268</f>
        <v>39.7237727987046</v>
      </c>
      <c r="L3386" s="38" t="n">
        <f aca="false">(Sens!$D$3385*Sens!$L$3267+(1-ext_sh)*Sens!$L$3309)*Sens!$L$3268</f>
        <v>45.1313127180263</v>
      </c>
      <c r="M3386" s="38" t="n">
        <f aca="false">(Sens!$D$3385*Sens!$M$3267+(1-ext_sh)*Sens!$M$3309)*Sens!$M$3268</f>
        <v>50.743940615442</v>
      </c>
      <c r="N3386" s="38" t="n">
        <f aca="false">Q!$N$29</f>
        <v>7.272</v>
      </c>
      <c r="O3386" s="38" t="n">
        <f aca="false">Q!$O$29</f>
        <v>8.231</v>
      </c>
    </row>
    <row r="3387" customFormat="false" ht="17.15" hidden="false" customHeight="false" outlineLevel="0" collapsed="false">
      <c r="A3387" s="0" t="s">
        <v>500</v>
      </c>
      <c r="B3387" s="0" t="s">
        <v>73</v>
      </c>
      <c r="C3387" s="38" t="n">
        <f aca="false">Q!$D$30</f>
        <v>4.462</v>
      </c>
      <c r="D3387" s="38" t="n">
        <f aca="false">Q!$E$30</f>
        <v>4.907</v>
      </c>
      <c r="E3387" s="38" t="n">
        <f aca="false">Q!$P$30</f>
        <v>2.57</v>
      </c>
      <c r="F3387" s="38" t="n">
        <f aca="false">(Sens!$D$3385*Sens!$F$3267+(1-ext_sh)*Sens!$F$3309)*(1-Sens!$F$3268)</f>
        <v>3.7353230631574</v>
      </c>
      <c r="G3387" s="38" t="n">
        <f aca="false">Sens!$E$3387+Sens!$F$3387</f>
        <v>6.3053230631574</v>
      </c>
      <c r="H3387" s="38" t="n">
        <f aca="false">(Sens!$D$3385*Sens!$H$3267+(1-ext_sh)*Sens!$H$3309)*(1-Sens!$H$3268)</f>
        <v>8.72254636724805</v>
      </c>
      <c r="I3387" s="38" t="n">
        <f aca="false">(Sens!$D$3385*Sens!$I$3267+(1-ext_sh)*Sens!$I$3309)*(1-Sens!$I$3268)</f>
        <v>10.8922340713019</v>
      </c>
      <c r="J3387" s="38" t="n">
        <f aca="false">(Sens!$D$3385*Sens!$J$3267+(1-ext_sh)*Sens!$J$3309)*(1-Sens!$J$3268)</f>
        <v>13.0724181345791</v>
      </c>
      <c r="K3387" s="38" t="n">
        <f aca="false">(Sens!$D$3385*Sens!$K$3267+(1-ext_sh)*Sens!$K$3309)*(1-Sens!$K$3268)</f>
        <v>15.2201571183236</v>
      </c>
      <c r="L3387" s="38" t="n">
        <f aca="false">(Sens!$D$3385*Sens!$L$3267+(1-ext_sh)*Sens!$L$3309)*(1-Sens!$L$3268)</f>
        <v>17.2920551631732</v>
      </c>
      <c r="M3387" s="38" t="n">
        <f aca="false">(Sens!$D$3385*Sens!$M$3267+(1-ext_sh)*Sens!$M$3309)*(1-Sens!$M$3268)</f>
        <v>19.4425326336348</v>
      </c>
      <c r="N3387" s="38" t="n">
        <f aca="false">Q!$N$30</f>
        <v>2.316</v>
      </c>
      <c r="O3387" s="38" t="n">
        <f aca="false">Q!$O$30</f>
        <v>2.591</v>
      </c>
    </row>
    <row r="3388" customFormat="false" ht="17.15" hidden="false" customHeight="false" outlineLevel="0" collapsed="false">
      <c r="A3388" s="0" t="s">
        <v>501</v>
      </c>
      <c r="B3388" s="0" t="s">
        <v>73</v>
      </c>
      <c r="C3388" s="38" t="n">
        <f aca="false">Sens!$C$3321</f>
        <v>13.32</v>
      </c>
      <c r="D3388" s="38" t="n">
        <f aca="false">Sens!$D$3321</f>
        <v>21.45</v>
      </c>
      <c r="E3388" s="38" t="n">
        <f aca="false">Sens!$E$3321</f>
        <v>15.353</v>
      </c>
      <c r="F3388" s="38" t="n">
        <f aca="false">Sens!$F$3321</f>
        <v>17.3614451462707</v>
      </c>
      <c r="G3388" s="38" t="n">
        <f aca="false">Sens!$G$3321</f>
        <v>32.7144451462707</v>
      </c>
      <c r="H3388" s="38" t="n">
        <f aca="false">Sens!$H$3321</f>
        <v>56.1966092719415</v>
      </c>
      <c r="I3388" s="38" t="n">
        <f aca="false">Sens!$I$3321</f>
        <v>82.9744039068297</v>
      </c>
      <c r="J3388" s="38" t="n">
        <f aca="false">Sens!$J$3321</f>
        <v>109.943252237669</v>
      </c>
      <c r="K3388" s="38" t="n">
        <f aca="false">Sens!$K$3321</f>
        <v>136.406703436571</v>
      </c>
      <c r="L3388" s="38" t="n">
        <f aca="false">Sens!$L$3321</f>
        <v>161.485870454155</v>
      </c>
      <c r="M3388" s="38" t="n">
        <f aca="false">Sens!$M$3321</f>
        <v>187.389846618199</v>
      </c>
      <c r="N3388" s="38" t="n">
        <f aca="false">Sens!$N$3321</f>
        <v>9.234</v>
      </c>
      <c r="O3388" s="38" t="n">
        <f aca="false">Sens!$O$3321</f>
        <v>12.216</v>
      </c>
    </row>
    <row r="3389" customFormat="false" ht="17.15" hidden="false" customHeight="false" outlineLevel="0" collapsed="false">
      <c r="A3389" s="5" t="s">
        <v>694</v>
      </c>
      <c r="B3389" s="0" t="s">
        <v>73</v>
      </c>
      <c r="C3389" s="38" t="n">
        <f aca="false">Sens!$C$3386+Sens!$C$3387+Sens!$C$3388</f>
        <v>32.067</v>
      </c>
      <c r="D3389" s="38" t="n">
        <f aca="false">Sens!$D$3386+Sens!$D$3387+Sens!$D$3388</f>
        <v>41.86</v>
      </c>
      <c r="E3389" s="38" t="n">
        <f aca="false">Sens!$E$3386+Sens!$E$3387+Sens!$E$3388</f>
        <v>26.703</v>
      </c>
      <c r="F3389" s="38" t="n">
        <f aca="false">Sens!$F$3386+Sens!$F$3387+Sens!$F$3388</f>
        <v>30.6103857251209</v>
      </c>
      <c r="G3389" s="38" t="n">
        <f aca="false">Sens!$G$3386+Sens!$G$3387+Sens!$G$3388</f>
        <v>57.3133857251209</v>
      </c>
      <c r="H3389" s="38" t="n">
        <f aca="false">Sens!$H$3386+Sens!$H$3387+Sens!$H$3388</f>
        <v>87.6845218193838</v>
      </c>
      <c r="I3389" s="38" t="n">
        <f aca="false">Sens!$I$3386+Sens!$I$3387+Sens!$I$3388</f>
        <v>122.294769708638</v>
      </c>
      <c r="J3389" s="38" t="n">
        <f aca="false">Sens!$J$3386+Sens!$J$3387+Sens!$J$3388</f>
        <v>157.133962573221</v>
      </c>
      <c r="K3389" s="38" t="n">
        <f aca="false">Sens!$K$3386+Sens!$K$3387+Sens!$K$3388</f>
        <v>191.350633353599</v>
      </c>
      <c r="L3389" s="38" t="n">
        <f aca="false">Sens!$L$3386+Sens!$L$3387+Sens!$L$3388</f>
        <v>223.909238335354</v>
      </c>
      <c r="M3389" s="38" t="n">
        <f aca="false">Sens!$M$3386+Sens!$M$3387+Sens!$M$3388</f>
        <v>257.576319867276</v>
      </c>
      <c r="N3389" s="38" t="n">
        <f aca="false">Sens!$N$3386+Sens!$N$3387+Sens!$N$3388</f>
        <v>18.822</v>
      </c>
      <c r="O3389" s="38" t="n">
        <f aca="false">Sens!$O$3386+Sens!$O$3387+Sens!$O$3388</f>
        <v>23.038</v>
      </c>
    </row>
    <row r="3390" customFormat="false" ht="17.15" hidden="false" customHeight="false" outlineLevel="0" collapsed="false">
      <c r="A3390" s="0" t="s">
        <v>695</v>
      </c>
      <c r="B3390" s="0" t="s">
        <v>73</v>
      </c>
      <c r="C3390" s="38" t="n">
        <f aca="false">Sens!$C$3363+Sens!$C$3368</f>
        <v>33.7284</v>
      </c>
      <c r="D3390" s="38" t="n">
        <f aca="false">Sens!$D$3363+Sens!$D$3368</f>
        <v>41.181</v>
      </c>
      <c r="E3390" s="38" t="n">
        <f aca="false">Sens!$E$3363+Sens!$E$3368</f>
        <v>22.2312</v>
      </c>
      <c r="F3390" s="38" t="n">
        <f aca="false">Sens!$F$3363+Sens!$F$3368</f>
        <v>28.8920029096429</v>
      </c>
      <c r="G3390" s="38" t="n">
        <f aca="false">Sens!$G$3363+Sens!$G$3368</f>
        <v>51.1232029096429</v>
      </c>
      <c r="H3390" s="38" t="n">
        <f aca="false">Sens!$H$3363+Sens!$H$3368</f>
        <v>61.3760171153642</v>
      </c>
      <c r="I3390" s="38" t="n">
        <f aca="false">Sens!$I$3363+Sens!$I$3368</f>
        <v>71.6279025511446</v>
      </c>
      <c r="J3390" s="38" t="n">
        <f aca="false">Sens!$J$3363+Sens!$J$3368</f>
        <v>81.1914474293065</v>
      </c>
      <c r="K3390" s="38" t="n">
        <f aca="false">Sens!$K$3363+Sens!$K$3368</f>
        <v>89.3105921722372</v>
      </c>
      <c r="L3390" s="38" t="n">
        <f aca="false">Sens!$L$3363+Sens!$L$3368</f>
        <v>98.2416513894609</v>
      </c>
      <c r="M3390" s="38" t="n">
        <f aca="false">Sens!$M$3363+Sens!$M$3368</f>
        <v>108.065816528407</v>
      </c>
      <c r="N3390" s="38" t="n">
        <f aca="false">Sens!$N$3363+Sens!$N$3368</f>
        <v>17.769</v>
      </c>
      <c r="O3390" s="38" t="n">
        <f aca="false">Sens!$O$3363+Sens!$O$3368</f>
        <v>23.412</v>
      </c>
    </row>
    <row r="3391" customFormat="false" ht="17.15" hidden="false" customHeight="false" outlineLevel="0" collapsed="false">
      <c r="A3391" s="0" t="s">
        <v>696</v>
      </c>
      <c r="B3391" s="0" t="s">
        <v>73</v>
      </c>
      <c r="C3391" s="38" t="n">
        <f aca="false">Sens!$C$3367+Sens!$C$3372+Sens!$C$3386+Sens!$C$3387-Sens!$C$3390</f>
        <v>13.7776</v>
      </c>
      <c r="D3391" s="38" t="n">
        <f aca="false">Sens!$D$3367+Sens!$D$3372+Sens!$D$3386+Sens!$D$3387-Sens!$D$3390</f>
        <v>13.598</v>
      </c>
      <c r="E3391" s="38" t="n">
        <f aca="false">Sens!$E$3367+Sens!$E$3372+Sens!$E$3386+Sens!$E$3387-Sens!$E$3390</f>
        <v>9.6498</v>
      </c>
      <c r="F3391" s="38" t="n">
        <f aca="false">Sens!$F$3367+Sens!$F$3372+Sens!$F$3386+Sens!$F$3387-Sens!$F$3390</f>
        <v>8.47711132268411</v>
      </c>
      <c r="G3391" s="38" t="n">
        <f aca="false">Sens!$G$3367+Sens!$G$3372+Sens!$G$3386+Sens!$G$3387-Sens!$G$3390</f>
        <v>18.1269113226841</v>
      </c>
      <c r="H3391" s="38" t="n">
        <f aca="false">Sens!$H$3367+Sens!$H$3372+Sens!$H$3386+Sens!$H$3387-Sens!$H$3390</f>
        <v>19.8033876930923</v>
      </c>
      <c r="I3391" s="38" t="n">
        <f aca="false">Sens!$I$3367+Sens!$I$3372+Sens!$I$3386+Sens!$I$3387-Sens!$I$3390</f>
        <v>21.3689486197041</v>
      </c>
      <c r="J3391" s="38" t="n">
        <f aca="false">Sens!$J$3367+Sens!$J$3372+Sens!$J$3386+Sens!$J$3387-Sens!$J$3390</f>
        <v>22.98091417055</v>
      </c>
      <c r="K3391" s="38" t="n">
        <f aca="false">Sens!$K$3367+Sens!$K$3372+Sens!$K$3386+Sens!$K$3387-Sens!$K$3390</f>
        <v>24.5208534740247</v>
      </c>
      <c r="L3391" s="38" t="n">
        <f aca="false">Sens!$L$3367+Sens!$L$3372+Sens!$L$3386+Sens!$L$3387-Sens!$L$3390</f>
        <v>24.6260556498141</v>
      </c>
      <c r="M3391" s="38" t="n">
        <f aca="false">Sens!$M$3367+Sens!$M$3372+Sens!$M$3386+Sens!$M$3387-Sens!$M$3390</f>
        <v>24.8828789261341</v>
      </c>
      <c r="N3391" s="38" t="n">
        <f aca="false">Sens!$N$3367+Sens!$N$3372+Sens!$N$3386+Sens!$N$3387-Sens!$N$3390</f>
        <v>7.688</v>
      </c>
      <c r="O3391" s="38" t="n">
        <f aca="false">Sens!$O$3367+Sens!$O$3372+Sens!$O$3386+Sens!$O$3387-Sens!$O$3390</f>
        <v>5.91000000000001</v>
      </c>
    </row>
    <row r="3392" customFormat="false" ht="17.15" hidden="false" customHeight="false" outlineLevel="0" collapsed="false">
      <c r="A3392" s="0" t="s">
        <v>697</v>
      </c>
      <c r="B3392" s="0" t="s">
        <v>73</v>
      </c>
      <c r="C3392" s="38" t="n">
        <f aca="false">Sens!$C$3374+Sens!$C$3388-ext_sh*Sens!$C$3309</f>
        <v>51.3470500115664</v>
      </c>
      <c r="D3392" s="38" t="n">
        <f aca="false">Sens!$D$3374+Sens!$D$3388-ext_sh*Sens!$D$3309</f>
        <v>60.2799375433739</v>
      </c>
      <c r="E3392" s="38" t="n">
        <f aca="false">Sens!$E$3374+Sens!$E$3388-ext_sh*Sens!$E$3309</f>
        <v>39.5095167090767</v>
      </c>
      <c r="F3392" s="38" t="n">
        <f aca="false">Sens!$F$3374+Sens!$F$3388-ext_sh*Sens!$F$3309</f>
        <v>41.606724953129</v>
      </c>
      <c r="G3392" s="38" t="n">
        <f aca="false">Sens!$G$3374+Sens!$G$3388-ext_sh*Sens!$G$3309</f>
        <v>81.1162416622057</v>
      </c>
      <c r="H3392" s="38" t="n">
        <f aca="false">Sens!$H$3374+Sens!$H$3388-ext_sh*Sens!$H$3309</f>
        <v>95.7616595325849</v>
      </c>
      <c r="I3392" s="38" t="n">
        <f aca="false">Sens!$I$3374+Sens!$I$3388-ext_sh*Sens!$I$3309</f>
        <v>111.513312079935</v>
      </c>
      <c r="J3392" s="38" t="n">
        <f aca="false">Sens!$J$3374+Sens!$J$3388-ext_sh*Sens!$J$3309</f>
        <v>125.145150463955</v>
      </c>
      <c r="K3392" s="38" t="n">
        <f aca="false">Sens!$K$3374+Sens!$K$3388-ext_sh*Sens!$K$3309</f>
        <v>135.156762501071</v>
      </c>
      <c r="L3392" s="38" t="n">
        <f aca="false">Sens!$L$3374+Sens!$L$3388-ext_sh*Sens!$L$3309</f>
        <v>145.969303501157</v>
      </c>
      <c r="M3392" s="38" t="n">
        <f aca="false">Sens!$M$3374+Sens!$M$3388-ext_sh*Sens!$M$3309</f>
        <v>157.646847781249</v>
      </c>
      <c r="N3392" s="38" t="n">
        <f aca="false">Sens!$N$3374+Sens!$N$3388-ext_sh*Sens!$N$3309</f>
        <v>28.5693781401809</v>
      </c>
      <c r="O3392" s="38" t="n">
        <f aca="false">Sens!$O$3374+Sens!$O$3388-ext_sh*Sens!$O$3309</f>
        <v>31.7105594031931</v>
      </c>
    </row>
    <row r="3393" customFormat="false" ht="17.15" hidden="false" customHeight="false" outlineLevel="0" collapsed="false">
      <c r="A3393" s="0" t="s">
        <v>698</v>
      </c>
      <c r="B3393" s="0" t="s">
        <v>73</v>
      </c>
      <c r="C3393" s="38" t="n">
        <f aca="false">Sens!$C$3312</f>
        <v>1.80694998843362</v>
      </c>
      <c r="D3393" s="38" t="n">
        <f aca="false">Sens!$D$3312</f>
        <v>6.77606245662607</v>
      </c>
      <c r="E3393" s="38" t="n">
        <f aca="false">Sens!$E$3312</f>
        <v>6.62548329092326</v>
      </c>
      <c r="F3393" s="38" t="n">
        <f aca="false">Sens!$F$3312</f>
        <v>11.7200577158706</v>
      </c>
      <c r="G3393" s="38" t="n">
        <f aca="false">Sens!$G$3312</f>
        <v>18.3455410067939</v>
      </c>
      <c r="H3393" s="38" t="n">
        <f aca="false">Sens!$H$3312</f>
        <v>47.5171727060453</v>
      </c>
      <c r="I3393" s="38" t="n">
        <f aca="false">Sens!$I$3312</f>
        <v>80.5539692643667</v>
      </c>
      <c r="J3393" s="38" t="n">
        <f aca="false">Sens!$J$3312</f>
        <v>113.759316834883</v>
      </c>
      <c r="K3393" s="38" t="n">
        <f aca="false">Sens!$K$3312</f>
        <v>147.020848076132</v>
      </c>
      <c r="L3393" s="38" t="n">
        <f aca="false">Sens!$L$3312</f>
        <v>180.307917349531</v>
      </c>
      <c r="M3393" s="38" t="n">
        <f aca="false">Sens!$M$3312</f>
        <v>213.608737871012</v>
      </c>
      <c r="N3393" s="38" t="n">
        <f aca="false">Sens!$N$3312</f>
        <v>2.37162185981912</v>
      </c>
      <c r="O3393" s="38" t="n">
        <f aca="false">Sens!$O$3312</f>
        <v>4.40444059680694</v>
      </c>
    </row>
    <row r="3394" customFormat="false" ht="17.15" hidden="false" customHeight="false" outlineLevel="0" collapsed="false">
      <c r="A3394" s="0" t="s">
        <v>699</v>
      </c>
      <c r="B3394" s="0" t="s">
        <v>73</v>
      </c>
      <c r="C3394" s="38" t="n">
        <f aca="false">Sens!$C$3377+Sens!$C$3389</f>
        <v>100.66</v>
      </c>
      <c r="D3394" s="38" t="n">
        <f aca="false">Sens!$D$3377+Sens!$D$3389</f>
        <v>121.835</v>
      </c>
      <c r="E3394" s="38" t="n">
        <f aca="false">Sens!$E$3377+Sens!$E$3389</f>
        <v>78.016</v>
      </c>
      <c r="F3394" s="38" t="n">
        <f aca="false">Sens!$F$3377+Sens!$F$3389</f>
        <v>90.6958969013266</v>
      </c>
      <c r="G3394" s="38" t="n">
        <f aca="false">Sens!$G$3377+Sens!$G$3389</f>
        <v>168.711896901327</v>
      </c>
      <c r="H3394" s="38" t="n">
        <f aca="false">Sens!$H$3377+Sens!$H$3389</f>
        <v>224.458237047087</v>
      </c>
      <c r="I3394" s="38" t="n">
        <f aca="false">Sens!$I$3377+Sens!$I$3389</f>
        <v>285.064132515151</v>
      </c>
      <c r="J3394" s="38" t="n">
        <f aca="false">Sens!$J$3377+Sens!$J$3389</f>
        <v>343.076828898695</v>
      </c>
      <c r="K3394" s="38" t="n">
        <f aca="false">Sens!$K$3377+Sens!$K$3389</f>
        <v>396.009056223465</v>
      </c>
      <c r="L3394" s="38" t="n">
        <f aca="false">Sens!$L$3377+Sens!$L$3389</f>
        <v>449.144927889963</v>
      </c>
      <c r="M3394" s="38" t="n">
        <f aca="false">Sens!$M$3377+Sens!$M$3389</f>
        <v>504.204281106802</v>
      </c>
      <c r="N3394" s="38" t="n">
        <f aca="false">Sens!$N$3377+Sens!$N$3389</f>
        <v>56.398</v>
      </c>
      <c r="O3394" s="38" t="n">
        <f aca="false">Sens!$O$3377+Sens!$O$3389</f>
        <v>65.437</v>
      </c>
    </row>
    <row r="3395" customFormat="false" ht="17.15" hidden="false" customHeight="false" outlineLevel="0" collapsed="false">
      <c r="A3395" s="1" t="s">
        <v>700</v>
      </c>
    </row>
    <row r="3396" customFormat="false" ht="15" hidden="false" customHeight="false" outlineLevel="0" collapsed="false">
      <c r="A3396" s="5" t="s">
        <v>504</v>
      </c>
      <c r="B3396" s="0" t="s">
        <v>73</v>
      </c>
      <c r="C3396" s="38" t="n">
        <f aca="false">Q!$D$34</f>
        <v>2.406</v>
      </c>
      <c r="D3396" s="38" t="n">
        <f aca="false">Q!$E$34</f>
        <v>2.274</v>
      </c>
      <c r="E3396" s="38" t="n">
        <f aca="false">Q!$P$34</f>
        <v>2.114</v>
      </c>
      <c r="F3396" s="38" t="n">
        <f aca="false">Sens!$F$3432</f>
        <v>3.24888964316061</v>
      </c>
      <c r="G3396" s="38" t="n">
        <f aca="false">Sens!$E$3396+Sens!$F$3396</f>
        <v>5.36288964316061</v>
      </c>
      <c r="H3396" s="38" t="n">
        <f aca="false">Sens!$H$3432</f>
        <v>7.42354178632123</v>
      </c>
      <c r="I3396" s="38" t="n">
        <f aca="false">Sens!$I$3432</f>
        <v>7.44791559409006</v>
      </c>
      <c r="J3396" s="38" t="n">
        <f aca="false">Sens!$J$3432</f>
        <v>7.58600602233655</v>
      </c>
      <c r="K3396" s="38" t="n">
        <f aca="false">Sens!$K$3432</f>
        <v>7.58600602233655</v>
      </c>
      <c r="L3396" s="38" t="n">
        <f aca="false">Sens!$L$3432</f>
        <v>7.58600602233655</v>
      </c>
      <c r="M3396" s="38" t="n">
        <f aca="false">Sens!$M$3432</f>
        <v>7.58600602233655</v>
      </c>
      <c r="N3396" s="38" t="n">
        <f aca="false">Q!$N$34</f>
        <v>1.057</v>
      </c>
      <c r="O3396" s="38" t="n">
        <f aca="false">Q!$O$34</f>
        <v>1.217</v>
      </c>
    </row>
    <row r="3397" customFormat="false" ht="15" hidden="false" customHeight="false" outlineLevel="0" collapsed="false">
      <c r="A3397" s="5" t="s">
        <v>701</v>
      </c>
      <c r="B3397" s="0" t="s">
        <v>73</v>
      </c>
      <c r="F3397" s="38" t="n">
        <f aca="false">Sens!$F$3433</f>
        <v>2.59</v>
      </c>
      <c r="H3397" s="38" t="n">
        <f aca="false">Sens!$H$3433</f>
        <v>4.01677953456348</v>
      </c>
      <c r="I3397" s="38" t="n">
        <f aca="false">Sens!$I$3433</f>
        <v>2.10589651022864</v>
      </c>
      <c r="J3397" s="38" t="n">
        <f aca="false">Sens!$J$3433</f>
        <v>2.10589651022864</v>
      </c>
      <c r="K3397" s="38" t="n">
        <f aca="false">Sens!$K$3433</f>
        <v>3.89090268942261</v>
      </c>
      <c r="L3397" s="38" t="n">
        <f aca="false">Sens!$L$3433</f>
        <v>7.49254587366414</v>
      </c>
      <c r="M3397" s="38" t="n">
        <f aca="false">Sens!$M$3433</f>
        <v>11.6316504113269</v>
      </c>
    </row>
    <row r="3398" customFormat="false" ht="17.15" hidden="false" customHeight="false" outlineLevel="0" collapsed="false">
      <c r="A3398" s="5" t="s">
        <v>702</v>
      </c>
      <c r="B3398" s="0" t="s">
        <v>73</v>
      </c>
      <c r="C3398" s="38" t="n">
        <f aca="false">Q!$D$39</f>
        <v>2.427</v>
      </c>
      <c r="D3398" s="38" t="n">
        <f aca="false">Q!$E$39</f>
        <v>19.61</v>
      </c>
      <c r="E3398" s="38" t="n">
        <f aca="false">Q!$P$39</f>
        <v>71.492</v>
      </c>
      <c r="F3398" s="41" t="n">
        <v>0</v>
      </c>
      <c r="G3398" s="38" t="n">
        <f aca="false">Sens!$E$3398+Sens!$F$3398</f>
        <v>71.492</v>
      </c>
      <c r="H3398" s="41" t="n">
        <v>0</v>
      </c>
      <c r="I3398" s="41" t="n">
        <v>0</v>
      </c>
      <c r="J3398" s="41" t="n">
        <v>0</v>
      </c>
      <c r="K3398" s="41" t="n">
        <v>0</v>
      </c>
      <c r="L3398" s="41" t="n">
        <v>0</v>
      </c>
      <c r="M3398" s="41" t="n">
        <v>0</v>
      </c>
      <c r="N3398" s="38" t="n">
        <f aca="false">Q!$N$39</f>
        <v>6.017</v>
      </c>
      <c r="O3398" s="38" t="n">
        <f aca="false">Q!$O$39</f>
        <v>13.593</v>
      </c>
      <c r="P3398" s="5" t="s">
        <v>703</v>
      </c>
    </row>
    <row r="3399" customFormat="false" ht="15" hidden="false" customHeight="false" outlineLevel="0" collapsed="false">
      <c r="A3399" s="5" t="s">
        <v>507</v>
      </c>
      <c r="B3399" s="0" t="s">
        <v>73</v>
      </c>
      <c r="C3399" s="38" t="n">
        <f aca="false">Q!$D$36</f>
        <v>68.614</v>
      </c>
      <c r="D3399" s="38" t="n">
        <f aca="false">Q!$E$36</f>
        <v>97.311</v>
      </c>
      <c r="E3399" s="38" t="n">
        <f aca="false">Q!$P$36</f>
        <v>120.691</v>
      </c>
      <c r="F3399" s="38" t="n">
        <f aca="false">Sens!$F$3377-Sens!$F$3396+Sens!$F$3397+Sens!$F$3398</f>
        <v>59.426621533045</v>
      </c>
      <c r="G3399" s="38" t="n">
        <f aca="false">Sens!$E$3399+Sens!$F$3399</f>
        <v>180.117621533045</v>
      </c>
      <c r="H3399" s="38" t="n">
        <f aca="false">Sens!$H$3377-Sens!$H$3396+Sens!$H$3397+Sens!$H$3398</f>
        <v>133.366952975945</v>
      </c>
      <c r="I3399" s="38" t="n">
        <f aca="false">Sens!$I$3377-Sens!$I$3396+Sens!$I$3397+Sens!$I$3398</f>
        <v>157.427343722652</v>
      </c>
      <c r="J3399" s="38" t="n">
        <f aca="false">Sens!$J$3377-Sens!$J$3396+Sens!$J$3397+Sens!$J$3398</f>
        <v>180.462756813366</v>
      </c>
      <c r="K3399" s="38" t="n">
        <f aca="false">Sens!$K$3377-Sens!$K$3396+Sens!$K$3397+Sens!$K$3398</f>
        <v>200.963319536951</v>
      </c>
      <c r="L3399" s="38" t="n">
        <f aca="false">Sens!$L$3377-Sens!$L$3396+Sens!$L$3397+Sens!$L$3398</f>
        <v>225.142229405936</v>
      </c>
      <c r="M3399" s="38" t="n">
        <f aca="false">Sens!$M$3377-Sens!$M$3396+Sens!$M$3397+Sens!$M$3398</f>
        <v>250.673605628516</v>
      </c>
      <c r="N3399" s="38" t="n">
        <f aca="false">Q!$N$36</f>
        <v>42.536</v>
      </c>
      <c r="O3399" s="38" t="n">
        <f aca="false">Q!$O$36</f>
        <v>54.775</v>
      </c>
    </row>
    <row r="3400" customFormat="false" ht="15" hidden="false" customHeight="false" outlineLevel="0" collapsed="false">
      <c r="A3400" s="5" t="s">
        <v>508</v>
      </c>
      <c r="B3400" s="0" t="s">
        <v>73</v>
      </c>
      <c r="C3400" s="38" t="n">
        <f aca="false">Q!$D$37</f>
        <v>9.265</v>
      </c>
      <c r="D3400" s="38" t="n">
        <f aca="false">Q!$E$37</f>
        <v>19.087</v>
      </c>
      <c r="E3400" s="38" t="n">
        <f aca="false">Q!$P$37</f>
        <v>27.759</v>
      </c>
      <c r="F3400" s="38" t="n">
        <f aca="false">Sens!$F$3399*tax</f>
        <v>10.3155419675005</v>
      </c>
      <c r="G3400" s="38" t="n">
        <f aca="false">Sens!$E$3400+Sens!$F$3400</f>
        <v>38.0745419675005</v>
      </c>
      <c r="H3400" s="38" t="n">
        <f aca="false">Sens!$H$3399*tax</f>
        <v>23.1504393992181</v>
      </c>
      <c r="I3400" s="38" t="n">
        <f aca="false">Sens!$I$3399*tax</f>
        <v>27.326950937302</v>
      </c>
      <c r="J3400" s="38" t="n">
        <f aca="false">Sens!$J$3399*tax</f>
        <v>31.3255422141734</v>
      </c>
      <c r="K3400" s="38" t="n">
        <f aca="false">Sens!$K$3399*tax</f>
        <v>34.8841226900117</v>
      </c>
      <c r="L3400" s="38" t="n">
        <f aca="false">Sens!$L$3399*tax</f>
        <v>39.0812073138318</v>
      </c>
      <c r="M3400" s="38" t="n">
        <f aca="false">Sens!$M$3399*tax</f>
        <v>43.5130591694117</v>
      </c>
      <c r="N3400" s="38" t="n">
        <f aca="false">Q!$N$37</f>
        <v>7.231</v>
      </c>
      <c r="O3400" s="38" t="n">
        <f aca="false">Q!$O$37</f>
        <v>11.856</v>
      </c>
    </row>
    <row r="3401" customFormat="false" ht="15" hidden="false" customHeight="false" outlineLevel="0" collapsed="false">
      <c r="A3401" s="3" t="s">
        <v>509</v>
      </c>
      <c r="B3401" s="8" t="s">
        <v>73</v>
      </c>
      <c r="C3401" s="38" t="n">
        <f aca="false">Q!$D$38</f>
        <v>59.248</v>
      </c>
      <c r="D3401" s="38" t="n">
        <f aca="false">Q!$E$38</f>
        <v>77.67</v>
      </c>
      <c r="E3401" s="38" t="n">
        <f aca="false">Q!$P$38</f>
        <v>92.902</v>
      </c>
      <c r="F3401" s="38" t="n">
        <f aca="false">Sens!$F$3399-Sens!$F$3400</f>
        <v>49.1110795655445</v>
      </c>
      <c r="G3401" s="38" t="n">
        <f aca="false">Sens!$E$3401+Sens!$F$3401</f>
        <v>142.013079565545</v>
      </c>
      <c r="H3401" s="38" t="n">
        <f aca="false">Sens!$H$3399-Sens!$H$3400</f>
        <v>110.216513576727</v>
      </c>
      <c r="I3401" s="38" t="n">
        <f aca="false">Sens!$I$3399-Sens!$I$3400</f>
        <v>130.10039278535</v>
      </c>
      <c r="J3401" s="38" t="n">
        <f aca="false">Sens!$J$3399-Sens!$J$3400</f>
        <v>149.137214599192</v>
      </c>
      <c r="K3401" s="38" t="n">
        <f aca="false">Sens!$K$3399-Sens!$K$3400</f>
        <v>166.07919684694</v>
      </c>
      <c r="L3401" s="38" t="n">
        <f aca="false">Sens!$L$3399-Sens!$L$3400</f>
        <v>186.061022092104</v>
      </c>
      <c r="M3401" s="38" t="n">
        <f aca="false">Sens!$M$3399-Sens!$M$3400</f>
        <v>207.160546459104</v>
      </c>
      <c r="N3401" s="38" t="n">
        <f aca="false">Q!$N$38</f>
        <v>35.291</v>
      </c>
      <c r="O3401" s="38" t="n">
        <f aca="false">Q!$O$38</f>
        <v>42.379</v>
      </c>
    </row>
    <row r="3402" customFormat="false" ht="17.15" hidden="false" customHeight="false" outlineLevel="0" collapsed="false">
      <c r="A3402" s="5" t="s">
        <v>512</v>
      </c>
      <c r="B3402" s="5" t="s">
        <v>33</v>
      </c>
      <c r="C3402" s="22" t="n">
        <f aca="false">Q!$D$41</f>
        <v>10.721</v>
      </c>
      <c r="D3402" s="22" t="n">
        <f aca="false">Q!$E$41</f>
        <v>10.827</v>
      </c>
      <c r="E3402" s="22" t="n">
        <f aca="false">(Q!$L$41+Q!$M$41)/2</f>
        <v>10.8885</v>
      </c>
      <c r="F3402" s="22" t="n">
        <f aca="false">Sens!$G$3402</f>
        <v>10.924806</v>
      </c>
      <c r="G3402" s="22" t="n">
        <f aca="false">Q!$M$41*(1+sh_g*0.25)</f>
        <v>10.924806</v>
      </c>
      <c r="H3402" s="22" t="n">
        <f aca="false">Sens!$G$3402*(1+sh_g)</f>
        <v>11.012204448</v>
      </c>
      <c r="I3402" s="22" t="n">
        <f aca="false">Sens!$H$3402*(1+sh_g)</f>
        <v>11.100302083584</v>
      </c>
      <c r="J3402" s="22" t="n">
        <f aca="false">Sens!$I$3402*(1+sh_g)</f>
        <v>11.1891045002527</v>
      </c>
      <c r="K3402" s="22" t="n">
        <f aca="false">Sens!$J$3402*(1+sh_g)</f>
        <v>11.2786173362547</v>
      </c>
      <c r="L3402" s="22" t="n">
        <f aca="false">Sens!$K$3402*(1+sh_g)</f>
        <v>11.3688462749447</v>
      </c>
      <c r="M3402" s="22" t="n">
        <f aca="false">Sens!$L$3402*(1+sh_g)</f>
        <v>11.4597970451443</v>
      </c>
      <c r="P3402" s="5" t="s">
        <v>704</v>
      </c>
    </row>
    <row r="3403" customFormat="false" ht="17.15" hidden="false" customHeight="false" outlineLevel="0" collapsed="false">
      <c r="A3403" s="42" t="s">
        <v>705</v>
      </c>
      <c r="B3403" s="13" t="s">
        <v>27</v>
      </c>
      <c r="C3403" s="43" t="n">
        <f aca="false">Sens!$C$3401/Sens!$C$3402</f>
        <v>5.52635015390355</v>
      </c>
      <c r="D3403" s="43" t="n">
        <f aca="false">Sens!$D$3401/Sens!$D$3402</f>
        <v>7.1737323358271</v>
      </c>
      <c r="E3403" s="43" t="n">
        <f aca="false">Sens!$E$3401/Sens!$E$3402</f>
        <v>8.53212104513937</v>
      </c>
      <c r="F3403" s="13"/>
      <c r="G3403" s="43" t="n">
        <f aca="false">Sens!$G$3401/Sens!$G$3402</f>
        <v>12.9991397161235</v>
      </c>
      <c r="H3403" s="43" t="n">
        <f aca="false">Sens!$H$3401/Sens!$H$3402</f>
        <v>10.0085785818065</v>
      </c>
      <c r="I3403" s="43" t="n">
        <f aca="false">Sens!$I$3401/Sens!$I$3402</f>
        <v>11.7204371381705</v>
      </c>
      <c r="J3403" s="43" t="n">
        <f aca="false">Sens!$J$3401/Sens!$J$3402</f>
        <v>13.3287891444596</v>
      </c>
      <c r="K3403" s="43" t="n">
        <f aca="false">Sens!$K$3401/Sens!$K$3402</f>
        <v>14.7251380107635</v>
      </c>
      <c r="L3403" s="43" t="n">
        <f aca="false">Sens!$L$3401/Sens!$L$3402</f>
        <v>16.3658666492972</v>
      </c>
      <c r="M3403" s="43" t="n">
        <f aca="false">Sens!$M$3401/Sens!$M$3402</f>
        <v>18.077156658449</v>
      </c>
      <c r="N3403" s="13"/>
      <c r="O3403" s="13"/>
    </row>
    <row r="3404" customFormat="false" ht="17.15" hidden="false" customHeight="false" outlineLevel="0" collapsed="false">
      <c r="A3404" s="0" t="s">
        <v>706</v>
      </c>
      <c r="B3404" s="0" t="s">
        <v>27</v>
      </c>
      <c r="C3404" s="30" t="n">
        <f aca="false">(Sens!$C$3401-Sens!$C$3398*(1-tax))/Sens!$C$3402</f>
        <v>5.33926775917445</v>
      </c>
      <c r="D3404" s="30" t="n">
        <f aca="false">(Sens!$D$3401-Sens!$D$3398*(1-tax))/Sens!$D$3402</f>
        <v>5.67691812755503</v>
      </c>
      <c r="E3404" s="30" t="n">
        <f aca="false">(Sens!$E$3401-Sens!$E$3398*(1-tax))/Sens!$E$3402</f>
        <v>3.10602057006846</v>
      </c>
      <c r="G3404" s="30" t="n">
        <f aca="false">(Sens!$G$3401-Sens!$G$3398*(1-tax))/Sens!$G$3402</f>
        <v>7.59107159822654</v>
      </c>
      <c r="H3404" s="30" t="n">
        <f aca="false">(Sens!$H$3401-Sens!$H$3398*(1-tax))/Sens!$H$3402</f>
        <v>10.0085785818065</v>
      </c>
      <c r="I3404" s="30" t="n">
        <f aca="false">(Sens!$I$3401-Sens!$I$3398*(1-tax))/Sens!$I$3402</f>
        <v>11.7204371381705</v>
      </c>
      <c r="J3404" s="30" t="n">
        <f aca="false">(Sens!$J$3401-Sens!$J$3398*(1-tax))/Sens!$J$3402</f>
        <v>13.3287891444596</v>
      </c>
      <c r="K3404" s="30" t="n">
        <f aca="false">(Sens!$K$3401-Sens!$K$3398*(1-tax))/Sens!$K$3402</f>
        <v>14.7251380107635</v>
      </c>
      <c r="L3404" s="30" t="n">
        <f aca="false">(Sens!$L$3401-Sens!$L$3398*(1-tax))/Sens!$L$3402</f>
        <v>16.3658666492972</v>
      </c>
      <c r="M3404" s="30" t="n">
        <f aca="false">(Sens!$M$3401-Sens!$M$3398*(1-tax))/Sens!$M$3402</f>
        <v>18.077156658449</v>
      </c>
      <c r="P3404" s="5" t="s">
        <v>707</v>
      </c>
    </row>
    <row r="3405" customFormat="false" ht="17.15" hidden="false" customHeight="false" outlineLevel="0" collapsed="false">
      <c r="A3405" s="0" t="s">
        <v>708</v>
      </c>
      <c r="B3405" s="0" t="s">
        <v>52</v>
      </c>
      <c r="H3405" s="12" t="n">
        <f aca="false">Sens!$H$3403/Sens!$G$3403-1</f>
        <v>-0.230058388449173</v>
      </c>
      <c r="I3405" s="12" t="n">
        <f aca="false">Sens!$I$3403/Sens!$H$3403-1</f>
        <v>0.171039128320959</v>
      </c>
      <c r="J3405" s="12" t="n">
        <f aca="false">Sens!$J$3403/Sens!$I$3403-1</f>
        <v>0.137226281522481</v>
      </c>
      <c r="K3405" s="12" t="n">
        <f aca="false">Sens!$K$3403/Sens!$J$3403-1</f>
        <v>0.104761869301852</v>
      </c>
      <c r="L3405" s="12" t="n">
        <f aca="false">Sens!$L$3403/Sens!$K$3403-1</f>
        <v>0.111423650992907</v>
      </c>
      <c r="M3405" s="12" t="n">
        <f aca="false">Sens!$M$3403/Sens!$L$3403-1</f>
        <v>0.104564582238322</v>
      </c>
    </row>
    <row r="3408" customFormat="false" ht="19.4" hidden="false" customHeight="false" outlineLevel="0" collapsed="false">
      <c r="A3408" s="31" t="s">
        <v>1116</v>
      </c>
    </row>
    <row r="3409" customFormat="false" ht="17.15" hidden="false" customHeight="false" outlineLevel="0" collapsed="false">
      <c r="A3409" s="6" t="s">
        <v>16</v>
      </c>
      <c r="B3409" s="6" t="s">
        <v>17</v>
      </c>
      <c r="C3409" s="20" t="s">
        <v>457</v>
      </c>
      <c r="D3409" s="20" t="s">
        <v>458</v>
      </c>
      <c r="E3409" s="20" t="s">
        <v>540</v>
      </c>
      <c r="F3409" s="20" t="s">
        <v>541</v>
      </c>
      <c r="G3409" s="20" t="s">
        <v>542</v>
      </c>
      <c r="H3409" s="20" t="s">
        <v>543</v>
      </c>
      <c r="I3409" s="20" t="s">
        <v>544</v>
      </c>
      <c r="J3409" s="20" t="s">
        <v>545</v>
      </c>
      <c r="K3409" s="20" t="s">
        <v>546</v>
      </c>
      <c r="L3409" s="20" t="s">
        <v>547</v>
      </c>
      <c r="M3409" s="20" t="s">
        <v>548</v>
      </c>
      <c r="N3409" s="20" t="s">
        <v>549</v>
      </c>
      <c r="O3409" s="20" t="s">
        <v>550</v>
      </c>
      <c r="P3409" s="6" t="s">
        <v>23</v>
      </c>
      <c r="R3409" s="20" t="n">
        <v>2023</v>
      </c>
      <c r="S3409" s="20" t="n">
        <v>2024</v>
      </c>
      <c r="T3409" s="20" t="n">
        <v>2025</v>
      </c>
      <c r="U3409" s="20" t="n">
        <v>2026</v>
      </c>
      <c r="V3409" s="20" t="n">
        <v>2027</v>
      </c>
      <c r="W3409" s="20" t="n">
        <v>2028</v>
      </c>
      <c r="X3409" s="20" t="n">
        <v>2029</v>
      </c>
      <c r="Y3409" s="20" t="n">
        <v>2030</v>
      </c>
      <c r="Z3409" s="20" t="n">
        <v>2031</v>
      </c>
      <c r="AA3409" s="20" t="n">
        <v>2032</v>
      </c>
    </row>
    <row r="3410" customFormat="false" ht="15" hidden="false" customHeight="false" outlineLevel="0" collapsed="false">
      <c r="A3410" s="5" t="s">
        <v>509</v>
      </c>
      <c r="B3410" s="0" t="s">
        <v>73</v>
      </c>
      <c r="C3410" s="38" t="n">
        <f aca="false">Sens!$C$3401</f>
        <v>59.248</v>
      </c>
      <c r="D3410" s="38" t="n">
        <f aca="false">Sens!$D$3401</f>
        <v>77.67</v>
      </c>
      <c r="E3410" s="38" t="n">
        <f aca="false">Sens!$E$3401</f>
        <v>92.902</v>
      </c>
      <c r="F3410" s="38" t="n">
        <f aca="false">Sens!$F$3401</f>
        <v>49.1110795655445</v>
      </c>
      <c r="G3410" s="38" t="n">
        <f aca="false">Sens!$G$3401</f>
        <v>142.013079565545</v>
      </c>
      <c r="H3410" s="38" t="n">
        <f aca="false">Sens!$H$3401</f>
        <v>110.216513576727</v>
      </c>
      <c r="I3410" s="38" t="n">
        <f aca="false">Sens!$I$3401</f>
        <v>130.10039278535</v>
      </c>
      <c r="J3410" s="38" t="n">
        <f aca="false">Sens!$J$3401</f>
        <v>149.137214599192</v>
      </c>
      <c r="K3410" s="38" t="n">
        <f aca="false">Sens!$K$3401</f>
        <v>166.07919684694</v>
      </c>
      <c r="L3410" s="38" t="n">
        <f aca="false">Sens!$L$3401</f>
        <v>186.061022092104</v>
      </c>
      <c r="M3410" s="38" t="n">
        <f aca="false">Sens!$M$3401</f>
        <v>207.160546459104</v>
      </c>
    </row>
    <row r="3411" customFormat="false" ht="17.15" hidden="false" customHeight="false" outlineLevel="0" collapsed="false">
      <c r="A3411" s="5" t="s">
        <v>730</v>
      </c>
      <c r="B3411" s="0" t="s">
        <v>73</v>
      </c>
      <c r="C3411" s="38" t="n">
        <f aca="false">Sens!$C$3389</f>
        <v>32.067</v>
      </c>
      <c r="D3411" s="38" t="n">
        <f aca="false">Sens!$D$3389</f>
        <v>41.86</v>
      </c>
      <c r="E3411" s="38" t="n">
        <f aca="false">Sens!$E$3389</f>
        <v>26.703</v>
      </c>
      <c r="F3411" s="38" t="n">
        <f aca="false">Sens!$F$3389</f>
        <v>30.6103857251209</v>
      </c>
      <c r="G3411" s="38" t="n">
        <f aca="false">Sens!$G$3389</f>
        <v>57.3133857251209</v>
      </c>
      <c r="H3411" s="38" t="n">
        <f aca="false">Sens!$H$3389</f>
        <v>87.6845218193838</v>
      </c>
      <c r="I3411" s="38" t="n">
        <f aca="false">Sens!$I$3389</f>
        <v>122.294769708638</v>
      </c>
      <c r="J3411" s="38" t="n">
        <f aca="false">Sens!$J$3389</f>
        <v>157.133962573221</v>
      </c>
      <c r="K3411" s="38" t="n">
        <f aca="false">Sens!$K$3389</f>
        <v>191.350633353599</v>
      </c>
      <c r="L3411" s="38" t="n">
        <f aca="false">Sens!$L$3389</f>
        <v>223.909238335354</v>
      </c>
      <c r="M3411" s="38" t="n">
        <f aca="false">Sens!$M$3389</f>
        <v>257.576319867276</v>
      </c>
    </row>
    <row r="3412" customFormat="false" ht="15" hidden="false" customHeight="false" outlineLevel="0" collapsed="false">
      <c r="A3412" s="5" t="s">
        <v>731</v>
      </c>
      <c r="B3412" s="0" t="s">
        <v>73</v>
      </c>
      <c r="C3412" s="38" t="n">
        <f aca="false">Q!$D$48</f>
        <v>22.011</v>
      </c>
      <c r="D3412" s="38" t="n">
        <f aca="false">Q!$E$48</f>
        <v>19.467</v>
      </c>
      <c r="E3412" s="38" t="n">
        <f aca="false">Q!$P$48</f>
        <v>10.07</v>
      </c>
      <c r="F3412" s="38" t="n">
        <f aca="false">sbc_r*Sens!$F$3333</f>
        <v>11.2170714500462</v>
      </c>
      <c r="G3412" s="38" t="n">
        <f aca="false">Sens!$E$3412+Sens!$F$3412</f>
        <v>21.2870714500462</v>
      </c>
      <c r="H3412" s="38" t="n">
        <f aca="false">sbc_r*Sens!$H$3333</f>
        <v>24.1772394325528</v>
      </c>
      <c r="I3412" s="38" t="n">
        <f aca="false">sbc_r*Sens!$I$3333</f>
        <v>27.6495284422397</v>
      </c>
      <c r="J3412" s="38" t="n">
        <f aca="false">sbc_r*Sens!$J$3333</f>
        <v>30.9042211184633</v>
      </c>
      <c r="K3412" s="38" t="n">
        <f aca="false">sbc_r*Sens!$K$3333</f>
        <v>33.8004145402678</v>
      </c>
      <c r="L3412" s="38" t="n">
        <f aca="false">sbc_r*Sens!$L$3333</f>
        <v>36.8322537652494</v>
      </c>
      <c r="M3412" s="38" t="n">
        <f aca="false">sbc_r*Sens!$M$3333</f>
        <v>40.0097627968013</v>
      </c>
    </row>
    <row r="3413" customFormat="false" ht="17.15" hidden="false" customHeight="false" outlineLevel="0" collapsed="false">
      <c r="A3413" s="5" t="s">
        <v>732</v>
      </c>
      <c r="B3413" s="0" t="s">
        <v>73</v>
      </c>
      <c r="C3413" s="38" t="n">
        <f aca="false">Q!$D$44-Sens!$C$3410-Sens!$C$3411-Sens!$C$3412</f>
        <v>2.551</v>
      </c>
      <c r="D3413" s="38" t="n">
        <f aca="false">Q!$E$44-Sens!$D$3410-Sens!$D$3411-Sens!$D$3412</f>
        <v>0.51700000000001</v>
      </c>
      <c r="E3413" s="38" t="n">
        <f aca="false">Q!$P$44-Sens!$E$3410-Sens!$E$3411-Sens!$E$3412</f>
        <v>-58.256</v>
      </c>
      <c r="F3413" s="38" t="n">
        <f aca="false">wc_2h26+oth_r*Sens!$F$3333</f>
        <v>7.34599241893378</v>
      </c>
      <c r="G3413" s="38" t="n">
        <f aca="false">Sens!$E$3413+Sens!$F$3413</f>
        <v>-50.9100075810662</v>
      </c>
      <c r="H3413" s="38" t="n">
        <f aca="false">oth_r*Sens!$H$3333</f>
        <v>11.6369707537667</v>
      </c>
      <c r="I3413" s="38" t="n">
        <f aca="false">oth_r*Sens!$I$3333</f>
        <v>13.3082502961262</v>
      </c>
      <c r="J3413" s="38" t="n">
        <f aca="false">oth_r*Sens!$J$3333</f>
        <v>14.8747965344332</v>
      </c>
      <c r="K3413" s="38" t="n">
        <f aca="false">oth_r*Sens!$K$3333</f>
        <v>16.2687901804328</v>
      </c>
      <c r="L3413" s="38" t="n">
        <f aca="false">oth_r*Sens!$L$3333</f>
        <v>17.7280727627002</v>
      </c>
      <c r="M3413" s="38" t="n">
        <f aca="false">oth_r*Sens!$M$3333</f>
        <v>19.2574690270319</v>
      </c>
      <c r="P3413" s="8" t="s">
        <v>733</v>
      </c>
    </row>
    <row r="3414" customFormat="false" ht="15" hidden="false" customHeight="false" outlineLevel="0" collapsed="false">
      <c r="A3414" s="3" t="s">
        <v>515</v>
      </c>
      <c r="B3414" s="8" t="s">
        <v>73</v>
      </c>
      <c r="C3414" s="38" t="n">
        <f aca="false">Q!$D$44</f>
        <v>115.877</v>
      </c>
      <c r="D3414" s="38" t="n">
        <f aca="false">Q!$E$44</f>
        <v>139.514</v>
      </c>
      <c r="E3414" s="38" t="n">
        <f aca="false">Q!$P$44</f>
        <v>71.419</v>
      </c>
      <c r="F3414" s="38" t="n">
        <f aca="false">Sens!$F$3410+Sens!$F$3411+Sens!$F$3412+Sens!$F$3413</f>
        <v>98.2845291596455</v>
      </c>
      <c r="G3414" s="38" t="n">
        <f aca="false">Sens!$E$3414+Sens!$F$3414</f>
        <v>169.703529159645</v>
      </c>
      <c r="H3414" s="38" t="n">
        <f aca="false">Sens!$H$3410+Sens!$H$3411+Sens!$H$3412+Sens!$H$3413</f>
        <v>233.71524558243</v>
      </c>
      <c r="I3414" s="38" t="n">
        <f aca="false">Sens!$I$3410+Sens!$I$3411+Sens!$I$3412+Sens!$I$3413</f>
        <v>293.352941232353</v>
      </c>
      <c r="J3414" s="38" t="n">
        <f aca="false">Sens!$J$3410+Sens!$J$3411+Sens!$J$3412+Sens!$J$3413</f>
        <v>352.05019482531</v>
      </c>
      <c r="K3414" s="38" t="n">
        <f aca="false">Sens!$K$3410+Sens!$K$3411+Sens!$K$3412+Sens!$K$3413</f>
        <v>407.49903492124</v>
      </c>
      <c r="L3414" s="38" t="n">
        <f aca="false">Sens!$L$3410+Sens!$L$3411+Sens!$L$3412+Sens!$L$3413</f>
        <v>464.530586955408</v>
      </c>
      <c r="M3414" s="38" t="n">
        <f aca="false">Sens!$M$3410+Sens!$M$3411+Sens!$M$3412+Sens!$M$3413</f>
        <v>524.004098150214</v>
      </c>
    </row>
    <row r="3415" customFormat="false" ht="17.15" hidden="false" customHeight="false" outlineLevel="0" collapsed="false">
      <c r="A3415" s="5" t="s">
        <v>734</v>
      </c>
      <c r="B3415" s="0" t="s">
        <v>73</v>
      </c>
      <c r="C3415" s="38" t="n">
        <f aca="false">Sens!$C$3303</f>
        <v>25.2781053077374</v>
      </c>
      <c r="D3415" s="38" t="n">
        <f aca="false">Sens!$D$3303</f>
        <v>69.5686316310026</v>
      </c>
      <c r="E3415" s="38" t="n">
        <f aca="false">Sens!$E$3303</f>
        <v>64.1899206485108</v>
      </c>
      <c r="F3415" s="38" t="n">
        <f aca="false">Sens!$F$3303</f>
        <v>96.2481299895</v>
      </c>
      <c r="G3415" s="38" t="n">
        <f aca="false">Sens!$G$3303</f>
        <v>160.438050638011</v>
      </c>
      <c r="H3415" s="38" t="n">
        <f aca="false">Sens!$H$3303</f>
        <v>198.57136494475</v>
      </c>
      <c r="I3415" s="38" t="n">
        <f aca="false">Sens!$I$3303</f>
        <v>204.6464699105</v>
      </c>
      <c r="J3415" s="38" t="n">
        <f aca="false">Sens!$J$3303</f>
        <v>209.8832381105</v>
      </c>
      <c r="K3415" s="38" t="n">
        <f aca="false">Sens!$K$3303</f>
        <v>215.1200063105</v>
      </c>
      <c r="L3415" s="38" t="n">
        <f aca="false">Sens!$L$3303</f>
        <v>251.7773837105</v>
      </c>
      <c r="M3415" s="38" t="n">
        <f aca="false">Sens!$M$3303</f>
        <v>311.87584476575</v>
      </c>
    </row>
    <row r="3416" customFormat="false" ht="17.15" hidden="false" customHeight="false" outlineLevel="0" collapsed="false">
      <c r="A3416" s="5" t="s">
        <v>735</v>
      </c>
      <c r="B3416" s="0" t="s">
        <v>73</v>
      </c>
      <c r="C3416" s="38" t="n">
        <f aca="false">cx_awso*Sens!$C$3331</f>
        <v>21.0469989286053</v>
      </c>
      <c r="D3416" s="38" t="n">
        <f aca="false">cx_awso*Sens!$D$3331</f>
        <v>24.0042459822698</v>
      </c>
      <c r="E3416" s="38" t="n">
        <f aca="false">cx_awso*Sens!$E$3331</f>
        <v>14.261729404886</v>
      </c>
      <c r="F3416" s="38" t="n">
        <f aca="false">cx_awso*Sens!$F$3331</f>
        <v>15.7190020837331</v>
      </c>
      <c r="G3416" s="38" t="n">
        <f aca="false">Sens!$E$3416+Sens!$F$3416</f>
        <v>29.9807314886191</v>
      </c>
      <c r="H3416" s="38" t="n">
        <f aca="false">cx_awso*Sens!$H$3331</f>
        <v>36.1787121536283</v>
      </c>
      <c r="I3416" s="38" t="n">
        <f aca="false">cx_awso*Sens!$I$3331</f>
        <v>42.1296794430021</v>
      </c>
      <c r="J3416" s="38" t="n">
        <f aca="false">cx_awso*Sens!$J$3331</f>
        <v>47.279781889299</v>
      </c>
      <c r="K3416" s="38" t="n">
        <f aca="false">cx_awso*Sens!$K$3331</f>
        <v>51.0621644404429</v>
      </c>
      <c r="L3416" s="38" t="n">
        <f aca="false">cx_awso*Sens!$L$3331</f>
        <v>55.1471375956783</v>
      </c>
      <c r="M3416" s="38" t="n">
        <f aca="false">cx_awso*Sens!$M$3331</f>
        <v>59.5589086033326</v>
      </c>
    </row>
    <row r="3417" customFormat="false" ht="17.15" hidden="false" customHeight="false" outlineLevel="0" collapsed="false">
      <c r="A3417" s="5" t="s">
        <v>736</v>
      </c>
      <c r="B3417" s="0" t="s">
        <v>73</v>
      </c>
      <c r="C3417" s="38" t="n">
        <f aca="false">Q!$D$46-Sens!$C$3415-Sens!$C$3416</f>
        <v>31.3328957636573</v>
      </c>
      <c r="D3417" s="38" t="n">
        <f aca="false">Q!$E$46-Sens!$D$3415-Sens!$D$3416</f>
        <v>34.7471223867276</v>
      </c>
      <c r="E3417" s="38" t="n">
        <f aca="false">Q!$P$46-Sens!$E$3415-Sens!$E$3416</f>
        <v>17.8583499466032</v>
      </c>
      <c r="F3417" s="38" t="n">
        <f aca="false">cx_rt*Sens!$F$3267</f>
        <v>21.0855744229195</v>
      </c>
      <c r="G3417" s="38" t="n">
        <f aca="false">Sens!$E$3417+Sens!$F$3417</f>
        <v>38.9439243695228</v>
      </c>
      <c r="H3417" s="38" t="n">
        <f aca="false">cx_rt*Sens!$H$3267</f>
        <v>43.1200434029767</v>
      </c>
      <c r="I3417" s="38" t="n">
        <f aca="false">cx_rt*Sens!$I$3267</f>
        <v>47.1583152318763</v>
      </c>
      <c r="J3417" s="38" t="n">
        <f aca="false">cx_rt*Sens!$J$3267</f>
        <v>50.9060281137911</v>
      </c>
      <c r="K3417" s="38" t="n">
        <f aca="false">cx_rt*Sens!$K$3267</f>
        <v>54.2035645673053</v>
      </c>
      <c r="L3417" s="38" t="n">
        <f aca="false">cx_rt*Sens!$L$3267</f>
        <v>57.7318979121519</v>
      </c>
      <c r="M3417" s="38" t="n">
        <f aca="false">cx_rt*Sens!$M$3267</f>
        <v>61.5084196557756</v>
      </c>
    </row>
    <row r="3418" customFormat="false" ht="15" hidden="false" customHeight="false" outlineLevel="0" collapsed="false">
      <c r="A3418" s="3" t="s">
        <v>737</v>
      </c>
      <c r="B3418" s="8" t="s">
        <v>73</v>
      </c>
      <c r="C3418" s="38" t="n">
        <f aca="false">Q!$D$46</f>
        <v>77.658</v>
      </c>
      <c r="D3418" s="38" t="n">
        <f aca="false">Q!$E$46</f>
        <v>128.32</v>
      </c>
      <c r="E3418" s="38" t="n">
        <f aca="false">Q!$P$46</f>
        <v>96.31</v>
      </c>
      <c r="F3418" s="38" t="n">
        <f aca="false">Sens!$F$3415+Sens!$F$3416+Sens!$F$3417</f>
        <v>133.052706496153</v>
      </c>
      <c r="G3418" s="38" t="n">
        <f aca="false">Sens!$E$3418+Sens!$F$3418</f>
        <v>229.362706496153</v>
      </c>
      <c r="H3418" s="38" t="n">
        <f aca="false">Sens!$H$3415+Sens!$H$3416+Sens!$H$3417</f>
        <v>277.870120501355</v>
      </c>
      <c r="I3418" s="38" t="n">
        <f aca="false">Sens!$I$3415+Sens!$I$3416+Sens!$I$3417</f>
        <v>293.934464585378</v>
      </c>
      <c r="J3418" s="38" t="n">
        <f aca="false">Sens!$J$3415+Sens!$J$3416+Sens!$J$3417</f>
        <v>308.06904811359</v>
      </c>
      <c r="K3418" s="38" t="n">
        <f aca="false">Sens!$K$3415+Sens!$K$3416+Sens!$K$3417</f>
        <v>320.385735318248</v>
      </c>
      <c r="L3418" s="38" t="n">
        <f aca="false">Sens!$L$3415+Sens!$L$3416+Sens!$L$3417</f>
        <v>364.65641921833</v>
      </c>
      <c r="M3418" s="38" t="n">
        <f aca="false">Sens!$M$3415+Sens!$M$3416+Sens!$M$3417</f>
        <v>432.943173024858</v>
      </c>
    </row>
    <row r="3419" customFormat="false" ht="17.15" hidden="false" customHeight="false" outlineLevel="0" collapsed="false">
      <c r="A3419" s="5" t="s">
        <v>523</v>
      </c>
      <c r="B3419" s="0" t="s">
        <v>73</v>
      </c>
      <c r="C3419" s="38" t="n">
        <f aca="false">Q!$D$50</f>
        <v>2.043</v>
      </c>
      <c r="D3419" s="38" t="n">
        <f aca="false">Q!$E$50</f>
        <v>1.557</v>
      </c>
      <c r="E3419" s="38" t="n">
        <f aca="false">lease_pr/2</f>
        <v>0.8</v>
      </c>
      <c r="F3419" s="38" t="n">
        <f aca="false">lease_pr/2</f>
        <v>0.8</v>
      </c>
      <c r="G3419" s="38" t="n">
        <f aca="false">Sens!$E$3419+Sens!$F$3419</f>
        <v>1.6</v>
      </c>
      <c r="H3419" s="38" t="n">
        <f aca="false">lease_pr</f>
        <v>1.6</v>
      </c>
      <c r="I3419" s="38" t="n">
        <f aca="false">lease_pr</f>
        <v>1.6</v>
      </c>
      <c r="J3419" s="38" t="n">
        <f aca="false">lease_pr</f>
        <v>1.6</v>
      </c>
      <c r="K3419" s="38" t="n">
        <f aca="false">lease_pr</f>
        <v>1.6</v>
      </c>
      <c r="L3419" s="38" t="n">
        <f aca="false">lease_pr</f>
        <v>1.6</v>
      </c>
      <c r="M3419" s="38" t="n">
        <f aca="false">lease_pr</f>
        <v>1.6</v>
      </c>
      <c r="P3419" s="8" t="s">
        <v>738</v>
      </c>
    </row>
    <row r="3420" customFormat="false" ht="15" hidden="false" customHeight="false" outlineLevel="0" collapsed="false">
      <c r="A3420" s="46" t="s">
        <v>739</v>
      </c>
      <c r="B3420" s="13" t="s">
        <v>73</v>
      </c>
      <c r="C3420" s="47" t="n">
        <f aca="false">Sens!$C$3414-Sens!$C$3418-Sens!$C$3419</f>
        <v>36.176</v>
      </c>
      <c r="D3420" s="47" t="n">
        <f aca="false">Sens!$D$3414-Sens!$D$3418-Sens!$D$3419</f>
        <v>9.63700000000002</v>
      </c>
      <c r="E3420" s="47" t="n">
        <f aca="false">Sens!$E$3414-Sens!$E$3418-Sens!$E$3419</f>
        <v>-25.691</v>
      </c>
      <c r="F3420" s="47" t="n">
        <f aca="false">Sens!$F$3414-Sens!$F$3418-Sens!$F$3419</f>
        <v>-35.5681773365071</v>
      </c>
      <c r="G3420" s="47" t="n">
        <f aca="false">Sens!$G$3414-Sens!$G$3418-Sens!$G$3419</f>
        <v>-61.2591773365071</v>
      </c>
      <c r="H3420" s="47" t="n">
        <f aca="false">Sens!$H$3414-Sens!$H$3418-Sens!$H$3419</f>
        <v>-45.7548749189247</v>
      </c>
      <c r="I3420" s="47" t="n">
        <f aca="false">Sens!$I$3414-Sens!$I$3418-Sens!$I$3419</f>
        <v>-2.1815233530252</v>
      </c>
      <c r="J3420" s="47" t="n">
        <f aca="false">Sens!$J$3414-Sens!$J$3418-Sens!$J$3419</f>
        <v>42.3811467117197</v>
      </c>
      <c r="K3420" s="47" t="n">
        <f aca="false">Sens!$K$3414-Sens!$K$3418-Sens!$K$3419</f>
        <v>85.5132996029917</v>
      </c>
      <c r="L3420" s="47" t="n">
        <f aca="false">Sens!$L$3414-Sens!$L$3418-Sens!$L$3419</f>
        <v>98.2741677370781</v>
      </c>
      <c r="M3420" s="47" t="n">
        <f aca="false">Sens!$M$3414-Sens!$M$3418-Sens!$M$3419</f>
        <v>89.4609251253557</v>
      </c>
      <c r="N3420" s="13"/>
      <c r="O3420" s="13"/>
    </row>
    <row r="3421" customFormat="false" ht="17.15" hidden="false" customHeight="false" outlineLevel="0" collapsed="false">
      <c r="A3421" s="5" t="s">
        <v>740</v>
      </c>
      <c r="B3421" s="0" t="s">
        <v>73</v>
      </c>
      <c r="C3421" s="38" t="n">
        <f aca="false">dps*Sens!$C$3402</f>
        <v>0</v>
      </c>
      <c r="D3421" s="38" t="n">
        <f aca="false">dps*Sens!$D$3402</f>
        <v>0</v>
      </c>
      <c r="E3421" s="38" t="n">
        <f aca="false">dps*Sens!$E$3402</f>
        <v>0</v>
      </c>
      <c r="F3421" s="38" t="n">
        <f aca="false">0</f>
        <v>0</v>
      </c>
      <c r="G3421" s="38" t="n">
        <f aca="false">dps*Sens!$G$3402</f>
        <v>0</v>
      </c>
      <c r="H3421" s="38" t="n">
        <f aca="false">dps*Sens!$H$3402</f>
        <v>0</v>
      </c>
      <c r="I3421" s="38" t="n">
        <f aca="false">dps*Sens!$I$3402</f>
        <v>0</v>
      </c>
      <c r="J3421" s="38" t="n">
        <f aca="false">dps*Sens!$J$3402</f>
        <v>0</v>
      </c>
      <c r="K3421" s="38" t="n">
        <f aca="false">dps*Sens!$K$3402</f>
        <v>0</v>
      </c>
      <c r="L3421" s="38" t="n">
        <f aca="false">dps*Sens!$L$3402</f>
        <v>0</v>
      </c>
      <c r="M3421" s="38" t="n">
        <f aca="false">dps*Sens!$M$3402</f>
        <v>0</v>
      </c>
      <c r="P3421" s="8" t="s">
        <v>741</v>
      </c>
    </row>
    <row r="3422" customFormat="false" ht="17.15" hidden="false" customHeight="false" outlineLevel="0" collapsed="false">
      <c r="A3422" s="5" t="s">
        <v>742</v>
      </c>
      <c r="B3422" s="0" t="s">
        <v>73</v>
      </c>
      <c r="C3422" s="38" t="n">
        <f aca="false">0</f>
        <v>0</v>
      </c>
      <c r="D3422" s="38" t="n">
        <f aca="false">0</f>
        <v>0</v>
      </c>
      <c r="E3422" s="38" t="n">
        <f aca="false">0</f>
        <v>0</v>
      </c>
      <c r="F3422" s="38" t="n">
        <f aca="false">0</f>
        <v>0</v>
      </c>
      <c r="G3422" s="38" t="n">
        <f aca="false">0</f>
        <v>0</v>
      </c>
      <c r="H3422" s="38" t="n">
        <f aca="false">0</f>
        <v>0</v>
      </c>
      <c r="I3422" s="38" t="n">
        <f aca="false">0</f>
        <v>0</v>
      </c>
      <c r="J3422" s="38" t="n">
        <f aca="false">0</f>
        <v>0</v>
      </c>
      <c r="K3422" s="38" t="n">
        <f aca="false">0</f>
        <v>0</v>
      </c>
      <c r="L3422" s="38" t="n">
        <f aca="false">0</f>
        <v>0</v>
      </c>
      <c r="M3422" s="38" t="n">
        <f aca="false">0</f>
        <v>0</v>
      </c>
      <c r="P3422" s="8" t="s">
        <v>743</v>
      </c>
    </row>
    <row r="3423" customFormat="false" ht="15" hidden="false" customHeight="false" outlineLevel="0" collapsed="false">
      <c r="A3423" s="3" t="s">
        <v>744</v>
      </c>
      <c r="B3423" s="8" t="s">
        <v>73</v>
      </c>
      <c r="C3423" s="38" t="n">
        <f aca="false">Sens!$C$3420-Sens!$C$3421</f>
        <v>36.176</v>
      </c>
      <c r="D3423" s="38" t="n">
        <f aca="false">Sens!$D$3420-Sens!$D$3421</f>
        <v>9.63700000000002</v>
      </c>
      <c r="E3423" s="38" t="n">
        <f aca="false">Sens!$E$3420-Sens!$E$3421</f>
        <v>-25.691</v>
      </c>
      <c r="F3423" s="38" t="n">
        <f aca="false">Sens!$F$3420-Sens!$F$3421</f>
        <v>-35.5681773365071</v>
      </c>
      <c r="G3423" s="38" t="n">
        <f aca="false">Sens!$G$3420-Sens!$G$3421</f>
        <v>-61.2591773365071</v>
      </c>
      <c r="H3423" s="38" t="n">
        <f aca="false">Sens!$H$3420-Sens!$H$3421</f>
        <v>-45.7548749189247</v>
      </c>
      <c r="I3423" s="38" t="n">
        <f aca="false">Sens!$I$3420-Sens!$I$3421</f>
        <v>-2.1815233530252</v>
      </c>
      <c r="J3423" s="38" t="n">
        <f aca="false">Sens!$J$3420-Sens!$J$3421</f>
        <v>42.3811467117197</v>
      </c>
      <c r="K3423" s="38" t="n">
        <f aca="false">Sens!$K$3420-Sens!$K$3421</f>
        <v>85.5132996029917</v>
      </c>
      <c r="L3423" s="38" t="n">
        <f aca="false">Sens!$L$3420-Sens!$L$3421</f>
        <v>98.2741677370781</v>
      </c>
      <c r="M3423" s="38" t="n">
        <f aca="false">Sens!$M$3420-Sens!$M$3421</f>
        <v>89.4609251253557</v>
      </c>
    </row>
    <row r="3424" customFormat="false" ht="17.15" hidden="false" customHeight="false" outlineLevel="0" collapsed="false">
      <c r="A3424" s="5" t="s">
        <v>745</v>
      </c>
      <c r="B3424" s="0" t="s">
        <v>73</v>
      </c>
      <c r="E3424" s="38" t="n">
        <f aca="false">Q!$P$53</f>
        <v>39.767</v>
      </c>
      <c r="F3424" s="38" t="n">
        <f aca="false">inv_2h26</f>
        <v>21.3</v>
      </c>
      <c r="G3424" s="38" t="n">
        <f aca="false">Sens!$E$3424+Sens!$F$3424</f>
        <v>61.067</v>
      </c>
      <c r="H3424" s="41" t="n">
        <v>0</v>
      </c>
      <c r="I3424" s="41" t="n">
        <v>0</v>
      </c>
      <c r="J3424" s="41" t="n">
        <v>0</v>
      </c>
      <c r="K3424" s="41" t="n">
        <v>0</v>
      </c>
      <c r="L3424" s="41" t="n">
        <v>0</v>
      </c>
      <c r="M3424" s="41" t="n">
        <v>0</v>
      </c>
    </row>
    <row r="3425" customFormat="false" ht="17.15" hidden="false" customHeight="false" outlineLevel="0" collapsed="false">
      <c r="A3425" s="5" t="s">
        <v>746</v>
      </c>
      <c r="B3425" s="0" t="s">
        <v>73</v>
      </c>
      <c r="F3425" s="38" t="n">
        <f aca="false">iss_2h26</f>
        <v>29.25</v>
      </c>
      <c r="G3425" s="38" t="n">
        <f aca="false">Sens!$F$3425</f>
        <v>29.25</v>
      </c>
      <c r="H3425" s="41" t="n">
        <v>0</v>
      </c>
      <c r="I3425" s="41" t="n">
        <v>0</v>
      </c>
      <c r="J3425" s="41" t="n">
        <v>0</v>
      </c>
      <c r="K3425" s="41" t="n">
        <v>0</v>
      </c>
      <c r="L3425" s="41" t="n">
        <v>0</v>
      </c>
      <c r="M3425" s="41" t="n">
        <v>0</v>
      </c>
    </row>
    <row r="3426" customFormat="false" ht="17.15" hidden="false" customHeight="false" outlineLevel="0" collapsed="false">
      <c r="A3426" s="5" t="s">
        <v>747</v>
      </c>
      <c r="B3426" s="0" t="s">
        <v>73</v>
      </c>
      <c r="F3426" s="38" t="n">
        <f aca="false">cash_q2</f>
        <v>122.988</v>
      </c>
      <c r="G3426" s="38" t="n">
        <f aca="false">cash_q2</f>
        <v>122.988</v>
      </c>
      <c r="H3426" s="38" t="n">
        <f aca="false">Sens!$G$3429</f>
        <v>95.3698226634929</v>
      </c>
      <c r="I3426" s="38" t="n">
        <f aca="false">Sens!$H$3429</f>
        <v>50</v>
      </c>
      <c r="J3426" s="38" t="n">
        <f aca="false">Sens!$I$3429</f>
        <v>50</v>
      </c>
      <c r="K3426" s="38" t="n">
        <f aca="false">Sens!$J$3429</f>
        <v>92.3811467117197</v>
      </c>
      <c r="L3426" s="38" t="n">
        <f aca="false">Sens!$K$3429</f>
        <v>177.894446314711</v>
      </c>
      <c r="M3426" s="38" t="n">
        <f aca="false">Sens!$L$3429</f>
        <v>276.168614051789</v>
      </c>
    </row>
    <row r="3427" customFormat="false" ht="15" hidden="false" customHeight="false" outlineLevel="0" collapsed="false">
      <c r="A3427" s="5" t="s">
        <v>748</v>
      </c>
      <c r="B3427" s="0" t="s">
        <v>73</v>
      </c>
      <c r="F3427" s="38" t="n">
        <f aca="false">Sens!$F$3426+Sens!$F$3423-Sens!$F$3422-Sens!$F$3424+Sens!$F$3425</f>
        <v>95.3698226634929</v>
      </c>
      <c r="H3427" s="38" t="n">
        <f aca="false">Sens!$H$3426+Sens!$H$3423-Sens!$H$3422-Sens!$H$3424+Sens!$H$3425</f>
        <v>49.6149477445683</v>
      </c>
      <c r="I3427" s="38" t="n">
        <f aca="false">Sens!$I$3426+Sens!$I$3423-Sens!$I$3422-Sens!$I$3424+Sens!$I$3425</f>
        <v>47.8184766469748</v>
      </c>
      <c r="J3427" s="38" t="n">
        <f aca="false">Sens!$J$3426+Sens!$J$3423-Sens!$J$3422-Sens!$J$3424+Sens!$J$3425</f>
        <v>92.3811467117197</v>
      </c>
      <c r="K3427" s="38" t="n">
        <f aca="false">Sens!$K$3426+Sens!$K$3423-Sens!$K$3422-Sens!$K$3424+Sens!$K$3425</f>
        <v>177.894446314711</v>
      </c>
      <c r="L3427" s="38" t="n">
        <f aca="false">Sens!$L$3426+Sens!$L$3423-Sens!$L$3422-Sens!$L$3424+Sens!$L$3425</f>
        <v>276.168614051789</v>
      </c>
      <c r="M3427" s="38" t="n">
        <f aca="false">Sens!$M$3426+Sens!$M$3423-Sens!$M$3422-Sens!$M$3424+Sens!$M$3425</f>
        <v>365.629539177145</v>
      </c>
    </row>
    <row r="3428" customFormat="false" ht="17.15" hidden="false" customHeight="false" outlineLevel="0" collapsed="false">
      <c r="A3428" s="5" t="s">
        <v>749</v>
      </c>
      <c r="B3428" s="0" t="s">
        <v>73</v>
      </c>
      <c r="F3428" s="38" t="n">
        <f aca="false">MAX(0,min_cash-Sens!$F$3427)</f>
        <v>0</v>
      </c>
      <c r="G3428" s="38" t="n">
        <f aca="false">Sens!$F$3428</f>
        <v>0</v>
      </c>
      <c r="H3428" s="38" t="n">
        <f aca="false">MAX(0,min_cash-Sens!$H$3427)</f>
        <v>0.385052255431752</v>
      </c>
      <c r="I3428" s="38" t="n">
        <f aca="false">MAX(0,min_cash-Sens!$I$3427)</f>
        <v>2.18152335302521</v>
      </c>
      <c r="J3428" s="38" t="n">
        <f aca="false">MAX(0,min_cash-Sens!$J$3427)</f>
        <v>0</v>
      </c>
      <c r="K3428" s="38" t="n">
        <f aca="false">MAX(0,min_cash-Sens!$K$3427)</f>
        <v>0</v>
      </c>
      <c r="L3428" s="38" t="n">
        <f aca="false">MAX(0,min_cash-Sens!$L$3427)</f>
        <v>0</v>
      </c>
      <c r="M3428" s="38" t="n">
        <f aca="false">MAX(0,min_cash-Sens!$M$3427)</f>
        <v>0</v>
      </c>
      <c r="P3428" s="5" t="s">
        <v>750</v>
      </c>
    </row>
    <row r="3429" customFormat="false" ht="15" hidden="false" customHeight="false" outlineLevel="0" collapsed="false">
      <c r="A3429" s="5" t="s">
        <v>751</v>
      </c>
      <c r="B3429" s="0" t="s">
        <v>73</v>
      </c>
      <c r="D3429" s="38" t="n">
        <f aca="false">Q!$E$61</f>
        <v>123.029</v>
      </c>
      <c r="E3429" s="38" t="n">
        <f aca="false">Q!$M$61</f>
        <v>122.988</v>
      </c>
      <c r="F3429" s="38" t="n">
        <f aca="false">Sens!$F$3427+Sens!$F$3428</f>
        <v>95.3698226634929</v>
      </c>
      <c r="G3429" s="38" t="n">
        <f aca="false">Sens!$F$3429</f>
        <v>95.3698226634929</v>
      </c>
      <c r="H3429" s="38" t="n">
        <f aca="false">Sens!$H$3427+Sens!$H$3428</f>
        <v>50</v>
      </c>
      <c r="I3429" s="38" t="n">
        <f aca="false">Sens!$I$3427+Sens!$I$3428</f>
        <v>50</v>
      </c>
      <c r="J3429" s="38" t="n">
        <f aca="false">Sens!$J$3427+Sens!$J$3428</f>
        <v>92.3811467117197</v>
      </c>
      <c r="K3429" s="38" t="n">
        <f aca="false">Sens!$K$3427+Sens!$K$3428</f>
        <v>177.894446314711</v>
      </c>
      <c r="L3429" s="38" t="n">
        <f aca="false">Sens!$L$3427+Sens!$L$3428</f>
        <v>276.168614051789</v>
      </c>
      <c r="M3429" s="38" t="n">
        <f aca="false">Sens!$M$3427+Sens!$M$3428</f>
        <v>365.629539177145</v>
      </c>
    </row>
    <row r="3430" customFormat="false" ht="15" hidden="false" customHeight="false" outlineLevel="0" collapsed="false">
      <c r="A3430" s="5" t="s">
        <v>752</v>
      </c>
      <c r="B3430" s="0" t="s">
        <v>73</v>
      </c>
      <c r="D3430" s="38" t="n">
        <f aca="false">Q!$E$62</f>
        <v>68.836</v>
      </c>
      <c r="E3430" s="38" t="n">
        <f aca="false">Q!$M$62</f>
        <v>132.995</v>
      </c>
      <c r="F3430" s="38" t="n">
        <f aca="false">debt_q2+Sens!$F$3425+Sens!$F$3428</f>
        <v>162.245</v>
      </c>
      <c r="G3430" s="38" t="n">
        <f aca="false">Sens!$F$3430</f>
        <v>162.245</v>
      </c>
      <c r="H3430" s="38" t="n">
        <f aca="false">Sens!$G$3430+Sens!$H$3428</f>
        <v>162.630052255432</v>
      </c>
      <c r="I3430" s="38" t="n">
        <f aca="false">Sens!$H$3430+Sens!$I$3428</f>
        <v>164.811575608457</v>
      </c>
      <c r="J3430" s="38" t="n">
        <f aca="false">Sens!$I$3430+Sens!$J$3428</f>
        <v>164.811575608457</v>
      </c>
      <c r="K3430" s="38" t="n">
        <f aca="false">Sens!$J$3430+Sens!$K$3428</f>
        <v>164.811575608457</v>
      </c>
      <c r="L3430" s="38" t="n">
        <f aca="false">Sens!$K$3430+Sens!$L$3428</f>
        <v>164.811575608457</v>
      </c>
      <c r="M3430" s="38" t="n">
        <f aca="false">Sens!$L$3430+Sens!$M$3428</f>
        <v>164.811575608457</v>
      </c>
    </row>
    <row r="3431" customFormat="false" ht="15" hidden="false" customHeight="false" outlineLevel="0" collapsed="false">
      <c r="A3431" s="5" t="s">
        <v>753</v>
      </c>
      <c r="B3431" s="0" t="s">
        <v>73</v>
      </c>
      <c r="D3431" s="38" t="n">
        <f aca="false">Sens!$D$3430-Sens!$D$3429</f>
        <v>-54.193</v>
      </c>
      <c r="E3431" s="38" t="n">
        <f aca="false">Sens!$E$3430-Sens!$E$3429</f>
        <v>10.007</v>
      </c>
      <c r="F3431" s="38" t="n">
        <f aca="false">Sens!$F$3430-Sens!$F$3429</f>
        <v>66.8751773365071</v>
      </c>
      <c r="G3431" s="38" t="n">
        <f aca="false">Sens!$G$3430-Sens!$G$3429</f>
        <v>66.8751773365071</v>
      </c>
      <c r="H3431" s="38" t="n">
        <f aca="false">Sens!$H$3430-Sens!$H$3429</f>
        <v>112.630052255432</v>
      </c>
      <c r="I3431" s="38" t="n">
        <f aca="false">Sens!$I$3430-Sens!$I$3429</f>
        <v>114.811575608457</v>
      </c>
      <c r="J3431" s="38" t="n">
        <f aca="false">Sens!$J$3430-Sens!$J$3429</f>
        <v>72.4304288967373</v>
      </c>
      <c r="K3431" s="38" t="n">
        <f aca="false">Sens!$K$3430-Sens!$K$3429</f>
        <v>-13.0828707062544</v>
      </c>
      <c r="L3431" s="38" t="n">
        <f aca="false">Sens!$L$3430-Sens!$L$3429</f>
        <v>-111.357038443332</v>
      </c>
      <c r="M3431" s="38" t="n">
        <f aca="false">Sens!$M$3430-Sens!$M$3429</f>
        <v>-200.817963568688</v>
      </c>
    </row>
    <row r="3432" customFormat="false" ht="17.15" hidden="false" customHeight="false" outlineLevel="0" collapsed="false">
      <c r="A3432" s="5" t="s">
        <v>754</v>
      </c>
      <c r="B3432" s="0" t="s">
        <v>73</v>
      </c>
      <c r="F3432" s="38" t="n">
        <f aca="false">debt_q2*kd_book*0.5+iss_2h26*kd_new*0.25</f>
        <v>3.24888964316061</v>
      </c>
      <c r="H3432" s="38" t="n">
        <f aca="false">debt_q2*kd_book+(Sens!$G$3430-debt_q2)*kd_new</f>
        <v>7.42354178632123</v>
      </c>
      <c r="I3432" s="38" t="n">
        <f aca="false">debt_q2*kd_book+(Sens!$H$3430-debt_q2)*kd_new</f>
        <v>7.44791559409006</v>
      </c>
      <c r="J3432" s="38" t="n">
        <f aca="false">debt_q2*kd_book+(Sens!$I$3430-debt_q2)*kd_new</f>
        <v>7.58600602233655</v>
      </c>
      <c r="K3432" s="38" t="n">
        <f aca="false">debt_q2*kd_book+(Sens!$J$3430-debt_q2)*kd_new</f>
        <v>7.58600602233655</v>
      </c>
      <c r="L3432" s="38" t="n">
        <f aca="false">debt_q2*kd_book+(Sens!$K$3430-debt_q2)*kd_new</f>
        <v>7.58600602233655</v>
      </c>
      <c r="M3432" s="38" t="n">
        <f aca="false">debt_q2*kd_book+(Sens!$L$3430-debt_q2)*kd_new</f>
        <v>7.58600602233655</v>
      </c>
    </row>
    <row r="3433" customFormat="false" ht="17.15" hidden="false" customHeight="false" outlineLevel="0" collapsed="false">
      <c r="A3433" s="5" t="s">
        <v>755</v>
      </c>
      <c r="B3433" s="0" t="s">
        <v>73</v>
      </c>
      <c r="F3433" s="38" t="n">
        <f aca="false">cash_q2*y_cash*0.5</f>
        <v>2.59</v>
      </c>
      <c r="H3433" s="38" t="n">
        <f aca="false">Sens!$G$3429*y_cash</f>
        <v>4.01677953456348</v>
      </c>
      <c r="I3433" s="38" t="n">
        <f aca="false">Sens!$H$3429*y_cash</f>
        <v>2.10589651022864</v>
      </c>
      <c r="J3433" s="38" t="n">
        <f aca="false">Sens!$I$3429*y_cash</f>
        <v>2.10589651022864</v>
      </c>
      <c r="K3433" s="38" t="n">
        <f aca="false">Sens!$J$3429*y_cash</f>
        <v>3.89090268942261</v>
      </c>
      <c r="L3433" s="38" t="n">
        <f aca="false">Sens!$K$3429*y_cash</f>
        <v>7.49254587366414</v>
      </c>
      <c r="M3433" s="38" t="n">
        <f aca="false">Sens!$L$3429*y_cash</f>
        <v>11.6316504113269</v>
      </c>
    </row>
    <row r="3434" customFormat="false" ht="17.15" hidden="false" customHeight="false" outlineLevel="0" collapsed="false">
      <c r="A3434" s="46" t="s">
        <v>756</v>
      </c>
      <c r="B3434" s="13" t="s">
        <v>73</v>
      </c>
      <c r="C3434" s="13"/>
      <c r="D3434" s="13"/>
      <c r="E3434" s="13"/>
      <c r="F3434" s="13"/>
      <c r="G3434" s="47" t="n">
        <f aca="false">SUM(Sens!$G$3423:$K$3423)</f>
        <v>18.6988707062544</v>
      </c>
      <c r="H3434" s="13"/>
      <c r="I3434" s="13"/>
      <c r="J3434" s="13"/>
      <c r="K3434" s="13"/>
      <c r="L3434" s="13"/>
      <c r="M3434" s="13"/>
      <c r="N3434" s="13"/>
      <c r="O3434" s="13"/>
    </row>
    <row r="3435" customFormat="false" ht="17.15" hidden="false" customHeight="false" outlineLevel="0" collapsed="false">
      <c r="A3435" s="0" t="s">
        <v>723</v>
      </c>
      <c r="B3435" s="0" t="s">
        <v>73</v>
      </c>
      <c r="G3435" s="38" t="n">
        <f aca="false">SUM(Sens!$G$3428:$K$3428)</f>
        <v>2.56657560845696</v>
      </c>
    </row>
    <row r="3438" customFormat="false" ht="19.4" hidden="false" customHeight="false" outlineLevel="0" collapsed="false">
      <c r="A3438" s="31" t="s">
        <v>1117</v>
      </c>
    </row>
    <row r="3439" customFormat="false" ht="17.15" hidden="false" customHeight="false" outlineLevel="0" collapsed="false">
      <c r="A3439" s="6" t="s">
        <v>16</v>
      </c>
      <c r="B3439" s="6" t="s">
        <v>17</v>
      </c>
      <c r="C3439" s="20" t="s">
        <v>457</v>
      </c>
      <c r="D3439" s="20" t="s">
        <v>458</v>
      </c>
      <c r="E3439" s="20" t="s">
        <v>540</v>
      </c>
      <c r="F3439" s="20" t="s">
        <v>541</v>
      </c>
      <c r="G3439" s="20" t="s">
        <v>542</v>
      </c>
      <c r="H3439" s="20" t="s">
        <v>543</v>
      </c>
      <c r="I3439" s="20" t="s">
        <v>544</v>
      </c>
      <c r="J3439" s="20" t="s">
        <v>545</v>
      </c>
      <c r="K3439" s="20" t="s">
        <v>546</v>
      </c>
      <c r="L3439" s="20" t="s">
        <v>547</v>
      </c>
      <c r="M3439" s="20" t="s">
        <v>548</v>
      </c>
      <c r="N3439" s="20" t="s">
        <v>549</v>
      </c>
      <c r="O3439" s="20" t="s">
        <v>550</v>
      </c>
      <c r="P3439" s="6" t="s">
        <v>23</v>
      </c>
      <c r="R3439" s="20" t="n">
        <v>2023</v>
      </c>
      <c r="S3439" s="20" t="n">
        <v>2024</v>
      </c>
      <c r="T3439" s="20" t="n">
        <v>2025</v>
      </c>
      <c r="U3439" s="20" t="n">
        <v>2026</v>
      </c>
      <c r="V3439" s="20" t="n">
        <v>2027</v>
      </c>
      <c r="W3439" s="20" t="n">
        <v>2028</v>
      </c>
      <c r="X3439" s="20" t="n">
        <v>2029</v>
      </c>
      <c r="Y3439" s="20" t="n">
        <v>2030</v>
      </c>
      <c r="Z3439" s="20" t="n">
        <v>2031</v>
      </c>
      <c r="AA3439" s="20" t="n">
        <v>2032</v>
      </c>
    </row>
    <row r="3440" customFormat="false" ht="17.15" hidden="false" customHeight="false" outlineLevel="0" collapsed="false">
      <c r="A3440" s="1" t="s">
        <v>851</v>
      </c>
    </row>
    <row r="3441" customFormat="false" ht="17.15" hidden="false" customHeight="false" outlineLevel="0" collapsed="false">
      <c r="A3441" s="0" t="s">
        <v>852</v>
      </c>
      <c r="B3441" s="0" t="s">
        <v>73</v>
      </c>
      <c r="H3441" s="38" t="n">
        <f aca="false">Sens!$H$3377*(1-tax)</f>
        <v>113.031914615703</v>
      </c>
      <c r="I3441" s="38" t="n">
        <f aca="false">Sens!$I$3377*(1-tax)</f>
        <v>134.515120015338</v>
      </c>
      <c r="J3441" s="38" t="n">
        <f aca="false">Sens!$J$3377*(1-tax)</f>
        <v>153.66606189581</v>
      </c>
      <c r="K3441" s="38" t="n">
        <f aca="false">Sens!$K$3377*(1-tax)</f>
        <v>169.132887416994</v>
      </c>
      <c r="L3441" s="38" t="n">
        <f aca="false">Sens!$L$3377*(1-tax)</f>
        <v>186.138259005111</v>
      </c>
      <c r="M3441" s="38" t="n">
        <f aca="false">Sens!$M$3377*(1-tax)</f>
        <v>203.817163336254</v>
      </c>
    </row>
    <row r="3442" customFormat="false" ht="15" hidden="false" customHeight="false" outlineLevel="0" collapsed="false">
      <c r="A3442" s="5" t="s">
        <v>853</v>
      </c>
      <c r="B3442" s="0" t="s">
        <v>73</v>
      </c>
      <c r="H3442" s="38" t="n">
        <f aca="false">Sens!$H$3389</f>
        <v>87.6845218193838</v>
      </c>
      <c r="I3442" s="38" t="n">
        <f aca="false">Sens!$I$3389</f>
        <v>122.294769708638</v>
      </c>
      <c r="J3442" s="38" t="n">
        <f aca="false">Sens!$J$3389</f>
        <v>157.133962573221</v>
      </c>
      <c r="K3442" s="38" t="n">
        <f aca="false">Sens!$K$3389</f>
        <v>191.350633353599</v>
      </c>
      <c r="L3442" s="38" t="n">
        <f aca="false">Sens!$L$3389</f>
        <v>223.909238335354</v>
      </c>
      <c r="M3442" s="38" t="n">
        <f aca="false">Sens!$M$3389</f>
        <v>257.576319867276</v>
      </c>
    </row>
    <row r="3443" customFormat="false" ht="15" hidden="false" customHeight="false" outlineLevel="0" collapsed="false">
      <c r="A3443" s="5" t="s">
        <v>854</v>
      </c>
      <c r="B3443" s="0" t="s">
        <v>73</v>
      </c>
      <c r="H3443" s="38" t="n">
        <f aca="false">Sens!$H$3418</f>
        <v>277.870120501355</v>
      </c>
      <c r="I3443" s="38" t="n">
        <f aca="false">Sens!$I$3418</f>
        <v>293.934464585378</v>
      </c>
      <c r="J3443" s="38" t="n">
        <f aca="false">Sens!$J$3418</f>
        <v>308.06904811359</v>
      </c>
      <c r="K3443" s="38" t="n">
        <f aca="false">Sens!$K$3418</f>
        <v>320.385735318248</v>
      </c>
      <c r="L3443" s="38" t="n">
        <f aca="false">Sens!$L$3418</f>
        <v>364.65641921833</v>
      </c>
      <c r="M3443" s="38" t="n">
        <f aca="false">Sens!$M$3418</f>
        <v>432.943173024858</v>
      </c>
    </row>
    <row r="3444" customFormat="false" ht="15" hidden="false" customHeight="false" outlineLevel="0" collapsed="false">
      <c r="A3444" s="5" t="s">
        <v>855</v>
      </c>
      <c r="B3444" s="0" t="s">
        <v>73</v>
      </c>
      <c r="H3444" s="38" t="n">
        <f aca="false">Sens!$H$3419</f>
        <v>1.6</v>
      </c>
      <c r="I3444" s="38" t="n">
        <f aca="false">Sens!$I$3419</f>
        <v>1.6</v>
      </c>
      <c r="J3444" s="38" t="n">
        <f aca="false">Sens!$J$3419</f>
        <v>1.6</v>
      </c>
      <c r="K3444" s="38" t="n">
        <f aca="false">Sens!$K$3419</f>
        <v>1.6</v>
      </c>
      <c r="L3444" s="38" t="n">
        <f aca="false">Sens!$L$3419</f>
        <v>1.6</v>
      </c>
      <c r="M3444" s="38" t="n">
        <f aca="false">Sens!$M$3419</f>
        <v>1.6</v>
      </c>
    </row>
    <row r="3445" customFormat="false" ht="15" hidden="false" customHeight="false" outlineLevel="0" collapsed="false">
      <c r="A3445" s="5" t="s">
        <v>856</v>
      </c>
      <c r="B3445" s="0" t="s">
        <v>73</v>
      </c>
      <c r="H3445" s="38" t="n">
        <f aca="false">Sens!$H$3413</f>
        <v>11.6369707537667</v>
      </c>
      <c r="I3445" s="38" t="n">
        <f aca="false">Sens!$I$3413</f>
        <v>13.3082502961262</v>
      </c>
      <c r="J3445" s="38" t="n">
        <f aca="false">Sens!$J$3413</f>
        <v>14.8747965344332</v>
      </c>
      <c r="K3445" s="38" t="n">
        <f aca="false">Sens!$K$3413</f>
        <v>16.2687901804328</v>
      </c>
      <c r="L3445" s="38" t="n">
        <f aca="false">Sens!$L$3413</f>
        <v>17.7280727627002</v>
      </c>
      <c r="M3445" s="38" t="n">
        <f aca="false">Sens!$M$3413</f>
        <v>19.2574690270319</v>
      </c>
    </row>
    <row r="3446" customFormat="false" ht="17.15" hidden="false" customHeight="false" outlineLevel="0" collapsed="false">
      <c r="A3446" s="1" t="s">
        <v>857</v>
      </c>
      <c r="B3446" s="8" t="s">
        <v>73</v>
      </c>
      <c r="H3446" s="38" t="n">
        <f aca="false">Sens!$H$3441+Sens!$H$3442-Sens!$H$3443-Sens!$H$3444+Sens!$H$3445</f>
        <v>-67.1167133125014</v>
      </c>
      <c r="I3446" s="38" t="n">
        <f aca="false">Sens!$I$3441+Sens!$I$3442-Sens!$I$3443-Sens!$I$3444+Sens!$I$3445</f>
        <v>-25.416324565276</v>
      </c>
      <c r="J3446" s="38" t="n">
        <f aca="false">Sens!$J$3441+Sens!$J$3442-Sens!$J$3443-Sens!$J$3444+Sens!$J$3445</f>
        <v>16.0057728898736</v>
      </c>
      <c r="K3446" s="38" t="n">
        <f aca="false">Sens!$K$3441+Sens!$K$3442-Sens!$K$3443-Sens!$K$3444+Sens!$K$3445</f>
        <v>54.7665756327781</v>
      </c>
      <c r="L3446" s="38" t="n">
        <f aca="false">Sens!$L$3441+Sens!$L$3442-Sens!$L$3443-Sens!$L$3444+Sens!$L$3445</f>
        <v>61.5191508848359</v>
      </c>
      <c r="M3446" s="38" t="n">
        <f aca="false">Sens!$M$3441+Sens!$M$3442-Sens!$M$3443-Sens!$M$3444+Sens!$M$3445</f>
        <v>46.1077792057039</v>
      </c>
    </row>
    <row r="3447" customFormat="false" ht="15" hidden="false" customHeight="false" outlineLevel="0" collapsed="false">
      <c r="A3447" s="5" t="s">
        <v>858</v>
      </c>
      <c r="B3447" s="0" t="s">
        <v>57</v>
      </c>
      <c r="H3447" s="51" t="n">
        <f aca="false">1/(1+wacc)^(2027-2026-0.5)</f>
        <v>0.942858177653364</v>
      </c>
      <c r="I3447" s="51" t="n">
        <f aca="false">1/(1+wacc)^(2028-2026-0.5)</f>
        <v>0.838183517758688</v>
      </c>
      <c r="J3447" s="51" t="n">
        <f aca="false">1/(1+wacc)^(2029-2026-0.5)</f>
        <v>0.745129677074952</v>
      </c>
      <c r="K3447" s="51" t="n">
        <f aca="false">1/(1+wacc)^(2030-2026-0.5)</f>
        <v>0.662406530186232</v>
      </c>
      <c r="L3447" s="51" t="n">
        <f aca="false">1/(1+wacc)^(2031-2026-0.5)</f>
        <v>0.588867179409399</v>
      </c>
      <c r="M3447" s="51" t="n">
        <f aca="false">1/(1+wacc)^(2032-2026-0.5)</f>
        <v>0.52349205387225</v>
      </c>
    </row>
    <row r="3448" customFormat="false" ht="15" hidden="false" customHeight="false" outlineLevel="0" collapsed="false">
      <c r="A3448" s="5" t="s">
        <v>859</v>
      </c>
      <c r="B3448" s="0" t="s">
        <v>73</v>
      </c>
      <c r="H3448" s="38" t="n">
        <f aca="false">Sens!$H$3446*Sens!$H$3447</f>
        <v>-63.2815420039084</v>
      </c>
      <c r="I3448" s="38" t="n">
        <f aca="false">Sens!$I$3446*Sens!$I$3447</f>
        <v>-21.3035443326196</v>
      </c>
      <c r="J3448" s="38" t="n">
        <f aca="false">Sens!$J$3446*Sens!$J$3447</f>
        <v>11.9263763847666</v>
      </c>
      <c r="K3448" s="38" t="n">
        <f aca="false">Sens!$K$3446*Sens!$K$3447</f>
        <v>36.2777373350904</v>
      </c>
      <c r="L3448" s="38" t="n">
        <f aca="false">Sens!$L$3446*Sens!$L$3447</f>
        <v>36.2266088612145</v>
      </c>
      <c r="M3448" s="38" t="n">
        <f aca="false">Sens!$M$3446*Sens!$M$3447</f>
        <v>24.1370560358822</v>
      </c>
    </row>
    <row r="3449" customFormat="false" ht="15" hidden="false" customHeight="false" outlineLevel="0" collapsed="false">
      <c r="A3449" s="5" t="s">
        <v>860</v>
      </c>
      <c r="B3449" s="0" t="s">
        <v>73</v>
      </c>
      <c r="C3449" s="38" t="n">
        <f aca="false">SUM(Sens!$H$3448:$M$3448)</f>
        <v>23.9826922804257</v>
      </c>
    </row>
    <row r="3450" customFormat="false" ht="17.15" hidden="false" customHeight="false" outlineLevel="0" collapsed="false">
      <c r="A3450" s="5" t="s">
        <v>861</v>
      </c>
      <c r="B3450" s="0" t="s">
        <v>73</v>
      </c>
      <c r="C3450" s="38" t="n">
        <f aca="false">Sens!$M$3441*(1+tg)*(1-tg/ronic)/(wacc-tg)</f>
        <v>1681.03027733909</v>
      </c>
    </row>
    <row r="3451" customFormat="false" ht="15" hidden="false" customHeight="false" outlineLevel="0" collapsed="false">
      <c r="A3451" s="5" t="s">
        <v>862</v>
      </c>
      <c r="B3451" s="0" t="s">
        <v>73</v>
      </c>
      <c r="C3451" s="38" t="n">
        <f aca="false">Sens!$C$3450/(1+wacc)^6</f>
        <v>829.720846417945</v>
      </c>
    </row>
    <row r="3452" customFormat="false" ht="17.15" hidden="false" customHeight="false" outlineLevel="0" collapsed="false">
      <c r="A3452" s="5" t="s">
        <v>863</v>
      </c>
      <c r="B3452" s="0" t="s">
        <v>73</v>
      </c>
      <c r="C3452" s="38" t="n">
        <f aca="false">Sens!$C$3449+Sens!$C$3451</f>
        <v>853.70353869837</v>
      </c>
    </row>
    <row r="3453" customFormat="false" ht="17.15" hidden="false" customHeight="false" outlineLevel="0" collapsed="false">
      <c r="A3453" s="5" t="s">
        <v>864</v>
      </c>
      <c r="B3453" s="0" t="s">
        <v>52</v>
      </c>
      <c r="C3453" s="12" t="n">
        <f aca="false">Sens!$C$3451/Sens!$C$3452</f>
        <v>0.971907469990119</v>
      </c>
    </row>
    <row r="3454" customFormat="false" ht="17.15" hidden="false" customHeight="false" outlineLevel="0" collapsed="false">
      <c r="A3454" s="5" t="s">
        <v>865</v>
      </c>
      <c r="B3454" s="0" t="s">
        <v>73</v>
      </c>
      <c r="C3454" s="38" t="n">
        <f aca="false">Sens!$G$3431</f>
        <v>66.8751773365071</v>
      </c>
    </row>
    <row r="3455" customFormat="false" ht="17.15" hidden="false" customHeight="false" outlineLevel="0" collapsed="false">
      <c r="A3455" s="5" t="s">
        <v>866</v>
      </c>
      <c r="B3455" s="0" t="s">
        <v>73</v>
      </c>
      <c r="C3455" s="38" t="n">
        <f aca="false">(ant_val*ant_sh+oai_val*oai_sh)*(1-liq_disc)</f>
        <v>178.944</v>
      </c>
    </row>
    <row r="3456" customFormat="false" ht="15" hidden="false" customHeight="false" outlineLevel="0" collapsed="false">
      <c r="A3456" s="5" t="s">
        <v>867</v>
      </c>
      <c r="B3456" s="0" t="s">
        <v>73</v>
      </c>
      <c r="C3456" s="38" t="n">
        <f aca="false">Sens!$C$3452-Sens!$C$3454+Sens!$C$3455</f>
        <v>965.772361361863</v>
      </c>
    </row>
    <row r="3457" customFormat="false" ht="17.15" hidden="false" customHeight="false" outlineLevel="0" collapsed="false">
      <c r="A3457" s="5" t="s">
        <v>868</v>
      </c>
      <c r="B3457" s="0" t="s">
        <v>27</v>
      </c>
      <c r="C3457" s="30" t="n">
        <f aca="false">Sens!$C$3456/sh_val</f>
        <v>87.5561984329606</v>
      </c>
    </row>
    <row r="3458" customFormat="false" ht="17.15" hidden="false" customHeight="false" outlineLevel="0" collapsed="false">
      <c r="A3458" s="1" t="s">
        <v>869</v>
      </c>
      <c r="B3458" s="8" t="s">
        <v>27</v>
      </c>
      <c r="C3458" s="30" t="n">
        <f aca="false">Sens!$C$3457*(1+ke)^tp_yf</f>
        <v>96.700998610766</v>
      </c>
    </row>
    <row r="3459" customFormat="false" ht="17.15" hidden="false" customHeight="false" outlineLevel="0" collapsed="false">
      <c r="A3459" s="3" t="s">
        <v>870</v>
      </c>
    </row>
    <row r="3460" customFormat="false" ht="17.15" hidden="false" customHeight="false" outlineLevel="0" collapsed="false">
      <c r="A3460" s="5" t="s">
        <v>871</v>
      </c>
      <c r="B3460" s="0" t="s">
        <v>73</v>
      </c>
      <c r="C3460" s="38" t="n">
        <f aca="false">0.25*Sens!$H$3390+0.75*Sens!$I$3390</f>
        <v>69.0649311921995</v>
      </c>
    </row>
    <row r="3461" customFormat="false" ht="15" hidden="false" customHeight="false" outlineLevel="0" collapsed="false">
      <c r="A3461" s="5" t="s">
        <v>872</v>
      </c>
      <c r="B3461" s="0" t="s">
        <v>57</v>
      </c>
      <c r="C3461" s="30" t="n">
        <f aca="false">m_ads*m_x</f>
        <v>9.11</v>
      </c>
    </row>
    <row r="3462" customFormat="false" ht="17.15" hidden="false" customHeight="false" outlineLevel="0" collapsed="false">
      <c r="A3462" s="5" t="s">
        <v>873</v>
      </c>
      <c r="B3462" s="0" t="s">
        <v>73</v>
      </c>
      <c r="C3462" s="38" t="n">
        <f aca="false">Sens!$C$3460*Sens!$C$3461</f>
        <v>629.181523160937</v>
      </c>
    </row>
    <row r="3463" customFormat="false" ht="17.15" hidden="false" customHeight="false" outlineLevel="0" collapsed="false">
      <c r="A3463" s="5" t="s">
        <v>874</v>
      </c>
      <c r="B3463" s="0" t="s">
        <v>73</v>
      </c>
      <c r="C3463" s="38" t="n">
        <f aca="false">0.25*Sens!$H$3391+0.75*Sens!$I$3391</f>
        <v>20.9775583880512</v>
      </c>
    </row>
    <row r="3464" customFormat="false" ht="15" hidden="false" customHeight="false" outlineLevel="0" collapsed="false">
      <c r="A3464" s="5" t="s">
        <v>875</v>
      </c>
      <c r="B3464" s="0" t="s">
        <v>57</v>
      </c>
      <c r="C3464" s="30" t="n">
        <f aca="false">m_retail*m_x</f>
        <v>17.72</v>
      </c>
    </row>
    <row r="3465" customFormat="false" ht="17.15" hidden="false" customHeight="false" outlineLevel="0" collapsed="false">
      <c r="A3465" s="5" t="s">
        <v>876</v>
      </c>
      <c r="B3465" s="0" t="s">
        <v>73</v>
      </c>
      <c r="C3465" s="38" t="n">
        <f aca="false">Sens!$C$3463*Sens!$C$3464</f>
        <v>371.722334636267</v>
      </c>
    </row>
    <row r="3466" customFormat="false" ht="17.15" hidden="false" customHeight="false" outlineLevel="0" collapsed="false">
      <c r="A3466" s="0" t="s">
        <v>877</v>
      </c>
      <c r="B3466" s="0" t="s">
        <v>73</v>
      </c>
      <c r="C3466" s="38" t="n">
        <f aca="false">0.25*Sens!$H$3392+0.75*Sens!$I$3392</f>
        <v>107.575398943098</v>
      </c>
    </row>
    <row r="3467" customFormat="false" ht="17.15" hidden="false" customHeight="false" outlineLevel="0" collapsed="false">
      <c r="A3467" s="0" t="s">
        <v>878</v>
      </c>
      <c r="B3467" s="0" t="s">
        <v>57</v>
      </c>
      <c r="C3467" s="30" t="n">
        <f aca="false">m_cloud*m_x</f>
        <v>13.82</v>
      </c>
    </row>
    <row r="3468" customFormat="false" ht="17.15" hidden="false" customHeight="false" outlineLevel="0" collapsed="false">
      <c r="A3468" s="0" t="s">
        <v>879</v>
      </c>
      <c r="B3468" s="0" t="s">
        <v>73</v>
      </c>
      <c r="C3468" s="38" t="n">
        <f aca="false">Sens!$C$3466*Sens!$C$3467</f>
        <v>1486.69201339361</v>
      </c>
    </row>
    <row r="3469" customFormat="false" ht="17.15" hidden="false" customHeight="false" outlineLevel="0" collapsed="false">
      <c r="A3469" s="0" t="s">
        <v>880</v>
      </c>
      <c r="B3469" s="0" t="s">
        <v>73</v>
      </c>
      <c r="C3469" s="38" t="n">
        <f aca="false">0.25*Sens!$H$3393+0.75*Sens!$I$3393</f>
        <v>72.2947701247864</v>
      </c>
    </row>
    <row r="3470" customFormat="false" ht="17.15" hidden="false" customHeight="false" outlineLevel="0" collapsed="false">
      <c r="A3470" s="0" t="s">
        <v>881</v>
      </c>
      <c r="B3470" s="0" t="s">
        <v>57</v>
      </c>
      <c r="C3470" s="30" t="n">
        <f aca="false">m_ai</f>
        <v>6</v>
      </c>
    </row>
    <row r="3471" customFormat="false" ht="17.15" hidden="false" customHeight="false" outlineLevel="0" collapsed="false">
      <c r="A3471" s="0" t="s">
        <v>882</v>
      </c>
      <c r="B3471" s="0" t="s">
        <v>73</v>
      </c>
      <c r="C3471" s="38" t="n">
        <f aca="false">Sens!$C$3469*Sens!$C$3470</f>
        <v>433.768620748718</v>
      </c>
    </row>
    <row r="3472" customFormat="false" ht="17.15" hidden="false" customHeight="false" outlineLevel="0" collapsed="false">
      <c r="A3472" s="5" t="s">
        <v>883</v>
      </c>
      <c r="B3472" s="0" t="s">
        <v>73</v>
      </c>
      <c r="C3472" s="38" t="n">
        <f aca="false">Sens!$C$3462+Sens!$C$3465+Sens!$C$3468+Sens!$C$3471</f>
        <v>2921.36449193953</v>
      </c>
    </row>
    <row r="3473" customFormat="false" ht="17.15" hidden="false" customHeight="false" outlineLevel="0" collapsed="false">
      <c r="A3473" s="5" t="s">
        <v>884</v>
      </c>
      <c r="B3473" s="0" t="s">
        <v>73</v>
      </c>
      <c r="C3473" s="38" t="n">
        <f aca="false">Sens!$H$3431</f>
        <v>112.630052255432</v>
      </c>
    </row>
    <row r="3474" customFormat="false" ht="15" hidden="false" customHeight="false" outlineLevel="0" collapsed="false">
      <c r="A3474" s="5" t="s">
        <v>885</v>
      </c>
      <c r="B3474" s="0" t="s">
        <v>73</v>
      </c>
      <c r="C3474" s="38" t="n">
        <f aca="false">Sens!$C$3472-Sens!$C$3473+Sens!$C$3455</f>
        <v>2987.6784396841</v>
      </c>
    </row>
    <row r="3475" customFormat="false" ht="15" hidden="false" customHeight="false" outlineLevel="0" collapsed="false">
      <c r="A3475" s="3" t="s">
        <v>886</v>
      </c>
      <c r="B3475" s="8" t="s">
        <v>27</v>
      </c>
      <c r="C3475" s="30" t="n">
        <f aca="false">Sens!$C$3474/sh_val</f>
        <v>270.860688071446</v>
      </c>
    </row>
    <row r="3476" customFormat="false" ht="17.15" hidden="false" customHeight="false" outlineLevel="0" collapsed="false">
      <c r="A3476" s="46" t="s">
        <v>887</v>
      </c>
      <c r="B3476" s="13" t="s">
        <v>27</v>
      </c>
      <c r="C3476" s="43" t="n">
        <f aca="false">w_dcf*Sens!$C$3458+(1-w_dcf)*Sens!$C$3475</f>
        <v>183.780843341106</v>
      </c>
      <c r="D3476" s="13"/>
      <c r="E3476" s="13"/>
      <c r="F3476" s="13"/>
      <c r="G3476" s="13"/>
      <c r="H3476" s="13"/>
      <c r="I3476" s="13"/>
      <c r="J3476" s="13"/>
      <c r="K3476" s="13"/>
      <c r="L3476" s="13"/>
      <c r="M3476" s="13"/>
      <c r="N3476" s="13"/>
      <c r="O3476" s="13"/>
    </row>
    <row r="3477" customFormat="false" ht="17.15" hidden="false" customHeight="false" outlineLevel="0" collapsed="false">
      <c r="A3477" s="5" t="s">
        <v>888</v>
      </c>
      <c r="B3477" s="0" t="s">
        <v>27</v>
      </c>
      <c r="C3477" s="30" t="n">
        <f aca="false">0.45*Sens!$C$3458+0.55*Sens!$C$3475</f>
        <v>192.48882781414</v>
      </c>
    </row>
    <row r="3480" customFormat="false" ht="19.4" hidden="false" customHeight="false" outlineLevel="0" collapsed="false">
      <c r="A3480" s="31" t="s">
        <v>1118</v>
      </c>
    </row>
    <row r="3481" customFormat="false" ht="17.15" hidden="false" customHeight="false" outlineLevel="0" collapsed="false">
      <c r="A3481" s="6" t="s">
        <v>16</v>
      </c>
      <c r="B3481" s="6" t="s">
        <v>17</v>
      </c>
      <c r="C3481" s="20" t="s">
        <v>457</v>
      </c>
      <c r="D3481" s="20" t="s">
        <v>458</v>
      </c>
      <c r="E3481" s="20" t="s">
        <v>540</v>
      </c>
      <c r="F3481" s="20" t="s">
        <v>541</v>
      </c>
      <c r="G3481" s="20" t="s">
        <v>542</v>
      </c>
      <c r="H3481" s="20" t="s">
        <v>543</v>
      </c>
      <c r="I3481" s="20" t="s">
        <v>544</v>
      </c>
      <c r="J3481" s="20" t="s">
        <v>545</v>
      </c>
      <c r="K3481" s="20" t="s">
        <v>546</v>
      </c>
      <c r="L3481" s="20" t="s">
        <v>547</v>
      </c>
      <c r="M3481" s="20" t="s">
        <v>548</v>
      </c>
      <c r="N3481" s="20" t="s">
        <v>549</v>
      </c>
      <c r="O3481" s="20" t="s">
        <v>550</v>
      </c>
      <c r="P3481" s="6" t="s">
        <v>23</v>
      </c>
      <c r="R3481" s="20" t="n">
        <v>2023</v>
      </c>
      <c r="S3481" s="20" t="n">
        <v>2024</v>
      </c>
      <c r="T3481" s="20" t="n">
        <v>2025</v>
      </c>
      <c r="U3481" s="20" t="n">
        <v>2026</v>
      </c>
      <c r="V3481" s="20" t="n">
        <v>2027</v>
      </c>
      <c r="W3481" s="20" t="n">
        <v>2028</v>
      </c>
      <c r="X3481" s="20" t="n">
        <v>2029</v>
      </c>
      <c r="Y3481" s="20" t="n">
        <v>2030</v>
      </c>
      <c r="Z3481" s="20" t="n">
        <v>2031</v>
      </c>
      <c r="AA3481" s="20" t="n">
        <v>2032</v>
      </c>
    </row>
    <row r="3482" customFormat="false" ht="17.15" hidden="false" customHeight="false" outlineLevel="0" collapsed="false">
      <c r="A3482" s="1" t="s">
        <v>620</v>
      </c>
    </row>
    <row r="3483" customFormat="false" ht="17.15" hidden="false" customHeight="false" outlineLevel="0" collapsed="false">
      <c r="A3483" s="0" t="s">
        <v>479</v>
      </c>
      <c r="B3483" s="0" t="s">
        <v>73</v>
      </c>
      <c r="C3483" s="38" t="n">
        <f aca="false">Q!$D$10</f>
        <v>247.029</v>
      </c>
      <c r="D3483" s="38" t="n">
        <f aca="false">Q!$E$10</f>
        <v>269.287</v>
      </c>
      <c r="E3483" s="38" t="n">
        <f aca="false">Q!$P$10</f>
        <v>134.686</v>
      </c>
      <c r="F3483" s="38" t="n">
        <f aca="false">Sens!$O$3483*(1+Sens!$F$3484)-pd_amt*Q!$O$10/(Q!$O$10+Q!$O$12)</f>
        <v>160.728085930082</v>
      </c>
      <c r="G3483" s="38" t="n">
        <f aca="false">Sens!$E$3483+Sens!$F$3483</f>
        <v>295.414085930082</v>
      </c>
      <c r="H3483" s="38" t="n">
        <f aca="false">Sens!$G$3483*(1+Sens!$H$3484)</f>
        <v>320.828163943375</v>
      </c>
      <c r="I3483" s="38" t="n">
        <f aca="false">Sens!$H$3483*(1+Sens!$I$3484)</f>
        <v>344.575578072228</v>
      </c>
      <c r="J3483" s="38" t="n">
        <f aca="false">Sens!$I$3483*(1+Sens!$J$3484)</f>
        <v>365.942555779681</v>
      </c>
      <c r="K3483" s="38" t="n">
        <f aca="false">Sens!$J$3483*(1+Sens!$K$3484)</f>
        <v>384.239683568665</v>
      </c>
      <c r="L3483" s="38" t="n">
        <f aca="false">Sens!$K$3483*(1+Sens!$L$3484)</f>
        <v>403.451667747098</v>
      </c>
      <c r="M3483" s="38" t="n">
        <f aca="false">Sens!$L$3483*(1+Sens!$M$3484)</f>
        <v>423.624251134453</v>
      </c>
      <c r="N3483" s="38" t="n">
        <f aca="false">Q!$N$10</f>
        <v>118.892</v>
      </c>
      <c r="O3483" s="38" t="n">
        <f aca="false">Q!$O$10</f>
        <v>150.395</v>
      </c>
      <c r="P3483" s="8" t="s">
        <v>621</v>
      </c>
    </row>
    <row r="3484" customFormat="false" ht="17.15" hidden="false" customHeight="false" outlineLevel="0" collapsed="false">
      <c r="A3484" s="0" t="s">
        <v>622</v>
      </c>
      <c r="B3484" s="0" t="s">
        <v>52</v>
      </c>
      <c r="E3484" s="12" t="n">
        <f aca="false">Sens!$E$3483/Sens!$N$3483-1</f>
        <v>0.132843252699929</v>
      </c>
      <c r="F3484" s="12" t="n">
        <f aca="false">Sens!$O$3483/(Q!$F$10+Q!$G$10)-1</f>
        <v>0.0980382135842941</v>
      </c>
      <c r="G3484" s="12" t="n">
        <f aca="false">Sens!$G$3483/Sens!$D$3483-1</f>
        <v>0.0970231980380869</v>
      </c>
      <c r="H3484" s="12" t="n">
        <f aca="false">Sens!$F$3484+(g_os-Sens!$F$3484)*1/4</f>
        <v>0.0860286601882206</v>
      </c>
      <c r="I3484" s="12" t="n">
        <f aca="false">Sens!$F$3484+(g_os-Sens!$F$3484)*2/4</f>
        <v>0.074019106792147</v>
      </c>
      <c r="J3484" s="12" t="n">
        <f aca="false">Sens!$F$3484+(g_os-Sens!$F$3484)*3/4</f>
        <v>0.0620095533960735</v>
      </c>
      <c r="K3484" s="12" t="n">
        <f aca="false">Sens!$F$3484+(g_os-Sens!$F$3484)*4/4</f>
        <v>0.05</v>
      </c>
      <c r="L3484" s="12" t="n">
        <f aca="false">g_os</f>
        <v>0.05</v>
      </c>
      <c r="M3484" s="12" t="n">
        <f aca="false">g_os</f>
        <v>0.05</v>
      </c>
      <c r="P3484" s="8" t="s">
        <v>623</v>
      </c>
    </row>
    <row r="3485" customFormat="false" ht="17.15" hidden="false" customHeight="false" outlineLevel="0" collapsed="false">
      <c r="A3485" s="0" t="s">
        <v>480</v>
      </c>
      <c r="B3485" s="0" t="s">
        <v>73</v>
      </c>
      <c r="C3485" s="38" t="n">
        <f aca="false">Q!$D$11</f>
        <v>21.215</v>
      </c>
      <c r="D3485" s="38" t="n">
        <f aca="false">Q!$E$11</f>
        <v>22.561</v>
      </c>
      <c r="E3485" s="38" t="n">
        <f aca="false">Q!$P$11</f>
        <v>11.579</v>
      </c>
      <c r="F3485" s="38" t="n">
        <f aca="false">Sens!$O$3485*(1+Sens!$F$3486)</f>
        <v>12.0952613121125</v>
      </c>
      <c r="G3485" s="38" t="n">
        <f aca="false">Sens!$E$3485+Sens!$F$3485</f>
        <v>23.6742613121125</v>
      </c>
      <c r="H3485" s="38" t="n">
        <f aca="false">Sens!$G$3485*(1+Sens!$H$3486)</f>
        <v>24.8803243963206</v>
      </c>
      <c r="I3485" s="38" t="n">
        <f aca="false">Sens!$H$3485*(1+Sens!$I$3486)</f>
        <v>25.9741308664154</v>
      </c>
      <c r="J3485" s="38" t="n">
        <f aca="false">Sens!$I$3485*(1+Sens!$J$3486)</f>
        <v>26.9346894124267</v>
      </c>
      <c r="K3485" s="38" t="n">
        <f aca="false">Sens!$J$3485*(1+Sens!$K$3486)</f>
        <v>27.7427300947995</v>
      </c>
      <c r="L3485" s="38" t="n">
        <f aca="false">Sens!$K$3485*(1+Sens!$L$3486)</f>
        <v>28.5750119976435</v>
      </c>
      <c r="M3485" s="38" t="n">
        <f aca="false">Sens!$L$3485*(1+Sens!$M$3486)</f>
        <v>29.4322623575728</v>
      </c>
      <c r="N3485" s="38" t="n">
        <f aca="false">Q!$N$11</f>
        <v>11.128</v>
      </c>
      <c r="O3485" s="38" t="n">
        <f aca="false">Q!$O$11</f>
        <v>11.433</v>
      </c>
      <c r="P3485" s="8" t="s">
        <v>621</v>
      </c>
    </row>
    <row r="3486" customFormat="false" ht="17.15" hidden="false" customHeight="false" outlineLevel="0" collapsed="false">
      <c r="A3486" s="0" t="s">
        <v>624</v>
      </c>
      <c r="B3486" s="0" t="s">
        <v>52</v>
      </c>
      <c r="E3486" s="12" t="n">
        <f aca="false">Sens!$E$3485/Sens!$N$3485-1</f>
        <v>0.0405283968368082</v>
      </c>
      <c r="F3486" s="12" t="n">
        <f aca="false">Sens!$O$3485/(Q!$F$11+Q!$G$11)-1</f>
        <v>0.0579254187100955</v>
      </c>
      <c r="G3486" s="12" t="n">
        <f aca="false">Sens!$G$3485/Sens!$D$3485-1</f>
        <v>0.0493445021103904</v>
      </c>
      <c r="H3486" s="12" t="n">
        <f aca="false">Sens!$F$3486+(g_ps-Sens!$F$3486)*1/4</f>
        <v>0.0509440640325716</v>
      </c>
      <c r="I3486" s="12" t="n">
        <f aca="false">Sens!$F$3486+(g_ps-Sens!$F$3486)*2/4</f>
        <v>0.0439627093550477</v>
      </c>
      <c r="J3486" s="12" t="n">
        <f aca="false">Sens!$F$3486+(g_ps-Sens!$F$3486)*3/4</f>
        <v>0.0369813546775239</v>
      </c>
      <c r="K3486" s="12" t="n">
        <f aca="false">Sens!$F$3486+(g_ps-Sens!$F$3486)*4/4</f>
        <v>0.03</v>
      </c>
      <c r="L3486" s="12" t="n">
        <f aca="false">g_ps</f>
        <v>0.03</v>
      </c>
      <c r="M3486" s="12" t="n">
        <f aca="false">g_ps</f>
        <v>0.03</v>
      </c>
      <c r="P3486" s="8" t="s">
        <v>625</v>
      </c>
    </row>
    <row r="3487" customFormat="false" ht="17.15" hidden="false" customHeight="false" outlineLevel="0" collapsed="false">
      <c r="A3487" s="0" t="s">
        <v>481</v>
      </c>
      <c r="B3487" s="0" t="s">
        <v>73</v>
      </c>
      <c r="C3487" s="38" t="n">
        <f aca="false">Q!$D$12</f>
        <v>156.146</v>
      </c>
      <c r="D3487" s="38" t="n">
        <f aca="false">Q!$E$12</f>
        <v>172.162</v>
      </c>
      <c r="E3487" s="38" t="n">
        <f aca="false">Q!$P$12</f>
        <v>88.358</v>
      </c>
      <c r="F3487" s="38" t="n">
        <f aca="false">Sens!$O$3487*(1+Sens!$F$3488)-pd_amt*Q!$O$12/(Q!$O$10+Q!$O$12)</f>
        <v>103.62028337149</v>
      </c>
      <c r="G3487" s="38" t="n">
        <f aca="false">Sens!$E$3487+Sens!$F$3487</f>
        <v>191.97828337149</v>
      </c>
      <c r="H3487" s="38" t="n">
        <f aca="false">Sens!$G$3487*(1+Sens!$H$3488)</f>
        <v>212.128608444755</v>
      </c>
      <c r="I3487" s="38" t="n">
        <f aca="false">Sens!$H$3487*(1+Sens!$I$3488)</f>
        <v>231.92183134134</v>
      </c>
      <c r="J3487" s="38" t="n">
        <f aca="false">Sens!$I$3487*(1+Sens!$J$3488)</f>
        <v>250.859136487863</v>
      </c>
      <c r="K3487" s="38" t="n">
        <f aca="false">Sens!$J$3487*(1+Sens!$K$3488)</f>
        <v>268.419276042014</v>
      </c>
      <c r="L3487" s="38" t="n">
        <f aca="false">Sens!$K$3487*(1+Sens!$L$3488)</f>
        <v>287.208625364954</v>
      </c>
      <c r="M3487" s="38" t="n">
        <f aca="false">Sens!$L$3487*(1+Sens!$M$3488)</f>
        <v>307.313229140501</v>
      </c>
      <c r="N3487" s="38" t="n">
        <f aca="false">Q!$N$12</f>
        <v>76.86</v>
      </c>
      <c r="O3487" s="38" t="n">
        <f aca="false">Q!$O$12</f>
        <v>95.302</v>
      </c>
      <c r="P3487" s="8" t="s">
        <v>621</v>
      </c>
    </row>
    <row r="3488" customFormat="false" ht="17.15" hidden="false" customHeight="false" outlineLevel="0" collapsed="false">
      <c r="A3488" s="0" t="s">
        <v>626</v>
      </c>
      <c r="B3488" s="0" t="s">
        <v>52</v>
      </c>
      <c r="E3488" s="12" t="n">
        <f aca="false">Sens!$E$3487/Sens!$N$3487-1</f>
        <v>0.1495966692688</v>
      </c>
      <c r="F3488" s="12" t="n">
        <f aca="false">Sens!$O$3487/(Q!$F$12+Q!$G$12)-1</f>
        <v>0.11661530890813</v>
      </c>
      <c r="G3488" s="12" t="n">
        <f aca="false">Sens!$G$3487/Sens!$D$3487-1</f>
        <v>0.115102539303041</v>
      </c>
      <c r="H3488" s="12" t="n">
        <f aca="false">Sens!$F$3488+(g_sp-Sens!$F$3488)*1/4</f>
        <v>0.104961481681098</v>
      </c>
      <c r="I3488" s="12" t="n">
        <f aca="false">Sens!$F$3488+(g_sp-Sens!$F$3488)*2/4</f>
        <v>0.0933076544540651</v>
      </c>
      <c r="J3488" s="12" t="n">
        <f aca="false">Sens!$F$3488+(g_sp-Sens!$F$3488)*3/4</f>
        <v>0.0816538272270325</v>
      </c>
      <c r="K3488" s="12" t="n">
        <f aca="false">Sens!$F$3488+(g_sp-Sens!$F$3488)*4/4</f>
        <v>0.07</v>
      </c>
      <c r="L3488" s="12" t="n">
        <f aca="false">g_sp</f>
        <v>0.07</v>
      </c>
      <c r="M3488" s="12" t="n">
        <f aca="false">g_sp</f>
        <v>0.07</v>
      </c>
      <c r="P3488" s="8" t="s">
        <v>627</v>
      </c>
    </row>
    <row r="3489" customFormat="false" ht="17.15" hidden="false" customHeight="false" outlineLevel="0" collapsed="false">
      <c r="A3489" s="0" t="s">
        <v>482</v>
      </c>
      <c r="B3489" s="0" t="s">
        <v>73</v>
      </c>
      <c r="C3489" s="38" t="n">
        <f aca="false">Q!$D$13</f>
        <v>56.214</v>
      </c>
      <c r="D3489" s="38" t="n">
        <f aca="false">Q!$E$13</f>
        <v>68.635</v>
      </c>
      <c r="E3489" s="38" t="n">
        <f aca="false">Q!$P$13</f>
        <v>37.052</v>
      </c>
      <c r="F3489" s="38" t="n">
        <f aca="false">Sens!$O$3489*(1+Sens!$F$3490)</f>
        <v>48.1533381827382</v>
      </c>
      <c r="G3489" s="38" t="n">
        <f aca="false">Sens!$E$3489+Sens!$F$3489</f>
        <v>85.2053381827382</v>
      </c>
      <c r="H3489" s="38" t="n">
        <f aca="false">Sens!$G$3489*(1+Sens!$H$3490)</f>
        <v>101.65432182257</v>
      </c>
      <c r="I3489" s="38" t="n">
        <f aca="false">Sens!$H$3489*(1+Sens!$I$3490)</f>
        <v>117.109241268605</v>
      </c>
      <c r="J3489" s="38" t="n">
        <f aca="false">Sens!$I$3489*(1+Sens!$J$3490)</f>
        <v>130.110361525097</v>
      </c>
      <c r="K3489" s="38" t="n">
        <f aca="false">Sens!$J$3489*(1+Sens!$K$3490)</f>
        <v>139.218086831854</v>
      </c>
      <c r="L3489" s="38" t="n">
        <f aca="false">Sens!$K$3489*(1+Sens!$L$3490)</f>
        <v>148.963352910084</v>
      </c>
      <c r="M3489" s="38" t="n">
        <f aca="false">Sens!$L$3489*(1+Sens!$M$3490)</f>
        <v>159.39078761379</v>
      </c>
      <c r="N3489" s="38" t="n">
        <f aca="false">Q!$N$13</f>
        <v>29.615</v>
      </c>
      <c r="O3489" s="38" t="n">
        <f aca="false">Q!$O$13</f>
        <v>39.02</v>
      </c>
      <c r="P3489" s="8" t="s">
        <v>621</v>
      </c>
    </row>
    <row r="3490" customFormat="false" ht="17.15" hidden="false" customHeight="false" outlineLevel="0" collapsed="false">
      <c r="A3490" s="0" t="s">
        <v>628</v>
      </c>
      <c r="B3490" s="0" t="s">
        <v>52</v>
      </c>
      <c r="E3490" s="12" t="n">
        <f aca="false">Sens!$E$3489/Sens!$N$3489-1</f>
        <v>0.25112274185379</v>
      </c>
      <c r="F3490" s="12" t="n">
        <f aca="false">Sens!$O$3489/(Q!$F$13+Q!$G$13)-1</f>
        <v>0.234068123596572</v>
      </c>
      <c r="G3490" s="12" t="n">
        <f aca="false">Sens!$G$3489/Sens!$D$3489-1</f>
        <v>0.241426942270536</v>
      </c>
      <c r="H3490" s="12" t="n">
        <f aca="false">Sens!$F$3490+(g_ad_lo-Sens!$F$3490)*1/4</f>
        <v>0.193051092697429</v>
      </c>
      <c r="I3490" s="12" t="n">
        <f aca="false">Sens!$F$3490+(g_ad_lo-Sens!$F$3490)*2/4</f>
        <v>0.152034061798286</v>
      </c>
      <c r="J3490" s="12" t="n">
        <f aca="false">Sens!$F$3490+(g_ad_lo-Sens!$F$3490)*3/4</f>
        <v>0.111017030899143</v>
      </c>
      <c r="K3490" s="12" t="n">
        <f aca="false">Sens!$F$3490+(g_ad_lo-Sens!$F$3490)*4/4</f>
        <v>0.07</v>
      </c>
      <c r="L3490" s="12" t="n">
        <f aca="false">g_ad_lo</f>
        <v>0.07</v>
      </c>
      <c r="M3490" s="12" t="n">
        <f aca="false">g_ad_lo</f>
        <v>0.07</v>
      </c>
      <c r="P3490" s="8" t="s">
        <v>629</v>
      </c>
    </row>
    <row r="3491" customFormat="false" ht="17.15" hidden="false" customHeight="false" outlineLevel="0" collapsed="false">
      <c r="A3491" s="0" t="s">
        <v>483</v>
      </c>
      <c r="B3491" s="0" t="s">
        <v>73</v>
      </c>
      <c r="C3491" s="38" t="n">
        <f aca="false">Q!$D$14</f>
        <v>44.374</v>
      </c>
      <c r="D3491" s="38" t="n">
        <f aca="false">Q!$E$14</f>
        <v>49.619</v>
      </c>
      <c r="E3491" s="38" t="n">
        <f aca="false">Q!$P$14</f>
        <v>27.157</v>
      </c>
      <c r="F3491" s="38" t="n">
        <f aca="false">Sens!$O$3491*(1+Sens!$F$3492)</f>
        <v>28.9776360923374</v>
      </c>
      <c r="G3491" s="38" t="n">
        <f aca="false">Sens!$E$3491+Sens!$F$3491</f>
        <v>56.1346360923374</v>
      </c>
      <c r="H3491" s="38" t="n">
        <f aca="false">Sens!$G$3491*(1+Sens!$H$3492)</f>
        <v>62.4937078946075</v>
      </c>
      <c r="I3491" s="38" t="n">
        <f aca="false">Sens!$H$3491*(1+Sens!$I$3492)</f>
        <v>68.6715233062498</v>
      </c>
      <c r="J3491" s="38" t="n">
        <f aca="false">Sens!$I$3491*(1+Sens!$J$3492)</f>
        <v>74.4692882949818</v>
      </c>
      <c r="K3491" s="38" t="n">
        <f aca="false">Sens!$J$3491*(1+Sens!$K$3492)</f>
        <v>79.6821384756306</v>
      </c>
      <c r="L3491" s="38" t="n">
        <f aca="false">Sens!$K$3491*(1+Sens!$L$3492)</f>
        <v>85.2598881689247</v>
      </c>
      <c r="M3491" s="38" t="n">
        <f aca="false">Sens!$L$3491*(1+Sens!$M$3492)</f>
        <v>91.2280803407494</v>
      </c>
      <c r="N3491" s="38" t="n">
        <f aca="false">Q!$N$14</f>
        <v>23.923</v>
      </c>
      <c r="O3491" s="38" t="n">
        <f aca="false">Q!$O$14</f>
        <v>25.696</v>
      </c>
      <c r="P3491" s="8" t="s">
        <v>621</v>
      </c>
    </row>
    <row r="3492" customFormat="false" ht="17.15" hidden="false" customHeight="false" outlineLevel="0" collapsed="false">
      <c r="A3492" s="0" t="s">
        <v>630</v>
      </c>
      <c r="B3492" s="0" t="s">
        <v>52</v>
      </c>
      <c r="E3492" s="12" t="n">
        <f aca="false">Sens!$E$3491/Sens!$N$3491-1</f>
        <v>0.135183714417088</v>
      </c>
      <c r="F3492" s="12" t="n">
        <f aca="false">Sens!$O$3491/(Q!$F$14+Q!$G$14)-1</f>
        <v>0.127709997366804</v>
      </c>
      <c r="G3492" s="12" t="n">
        <f aca="false">Sens!$G$3491/Sens!$D$3491-1</f>
        <v>0.131313329416905</v>
      </c>
      <c r="H3492" s="12" t="n">
        <f aca="false">Sens!$F$3492+(g_sub-Sens!$F$3492)*1/4</f>
        <v>0.113282498025103</v>
      </c>
      <c r="I3492" s="12" t="n">
        <f aca="false">Sens!$F$3492+(g_sub-Sens!$F$3492)*2/4</f>
        <v>0.0988549986834021</v>
      </c>
      <c r="J3492" s="12" t="n">
        <f aca="false">Sens!$F$3492+(g_sub-Sens!$F$3492)*3/4</f>
        <v>0.084427499341701</v>
      </c>
      <c r="K3492" s="12" t="n">
        <f aca="false">Sens!$F$3492+(g_sub-Sens!$F$3492)*4/4</f>
        <v>0.07</v>
      </c>
      <c r="L3492" s="12" t="n">
        <f aca="false">g_sub</f>
        <v>0.07</v>
      </c>
      <c r="M3492" s="12" t="n">
        <f aca="false">g_sub</f>
        <v>0.07</v>
      </c>
      <c r="P3492" s="8" t="s">
        <v>631</v>
      </c>
    </row>
    <row r="3493" customFormat="false" ht="17.15" hidden="false" customHeight="false" outlineLevel="0" collapsed="false">
      <c r="A3493" s="0" t="s">
        <v>484</v>
      </c>
      <c r="B3493" s="0" t="s">
        <v>73</v>
      </c>
      <c r="C3493" s="38" t="n">
        <f aca="false">Q!$D$15</f>
        <v>5.425</v>
      </c>
      <c r="D3493" s="38" t="n">
        <f aca="false">Q!$E$15</f>
        <v>5.935</v>
      </c>
      <c r="E3493" s="38" t="n">
        <f aca="false">Q!$P$15</f>
        <v>3.474</v>
      </c>
      <c r="F3493" s="38" t="n">
        <f aca="false">Sens!$O$3493*(1+Sens!$F$3494)</f>
        <v>3.36182431966931</v>
      </c>
      <c r="G3493" s="38" t="n">
        <f aca="false">Sens!$E$3493+Sens!$F$3493</f>
        <v>6.83582431966931</v>
      </c>
      <c r="H3493" s="38" t="n">
        <f aca="false">Sens!$G$3493*(1+Sens!$H$3494)</f>
        <v>7.31157108370141</v>
      </c>
      <c r="I3493" s="38" t="n">
        <f aca="false">Sens!$H$3493*(1+Sens!$I$3494)</f>
        <v>7.77266852639815</v>
      </c>
      <c r="J3493" s="38" t="n">
        <f aca="false">Sens!$I$3493*(1+Sens!$J$3494)</f>
        <v>8.2120733019884</v>
      </c>
      <c r="K3493" s="38" t="n">
        <f aca="false">Sens!$J$3493*(1+Sens!$K$3494)</f>
        <v>8.62267696708783</v>
      </c>
      <c r="L3493" s="38" t="n">
        <f aca="false">Sens!$K$3493*(1+Sens!$L$3494)</f>
        <v>9.05381081544222</v>
      </c>
      <c r="M3493" s="38" t="n">
        <f aca="false">Sens!$L$3493*(1+Sens!$M$3494)</f>
        <v>9.50650135621433</v>
      </c>
      <c r="N3493" s="38" t="n">
        <f aca="false">Q!$N$15</f>
        <v>2.811</v>
      </c>
      <c r="O3493" s="38" t="n">
        <f aca="false">Q!$O$15</f>
        <v>3.124</v>
      </c>
      <c r="P3493" s="8" t="s">
        <v>621</v>
      </c>
    </row>
    <row r="3494" customFormat="false" ht="17.15" hidden="false" customHeight="false" outlineLevel="0" collapsed="false">
      <c r="A3494" s="0" t="s">
        <v>632</v>
      </c>
      <c r="B3494" s="0" t="s">
        <v>52</v>
      </c>
      <c r="E3494" s="12" t="n">
        <f aca="false">Sens!$E$3493/Sens!$N$3493-1</f>
        <v>0.235859124866596</v>
      </c>
      <c r="F3494" s="12" t="n">
        <f aca="false">Sens!$O$3493/(Q!$F$15+Q!$G$15)-1</f>
        <v>0.0761281433000345</v>
      </c>
      <c r="G3494" s="12" t="n">
        <f aca="false">Sens!$G$3493/Sens!$D$3493-1</f>
        <v>0.151781688234087</v>
      </c>
      <c r="H3494" s="12" t="n">
        <f aca="false">Sens!$F$3494+(g_ot-Sens!$F$3494)*1/4</f>
        <v>0.0695961074750259</v>
      </c>
      <c r="I3494" s="12" t="n">
        <f aca="false">Sens!$F$3494+(g_ot-Sens!$F$3494)*2/4</f>
        <v>0.0630640716500172</v>
      </c>
      <c r="J3494" s="12" t="n">
        <f aca="false">Sens!$F$3494+(g_ot-Sens!$F$3494)*3/4</f>
        <v>0.0565320358250086</v>
      </c>
      <c r="K3494" s="12" t="n">
        <f aca="false">Sens!$F$3494+(g_ot-Sens!$F$3494)*4/4</f>
        <v>0.05</v>
      </c>
      <c r="L3494" s="12" t="n">
        <f aca="false">g_ot</f>
        <v>0.05</v>
      </c>
      <c r="M3494" s="12" t="n">
        <f aca="false">g_ot</f>
        <v>0.05</v>
      </c>
      <c r="P3494" s="8" t="s">
        <v>633</v>
      </c>
    </row>
    <row r="3495" customFormat="false" ht="17.15" hidden="false" customHeight="false" outlineLevel="0" collapsed="false">
      <c r="A3495" s="3" t="s">
        <v>634</v>
      </c>
      <c r="B3495" s="8" t="s">
        <v>73</v>
      </c>
      <c r="C3495" s="38" t="n">
        <f aca="false">Sens!$C$3483+Sens!$C$3485+Sens!$C$3487+Sens!$C$3489+Sens!$C$3491+Sens!$C$3493</f>
        <v>530.403</v>
      </c>
      <c r="D3495" s="38" t="n">
        <f aca="false">Sens!$D$3483+Sens!$D$3485+Sens!$D$3487+Sens!$D$3489+Sens!$D$3491+Sens!$D$3493</f>
        <v>588.199</v>
      </c>
      <c r="E3495" s="38" t="n">
        <f aca="false">Sens!$E$3483+Sens!$E$3485+Sens!$E$3487+Sens!$E$3489+Sens!$E$3491+Sens!$E$3493</f>
        <v>302.306</v>
      </c>
      <c r="F3495" s="38" t="n">
        <f aca="false">Sens!$F$3483+Sens!$F$3485+Sens!$F$3487+Sens!$F$3489+Sens!$F$3491+Sens!$F$3493</f>
        <v>356.93642920843</v>
      </c>
      <c r="G3495" s="38" t="n">
        <f aca="false">Sens!$G$3483+Sens!$G$3485+Sens!$G$3487+Sens!$G$3489+Sens!$G$3491+Sens!$G$3493</f>
        <v>659.24242920843</v>
      </c>
      <c r="H3495" s="38" t="n">
        <f aca="false">Sens!$H$3483+Sens!$H$3485+Sens!$H$3487+Sens!$H$3489+Sens!$H$3491+Sens!$H$3493</f>
        <v>729.29669758533</v>
      </c>
      <c r="I3495" s="38" t="n">
        <f aca="false">Sens!$I$3483+Sens!$I$3485+Sens!$I$3487+Sens!$I$3489+Sens!$I$3491+Sens!$I$3493</f>
        <v>796.024973381237</v>
      </c>
      <c r="J3495" s="38" t="n">
        <f aca="false">Sens!$J$3483+Sens!$J$3485+Sens!$J$3487+Sens!$J$3489+Sens!$J$3491+Sens!$J$3493</f>
        <v>856.528104802038</v>
      </c>
      <c r="K3495" s="38" t="n">
        <f aca="false">Sens!$K$3483+Sens!$K$3485+Sens!$K$3487+Sens!$K$3489+Sens!$K$3491+Sens!$K$3493</f>
        <v>907.92459198005</v>
      </c>
      <c r="L3495" s="38" t="n">
        <f aca="false">Sens!$L$3483+Sens!$L$3485+Sens!$L$3487+Sens!$L$3489+Sens!$L$3491+Sens!$L$3493</f>
        <v>962.512357004147</v>
      </c>
      <c r="M3495" s="38" t="n">
        <f aca="false">Sens!$M$3483+Sens!$M$3485+Sens!$M$3487+Sens!$M$3489+Sens!$M$3491+Sens!$M$3493</f>
        <v>1020.49511194328</v>
      </c>
      <c r="N3495" s="38" t="n">
        <f aca="false">Sens!$N$3483+Sens!$N$3485+Sens!$N$3487+Sens!$N$3489+Sens!$N$3491+Sens!$N$3493</f>
        <v>263.229</v>
      </c>
      <c r="O3495" s="38" t="n">
        <f aca="false">Sens!$O$3483+Sens!$O$3485+Sens!$O$3487+Sens!$O$3489+Sens!$O$3491+Sens!$O$3493</f>
        <v>324.97</v>
      </c>
    </row>
    <row r="3496" customFormat="false" ht="17.15" hidden="false" customHeight="false" outlineLevel="0" collapsed="false">
      <c r="A3496" s="5" t="s">
        <v>635</v>
      </c>
      <c r="B3496" s="0" t="s">
        <v>52</v>
      </c>
      <c r="C3496" s="12" t="n">
        <f aca="false">Q!$D$5/(Q!$D$5+Q!$D$6)</f>
        <v>0.730570905519011</v>
      </c>
      <c r="D3496" s="12" t="n">
        <f aca="false">Q!$E$5/(Q!$E$5+Q!$E$6)</f>
        <v>0.724763217890544</v>
      </c>
      <c r="E3496" s="12" t="n">
        <f aca="false">Q!$P$5/(Q!$P$5+Q!$P$6)</f>
        <v>0.728797972914861</v>
      </c>
      <c r="F3496" s="12" t="n">
        <f aca="false">Sens!$O$3496</f>
        <v>0.718066283041511</v>
      </c>
      <c r="G3496" s="12" t="n">
        <f aca="false">Sens!$G$3497/Sens!$G$3495</f>
        <v>0.722987468473627</v>
      </c>
      <c r="H3496" s="12" t="n">
        <f aca="false">Sens!$G$3496</f>
        <v>0.722987468473627</v>
      </c>
      <c r="I3496" s="12" t="n">
        <f aca="false">Sens!$G$3496</f>
        <v>0.722987468473627</v>
      </c>
      <c r="J3496" s="12" t="n">
        <f aca="false">Sens!$G$3496</f>
        <v>0.722987468473627</v>
      </c>
      <c r="K3496" s="12" t="n">
        <f aca="false">Sens!$G$3496</f>
        <v>0.722987468473627</v>
      </c>
      <c r="L3496" s="12" t="n">
        <f aca="false">Sens!$G$3496</f>
        <v>0.722987468473627</v>
      </c>
      <c r="M3496" s="12" t="n">
        <f aca="false">Sens!$G$3496</f>
        <v>0.722987468473627</v>
      </c>
      <c r="N3496" s="12" t="n">
        <f aca="false">Q!$N$5/(Q!$N$5+Q!$N$6)</f>
        <v>0.733030935041352</v>
      </c>
      <c r="O3496" s="12" t="n">
        <f aca="false">Q!$O$5/(Q!$O$5+Q!$O$6)</f>
        <v>0.718066283041511</v>
      </c>
      <c r="P3496" s="8" t="s">
        <v>636</v>
      </c>
    </row>
    <row r="3497" customFormat="false" ht="17.15" hidden="false" customHeight="false" outlineLevel="0" collapsed="false">
      <c r="A3497" s="1" t="s">
        <v>472</v>
      </c>
      <c r="B3497" s="8" t="s">
        <v>73</v>
      </c>
      <c r="C3497" s="38" t="n">
        <f aca="false">Q!$D$5</f>
        <v>387.497</v>
      </c>
      <c r="D3497" s="38" t="n">
        <f aca="false">Q!$E$5</f>
        <v>426.305</v>
      </c>
      <c r="E3497" s="38" t="n">
        <f aca="false">Q!$P$5</f>
        <v>220.32</v>
      </c>
      <c r="F3497" s="38" t="n">
        <f aca="false">Sens!$F$3495*Sens!$F$3496</f>
        <v>256.304015003807</v>
      </c>
      <c r="G3497" s="38" t="n">
        <f aca="false">Sens!$E$3497+Sens!$F$3497</f>
        <v>476.624015003807</v>
      </c>
      <c r="H3497" s="38" t="n">
        <f aca="false">Sens!$H$3495*Sens!$H$3496</f>
        <v>527.272373153394</v>
      </c>
      <c r="I3497" s="38" t="n">
        <f aca="false">Sens!$I$3495*Sens!$I$3496</f>
        <v>575.516080346687</v>
      </c>
      <c r="J3497" s="38" t="n">
        <f aca="false">Sens!$J$3495*Sens!$J$3496</f>
        <v>619.259086167339</v>
      </c>
      <c r="K3497" s="38" t="n">
        <f aca="false">Sens!$K$3495*Sens!$K$3496</f>
        <v>656.418102320607</v>
      </c>
      <c r="L3497" s="38" t="n">
        <f aca="false">Sens!$L$3495*Sens!$L$3496</f>
        <v>695.884372365012</v>
      </c>
      <c r="M3497" s="38" t="n">
        <f aca="false">Sens!$M$3495*Sens!$M$3496</f>
        <v>737.805177573583</v>
      </c>
      <c r="N3497" s="38" t="n">
        <f aca="false">Q!$N$5</f>
        <v>192.955</v>
      </c>
      <c r="O3497" s="38" t="n">
        <f aca="false">Q!$O$5</f>
        <v>233.35</v>
      </c>
      <c r="P3497" s="5" t="s">
        <v>637</v>
      </c>
    </row>
    <row r="3498" customFormat="false" ht="17.15" hidden="false" customHeight="false" outlineLevel="0" collapsed="false">
      <c r="A3498" s="1" t="s">
        <v>475</v>
      </c>
      <c r="B3498" s="8" t="s">
        <v>73</v>
      </c>
      <c r="C3498" s="38" t="n">
        <f aca="false">Q!$D$6</f>
        <v>142.906</v>
      </c>
      <c r="D3498" s="38" t="n">
        <f aca="false">Q!$E$6</f>
        <v>161.894</v>
      </c>
      <c r="E3498" s="38" t="n">
        <f aca="false">Q!$P$6</f>
        <v>81.986</v>
      </c>
      <c r="F3498" s="38" t="n">
        <f aca="false">Sens!$F$3495*(1-Sens!$F$3496)</f>
        <v>100.632414204623</v>
      </c>
      <c r="G3498" s="38" t="n">
        <f aca="false">Sens!$E$3498+Sens!$F$3498</f>
        <v>182.618414204623</v>
      </c>
      <c r="H3498" s="38" t="n">
        <f aca="false">Sens!$H$3495*(1-Sens!$H$3496)</f>
        <v>202.024324431936</v>
      </c>
      <c r="I3498" s="38" t="n">
        <f aca="false">Sens!$I$3495*(1-Sens!$I$3496)</f>
        <v>220.50889303455</v>
      </c>
      <c r="J3498" s="38" t="n">
        <f aca="false">Sens!$J$3495*(1-Sens!$J$3496)</f>
        <v>237.269018634699</v>
      </c>
      <c r="K3498" s="38" t="n">
        <f aca="false">Sens!$K$3495*(1-Sens!$K$3496)</f>
        <v>251.506489659443</v>
      </c>
      <c r="L3498" s="38" t="n">
        <f aca="false">Sens!$L$3495*(1-Sens!$L$3496)</f>
        <v>266.627984639135</v>
      </c>
      <c r="M3498" s="38" t="n">
        <f aca="false">Sens!$M$3495*(1-Sens!$M$3496)</f>
        <v>282.689934369698</v>
      </c>
      <c r="N3498" s="38" t="n">
        <f aca="false">Q!$N$6</f>
        <v>70.274</v>
      </c>
      <c r="O3498" s="38" t="n">
        <f aca="false">Q!$O$6</f>
        <v>91.62</v>
      </c>
      <c r="P3498" s="5" t="s">
        <v>638</v>
      </c>
    </row>
    <row r="3499" customFormat="false" ht="17.15" hidden="false" customHeight="false" outlineLevel="0" collapsed="false">
      <c r="A3499" s="5" t="s">
        <v>639</v>
      </c>
      <c r="B3499" s="0" t="s">
        <v>73</v>
      </c>
      <c r="C3499" s="38" t="n">
        <f aca="false">Sens!$C$3489*Sens!$C$3496</f>
        <v>41.0683128828457</v>
      </c>
      <c r="D3499" s="38" t="n">
        <f aca="false">Sens!$D$3489*Sens!$D$3496</f>
        <v>49.7441234599175</v>
      </c>
      <c r="E3499" s="38" t="n">
        <f aca="false">Sens!$E$3489*Sens!$E$3496</f>
        <v>27.0034224924414</v>
      </c>
      <c r="F3499" s="38" t="n">
        <f aca="false">Sens!$F$3489*Sens!$F$3496</f>
        <v>34.5772885649197</v>
      </c>
      <c r="G3499" s="38" t="n">
        <f aca="false">Sens!$G$3489*Sens!$G$3496</f>
        <v>61.6023917531772</v>
      </c>
      <c r="H3499" s="38" t="n">
        <f aca="false">Sens!$H$3489*Sens!$H$3496</f>
        <v>73.4948007939031</v>
      </c>
      <c r="I3499" s="38" t="n">
        <f aca="false">Sens!$I$3489*Sens!$I$3496</f>
        <v>84.6685138796561</v>
      </c>
      <c r="J3499" s="38" t="n">
        <f aca="false">Sens!$J$3489*Sens!$J$3496</f>
        <v>94.0681609012183</v>
      </c>
      <c r="K3499" s="38" t="n">
        <f aca="false">Sens!$K$3489*Sens!$K$3496</f>
        <v>100.652932164304</v>
      </c>
      <c r="L3499" s="38" t="n">
        <f aca="false">Sens!$L$3489*Sens!$L$3496</f>
        <v>107.698637415805</v>
      </c>
      <c r="M3499" s="38" t="n">
        <f aca="false">Sens!$M$3489*Sens!$M$3496</f>
        <v>115.237542034911</v>
      </c>
      <c r="N3499" s="38" t="n">
        <f aca="false">Sens!$N$3489*Sens!$N$3496</f>
        <v>21.7087111412496</v>
      </c>
      <c r="O3499" s="38" t="n">
        <f aca="false">Sens!$O$3489*Sens!$O$3496</f>
        <v>28.0189463642798</v>
      </c>
      <c r="P3499" s="5" t="s">
        <v>640</v>
      </c>
    </row>
    <row r="3500" customFormat="false" ht="15" hidden="false" customHeight="false" outlineLevel="0" collapsed="false">
      <c r="A3500" s="5" t="s">
        <v>641</v>
      </c>
      <c r="B3500" s="0" t="s">
        <v>73</v>
      </c>
      <c r="C3500" s="38" t="n">
        <f aca="false">Sens!$C$3489-Sens!$C$3499</f>
        <v>15.1456871171543</v>
      </c>
      <c r="D3500" s="38" t="n">
        <f aca="false">Sens!$D$3489-Sens!$D$3499</f>
        <v>18.8908765400825</v>
      </c>
      <c r="E3500" s="38" t="n">
        <f aca="false">Sens!$E$3489-Sens!$E$3499</f>
        <v>10.0485775075586</v>
      </c>
      <c r="F3500" s="38" t="n">
        <f aca="false">Sens!$F$3489-Sens!$F$3499</f>
        <v>13.5760496178185</v>
      </c>
      <c r="G3500" s="38" t="n">
        <f aca="false">Sens!$G$3489-Sens!$G$3499</f>
        <v>23.6029464295611</v>
      </c>
      <c r="H3500" s="38" t="n">
        <f aca="false">Sens!$H$3489-Sens!$H$3499</f>
        <v>28.1595210286667</v>
      </c>
      <c r="I3500" s="38" t="n">
        <f aca="false">Sens!$I$3489-Sens!$I$3499</f>
        <v>32.4407273889491</v>
      </c>
      <c r="J3500" s="38" t="n">
        <f aca="false">Sens!$J$3489-Sens!$J$3499</f>
        <v>36.0422006238788</v>
      </c>
      <c r="K3500" s="38" t="n">
        <f aca="false">Sens!$K$3489-Sens!$K$3499</f>
        <v>38.5651546675503</v>
      </c>
      <c r="L3500" s="38" t="n">
        <f aca="false">Sens!$L$3489-Sens!$L$3499</f>
        <v>41.2647154942788</v>
      </c>
      <c r="M3500" s="38" t="n">
        <f aca="false">Sens!$M$3489-Sens!$M$3499</f>
        <v>44.1532455788783</v>
      </c>
      <c r="N3500" s="38" t="n">
        <f aca="false">Sens!$N$3489-Sens!$N$3499</f>
        <v>7.90628885875037</v>
      </c>
      <c r="O3500" s="38" t="n">
        <f aca="false">Sens!$O$3489-Sens!$O$3499</f>
        <v>11.0010536357202</v>
      </c>
    </row>
    <row r="3501" customFormat="false" ht="19.4" hidden="false" customHeight="false" outlineLevel="0" collapsed="false">
      <c r="A3501" s="31" t="s">
        <v>1119</v>
      </c>
    </row>
    <row r="3502" customFormat="false" ht="17.15" hidden="false" customHeight="false" outlineLevel="0" collapsed="false">
      <c r="A3502" s="6" t="s">
        <v>16</v>
      </c>
      <c r="B3502" s="6" t="s">
        <v>17</v>
      </c>
      <c r="C3502" s="20" t="s">
        <v>457</v>
      </c>
      <c r="D3502" s="20" t="s">
        <v>458</v>
      </c>
      <c r="E3502" s="20" t="s">
        <v>540</v>
      </c>
      <c r="F3502" s="20" t="s">
        <v>541</v>
      </c>
      <c r="G3502" s="20" t="s">
        <v>542</v>
      </c>
      <c r="H3502" s="20" t="s">
        <v>543</v>
      </c>
      <c r="I3502" s="20" t="s">
        <v>544</v>
      </c>
      <c r="J3502" s="20" t="s">
        <v>545</v>
      </c>
      <c r="K3502" s="20" t="s">
        <v>546</v>
      </c>
      <c r="L3502" s="20" t="s">
        <v>547</v>
      </c>
      <c r="M3502" s="20" t="s">
        <v>548</v>
      </c>
      <c r="N3502" s="20" t="s">
        <v>549</v>
      </c>
      <c r="O3502" s="20" t="s">
        <v>550</v>
      </c>
      <c r="P3502" s="6" t="s">
        <v>23</v>
      </c>
      <c r="R3502" s="20" t="n">
        <v>2023</v>
      </c>
      <c r="S3502" s="20" t="n">
        <v>2024</v>
      </c>
      <c r="T3502" s="20" t="n">
        <v>2025</v>
      </c>
      <c r="U3502" s="20" t="n">
        <v>2026</v>
      </c>
      <c r="V3502" s="20" t="n">
        <v>2027</v>
      </c>
      <c r="W3502" s="20" t="n">
        <v>2028</v>
      </c>
      <c r="X3502" s="20" t="n">
        <v>2029</v>
      </c>
      <c r="Y3502" s="20" t="n">
        <v>2030</v>
      </c>
      <c r="Z3502" s="20" t="n">
        <v>2031</v>
      </c>
      <c r="AA3502" s="20" t="n">
        <v>2032</v>
      </c>
    </row>
    <row r="3503" customFormat="false" ht="17.15" hidden="false" customHeight="false" outlineLevel="0" collapsed="false">
      <c r="A3503" s="1" t="s">
        <v>551</v>
      </c>
    </row>
    <row r="3504" customFormat="false" ht="17.15" hidden="false" customHeight="false" outlineLevel="0" collapsed="false">
      <c r="A3504" s="14" t="s">
        <v>552</v>
      </c>
      <c r="B3504" s="13" t="s">
        <v>108</v>
      </c>
      <c r="C3504" s="32" t="n">
        <f aca="false">mw_ye24</f>
        <v>360</v>
      </c>
      <c r="D3504" s="32" t="n">
        <f aca="false">mw_ye25</f>
        <v>1440</v>
      </c>
      <c r="E3504" s="32" t="n">
        <f aca="false">mw_open</f>
        <v>2080</v>
      </c>
      <c r="F3504" s="32" t="n">
        <f aca="false">Sens!$E$3504+pace_B*0.5</f>
        <v>3897.15</v>
      </c>
      <c r="G3504" s="32" t="n">
        <f aca="false">Sens!$F$3504</f>
        <v>3897.15</v>
      </c>
      <c r="H3504" s="32" t="n">
        <f aca="false">Sens!$G$3504+pace_B</f>
        <v>7531.45</v>
      </c>
      <c r="I3504" s="32" t="n">
        <f aca="false">Sens!$H$3504+pace_B</f>
        <v>11165.75</v>
      </c>
      <c r="J3504" s="32" t="n">
        <f aca="false">Sens!$I$3504+pace_B</f>
        <v>14800.05</v>
      </c>
      <c r="K3504" s="32" t="n">
        <f aca="false">Sens!$J$3504+pace_B</f>
        <v>18434.35</v>
      </c>
      <c r="L3504" s="32" t="n">
        <f aca="false">Sens!$K$3504+pace_B</f>
        <v>22068.65</v>
      </c>
      <c r="M3504" s="32" t="n">
        <f aca="false">Sens!$L$3504+pace_B</f>
        <v>25702.95</v>
      </c>
      <c r="N3504" s="32" t="n">
        <f aca="false">(mw_ye24+mw_ye25)/2</f>
        <v>900</v>
      </c>
      <c r="O3504" s="32" t="n">
        <f aca="false">mw_ye25</f>
        <v>1440</v>
      </c>
      <c r="P3504" s="5" t="s">
        <v>553</v>
      </c>
    </row>
    <row r="3505" customFormat="false" ht="17.15" hidden="false" customHeight="false" outlineLevel="0" collapsed="false">
      <c r="A3505" s="5" t="s">
        <v>554</v>
      </c>
      <c r="B3505" s="0" t="s">
        <v>108</v>
      </c>
      <c r="C3505" s="33" t="n">
        <f aca="false">(mw_ye23+mw_ye24)/2</f>
        <v>240</v>
      </c>
      <c r="D3505" s="33" t="n">
        <f aca="false">(Sens!$C$3504+Sens!$D$3504)/2</f>
        <v>900</v>
      </c>
      <c r="E3505" s="33" t="n">
        <f aca="false">(Sens!$D$3504+Sens!$E$3504)/2</f>
        <v>1760</v>
      </c>
      <c r="F3505" s="33" t="n">
        <f aca="false">(Sens!$E$3504+Sens!$F$3504)/2</f>
        <v>2988.575</v>
      </c>
      <c r="G3505" s="33" t="n">
        <f aca="false">(Sens!$E$3505+Sens!$F$3505)/2</f>
        <v>2374.2875</v>
      </c>
      <c r="H3505" s="33" t="n">
        <f aca="false">(Sens!$G$3504+Sens!$H$3504)/2</f>
        <v>5714.3</v>
      </c>
      <c r="I3505" s="33" t="n">
        <f aca="false">(Sens!$H$3504+Sens!$I$3504)/2</f>
        <v>9348.6</v>
      </c>
      <c r="J3505" s="33" t="n">
        <f aca="false">(Sens!$I$3504+Sens!$J$3504)/2</f>
        <v>12982.9</v>
      </c>
      <c r="K3505" s="33" t="n">
        <f aca="false">(Sens!$J$3504+Sens!$K$3504)/2</f>
        <v>16617.2</v>
      </c>
      <c r="L3505" s="33" t="n">
        <f aca="false">(Sens!$K$3504+Sens!$L$3504)/2</f>
        <v>20251.5</v>
      </c>
      <c r="M3505" s="33" t="n">
        <f aca="false">(Sens!$L$3504+Sens!$M$3504)/2</f>
        <v>23885.8</v>
      </c>
      <c r="N3505" s="33" t="n">
        <f aca="false">(Sens!$C$3504+Sens!$N$3504)/2</f>
        <v>630</v>
      </c>
      <c r="O3505" s="33" t="n">
        <f aca="false">(Sens!$N$3504+Sens!$O$3504)/2</f>
        <v>1170</v>
      </c>
    </row>
    <row r="3506" customFormat="false" ht="15" hidden="false" customHeight="false" outlineLevel="0" collapsed="false">
      <c r="A3506" s="5" t="s">
        <v>555</v>
      </c>
      <c r="B3506" s="5" t="s">
        <v>102</v>
      </c>
      <c r="C3506" s="34" t="n">
        <v>1</v>
      </c>
      <c r="D3506" s="34" t="n">
        <v>1</v>
      </c>
      <c r="E3506" s="34" t="n">
        <v>0.5</v>
      </c>
      <c r="F3506" s="34" t="n">
        <v>0.5</v>
      </c>
      <c r="G3506" s="34" t="n">
        <v>1</v>
      </c>
      <c r="H3506" s="34" t="n">
        <v>1</v>
      </c>
      <c r="I3506" s="34" t="n">
        <v>1</v>
      </c>
      <c r="J3506" s="34" t="n">
        <v>1</v>
      </c>
      <c r="K3506" s="34" t="n">
        <v>1</v>
      </c>
      <c r="L3506" s="34" t="n">
        <v>1</v>
      </c>
      <c r="M3506" s="34" t="n">
        <v>1</v>
      </c>
      <c r="N3506" s="34" t="n">
        <v>0.5</v>
      </c>
      <c r="O3506" s="34" t="n">
        <v>0.5</v>
      </c>
    </row>
    <row r="3507" customFormat="false" ht="17.15" hidden="false" customHeight="false" outlineLevel="0" collapsed="false">
      <c r="A3507" s="5" t="s">
        <v>556</v>
      </c>
      <c r="B3507" s="0" t="s">
        <v>108</v>
      </c>
      <c r="C3507" s="33" t="n">
        <f aca="false">Sens!$C$3504-mw_ye23</f>
        <v>240</v>
      </c>
      <c r="D3507" s="33" t="n">
        <f aca="false">Sens!$D$3504-Sens!$C$3504</f>
        <v>1080</v>
      </c>
      <c r="E3507" s="33" t="n">
        <f aca="false">Sens!$E$3504-Sens!$D$3504</f>
        <v>640</v>
      </c>
      <c r="F3507" s="33" t="n">
        <f aca="false">Sens!$F$3504-Sens!$E$3504</f>
        <v>1817.15</v>
      </c>
      <c r="G3507" s="33" t="n">
        <f aca="false">Sens!$E$3507+Sens!$F$3507</f>
        <v>2457.15</v>
      </c>
      <c r="H3507" s="33" t="n">
        <f aca="false">Sens!$H$3504-Sens!$G$3504</f>
        <v>3634.3</v>
      </c>
      <c r="I3507" s="33" t="n">
        <f aca="false">Sens!$I$3504-Sens!$H$3504</f>
        <v>3634.3</v>
      </c>
      <c r="J3507" s="33" t="n">
        <f aca="false">Sens!$J$3504-Sens!$I$3504</f>
        <v>3634.3</v>
      </c>
      <c r="K3507" s="33" t="n">
        <f aca="false">Sens!$K$3504-Sens!$J$3504</f>
        <v>3634.3</v>
      </c>
      <c r="L3507" s="33" t="n">
        <f aca="false">Sens!$L$3504-Sens!$K$3504</f>
        <v>3634.3</v>
      </c>
      <c r="M3507" s="33" t="n">
        <f aca="false">Sens!$M$3504-Sens!$L$3504</f>
        <v>3634.3</v>
      </c>
      <c r="N3507" s="33" t="n">
        <f aca="false">Sens!$N$3504-Sens!$C$3504</f>
        <v>540</v>
      </c>
      <c r="O3507" s="33" t="n">
        <f aca="false">Sens!$O$3504-Sens!$N$3504</f>
        <v>540</v>
      </c>
    </row>
    <row r="3508" customFormat="false" ht="17.15" hidden="false" customHeight="false" outlineLevel="0" collapsed="false">
      <c r="A3508" s="5" t="s">
        <v>557</v>
      </c>
      <c r="B3508" s="0" t="s">
        <v>108</v>
      </c>
      <c r="C3508" s="33" t="n">
        <f aca="false">Sens!$C$3507/ext_sh</f>
        <v>300</v>
      </c>
      <c r="D3508" s="33" t="n">
        <f aca="false">Sens!$D$3507/ext_sh</f>
        <v>1350</v>
      </c>
      <c r="E3508" s="33" t="n">
        <f aca="false">Sens!$E$3507/ext_sh</f>
        <v>800</v>
      </c>
      <c r="F3508" s="33" t="n">
        <f aca="false">Sens!$F$3507/ext_sh</f>
        <v>2271.4375</v>
      </c>
      <c r="G3508" s="33" t="n">
        <f aca="false">Sens!$G$3507/ext_sh</f>
        <v>3071.4375</v>
      </c>
      <c r="H3508" s="33" t="n">
        <f aca="false">Sens!$H$3507/ext_sh</f>
        <v>4542.875</v>
      </c>
      <c r="I3508" s="33" t="n">
        <f aca="false">Sens!$I$3507/ext_sh</f>
        <v>4542.875</v>
      </c>
      <c r="J3508" s="33" t="n">
        <f aca="false">Sens!$J$3507/ext_sh</f>
        <v>4542.875</v>
      </c>
      <c r="K3508" s="33" t="n">
        <f aca="false">Sens!$K$3507/ext_sh</f>
        <v>4542.875</v>
      </c>
      <c r="L3508" s="33" t="n">
        <f aca="false">Sens!$L$3507/ext_sh</f>
        <v>4542.875</v>
      </c>
      <c r="M3508" s="33" t="n">
        <f aca="false">Sens!$M$3507/ext_sh</f>
        <v>4542.875</v>
      </c>
      <c r="N3508" s="33" t="n">
        <f aca="false">Sens!$N$3507/ext_sh</f>
        <v>675</v>
      </c>
      <c r="O3508" s="33" t="n">
        <f aca="false">Sens!$O$3507/ext_sh</f>
        <v>675</v>
      </c>
      <c r="P3508" s="8" t="s">
        <v>558</v>
      </c>
      <c r="R3508" s="33" t="n">
        <f aca="false">mw_ye23/ext_sh</f>
        <v>150</v>
      </c>
      <c r="S3508" s="33" t="n">
        <f aca="false">Sens!$C$3508</f>
        <v>300</v>
      </c>
      <c r="T3508" s="33" t="n">
        <f aca="false">Sens!$D$3508</f>
        <v>1350</v>
      </c>
      <c r="U3508" s="33" t="n">
        <f aca="false">Sens!$G$3508</f>
        <v>3071.4375</v>
      </c>
      <c r="V3508" s="33" t="n">
        <f aca="false">Sens!$H$3508</f>
        <v>4542.875</v>
      </c>
      <c r="W3508" s="33" t="n">
        <f aca="false">Sens!$I$3508</f>
        <v>4542.875</v>
      </c>
      <c r="X3508" s="33" t="n">
        <f aca="false">Sens!$J$3508</f>
        <v>4542.875</v>
      </c>
      <c r="Y3508" s="33" t="n">
        <f aca="false">Sens!$K$3508</f>
        <v>4542.875</v>
      </c>
      <c r="Z3508" s="33" t="n">
        <f aca="false">Sens!$L$3508</f>
        <v>4542.875</v>
      </c>
      <c r="AA3508" s="33" t="n">
        <f aca="false">Sens!$M$3508</f>
        <v>4542.875</v>
      </c>
    </row>
    <row r="3509" customFormat="false" ht="17.15" hidden="false" customHeight="false" outlineLevel="0" collapsed="false">
      <c r="A3509" s="1" t="s">
        <v>559</v>
      </c>
    </row>
    <row r="3510" customFormat="false" ht="17.15" hidden="false" customHeight="false" outlineLevel="0" collapsed="false">
      <c r="A3510" s="0" t="s">
        <v>560</v>
      </c>
      <c r="B3510" s="0" t="s">
        <v>52</v>
      </c>
      <c r="F3510" s="35" t="n">
        <f aca="false">na_vr26</f>
        <v>0</v>
      </c>
      <c r="G3510" s="35" t="n">
        <f aca="false">na_vr26</f>
        <v>0</v>
      </c>
      <c r="H3510" s="35" t="n">
        <f aca="false">na_vr27</f>
        <v>0.5</v>
      </c>
      <c r="I3510" s="35" t="n">
        <f aca="false">na_vr28</f>
        <v>1</v>
      </c>
      <c r="J3510" s="35" t="n">
        <f aca="false">na_vr28</f>
        <v>1</v>
      </c>
      <c r="K3510" s="35" t="n">
        <f aca="false">na_vr28</f>
        <v>1</v>
      </c>
      <c r="L3510" s="35" t="n">
        <f aca="false">na_vr28</f>
        <v>1</v>
      </c>
      <c r="M3510" s="35" t="n">
        <f aca="false">na_vr28</f>
        <v>1</v>
      </c>
    </row>
    <row r="3511" customFormat="false" ht="17.15" hidden="false" customHeight="false" outlineLevel="0" collapsed="false">
      <c r="A3511" s="5" t="s">
        <v>561</v>
      </c>
      <c r="B3511" s="0" t="s">
        <v>151</v>
      </c>
      <c r="F3511" s="36" t="n">
        <f aca="false">cust_sh*tk_he_gb300*cf_chip+(1-cust_sh)*((1-Sens!$F$3510)*tk_he_gb300+Sens!$F$3510*tk_he_vr200)</f>
        <v>10.8864110021101</v>
      </c>
      <c r="G3511" s="36" t="n">
        <f aca="false">cust_sh*tk_he_gb300*cf_chip+(1-cust_sh)*((1-Sens!$G$3510)*tk_he_gb300+Sens!$G$3510*tk_he_vr200)</f>
        <v>10.8864110021101</v>
      </c>
      <c r="H3511" s="36" t="n">
        <f aca="false">cust_sh*tk_he_gb300*cf_chip+(1-cust_sh)*((1-Sens!$H$3510)*tk_he_gb300+Sens!$H$3510*tk_he_vr200)</f>
        <v>11.2211760027286</v>
      </c>
      <c r="I3511" s="36" t="n">
        <f aca="false">cust_sh*tk_he_gb300*cf_chip+(1-cust_sh)*((1-Sens!$I$3510)*tk_he_gb300+Sens!$I$3510*tk_he_vr200)</f>
        <v>11.5559410033471</v>
      </c>
      <c r="J3511" s="36" t="n">
        <f aca="false">cust_sh*tk_he_gb300*cf_chip+(1-cust_sh)*((1-Sens!$J$3510)*tk_he_gb300+Sens!$J$3510*tk_he_vr200)</f>
        <v>11.5559410033471</v>
      </c>
      <c r="K3511" s="36" t="n">
        <f aca="false">cust_sh*tk_he_gb300*cf_chip+(1-cust_sh)*((1-Sens!$K$3510)*tk_he_gb300+Sens!$K$3510*tk_he_vr200)</f>
        <v>11.5559410033471</v>
      </c>
      <c r="L3511" s="36" t="n">
        <f aca="false">cust_sh*tk_he_gb300*cf_chip+(1-cust_sh)*((1-Sens!$L$3510)*tk_he_gb300+Sens!$L$3510*tk_he_vr200)</f>
        <v>11.5559410033471</v>
      </c>
      <c r="M3511" s="36" t="n">
        <f aca="false">cust_sh*tk_he_gb300*cf_chip+(1-cust_sh)*((1-Sens!$M$3510)*tk_he_gb300+Sens!$M$3510*tk_he_vr200)</f>
        <v>11.5559410033471</v>
      </c>
    </row>
    <row r="3512" customFormat="false" ht="17.15" hidden="false" customHeight="false" outlineLevel="0" collapsed="false">
      <c r="A3512" s="5" t="s">
        <v>562</v>
      </c>
      <c r="B3512" s="0" t="s">
        <v>151</v>
      </c>
      <c r="F3512" s="36" t="n">
        <f aca="false">cust_sh*tk_ox_gb300+(1-cust_sh)*((1-Sens!$F$3510)*tk_ox_gb300+Sens!$F$3510*tk_ox_vr200)</f>
        <v>1.98263481314457</v>
      </c>
      <c r="G3512" s="36" t="n">
        <f aca="false">cust_sh*tk_ox_gb300+(1-cust_sh)*((1-Sens!$G$3510)*tk_ox_gb300+Sens!$G$3510*tk_ox_vr200)</f>
        <v>1.98263481314457</v>
      </c>
      <c r="H3512" s="36" t="n">
        <f aca="false">cust_sh*tk_ox_gb300+(1-cust_sh)*((1-Sens!$H$3510)*tk_ox_gb300+Sens!$H$3510*tk_ox_vr200)</f>
        <v>2.01034999693694</v>
      </c>
      <c r="I3512" s="36" t="n">
        <f aca="false">cust_sh*tk_ox_gb300+(1-cust_sh)*((1-Sens!$I$3510)*tk_ox_gb300+Sens!$I$3510*tk_ox_vr200)</f>
        <v>2.0380651807293</v>
      </c>
      <c r="J3512" s="36" t="n">
        <f aca="false">cust_sh*tk_ox_gb300+(1-cust_sh)*((1-Sens!$J$3510)*tk_ox_gb300+Sens!$J$3510*tk_ox_vr200)</f>
        <v>2.0380651807293</v>
      </c>
      <c r="K3512" s="36" t="n">
        <f aca="false">cust_sh*tk_ox_gb300+(1-cust_sh)*((1-Sens!$K$3510)*tk_ox_gb300+Sens!$K$3510*tk_ox_vr200)</f>
        <v>2.0380651807293</v>
      </c>
      <c r="L3512" s="36" t="n">
        <f aca="false">cust_sh*tk_ox_gb300+(1-cust_sh)*((1-Sens!$L$3510)*tk_ox_gb300+Sens!$L$3510*tk_ox_vr200)</f>
        <v>2.0380651807293</v>
      </c>
      <c r="M3512" s="36" t="n">
        <f aca="false">cust_sh*tk_ox_gb300+(1-cust_sh)*((1-Sens!$M$3510)*tk_ox_gb300+Sens!$M$3510*tk_ox_vr200)</f>
        <v>2.0380651807293</v>
      </c>
    </row>
    <row r="3513" customFormat="false" ht="17.15" hidden="false" customHeight="false" outlineLevel="0" collapsed="false">
      <c r="A3513" s="5" t="s">
        <v>563</v>
      </c>
      <c r="B3513" s="0" t="s">
        <v>170</v>
      </c>
      <c r="F3513" s="36" t="n">
        <f aca="false">cust_sh*tk_cx_gb300*cf_cx+(1-cust_sh)*((1-Sens!$F$3510)*tk_cx_gb300+Sens!$F$3510*tk_cx_vr200)</f>
        <v>32.237224</v>
      </c>
      <c r="G3513" s="36" t="n">
        <f aca="false">cust_sh*tk_cx_gb300*cf_cx+(1-cust_sh)*((1-Sens!$G$3510)*tk_cx_gb300+Sens!$G$3510*tk_cx_vr200)</f>
        <v>32.237224</v>
      </c>
      <c r="H3513" s="36" t="n">
        <f aca="false">cust_sh*tk_cx_gb300*cf_cx+(1-cust_sh)*((1-Sens!$H$3510)*tk_cx_gb300+Sens!$H$3510*tk_cx_vr200)</f>
        <v>33.574506</v>
      </c>
      <c r="I3513" s="36" t="n">
        <f aca="false">cust_sh*tk_cx_gb300*cf_cx+(1-cust_sh)*((1-Sens!$I$3510)*tk_cx_gb300+Sens!$I$3510*tk_cx_vr200)</f>
        <v>34.911788</v>
      </c>
      <c r="J3513" s="36" t="n">
        <f aca="false">cust_sh*tk_cx_gb300*cf_cx+(1-cust_sh)*((1-Sens!$J$3510)*tk_cx_gb300+Sens!$J$3510*tk_cx_vr200)</f>
        <v>34.911788</v>
      </c>
      <c r="K3513" s="36" t="n">
        <f aca="false">cust_sh*tk_cx_gb300*cf_cx+(1-cust_sh)*((1-Sens!$K$3510)*tk_cx_gb300+Sens!$K$3510*tk_cx_vr200)</f>
        <v>34.911788</v>
      </c>
      <c r="L3513" s="36" t="n">
        <f aca="false">cust_sh*tk_cx_gb300*cf_cx+(1-cust_sh)*((1-Sens!$L$3510)*tk_cx_gb300+Sens!$L$3510*tk_cx_vr200)</f>
        <v>34.911788</v>
      </c>
      <c r="M3513" s="36" t="n">
        <f aca="false">cust_sh*tk_cx_gb300*cf_cx+(1-cust_sh)*((1-Sens!$M$3510)*tk_cx_gb300+Sens!$M$3510*tk_cx_vr200)</f>
        <v>34.911788</v>
      </c>
    </row>
    <row r="3514" customFormat="false" ht="17.15" hidden="false" customHeight="false" outlineLevel="0" collapsed="false">
      <c r="A3514" s="5" t="s">
        <v>564</v>
      </c>
      <c r="B3514" s="0" t="s">
        <v>108</v>
      </c>
      <c r="F3514" s="33" t="n">
        <f aca="false">Sens!$F$3504-mw_open</f>
        <v>1817.15</v>
      </c>
      <c r="G3514" s="33" t="n">
        <f aca="false">Sens!$F$3514</f>
        <v>1817.15</v>
      </c>
      <c r="H3514" s="33" t="n">
        <f aca="false">Sens!$H$3504-mw_open</f>
        <v>5451.45</v>
      </c>
      <c r="I3514" s="33" t="n">
        <f aca="false">Sens!$I$3504-mw_open</f>
        <v>9085.75</v>
      </c>
      <c r="J3514" s="33" t="n">
        <f aca="false">Sens!$J$3504-mw_open</f>
        <v>12720.05</v>
      </c>
      <c r="K3514" s="33" t="n">
        <f aca="false">Sens!$K$3504-mw_open</f>
        <v>16354.35</v>
      </c>
      <c r="L3514" s="33" t="n">
        <f aca="false">Sens!$L$3504-mw_open</f>
        <v>19988.65</v>
      </c>
      <c r="M3514" s="33" t="n">
        <f aca="false">Sens!$M$3504-mw_open</f>
        <v>23622.95</v>
      </c>
    </row>
    <row r="3515" customFormat="false" ht="17.15" hidden="false" customHeight="false" outlineLevel="0" collapsed="false">
      <c r="A3515" s="0" t="s">
        <v>565</v>
      </c>
      <c r="B3515" s="0" t="s">
        <v>566</v>
      </c>
      <c r="F3515" s="33" t="n">
        <f aca="false">Sens!$F$3507*Sens!$F$3511</f>
        <v>19782.2417524844</v>
      </c>
      <c r="G3515" s="33" t="n">
        <f aca="false">Sens!$F$3515</f>
        <v>19782.2417524844</v>
      </c>
      <c r="H3515" s="33" t="n">
        <f aca="false">Sens!$G$3515+Sens!$H$3507*Sens!$H$3511</f>
        <v>60563.3616992009</v>
      </c>
      <c r="I3515" s="33" t="n">
        <f aca="false">Sens!$H$3515+Sens!$I$3507*Sens!$I$3511</f>
        <v>102561.118087665</v>
      </c>
      <c r="J3515" s="33" t="n">
        <f aca="false">Sens!$I$3515+Sens!$J$3507*Sens!$J$3511</f>
        <v>144558.87447613</v>
      </c>
      <c r="K3515" s="33" t="n">
        <f aca="false">Sens!$J$3515+Sens!$K$3507*Sens!$K$3511</f>
        <v>186556.630864594</v>
      </c>
      <c r="L3515" s="33" t="n">
        <f aca="false">Sens!$K$3515+Sens!$L$3507*Sens!$L$3511</f>
        <v>228554.387253058</v>
      </c>
      <c r="M3515" s="33" t="n">
        <f aca="false">Sens!$L$3515+Sens!$M$3507*Sens!$M$3511</f>
        <v>270552.143641523</v>
      </c>
    </row>
    <row r="3516" customFormat="false" ht="17.15" hidden="false" customHeight="false" outlineLevel="0" collapsed="false">
      <c r="A3516" s="0" t="s">
        <v>567</v>
      </c>
      <c r="B3516" s="0" t="s">
        <v>566</v>
      </c>
      <c r="F3516" s="33" t="n">
        <f aca="false">Sens!$F$3507*Sens!$F$3512</f>
        <v>3602.74485070566</v>
      </c>
      <c r="G3516" s="33" t="n">
        <f aca="false">Sens!$F$3516</f>
        <v>3602.74485070566</v>
      </c>
      <c r="H3516" s="33" t="n">
        <f aca="false">Sens!$G$3516+Sens!$H$3507*Sens!$H$3512</f>
        <v>10908.9598445736</v>
      </c>
      <c r="I3516" s="33" t="n">
        <f aca="false">Sens!$H$3516+Sens!$I$3507*Sens!$I$3512</f>
        <v>18315.9001308981</v>
      </c>
      <c r="J3516" s="33" t="n">
        <f aca="false">Sens!$I$3516+Sens!$J$3507*Sens!$J$3512</f>
        <v>25722.8404172225</v>
      </c>
      <c r="K3516" s="33" t="n">
        <f aca="false">Sens!$J$3516+Sens!$K$3507*Sens!$K$3512</f>
        <v>33129.780703547</v>
      </c>
      <c r="L3516" s="33" t="n">
        <f aca="false">Sens!$K$3516+Sens!$L$3507*Sens!$L$3512</f>
        <v>40536.7209898715</v>
      </c>
      <c r="M3516" s="33" t="n">
        <f aca="false">Sens!$L$3516+Sens!$M$3507*Sens!$M$3512</f>
        <v>47943.661276196</v>
      </c>
    </row>
    <row r="3517" customFormat="false" ht="17.15" hidden="false" customHeight="false" outlineLevel="0" collapsed="false">
      <c r="A3517" s="5" t="s">
        <v>568</v>
      </c>
      <c r="B3517" s="0" t="s">
        <v>151</v>
      </c>
      <c r="F3517" s="36" t="n">
        <f aca="false">IF(Sens!$F$3514&gt;0,Sens!$F$3515/Sens!$F$3514,Sens!$F$3511)</f>
        <v>10.8864110021101</v>
      </c>
      <c r="G3517" s="36" t="n">
        <f aca="false">IF(Sens!$G$3514&gt;0,Sens!$G$3515/Sens!$G$3514,Sens!$G$3511)</f>
        <v>10.8864110021101</v>
      </c>
      <c r="H3517" s="36" t="n">
        <f aca="false">IF(Sens!$H$3514&gt;0,Sens!$H$3515/Sens!$H$3514,Sens!$H$3511)</f>
        <v>11.1095876691891</v>
      </c>
      <c r="I3517" s="36" t="n">
        <f aca="false">IF(Sens!$I$3514&gt;0,Sens!$I$3515/Sens!$I$3514,Sens!$I$3511)</f>
        <v>11.2881290028523</v>
      </c>
      <c r="J3517" s="36" t="n">
        <f aca="false">IF(Sens!$J$3514&gt;0,Sens!$J$3515/Sens!$J$3514,Sens!$J$3511)</f>
        <v>11.3646467172794</v>
      </c>
      <c r="K3517" s="36" t="n">
        <f aca="false">IF(Sens!$K$3514&gt;0,Sens!$K$3515/Sens!$K$3514,Sens!$K$3511)</f>
        <v>11.4071565586278</v>
      </c>
      <c r="L3517" s="36" t="n">
        <f aca="false">IF(Sens!$L$3514&gt;0,Sens!$L$3515/Sens!$L$3514,Sens!$L$3511)</f>
        <v>11.4342082758495</v>
      </c>
      <c r="M3517" s="36" t="n">
        <f aca="false">IF(Sens!$M$3514&gt;0,Sens!$M$3515/Sens!$M$3514,Sens!$M$3511)</f>
        <v>11.4529363877722</v>
      </c>
    </row>
    <row r="3518" customFormat="false" ht="17.15" hidden="false" customHeight="false" outlineLevel="0" collapsed="false">
      <c r="A3518" s="5" t="s">
        <v>569</v>
      </c>
      <c r="B3518" s="0" t="s">
        <v>151</v>
      </c>
      <c r="F3518" s="36" t="n">
        <f aca="false">IF(Sens!$F$3514&gt;0,Sens!$F$3516/Sens!$F$3514,Sens!$F$3512)</f>
        <v>1.98263481314457</v>
      </c>
      <c r="G3518" s="36" t="n">
        <f aca="false">IF(Sens!$G$3514&gt;0,Sens!$G$3516/Sens!$G$3514,Sens!$G$3512)</f>
        <v>1.98263481314457</v>
      </c>
      <c r="H3518" s="36" t="n">
        <f aca="false">IF(Sens!$H$3514&gt;0,Sens!$H$3516/Sens!$H$3514,Sens!$H$3512)</f>
        <v>2.00111160233948</v>
      </c>
      <c r="I3518" s="36" t="n">
        <f aca="false">IF(Sens!$I$3514&gt;0,Sens!$I$3516/Sens!$I$3514,Sens!$I$3512)</f>
        <v>2.01589303369541</v>
      </c>
      <c r="J3518" s="36" t="n">
        <f aca="false">IF(Sens!$J$3514&gt;0,Sens!$J$3516/Sens!$J$3514,Sens!$J$3512)</f>
        <v>2.02222793284795</v>
      </c>
      <c r="K3518" s="36" t="n">
        <f aca="false">IF(Sens!$K$3514&gt;0,Sens!$K$3516/Sens!$K$3514,Sens!$K$3512)</f>
        <v>2.02574732126603</v>
      </c>
      <c r="L3518" s="36" t="n">
        <f aca="false">IF(Sens!$L$3514&gt;0,Sens!$L$3516/Sens!$L$3514,Sens!$L$3512)</f>
        <v>2.02798693207753</v>
      </c>
      <c r="M3518" s="36" t="n">
        <f aca="false">IF(Sens!$M$3514&gt;0,Sens!$M$3516/Sens!$M$3514,Sens!$M$3512)</f>
        <v>2.02953743187011</v>
      </c>
    </row>
    <row r="3519" customFormat="false" ht="17.15" hidden="false" customHeight="false" outlineLevel="0" collapsed="false">
      <c r="A3519" s="14" t="s">
        <v>570</v>
      </c>
      <c r="B3519" s="13" t="s">
        <v>151</v>
      </c>
      <c r="C3519" s="13"/>
      <c r="D3519" s="13"/>
      <c r="E3519" s="13"/>
      <c r="F3519" s="37" t="n">
        <f aca="false">Sens!$F$3517*k_B</f>
        <v>10.7987645808025</v>
      </c>
      <c r="G3519" s="37" t="n">
        <f aca="false">Sens!$G$3517*k_B</f>
        <v>10.7987645808025</v>
      </c>
      <c r="H3519" s="37" t="n">
        <f aca="false">Sens!$H$3517*k_B</f>
        <v>11.0201444540452</v>
      </c>
      <c r="I3519" s="37" t="n">
        <f aca="false">Sens!$I$3517*k_B</f>
        <v>11.1972483526393</v>
      </c>
      <c r="J3519" s="37" t="n">
        <f aca="false">Sens!$J$3517*k_B</f>
        <v>11.2731500234653</v>
      </c>
      <c r="K3519" s="37" t="n">
        <f aca="false">Sens!$K$3517*k_B</f>
        <v>11.3153176183687</v>
      </c>
      <c r="L3519" s="37" t="n">
        <f aca="false">Sens!$L$3517*k_B</f>
        <v>11.3421515423981</v>
      </c>
      <c r="M3519" s="37" t="n">
        <f aca="false">Sens!$M$3517*k_B</f>
        <v>11.3607288744184</v>
      </c>
      <c r="N3519" s="13"/>
      <c r="O3519" s="13"/>
      <c r="P3519" s="5" t="s">
        <v>571</v>
      </c>
    </row>
    <row r="3520" customFormat="false" ht="17.15" hidden="false" customHeight="false" outlineLevel="0" collapsed="false">
      <c r="A3520" s="5" t="s">
        <v>572</v>
      </c>
      <c r="B3520" s="0" t="s">
        <v>108</v>
      </c>
      <c r="F3520" s="33" t="n">
        <f aca="false">Sens!$F$3514/2</f>
        <v>908.575</v>
      </c>
      <c r="H3520" s="33" t="n">
        <f aca="false">(Sens!$G$3514+Sens!$H$3514)/2</f>
        <v>3634.3</v>
      </c>
      <c r="I3520" s="33" t="n">
        <f aca="false">(Sens!$H$3514+Sens!$I$3514)/2</f>
        <v>7268.6</v>
      </c>
      <c r="J3520" s="33" t="n">
        <f aca="false">(Sens!$I$3514+Sens!$J$3514)/2</f>
        <v>10902.9</v>
      </c>
      <c r="K3520" s="33" t="n">
        <f aca="false">(Sens!$J$3514+Sens!$K$3514)/2</f>
        <v>14537.2</v>
      </c>
      <c r="L3520" s="33" t="n">
        <f aca="false">(Sens!$K$3514+Sens!$L$3514)/2</f>
        <v>18171.5</v>
      </c>
      <c r="M3520" s="33" t="n">
        <f aca="false">(Sens!$L$3514+Sens!$M$3514)/2</f>
        <v>21805.8</v>
      </c>
    </row>
    <row r="3521" customFormat="false" ht="17.15" hidden="false" customHeight="false" outlineLevel="0" collapsed="false">
      <c r="A3521" s="1" t="s">
        <v>573</v>
      </c>
    </row>
    <row r="3522" customFormat="false" ht="17.15" hidden="false" customHeight="false" outlineLevel="0" collapsed="false">
      <c r="A3522" s="1" t="s">
        <v>574</v>
      </c>
      <c r="B3522" s="8" t="s">
        <v>73</v>
      </c>
      <c r="C3522" s="38" t="n">
        <f aca="false">Sens!$C$3505*rpm_open*Sens!$C$3506/1000</f>
        <v>2.32100535697364</v>
      </c>
      <c r="D3522" s="38" t="n">
        <f aca="false">Sens!$D$3505*rpm_open*Sens!$D$3506/1000</f>
        <v>8.70377008865116</v>
      </c>
      <c r="E3522" s="38" t="n">
        <f aca="false">Sens!$E$3505*rpm_open*Sens!$E$3506/1000</f>
        <v>8.51035297557002</v>
      </c>
      <c r="F3522" s="38" t="n">
        <f aca="false">(mw_open*rpm_open+Sens!$F$3520*Sens!$F$3519)*Sens!$F$3506/1000</f>
        <v>14.9634336447205</v>
      </c>
      <c r="G3522" s="38" t="n">
        <f aca="false">Sens!$E$3522+Sens!$F$3522</f>
        <v>23.4737866202905</v>
      </c>
      <c r="H3522" s="38" t="n">
        <f aca="false">(mw_open*rpm_open+Sens!$H$3520*Sens!$H$3519)/1000</f>
        <v>60.1658907497746</v>
      </c>
      <c r="I3522" s="38" t="n">
        <f aca="false">(mw_open*rpm_open+Sens!$I$3520*Sens!$I$3519)/1000</f>
        <v>101.503699136432</v>
      </c>
      <c r="J3522" s="38" t="n">
        <f aca="false">(mw_open*rpm_open+Sens!$J$3520*Sens!$J$3519)/1000</f>
        <v>143.025407151278</v>
      </c>
      <c r="K3522" s="38" t="n">
        <f aca="false">(mw_open*rpm_open+Sens!$K$3520*Sens!$K$3519)/1000</f>
        <v>184.608415042187</v>
      </c>
      <c r="L3522" s="38" t="n">
        <f aca="false">(mw_open*rpm_open+Sens!$L$3520*Sens!$L$3519)/1000</f>
        <v>226.219286513125</v>
      </c>
      <c r="M3522" s="38" t="n">
        <f aca="false">(mw_open*rpm_open+Sens!$M$3520*Sens!$M$3519)/1000</f>
        <v>267.845161450232</v>
      </c>
      <c r="N3522" s="38" t="n">
        <f aca="false">Sens!$N$3505*rpm_open*Sens!$N$3506/1000</f>
        <v>3.04631953102791</v>
      </c>
      <c r="O3522" s="38" t="n">
        <f aca="false">Sens!$O$3505*rpm_open*Sens!$O$3506/1000</f>
        <v>5.65745055762326</v>
      </c>
      <c r="P3522" s="5" t="s">
        <v>575</v>
      </c>
    </row>
    <row r="3523" customFormat="false" ht="17.15" hidden="false" customHeight="false" outlineLevel="0" collapsed="false">
      <c r="A3523" s="5" t="s">
        <v>576</v>
      </c>
      <c r="B3523" s="0" t="s">
        <v>151</v>
      </c>
      <c r="C3523" s="36" t="n">
        <f aca="false">Sens!$C$3522*1000/(Sens!$C$3505*Sens!$C$3506)</f>
        <v>9.67085565405685</v>
      </c>
      <c r="D3523" s="36" t="n">
        <f aca="false">Sens!$D$3522*1000/(Sens!$D$3505*Sens!$D$3506)</f>
        <v>9.67085565405685</v>
      </c>
      <c r="E3523" s="36" t="n">
        <f aca="false">Sens!$E$3522*1000/(Sens!$E$3505*Sens!$E$3506)</f>
        <v>9.67085565405685</v>
      </c>
      <c r="F3523" s="36" t="n">
        <f aca="false">Sens!$F$3522*1000/(Sens!$F$3505*Sens!$F$3506)</f>
        <v>10.0137581588017</v>
      </c>
      <c r="G3523" s="36" t="n">
        <f aca="false">Sens!$G$3522*1000/(Sens!$G$3505*Sens!$G$3506)</f>
        <v>9.88666562928478</v>
      </c>
      <c r="H3523" s="36" t="n">
        <f aca="false">Sens!$H$3522*1000/(Sens!$H$3505*Sens!$H$3506)</f>
        <v>10.5290045586992</v>
      </c>
      <c r="I3523" s="36" t="n">
        <f aca="false">Sens!$I$3522*1000/(Sens!$I$3505*Sens!$I$3506)</f>
        <v>10.8576363451674</v>
      </c>
      <c r="J3523" s="36" t="n">
        <f aca="false">Sens!$J$3522*1000/(Sens!$J$3505*Sens!$J$3506)</f>
        <v>11.0164452588619</v>
      </c>
      <c r="K3523" s="36" t="n">
        <f aca="false">Sens!$K$3522*1000/(Sens!$K$3505*Sens!$K$3506)</f>
        <v>11.1094778327388</v>
      </c>
      <c r="L3523" s="36" t="n">
        <f aca="false">Sens!$L$3522*1000/(Sens!$L$3505*Sens!$L$3506)</f>
        <v>11.1704953466718</v>
      </c>
      <c r="M3523" s="36" t="n">
        <f aca="false">Sens!$M$3522*1000/(Sens!$M$3505*Sens!$M$3506)</f>
        <v>11.2135729785158</v>
      </c>
      <c r="N3523" s="36" t="n">
        <f aca="false">Sens!$N$3522*1000/(Sens!$N$3505*Sens!$N$3506)</f>
        <v>9.67085565405685</v>
      </c>
      <c r="O3523" s="36" t="n">
        <f aca="false">Sens!$O$3522*1000/(Sens!$O$3505*Sens!$O$3506)</f>
        <v>9.67085565405685</v>
      </c>
    </row>
    <row r="3524" customFormat="false" ht="17.15" hidden="false" customHeight="false" outlineLevel="0" collapsed="false">
      <c r="A3524" s="0" t="s">
        <v>577</v>
      </c>
      <c r="B3524" s="0" t="s">
        <v>73</v>
      </c>
      <c r="C3524" s="38" t="n">
        <f aca="false">Sens!$C$3505/ext_sh*(ox_open+rent_mw)*Sens!$C$3506/1000</f>
        <v>0.642569210675032</v>
      </c>
      <c r="D3524" s="38" t="n">
        <f aca="false">Sens!$D$3505/ext_sh*(ox_open+rent_mw)*Sens!$D$3506/1000</f>
        <v>2.40963454003137</v>
      </c>
      <c r="E3524" s="38" t="n">
        <f aca="false">Sens!$E$3505/ext_sh*(ox_open+rent_mw)*Sens!$E$3506/1000</f>
        <v>2.35608710580845</v>
      </c>
      <c r="F3524" s="38" t="n">
        <f aca="false">((mw_open*ox_open+Sens!$F$3520*Sens!$F$3518)/ext_sh+Sens!$F$3505/ext_sh*rent_mw)*Sens!$F$3506/1000</f>
        <v>4.05421991106232</v>
      </c>
      <c r="G3524" s="38" t="n">
        <f aca="false">Sens!$E$3524+Sens!$F$3524</f>
        <v>6.41030701687077</v>
      </c>
      <c r="H3524" s="38" t="n">
        <f aca="false">((mw_open*ox_open+Sens!$H$3520*Sens!$H$3518)/ext_sh+Sens!$H$3505/ext_sh*rent_mw)*Sens!$H$3506/1000</f>
        <v>15.8108975546616</v>
      </c>
      <c r="I3524" s="38" t="n">
        <f aca="false">((mw_open*ox_open+Sens!$I$3520*Sens!$I$3518)/ext_sh+Sens!$I$3505/ext_sh*rent_mw)*Sens!$I$3506/1000</f>
        <v>26.1871623400817</v>
      </c>
      <c r="J3524" s="38" t="n">
        <f aca="false">((mw_open*ox_open+Sens!$J$3520*Sens!$J$3518)/ext_sh+Sens!$J$3505/ext_sh*rent_mw)*Sens!$J$3506/1000</f>
        <v>36.5826128954935</v>
      </c>
      <c r="K3524" s="38" t="n">
        <f aca="false">((mw_open*ox_open+Sens!$K$3520*Sens!$K$3518)/ext_sh+Sens!$K$3505/ext_sh*rent_mw)*Sens!$K$3506/1000</f>
        <v>46.9844587075692</v>
      </c>
      <c r="L3524" s="38" t="n">
        <f aca="false">((mw_open*ox_open+Sens!$L$3520*Sens!$L$3518)/ext_sh+Sens!$L$3505/ext_sh*rent_mw)*Sens!$L$3506/1000</f>
        <v>57.3892114544922</v>
      </c>
      <c r="M3524" s="38" t="n">
        <f aca="false">((mw_open*ox_open+Sens!$M$3520*Sens!$M$3518)/ext_sh+Sens!$M$3505/ext_sh*rent_mw)*Sens!$M$3506/1000</f>
        <v>67.7955294740252</v>
      </c>
      <c r="N3524" s="38" t="n">
        <f aca="false">Sens!$N$3505/ext_sh*(ox_open+rent_mw)*Sens!$N$3506/1000</f>
        <v>0.84337208901098</v>
      </c>
      <c r="O3524" s="38" t="n">
        <f aca="false">Sens!$O$3505/ext_sh*(ox_open+rent_mw)*Sens!$O$3506/1000</f>
        <v>1.56626245102039</v>
      </c>
    </row>
    <row r="3525" customFormat="false" ht="17.15" hidden="false" customHeight="false" outlineLevel="0" collapsed="false">
      <c r="A3525" s="0" t="s">
        <v>578</v>
      </c>
      <c r="B3525" s="0" t="s">
        <v>73</v>
      </c>
      <c r="C3525" s="38" t="n">
        <f aca="false">Q!$D$7</f>
        <v>107.556</v>
      </c>
      <c r="D3525" s="38" t="n">
        <f aca="false">Q!$E$7</f>
        <v>128.725</v>
      </c>
      <c r="E3525" s="38" t="n">
        <f aca="false">Q!$P$7</f>
        <v>79.819</v>
      </c>
      <c r="N3525" s="38" t="n">
        <f aca="false">Q!$N$7</f>
        <v>60.14</v>
      </c>
      <c r="O3525" s="38" t="n">
        <f aca="false">Q!$O$7</f>
        <v>68.585</v>
      </c>
    </row>
    <row r="3526" customFormat="false" ht="17.15" hidden="false" customHeight="false" outlineLevel="0" collapsed="false">
      <c r="A3526" s="1" t="s">
        <v>579</v>
      </c>
      <c r="B3526" s="8" t="s">
        <v>73</v>
      </c>
      <c r="C3526" s="38" t="n">
        <f aca="false">Sens!$C$3525-Sens!$C$3522</f>
        <v>105.234994643026</v>
      </c>
      <c r="D3526" s="38" t="n">
        <f aca="false">Sens!$D$3525-Sens!$D$3522</f>
        <v>120.021229911349</v>
      </c>
      <c r="E3526" s="38" t="n">
        <f aca="false">Sens!$E$3525-Sens!$E$3522</f>
        <v>71.30864702443</v>
      </c>
      <c r="F3526" s="38" t="n">
        <f aca="false">Sens!$O$3526*(1+Sens!$F$3527)</f>
        <v>78.5950104186653</v>
      </c>
      <c r="G3526" s="38" t="n">
        <f aca="false">Sens!$E$3526+Sens!$F$3526</f>
        <v>149.903657443095</v>
      </c>
      <c r="H3526" s="38" t="n">
        <f aca="false">Sens!$G$3526*(1+Sens!$H$3527)</f>
        <v>180.893560768142</v>
      </c>
      <c r="I3526" s="38" t="n">
        <f aca="false">Sens!$H$3526*(1+Sens!$I$3527)</f>
        <v>210.64839721501</v>
      </c>
      <c r="J3526" s="38" t="n">
        <f aca="false">Sens!$I$3526*(1+Sens!$J$3527)</f>
        <v>236.398909446495</v>
      </c>
      <c r="K3526" s="38" t="n">
        <f aca="false">Sens!$J$3526*(1+Sens!$K$3527)</f>
        <v>255.310822202215</v>
      </c>
      <c r="L3526" s="38" t="n">
        <f aca="false">Sens!$K$3526*(1+Sens!$L$3527)</f>
        <v>275.735687978392</v>
      </c>
      <c r="M3526" s="38" t="n">
        <f aca="false">Sens!$L$3526*(1+Sens!$M$3527)</f>
        <v>297.794543016663</v>
      </c>
      <c r="N3526" s="38" t="n">
        <f aca="false">Sens!$N$3525-Sens!$N$3522</f>
        <v>57.0936804689721</v>
      </c>
      <c r="O3526" s="38" t="n">
        <f aca="false">Sens!$O$3525-Sens!$O$3522</f>
        <v>62.9275494423768</v>
      </c>
      <c r="P3526" s="5" t="s">
        <v>580</v>
      </c>
    </row>
    <row r="3527" customFormat="false" ht="17.15" hidden="false" customHeight="false" outlineLevel="0" collapsed="false">
      <c r="A3527" s="0" t="s">
        <v>581</v>
      </c>
      <c r="B3527" s="0" t="s">
        <v>52</v>
      </c>
      <c r="E3527" s="12" t="n">
        <f aca="false">Sens!$E$3526/Sens!$N$3526-1</f>
        <v>0.248976181579029</v>
      </c>
      <c r="F3527" s="12" t="n">
        <f aca="false">Sens!$E$3527</f>
        <v>0.248976181579029</v>
      </c>
      <c r="G3527" s="12" t="n">
        <f aca="false">Sens!$G$3526/Sens!$D$3526-1</f>
        <v>0.248976181579029</v>
      </c>
      <c r="H3527" s="12" t="n">
        <f aca="false">Sens!$E$3527+(g_awso_lt-Sens!$E$3527)*1/4</f>
        <v>0.206732136184272</v>
      </c>
      <c r="I3527" s="12" t="n">
        <f aca="false">Sens!$E$3527+(g_awso_lt-Sens!$E$3527)*2/4</f>
        <v>0.164488090789515</v>
      </c>
      <c r="J3527" s="12" t="n">
        <f aca="false">Sens!$E$3527+(g_awso_lt-Sens!$E$3527)*3/4</f>
        <v>0.122244045394757</v>
      </c>
      <c r="K3527" s="12" t="n">
        <f aca="false">Sens!$E$3527+(g_awso_lt-Sens!$E$3527)*4/4</f>
        <v>0.08</v>
      </c>
      <c r="L3527" s="12" t="n">
        <f aca="false">g_awso_lt</f>
        <v>0.08</v>
      </c>
      <c r="M3527" s="12" t="n">
        <f aca="false">g_awso_lt</f>
        <v>0.08</v>
      </c>
      <c r="P3527" s="8" t="s">
        <v>582</v>
      </c>
    </row>
    <row r="3528" customFormat="false" ht="17.15" hidden="false" customHeight="false" outlineLevel="0" collapsed="false">
      <c r="A3528" s="1" t="s">
        <v>583</v>
      </c>
    </row>
    <row r="3529" customFormat="false" ht="17.15" hidden="false" customHeight="false" outlineLevel="0" collapsed="false">
      <c r="A3529" s="0" t="s">
        <v>584</v>
      </c>
      <c r="B3529" s="0" t="s">
        <v>73</v>
      </c>
      <c r="F3529" s="38" t="n">
        <f aca="false">cx_rt*Sens!$F$3495+cx_awso*Sens!$F$3526</f>
        <v>36.8045765066526</v>
      </c>
    </row>
    <row r="3530" customFormat="false" ht="17.15" hidden="false" customHeight="false" outlineLevel="0" collapsed="false">
      <c r="A3530" s="0" t="s">
        <v>585</v>
      </c>
      <c r="B3530" s="0" t="s">
        <v>52</v>
      </c>
      <c r="C3530" s="12" t="n">
        <f aca="false">tk_cx_h100/(tk_cx_h100+tk_fac*(1-colo_sh))</f>
        <v>0.730756458006641</v>
      </c>
      <c r="D3530" s="12" t="n">
        <f aca="false">tk_cx_h100/(tk_cx_h100+tk_fac*(1-colo_sh))</f>
        <v>0.730756458006641</v>
      </c>
      <c r="E3530" s="12" t="n">
        <f aca="false">Sens!$F$3530</f>
        <v>0.760792334328868</v>
      </c>
      <c r="F3530" s="12" t="n">
        <f aca="false">Sens!$F$3513/(Sens!$F$3513+tk_fac*(1-colo_sh))</f>
        <v>0.760792334328868</v>
      </c>
      <c r="G3530" s="12" t="n">
        <f aca="false">Sens!$G$3513/(Sens!$G$3513+tk_fac*(1-colo_sh))</f>
        <v>0.760792334328868</v>
      </c>
      <c r="H3530" s="12" t="n">
        <f aca="false">Sens!$H$3513/(Sens!$H$3513+tk_fac*(1-colo_sh))</f>
        <v>0.768110668862996</v>
      </c>
      <c r="I3530" s="12" t="n">
        <f aca="false">Sens!$I$3513/(Sens!$I$3513+tk_fac*(1-colo_sh))</f>
        <v>0.77499450139483</v>
      </c>
      <c r="J3530" s="12" t="n">
        <f aca="false">Sens!$J$3513/(Sens!$J$3513+tk_fac*(1-colo_sh))</f>
        <v>0.77499450139483</v>
      </c>
      <c r="K3530" s="12" t="n">
        <f aca="false">Sens!$K$3513/(Sens!$K$3513+tk_fac*(1-colo_sh))</f>
        <v>0.77499450139483</v>
      </c>
      <c r="L3530" s="12" t="n">
        <f aca="false">Sens!$L$3513/(Sens!$L$3513+tk_fac*(1-colo_sh))</f>
        <v>0.77499450139483</v>
      </c>
      <c r="M3530" s="12" t="n">
        <f aca="false">Sens!$M$3513/(Sens!$M$3513+tk_fac*(1-colo_sh))</f>
        <v>0.77499450139483</v>
      </c>
    </row>
    <row r="3531" customFormat="false" ht="17.15" hidden="false" customHeight="false" outlineLevel="0" collapsed="false">
      <c r="A3531" s="1" t="s">
        <v>586</v>
      </c>
      <c r="B3531" s="8" t="s">
        <v>73</v>
      </c>
      <c r="C3531" s="38" t="n">
        <f aca="false">Q!$D$46-cx_rt*Q!$D$16-cx_awso*Sens!$C$3526</f>
        <v>25.2781053077374</v>
      </c>
      <c r="D3531" s="38" t="n">
        <f aca="false">Q!$E$46-cx_rt*Q!$E$16-cx_awso*Sens!$D$3526</f>
        <v>69.5686316310026</v>
      </c>
      <c r="E3531" s="38" t="n">
        <f aca="false">Q!$P$46-cx_rt*Q!$P$16-cx_awso*Sens!$E$3526</f>
        <v>64.1899206485108</v>
      </c>
      <c r="F3531" s="38" t="n">
        <f aca="false">MAX(Sens!$F$3508*(Sens!$F$3513+tk_fac*(1-colo_sh))/1000,capex_g26-Q!$P$46-Sens!$F$3529)</f>
        <v>96.2481299895</v>
      </c>
      <c r="G3531" s="38" t="n">
        <f aca="false">Sens!$E$3531+Sens!$F$3531</f>
        <v>160.438050638011</v>
      </c>
      <c r="H3531" s="38" t="n">
        <f aca="false">Sens!$H$3508*(Sens!$H$3513+tk_fac*(1-colo_sh))/1000+Sens!$H$3532</f>
        <v>198.57136494475</v>
      </c>
      <c r="I3531" s="38" t="n">
        <f aca="false">Sens!$I$3508*(Sens!$I$3513+tk_fac*(1-colo_sh))/1000+Sens!$I$3532</f>
        <v>204.6464699105</v>
      </c>
      <c r="J3531" s="38" t="n">
        <f aca="false">Sens!$J$3508*(Sens!$J$3513+tk_fac*(1-colo_sh))/1000+Sens!$J$3532</f>
        <v>209.8832381105</v>
      </c>
      <c r="K3531" s="38" t="n">
        <f aca="false">Sens!$K$3508*(Sens!$K$3513+tk_fac*(1-colo_sh))/1000+Sens!$K$3532</f>
        <v>215.1200063105</v>
      </c>
      <c r="L3531" s="38" t="n">
        <f aca="false">Sens!$L$3508*(Sens!$L$3513+tk_fac*(1-colo_sh))/1000+Sens!$L$3532</f>
        <v>251.7773837105</v>
      </c>
      <c r="M3531" s="38" t="n">
        <f aca="false">Sens!$M$3508*(Sens!$M$3513+tk_fac*(1-colo_sh))/1000+Sens!$M$3532</f>
        <v>311.87584476575</v>
      </c>
      <c r="P3531" s="5" t="s">
        <v>587</v>
      </c>
      <c r="R3531" s="38" t="n">
        <f aca="false">Q!$C$46-cx_rt*Q!$C$16-cx_awso*(Q!$C$7-mw_ye23/2*rpm_open/1000)</f>
        <v>1.50429979529945</v>
      </c>
      <c r="S3531" s="38" t="n">
        <f aca="false">Sens!$C$3531</f>
        <v>25.2781053077374</v>
      </c>
      <c r="T3531" s="38" t="n">
        <f aca="false">Sens!$D$3531</f>
        <v>69.5686316310026</v>
      </c>
      <c r="U3531" s="38" t="n">
        <f aca="false">Sens!$G$3531</f>
        <v>160.438050638011</v>
      </c>
      <c r="V3531" s="38" t="n">
        <f aca="false">Sens!$H$3531</f>
        <v>198.57136494475</v>
      </c>
      <c r="W3531" s="38" t="n">
        <f aca="false">Sens!$I$3531</f>
        <v>204.6464699105</v>
      </c>
      <c r="X3531" s="38" t="n">
        <f aca="false">Sens!$J$3531</f>
        <v>209.8832381105</v>
      </c>
      <c r="Y3531" s="38" t="n">
        <f aca="false">Sens!$K$3531</f>
        <v>215.1200063105</v>
      </c>
      <c r="Z3531" s="38" t="n">
        <f aca="false">Sens!$L$3531</f>
        <v>251.7773837105</v>
      </c>
      <c r="AA3531" s="38" t="n">
        <f aca="false">Sens!$M$3531</f>
        <v>311.87584476575</v>
      </c>
    </row>
    <row r="3532" customFormat="false" ht="17.15" hidden="false" customHeight="false" outlineLevel="0" collapsed="false">
      <c r="A3532" s="0" t="s">
        <v>588</v>
      </c>
      <c r="B3532" s="0" t="s">
        <v>73</v>
      </c>
      <c r="H3532" s="38" t="n">
        <f aca="false">SUMPRODUCT(--(Sens!$R$3502:$AA$3502=2027-tk_life),Sens!$R$3508:$AA$3508)*Sens!$H$3513/1000</f>
        <v>0</v>
      </c>
      <c r="I3532" s="38" t="n">
        <f aca="false">SUMPRODUCT(--(Sens!$R$3502:$AA$3502=2028-tk_life),Sens!$R$3508:$AA$3508)*Sens!$I$3513/1000</f>
        <v>0</v>
      </c>
      <c r="J3532" s="38" t="n">
        <f aca="false">SUMPRODUCT(--(Sens!$R$3502:$AA$3502=2029-tk_life),Sens!$R$3508:$AA$3508)*Sens!$J$3513/1000</f>
        <v>5.2367682</v>
      </c>
      <c r="K3532" s="38" t="n">
        <f aca="false">SUMPRODUCT(--(Sens!$R$3502:$AA$3502=2030-tk_life),Sens!$R$3508:$AA$3508)*Sens!$K$3513/1000</f>
        <v>10.4735364</v>
      </c>
      <c r="L3532" s="38" t="n">
        <f aca="false">SUMPRODUCT(--(Sens!$R$3502:$AA$3502=2031-tk_life),Sens!$R$3508:$AA$3508)*Sens!$L$3513/1000</f>
        <v>47.1309138</v>
      </c>
      <c r="M3532" s="38" t="n">
        <f aca="false">SUMPRODUCT(--(Sens!$R$3502:$AA$3502=2032-tk_life),Sens!$R$3508:$AA$3508)*Sens!$M$3513/1000</f>
        <v>107.22937485525</v>
      </c>
    </row>
    <row r="3533" customFormat="false" ht="17.15" hidden="false" customHeight="false" outlineLevel="0" collapsed="false">
      <c r="A3533" s="5" t="s">
        <v>589</v>
      </c>
      <c r="B3533" s="0" t="s">
        <v>73</v>
      </c>
      <c r="C3533" s="38" t="n">
        <f aca="false">Sens!$C$3531*Sens!$C$3530</f>
        <v>18.472138699801</v>
      </c>
      <c r="D3533" s="38" t="n">
        <f aca="false">Sens!$D$3531*Sens!$D$3530</f>
        <v>50.8377268390402</v>
      </c>
      <c r="E3533" s="38" t="n">
        <f aca="false">Sens!$E$3531*Sens!$E$3530</f>
        <v>48.8351995705653</v>
      </c>
      <c r="F3533" s="38" t="n">
        <f aca="false">Sens!$F$3531*Sens!$F$3530</f>
        <v>73.2248394895</v>
      </c>
      <c r="G3533" s="38" t="n">
        <f aca="false">Sens!$E$3533+Sens!$F$3533</f>
        <v>122.060039060065</v>
      </c>
      <c r="H3533" s="38" t="n">
        <f aca="false">(Sens!$H$3531-Sens!$H$3532)*Sens!$H$3530+Sens!$H$3532</f>
        <v>152.52478394475</v>
      </c>
      <c r="I3533" s="38" t="n">
        <f aca="false">(Sens!$I$3531-Sens!$I$3532)*Sens!$I$3530+Sens!$I$3532</f>
        <v>158.5998889105</v>
      </c>
      <c r="J3533" s="38" t="n">
        <f aca="false">(Sens!$J$3531-Sens!$J$3532)*Sens!$J$3530+Sens!$J$3532</f>
        <v>163.8366571105</v>
      </c>
      <c r="K3533" s="38" t="n">
        <f aca="false">(Sens!$K$3531-Sens!$K$3532)*Sens!$K$3530+Sens!$K$3532</f>
        <v>169.0734253105</v>
      </c>
      <c r="L3533" s="38" t="n">
        <f aca="false">(Sens!$L$3531-Sens!$L$3532)*Sens!$L$3530+Sens!$L$3532</f>
        <v>205.7308027105</v>
      </c>
      <c r="M3533" s="38" t="n">
        <f aca="false">(Sens!$M$3531-Sens!$M$3532)*Sens!$M$3530+Sens!$M$3532</f>
        <v>265.82926376575</v>
      </c>
      <c r="R3533" s="38" t="n">
        <f aca="false">Sens!$R$3531*Sens!$C$3530</f>
        <v>1.09927679019314</v>
      </c>
      <c r="S3533" s="38" t="n">
        <f aca="false">Sens!$C$3533</f>
        <v>18.472138699801</v>
      </c>
      <c r="T3533" s="38" t="n">
        <f aca="false">Sens!$D$3533</f>
        <v>50.8377268390402</v>
      </c>
      <c r="U3533" s="38" t="n">
        <f aca="false">Sens!$G$3533</f>
        <v>122.060039060065</v>
      </c>
      <c r="V3533" s="38" t="n">
        <f aca="false">Sens!$H$3533</f>
        <v>152.52478394475</v>
      </c>
      <c r="W3533" s="38" t="n">
        <f aca="false">Sens!$I$3533</f>
        <v>158.5998889105</v>
      </c>
      <c r="X3533" s="38" t="n">
        <f aca="false">Sens!$J$3533</f>
        <v>163.8366571105</v>
      </c>
      <c r="Y3533" s="38" t="n">
        <f aca="false">Sens!$K$3533</f>
        <v>169.0734253105</v>
      </c>
      <c r="Z3533" s="38" t="n">
        <f aca="false">Sens!$L$3533</f>
        <v>205.7308027105</v>
      </c>
      <c r="AA3533" s="38" t="n">
        <f aca="false">Sens!$M$3533</f>
        <v>265.82926376575</v>
      </c>
    </row>
    <row r="3534" customFormat="false" ht="15" hidden="false" customHeight="false" outlineLevel="0" collapsed="false">
      <c r="A3534" s="5" t="s">
        <v>590</v>
      </c>
      <c r="B3534" s="0" t="s">
        <v>73</v>
      </c>
      <c r="R3534" s="38" t="n">
        <f aca="false">Sens!$R$3531-Sens!$R$3533</f>
        <v>0.405023005106309</v>
      </c>
      <c r="S3534" s="38" t="n">
        <f aca="false">Sens!$S$3531-Sens!$S$3533</f>
        <v>6.80596660793636</v>
      </c>
      <c r="T3534" s="38" t="n">
        <f aca="false">Sens!$T$3531-Sens!$T$3533</f>
        <v>18.7309047919624</v>
      </c>
      <c r="U3534" s="38" t="n">
        <f aca="false">Sens!$U$3531-Sens!$U$3533</f>
        <v>38.3780115779455</v>
      </c>
      <c r="V3534" s="38" t="n">
        <f aca="false">Sens!$V$3531-Sens!$V$3533</f>
        <v>46.046581</v>
      </c>
      <c r="W3534" s="38" t="n">
        <f aca="false">Sens!$W$3531-Sens!$W$3533</f>
        <v>46.046581</v>
      </c>
      <c r="X3534" s="38" t="n">
        <f aca="false">Sens!$X$3531-Sens!$X$3533</f>
        <v>46.046581</v>
      </c>
      <c r="Y3534" s="38" t="n">
        <f aca="false">Sens!$Y$3531-Sens!$Y$3533</f>
        <v>46.046581</v>
      </c>
      <c r="Z3534" s="38" t="n">
        <f aca="false">Sens!$Z$3531-Sens!$Z$3533</f>
        <v>46.046581</v>
      </c>
      <c r="AA3534" s="38" t="n">
        <f aca="false">Sens!$AA$3531-Sens!$AA$3533</f>
        <v>46.046581</v>
      </c>
    </row>
    <row r="3535" customFormat="false" ht="17.15" hidden="false" customHeight="false" outlineLevel="0" collapsed="false">
      <c r="A3535" s="0" t="s">
        <v>591</v>
      </c>
      <c r="B3535" s="0" t="s">
        <v>73</v>
      </c>
      <c r="C3535" s="38" t="n">
        <f aca="false">Sens!$S$3535</f>
        <v>0.183212798365523</v>
      </c>
      <c r="D3535" s="38" t="n">
        <f aca="false">Sens!$T$3535</f>
        <v>3.2619025816657</v>
      </c>
      <c r="E3535" s="38" t="n">
        <f aca="false">Sens!$G$3535/2</f>
        <v>5.86742852741953</v>
      </c>
      <c r="F3535" s="38" t="n">
        <f aca="false">Sens!$G$3535/2</f>
        <v>5.86742852741953</v>
      </c>
      <c r="G3535" s="38" t="n">
        <f aca="false">Sens!$U$3535</f>
        <v>11.7348570548391</v>
      </c>
      <c r="H3535" s="38" t="n">
        <f aca="false">Sens!$V$3535</f>
        <v>32.0781968981833</v>
      </c>
      <c r="I3535" s="38" t="n">
        <f aca="false">Sens!$W$3535</f>
        <v>57.4989942223083</v>
      </c>
      <c r="J3535" s="38" t="n">
        <f aca="false">Sens!$X$3535</f>
        <v>83.932309040725</v>
      </c>
      <c r="K3535" s="38" t="n">
        <f aca="false">Sens!$Y$3535</f>
        <v>111.055205760776</v>
      </c>
      <c r="L3535" s="38" t="n">
        <f aca="false">Sens!$Z$3535</f>
        <v>136.155420195893</v>
      </c>
      <c r="M3535" s="38" t="n">
        <f aca="false">Sens!$AA$3535</f>
        <v>161.970932841136</v>
      </c>
      <c r="N3535" s="38" t="n">
        <f aca="false">Sens!$D$3535/2</f>
        <v>1.63095129083285</v>
      </c>
      <c r="O3535" s="38" t="n">
        <f aca="false">Sens!$D$3535/2</f>
        <v>1.63095129083285</v>
      </c>
      <c r="R3535" s="38" t="n">
        <f aca="false">SUMPRODUCT(--(Sens!$R$3502:$AA$3502&lt;Sens!R$3502),--(Sens!$R$3502:$AA$3502&gt;=Sens!R$3502-tk_life),Sens!$R$3533:$AA$3533)/tk_life</f>
        <v>0</v>
      </c>
      <c r="S3535" s="38" t="n">
        <f aca="false">SUMPRODUCT(--(Sens!$R$3502:$AA$3502&lt;Sens!S$3502),--(Sens!$R$3502:$AA$3502&gt;=Sens!S$3502-tk_life),Sens!$R$3533:$AA$3533)/tk_life</f>
        <v>0.183212798365523</v>
      </c>
      <c r="T3535" s="38" t="n">
        <f aca="false">SUMPRODUCT(--(Sens!$R$3502:$AA$3502&lt;Sens!T$3502),--(Sens!$R$3502:$AA$3502&gt;=Sens!T$3502-tk_life),Sens!$R$3533:$AA$3533)/tk_life</f>
        <v>3.2619025816657</v>
      </c>
      <c r="U3535" s="38" t="n">
        <f aca="false">SUMPRODUCT(--(Sens!$R$3502:$AA$3502&lt;Sens!U$3502),--(Sens!$R$3502:$AA$3502&gt;=Sens!U$3502-tk_life),Sens!$R$3533:$AA$3533)/tk_life</f>
        <v>11.7348570548391</v>
      </c>
      <c r="V3535" s="38" t="n">
        <f aca="false">SUMPRODUCT(--(Sens!$R$3502:$AA$3502&lt;Sens!V$3502),--(Sens!$R$3502:$AA$3502&gt;=Sens!V$3502-tk_life),Sens!$R$3533:$AA$3533)/tk_life</f>
        <v>32.0781968981833</v>
      </c>
      <c r="W3535" s="38" t="n">
        <f aca="false">SUMPRODUCT(--(Sens!$R$3502:$AA$3502&lt;Sens!W$3502),--(Sens!$R$3502:$AA$3502&gt;=Sens!W$3502-tk_life),Sens!$R$3533:$AA$3533)/tk_life</f>
        <v>57.4989942223083</v>
      </c>
      <c r="X3535" s="38" t="n">
        <f aca="false">SUMPRODUCT(--(Sens!$R$3502:$AA$3502&lt;Sens!X$3502),--(Sens!$R$3502:$AA$3502&gt;=Sens!X$3502-tk_life),Sens!$R$3533:$AA$3533)/tk_life</f>
        <v>83.932309040725</v>
      </c>
      <c r="Y3535" s="38" t="n">
        <f aca="false">SUMPRODUCT(--(Sens!$R$3502:$AA$3502&lt;Sens!Y$3502),--(Sens!$R$3502:$AA$3502&gt;=Sens!Y$3502-tk_life),Sens!$R$3533:$AA$3533)/tk_life</f>
        <v>111.055205760776</v>
      </c>
      <c r="Z3535" s="38" t="n">
        <f aca="false">SUMPRODUCT(--(Sens!$R$3502:$AA$3502&lt;Sens!Z$3502),--(Sens!$R$3502:$AA$3502&gt;=Sens!Z$3502-tk_life),Sens!$R$3533:$AA$3533)/tk_life</f>
        <v>136.155420195893</v>
      </c>
      <c r="AA3535" s="38" t="n">
        <f aca="false">SUMPRODUCT(--(Sens!$R$3502:$AA$3502&lt;Sens!AA$3502),--(Sens!$R$3502:$AA$3502&gt;=Sens!AA$3502-tk_life),Sens!$R$3533:$AA$3533)/tk_life</f>
        <v>161.970932841136</v>
      </c>
    </row>
    <row r="3536" customFormat="false" ht="17.15" hidden="false" customHeight="false" outlineLevel="0" collapsed="false">
      <c r="A3536" s="0" t="s">
        <v>592</v>
      </c>
      <c r="B3536" s="0" t="s">
        <v>73</v>
      </c>
      <c r="C3536" s="38" t="n">
        <f aca="false">Sens!$S$3536</f>
        <v>0.0202511502553155</v>
      </c>
      <c r="D3536" s="38" t="n">
        <f aca="false">Sens!$T$3536</f>
        <v>0.360549480652134</v>
      </c>
      <c r="E3536" s="38" t="n">
        <f aca="false">Sens!$G$3536/2</f>
        <v>0.648547360125127</v>
      </c>
      <c r="F3536" s="38" t="n">
        <f aca="false">Sens!$G$3536/2</f>
        <v>0.648547360125127</v>
      </c>
      <c r="G3536" s="38" t="n">
        <f aca="false">Sens!$U$3536</f>
        <v>1.29709472025025</v>
      </c>
      <c r="H3536" s="38" t="n">
        <f aca="false">Sens!$V$3536</f>
        <v>3.21599529914753</v>
      </c>
      <c r="I3536" s="38" t="n">
        <f aca="false">Sens!$W$3536</f>
        <v>5.51832434914753</v>
      </c>
      <c r="J3536" s="38" t="n">
        <f aca="false">Sens!$X$3536</f>
        <v>7.82065339914753</v>
      </c>
      <c r="K3536" s="38" t="n">
        <f aca="false">Sens!$Y$3536</f>
        <v>10.1229824491475</v>
      </c>
      <c r="L3536" s="38" t="n">
        <f aca="false">Sens!$Z$3536</f>
        <v>12.4253114991475</v>
      </c>
      <c r="M3536" s="38" t="n">
        <f aca="false">Sens!$AA$3536</f>
        <v>14.7276405491475</v>
      </c>
      <c r="N3536" s="38" t="n">
        <f aca="false">Sens!$D$3536/2</f>
        <v>0.180274740326067</v>
      </c>
      <c r="O3536" s="38" t="n">
        <f aca="false">Sens!$D$3536/2</f>
        <v>0.180274740326067</v>
      </c>
      <c r="R3536" s="38" t="n">
        <f aca="false">SUMPRODUCT(--(Sens!$R$3502:$AA$3502&lt;Sens!R$3502),Sens!$R$3534:$AA$3534)/fac_life</f>
        <v>0</v>
      </c>
      <c r="S3536" s="38" t="n">
        <f aca="false">SUMPRODUCT(--(Sens!$R$3502:$AA$3502&lt;Sens!S$3502),Sens!$R$3534:$AA$3534)/fac_life</f>
        <v>0.0202511502553155</v>
      </c>
      <c r="T3536" s="38" t="n">
        <f aca="false">SUMPRODUCT(--(Sens!$R$3502:$AA$3502&lt;Sens!T$3502),Sens!$R$3534:$AA$3534)/fac_life</f>
        <v>0.360549480652134</v>
      </c>
      <c r="U3536" s="38" t="n">
        <f aca="false">SUMPRODUCT(--(Sens!$R$3502:$AA$3502&lt;Sens!U$3502),Sens!$R$3534:$AA$3534)/fac_life</f>
        <v>1.29709472025025</v>
      </c>
      <c r="V3536" s="38" t="n">
        <f aca="false">SUMPRODUCT(--(Sens!$R$3502:$AA$3502&lt;Sens!V$3502),Sens!$R$3534:$AA$3534)/fac_life</f>
        <v>3.21599529914753</v>
      </c>
      <c r="W3536" s="38" t="n">
        <f aca="false">SUMPRODUCT(--(Sens!$R$3502:$AA$3502&lt;Sens!W$3502),Sens!$R$3534:$AA$3534)/fac_life</f>
        <v>5.51832434914753</v>
      </c>
      <c r="X3536" s="38" t="n">
        <f aca="false">SUMPRODUCT(--(Sens!$R$3502:$AA$3502&lt;Sens!X$3502),Sens!$R$3534:$AA$3534)/fac_life</f>
        <v>7.82065339914753</v>
      </c>
      <c r="Y3536" s="38" t="n">
        <f aca="false">SUMPRODUCT(--(Sens!$R$3502:$AA$3502&lt;Sens!Y$3502),Sens!$R$3534:$AA$3534)/fac_life</f>
        <v>10.1229824491475</v>
      </c>
      <c r="Z3536" s="38" t="n">
        <f aca="false">SUMPRODUCT(--(Sens!$R$3502:$AA$3502&lt;Sens!Z$3502),Sens!$R$3534:$AA$3534)/fac_life</f>
        <v>12.4253114991475</v>
      </c>
      <c r="AA3536" s="38" t="n">
        <f aca="false">SUMPRODUCT(--(Sens!$R$3502:$AA$3502&lt;Sens!AA$3502),Sens!$R$3534:$AA$3534)/fac_life</f>
        <v>14.7276405491475</v>
      </c>
    </row>
    <row r="3537" customFormat="false" ht="17.15" hidden="false" customHeight="false" outlineLevel="0" collapsed="false">
      <c r="A3537" s="1" t="s">
        <v>593</v>
      </c>
      <c r="B3537" s="8" t="s">
        <v>73</v>
      </c>
      <c r="C3537" s="38" t="n">
        <f aca="false">Sens!$C$3535+Sens!$C$3536</f>
        <v>0.203463948620839</v>
      </c>
      <c r="D3537" s="38" t="n">
        <f aca="false">Sens!$D$3535+Sens!$D$3536</f>
        <v>3.62245206231783</v>
      </c>
      <c r="E3537" s="38" t="n">
        <f aca="false">Sens!$E$3535+Sens!$E$3536</f>
        <v>6.51597588754466</v>
      </c>
      <c r="F3537" s="38" t="n">
        <f aca="false">Sens!$F$3535+Sens!$F$3536</f>
        <v>6.51597588754466</v>
      </c>
      <c r="G3537" s="38" t="n">
        <f aca="false">Sens!$G$3535+Sens!$G$3536</f>
        <v>13.0319517750893</v>
      </c>
      <c r="H3537" s="38" t="n">
        <f aca="false">Sens!$H$3535+Sens!$H$3536</f>
        <v>35.2941921973308</v>
      </c>
      <c r="I3537" s="38" t="n">
        <f aca="false">Sens!$I$3535+Sens!$I$3536</f>
        <v>63.0173185714558</v>
      </c>
      <c r="J3537" s="38" t="n">
        <f aca="false">Sens!$J$3535+Sens!$J$3536</f>
        <v>91.7529624398725</v>
      </c>
      <c r="K3537" s="38" t="n">
        <f aca="false">Sens!$K$3535+Sens!$K$3536</f>
        <v>121.178188209924</v>
      </c>
      <c r="L3537" s="38" t="n">
        <f aca="false">Sens!$L$3535+Sens!$L$3536</f>
        <v>148.58073169504</v>
      </c>
      <c r="M3537" s="38" t="n">
        <f aca="false">Sens!$M$3535+Sens!$M$3536</f>
        <v>176.698573390283</v>
      </c>
      <c r="N3537" s="38" t="n">
        <f aca="false">Sens!$N$3535+Sens!$N$3536</f>
        <v>1.81122603115892</v>
      </c>
      <c r="O3537" s="38" t="n">
        <f aca="false">Sens!$O$3535+Sens!$O$3536</f>
        <v>1.81122603115892</v>
      </c>
      <c r="R3537" s="38" t="n">
        <f aca="false">Sens!$R$3535+Sens!$R$3536</f>
        <v>0</v>
      </c>
      <c r="S3537" s="38" t="n">
        <f aca="false">Sens!$S$3535+Sens!$S$3536</f>
        <v>0.203463948620839</v>
      </c>
      <c r="T3537" s="38" t="n">
        <f aca="false">Sens!$T$3535+Sens!$T$3536</f>
        <v>3.62245206231783</v>
      </c>
      <c r="U3537" s="38" t="n">
        <f aca="false">Sens!$U$3535+Sens!$U$3536</f>
        <v>13.0319517750893</v>
      </c>
      <c r="V3537" s="38" t="n">
        <f aca="false">Sens!$V$3535+Sens!$V$3536</f>
        <v>35.2941921973308</v>
      </c>
      <c r="W3537" s="38" t="n">
        <f aca="false">Sens!$W$3535+Sens!$W$3536</f>
        <v>63.0173185714558</v>
      </c>
      <c r="X3537" s="38" t="n">
        <f aca="false">Sens!$X$3535+Sens!$X$3536</f>
        <v>91.7529624398725</v>
      </c>
      <c r="Y3537" s="38" t="n">
        <f aca="false">Sens!$Y$3535+Sens!$Y$3536</f>
        <v>121.178188209924</v>
      </c>
      <c r="Z3537" s="38" t="n">
        <f aca="false">Sens!$Z$3535+Sens!$Z$3536</f>
        <v>148.58073169504</v>
      </c>
      <c r="AA3537" s="38" t="n">
        <f aca="false">Sens!$AA$3535+Sens!$AA$3536</f>
        <v>176.698573390283</v>
      </c>
    </row>
    <row r="3538" customFormat="false" ht="17.15" hidden="false" customHeight="false" outlineLevel="0" collapsed="false">
      <c r="A3538" s="0" t="s">
        <v>594</v>
      </c>
      <c r="B3538" s="0" t="s">
        <v>73</v>
      </c>
      <c r="C3538" s="38" t="n">
        <f aca="false">Sens!$S$3538</f>
        <v>26.578941154416</v>
      </c>
      <c r="D3538" s="38" t="n">
        <f aca="false">Sens!$T$3538</f>
        <v>92.5251207231008</v>
      </c>
      <c r="G3538" s="38" t="n">
        <f aca="false">Sens!$U$3538</f>
        <v>239.931219586022</v>
      </c>
      <c r="H3538" s="38" t="n">
        <f aca="false">Sens!$V$3538</f>
        <v>403.208392333442</v>
      </c>
      <c r="I3538" s="38" t="n">
        <f aca="false">Sens!$W$3538</f>
        <v>544.837543672486</v>
      </c>
      <c r="J3538" s="38" t="n">
        <f aca="false">Sens!$X$3538</f>
        <v>662.967819343113</v>
      </c>
      <c r="K3538" s="38" t="n">
        <f aca="false">Sens!$Y$3538</f>
        <v>756.90963744369</v>
      </c>
      <c r="L3538" s="38" t="n">
        <f aca="false">Sens!$Z$3538</f>
        <v>860.10628945915</v>
      </c>
      <c r="M3538" s="38" t="n">
        <f aca="false">Sens!$AA$3538</f>
        <v>995.283560834616</v>
      </c>
      <c r="R3538" s="38" t="n">
        <f aca="false">SUM(Sens!$R$3531:$R$3531)-SUM(Sens!$R$3537:$R$3537)</f>
        <v>1.50429979529945</v>
      </c>
      <c r="S3538" s="38" t="n">
        <f aca="false">SUM(Sens!$R$3531:$S$3531)-SUM(Sens!$R$3537:$S$3537)</f>
        <v>26.578941154416</v>
      </c>
      <c r="T3538" s="38" t="n">
        <f aca="false">SUM(Sens!$R$3531:$T$3531)-SUM(Sens!$R$3537:$T$3537)</f>
        <v>92.5251207231008</v>
      </c>
      <c r="U3538" s="38" t="n">
        <f aca="false">SUM(Sens!$R$3531:$U$3531)-SUM(Sens!$R$3537:$U$3537)</f>
        <v>239.931219586022</v>
      </c>
      <c r="V3538" s="38" t="n">
        <f aca="false">SUM(Sens!$R$3531:$V$3531)-SUM(Sens!$R$3537:$V$3537)</f>
        <v>403.208392333442</v>
      </c>
      <c r="W3538" s="38" t="n">
        <f aca="false">SUM(Sens!$R$3531:$W$3531)-SUM(Sens!$R$3537:$W$3537)</f>
        <v>544.837543672486</v>
      </c>
      <c r="X3538" s="38" t="n">
        <f aca="false">SUM(Sens!$R$3531:$X$3531)-SUM(Sens!$R$3537:$X$3537)</f>
        <v>662.967819343113</v>
      </c>
      <c r="Y3538" s="38" t="n">
        <f aca="false">SUM(Sens!$R$3531:$Y$3531)-SUM(Sens!$R$3537:$Y$3537)</f>
        <v>756.90963744369</v>
      </c>
      <c r="Z3538" s="38" t="n">
        <f aca="false">SUM(Sens!$R$3531:$Z$3531)-SUM(Sens!$R$3537:$Z$3537)</f>
        <v>860.10628945915</v>
      </c>
      <c r="AA3538" s="38" t="n">
        <f aca="false">SUM(Sens!$R$3531:$AA$3531)-SUM(Sens!$R$3537:$AA$3537)</f>
        <v>995.283560834616</v>
      </c>
    </row>
    <row r="3539" customFormat="false" ht="17.15" hidden="false" customHeight="false" outlineLevel="0" collapsed="false">
      <c r="A3539" s="1" t="s">
        <v>595</v>
      </c>
    </row>
    <row r="3540" customFormat="false" ht="17.15" hidden="false" customHeight="false" outlineLevel="0" collapsed="false">
      <c r="A3540" s="0" t="s">
        <v>596</v>
      </c>
      <c r="B3540" s="0" t="s">
        <v>73</v>
      </c>
      <c r="C3540" s="38" t="n">
        <f aca="false">Sens!$C$3522-ext_sh*Sens!$C$3524</f>
        <v>1.80694998843362</v>
      </c>
      <c r="D3540" s="38" t="n">
        <f aca="false">Sens!$D$3522-ext_sh*Sens!$D$3524</f>
        <v>6.77606245662607</v>
      </c>
      <c r="E3540" s="38" t="n">
        <f aca="false">Sens!$E$3522-ext_sh*Sens!$E$3524</f>
        <v>6.62548329092326</v>
      </c>
      <c r="F3540" s="38" t="n">
        <f aca="false">Sens!$F$3522-ext_sh*Sens!$F$3524</f>
        <v>11.7200577158706</v>
      </c>
      <c r="G3540" s="38" t="n">
        <f aca="false">Sens!$G$3522-ext_sh*Sens!$G$3524</f>
        <v>18.3455410067939</v>
      </c>
      <c r="H3540" s="38" t="n">
        <f aca="false">Sens!$H$3522-ext_sh*Sens!$H$3524</f>
        <v>47.5171727060453</v>
      </c>
      <c r="I3540" s="38" t="n">
        <f aca="false">Sens!$I$3522-ext_sh*Sens!$I$3524</f>
        <v>80.5539692643667</v>
      </c>
      <c r="J3540" s="38" t="n">
        <f aca="false">Sens!$J$3522-ext_sh*Sens!$J$3524</f>
        <v>113.759316834883</v>
      </c>
      <c r="K3540" s="38" t="n">
        <f aca="false">Sens!$K$3522-ext_sh*Sens!$K$3524</f>
        <v>147.020848076132</v>
      </c>
      <c r="L3540" s="38" t="n">
        <f aca="false">Sens!$L$3522-ext_sh*Sens!$L$3524</f>
        <v>180.307917349531</v>
      </c>
      <c r="M3540" s="38" t="n">
        <f aca="false">Sens!$M$3522-ext_sh*Sens!$M$3524</f>
        <v>213.608737871012</v>
      </c>
      <c r="N3540" s="38" t="n">
        <f aca="false">Sens!$N$3522-ext_sh*Sens!$N$3524</f>
        <v>2.37162185981912</v>
      </c>
      <c r="O3540" s="38" t="n">
        <f aca="false">Sens!$O$3522-ext_sh*Sens!$O$3524</f>
        <v>4.40444059680694</v>
      </c>
    </row>
    <row r="3541" customFormat="false" ht="17.15" hidden="false" customHeight="false" outlineLevel="0" collapsed="false">
      <c r="A3541" s="1" t="s">
        <v>597</v>
      </c>
      <c r="B3541" s="8" t="s">
        <v>73</v>
      </c>
      <c r="C3541" s="38" t="n">
        <f aca="false">Sens!$C$3540-ext_sh*Sens!$C$3537</f>
        <v>1.64417882953695</v>
      </c>
      <c r="D3541" s="38" t="n">
        <f aca="false">Sens!$D$3540-ext_sh*Sens!$D$3537</f>
        <v>3.8781008067718</v>
      </c>
      <c r="E3541" s="38" t="n">
        <f aca="false">Sens!$E$3540-ext_sh*Sens!$E$3537</f>
        <v>1.41270258088753</v>
      </c>
      <c r="F3541" s="38" t="n">
        <f aca="false">Sens!$F$3540-ext_sh*Sens!$F$3537</f>
        <v>6.50727700583486</v>
      </c>
      <c r="G3541" s="38" t="n">
        <f aca="false">Sens!$G$3540-ext_sh*Sens!$G$3537</f>
        <v>7.9199795867224</v>
      </c>
      <c r="H3541" s="38" t="n">
        <f aca="false">Sens!$H$3540-ext_sh*Sens!$H$3537</f>
        <v>19.2818189481807</v>
      </c>
      <c r="I3541" s="38" t="n">
        <f aca="false">Sens!$I$3540-ext_sh*Sens!$I$3537</f>
        <v>30.140114407202</v>
      </c>
      <c r="J3541" s="38" t="n">
        <f aca="false">Sens!$J$3540-ext_sh*Sens!$J$3537</f>
        <v>40.3569468829854</v>
      </c>
      <c r="K3541" s="38" t="n">
        <f aca="false">Sens!$K$3540-ext_sh*Sens!$K$3537</f>
        <v>50.0782975081929</v>
      </c>
      <c r="L3541" s="38" t="n">
        <f aca="false">Sens!$L$3540-ext_sh*Sens!$L$3537</f>
        <v>61.443331993499</v>
      </c>
      <c r="M3541" s="38" t="n">
        <f aca="false">Sens!$M$3540-ext_sh*Sens!$M$3537</f>
        <v>72.2498791587849</v>
      </c>
      <c r="N3541" s="38" t="n">
        <f aca="false">Sens!$N$3540-ext_sh*Sens!$N$3537</f>
        <v>0.92264103489199</v>
      </c>
      <c r="O3541" s="38" t="n">
        <f aca="false">Sens!$O$3540-ext_sh*Sens!$O$3537</f>
        <v>2.95545977187981</v>
      </c>
    </row>
    <row r="3542" customFormat="false" ht="17.15" hidden="false" customHeight="false" outlineLevel="0" collapsed="false">
      <c r="A3542" s="0" t="s">
        <v>598</v>
      </c>
      <c r="B3542" s="0" t="s">
        <v>52</v>
      </c>
      <c r="C3542" s="12" t="n">
        <f aca="false">Sens!$C$3541/Sens!$C$3522</f>
        <v>0.708390794789371</v>
      </c>
      <c r="D3542" s="12" t="n">
        <f aca="false">Sens!$D$3541/Sens!$D$3522</f>
        <v>0.445565630441968</v>
      </c>
      <c r="E3542" s="12" t="n">
        <f aca="false">Sens!$E$3541/Sens!$E$3522</f>
        <v>0.165998118402711</v>
      </c>
      <c r="F3542" s="12" t="n">
        <f aca="false">Sens!$F$3541/Sens!$F$3522</f>
        <v>0.434878595403858</v>
      </c>
      <c r="G3542" s="12" t="n">
        <f aca="false">Sens!$G$3541/Sens!$G$3522</f>
        <v>0.3373967615381</v>
      </c>
      <c r="H3542" s="12" t="n">
        <f aca="false">Sens!$H$3541/Sens!$H$3522</f>
        <v>0.320477578041224</v>
      </c>
      <c r="I3542" s="12" t="n">
        <f aca="false">Sens!$I$3541/Sens!$I$3522</f>
        <v>0.296936118226494</v>
      </c>
      <c r="J3542" s="12" t="n">
        <f aca="false">Sens!$J$3541/Sens!$J$3522</f>
        <v>0.282166278613001</v>
      </c>
      <c r="K3542" s="12" t="n">
        <f aca="false">Sens!$K$3541/Sens!$K$3522</f>
        <v>0.271267685694333</v>
      </c>
      <c r="L3542" s="12" t="n">
        <f aca="false">Sens!$L$3541/Sens!$L$3522</f>
        <v>0.27160960915653</v>
      </c>
      <c r="M3542" s="12" t="n">
        <f aca="false">Sens!$M$3541/Sens!$M$3522</f>
        <v>0.26974494804234</v>
      </c>
      <c r="N3542" s="12" t="n">
        <f aca="false">Sens!$N$3541/Sens!$N$3522</f>
        <v>0.302870734830849</v>
      </c>
      <c r="O3542" s="12" t="n">
        <f aca="false">Sens!$O$3541/Sens!$O$3522</f>
        <v>0.52240134346334</v>
      </c>
    </row>
    <row r="3543" customFormat="false" ht="17.15" hidden="false" customHeight="false" outlineLevel="0" collapsed="false">
      <c r="A3543" s="5" t="s">
        <v>599</v>
      </c>
      <c r="B3543" s="0" t="s">
        <v>73</v>
      </c>
      <c r="C3543" s="38" t="n">
        <f aca="false">rd2*(1-ext_sh)/ext_sh*Sens!$C$3505*he_open*Sens!$C$3506/1000</f>
        <v>0</v>
      </c>
      <c r="D3543" s="38" t="n">
        <f aca="false">rd2*(1-ext_sh)/ext_sh*Sens!$D$3505*he_open*Sens!$D$3506/1000</f>
        <v>0</v>
      </c>
      <c r="E3543" s="38" t="n">
        <f aca="false">rd2*(1-ext_sh)/ext_sh*Sens!$E$3505*he_open*Sens!$E$3506/1000</f>
        <v>0</v>
      </c>
      <c r="F3543" s="38" t="n">
        <f aca="false">rd2*(1-ext_sh)/ext_sh*(mw_open*he_open+Sens!$F$3520*Sens!$F$3517)*Sens!$F$3506/1000</f>
        <v>0</v>
      </c>
      <c r="G3543" s="38" t="n">
        <f aca="false">Sens!$E$3543+Sens!$F$3543</f>
        <v>0</v>
      </c>
      <c r="H3543" s="38" t="n">
        <f aca="false">rd2*(1-ext_sh)/ext_sh*(mw_open*he_open+Sens!$H$3520*Sens!$H$3517)*Sens!$H$3506/1000</f>
        <v>0</v>
      </c>
      <c r="I3543" s="38" t="n">
        <f aca="false">rd2*(1-ext_sh)/ext_sh*(mw_open*he_open+Sens!$I$3520*Sens!$I$3517)*Sens!$I$3506/1000</f>
        <v>0</v>
      </c>
      <c r="J3543" s="38" t="n">
        <f aca="false">rd2*(1-ext_sh)/ext_sh*(mw_open*he_open+Sens!$J$3520*Sens!$J$3517)*Sens!$J$3506/1000</f>
        <v>0</v>
      </c>
      <c r="K3543" s="38" t="n">
        <f aca="false">rd2*(1-ext_sh)/ext_sh*(mw_open*he_open+Sens!$K$3520*Sens!$K$3517)*Sens!$K$3506/1000</f>
        <v>0</v>
      </c>
      <c r="L3543" s="38" t="n">
        <f aca="false">rd2*(1-ext_sh)/ext_sh*(mw_open*he_open+Sens!$L$3520*Sens!$L$3517)*Sens!$L$3506/1000</f>
        <v>0</v>
      </c>
      <c r="M3543" s="38" t="n">
        <f aca="false">rd2*(1-ext_sh)/ext_sh*(mw_open*he_open+Sens!$M$3520*Sens!$M$3517)*Sens!$M$3506/1000</f>
        <v>0</v>
      </c>
      <c r="N3543" s="38" t="n">
        <f aca="false">rd2*(1-ext_sh)/ext_sh*Sens!$N$3505*he_open*Sens!$N$3506/1000</f>
        <v>0</v>
      </c>
      <c r="O3543" s="38" t="n">
        <f aca="false">rd2*(1-ext_sh)/ext_sh*Sens!$O$3505*he_open*Sens!$O$3506/1000</f>
        <v>0</v>
      </c>
      <c r="P3543" s="8" t="s">
        <v>600</v>
      </c>
    </row>
    <row r="3544" customFormat="false" ht="17.15" hidden="false" customHeight="false" outlineLevel="0" collapsed="false">
      <c r="A3544" s="5" t="s">
        <v>601</v>
      </c>
      <c r="B3544" s="0" t="s">
        <v>73</v>
      </c>
      <c r="C3544" s="38" t="n">
        <f aca="false">(1-ext_sh)*(Sens!$C$3524+Sens!$C$3537)-Sens!$C$3543</f>
        <v>0.169206631859174</v>
      </c>
      <c r="D3544" s="38" t="n">
        <f aca="false">(1-ext_sh)*(Sens!$D$3524+Sens!$D$3537)-Sens!$D$3543</f>
        <v>1.20641732046984</v>
      </c>
      <c r="E3544" s="38" t="n">
        <f aca="false">(1-ext_sh)*(Sens!$E$3524+Sens!$E$3537)-Sens!$E$3543</f>
        <v>1.77441259867062</v>
      </c>
      <c r="F3544" s="38" t="n">
        <f aca="false">(1-ext_sh)*(Sens!$F$3524+Sens!$F$3537)-Sens!$F$3543</f>
        <v>2.1140391597214</v>
      </c>
      <c r="G3544" s="38" t="n">
        <f aca="false">(1-ext_sh)*(Sens!$G$3524+Sens!$G$3537)-Sens!$G$3543</f>
        <v>3.88845175839202</v>
      </c>
      <c r="H3544" s="38" t="n">
        <f aca="false">(1-ext_sh)*(Sens!$H$3524+Sens!$H$3537)-Sens!$H$3543</f>
        <v>10.2210179503985</v>
      </c>
      <c r="I3544" s="38" t="n">
        <f aca="false">(1-ext_sh)*(Sens!$I$3524+Sens!$I$3537)-Sens!$I$3543</f>
        <v>17.8408961823075</v>
      </c>
      <c r="J3544" s="38" t="n">
        <f aca="false">(1-ext_sh)*(Sens!$J$3524+Sens!$J$3537)-Sens!$J$3543</f>
        <v>25.6671150670732</v>
      </c>
      <c r="K3544" s="38" t="n">
        <f aca="false">(1-ext_sh)*(Sens!$K$3524+Sens!$K$3537)-Sens!$K$3543</f>
        <v>33.6325293834986</v>
      </c>
      <c r="L3544" s="38" t="n">
        <f aca="false">(1-ext_sh)*(Sens!$L$3524+Sens!$L$3537)-Sens!$L$3543</f>
        <v>41.1939886299065</v>
      </c>
      <c r="M3544" s="38" t="n">
        <f aca="false">(1-ext_sh)*(Sens!$M$3524+Sens!$M$3537)-Sens!$M$3543</f>
        <v>48.8988205728617</v>
      </c>
      <c r="N3544" s="38" t="n">
        <f aca="false">(1-ext_sh)*(Sens!$N$3524+Sens!$N$3537)-Sens!$N$3543</f>
        <v>0.530919624033979</v>
      </c>
      <c r="O3544" s="38" t="n">
        <f aca="false">(1-ext_sh)*(Sens!$O$3524+Sens!$O$3537)-Sens!$O$3543</f>
        <v>0.675497696435861</v>
      </c>
    </row>
    <row r="3545" customFormat="false" ht="17.15" hidden="false" customHeight="false" outlineLevel="0" collapsed="false">
      <c r="A3545" s="0" t="s">
        <v>602</v>
      </c>
      <c r="B3545" s="0" t="s">
        <v>73</v>
      </c>
      <c r="C3545" s="38" t="n">
        <f aca="false">Q!$D$24</f>
        <v>39.834</v>
      </c>
      <c r="D3545" s="38" t="n">
        <f aca="false">Q!$E$24</f>
        <v>45.606</v>
      </c>
      <c r="E3545" s="38" t="n">
        <f aca="false">Q!$P$24</f>
        <v>30.782</v>
      </c>
      <c r="N3545" s="38" t="n">
        <f aca="false">Q!$N$24</f>
        <v>21.707</v>
      </c>
      <c r="O3545" s="38" t="n">
        <f aca="false">Q!$O$24</f>
        <v>23.899</v>
      </c>
    </row>
    <row r="3546" customFormat="false" ht="17.15" hidden="false" customHeight="false" outlineLevel="0" collapsed="false">
      <c r="A3546" s="0" t="s">
        <v>603</v>
      </c>
      <c r="B3546" s="0" t="s">
        <v>73</v>
      </c>
      <c r="C3546" s="38" t="n">
        <f aca="false">Sens!$C$3545-Sens!$C$3541</f>
        <v>38.1898211704631</v>
      </c>
      <c r="D3546" s="38" t="n">
        <f aca="false">Sens!$D$3545-Sens!$D$3541</f>
        <v>41.7278991932282</v>
      </c>
      <c r="E3546" s="38" t="n">
        <f aca="false">Sens!$E$3545-Sens!$E$3541</f>
        <v>29.3692974191125</v>
      </c>
      <c r="F3546" s="38" t="n">
        <f aca="false">Sens!$F$3526*Sens!$F$3547</f>
        <v>29.458060516894</v>
      </c>
      <c r="G3546" s="38" t="n">
        <f aca="false">Sens!$E$3546+Sens!$F$3546</f>
        <v>58.8273579360065</v>
      </c>
      <c r="H3546" s="38" t="n">
        <f aca="false">Sens!$H$3526*Sens!$H$3547</f>
        <v>67.8004040185081</v>
      </c>
      <c r="I3546" s="38" t="n">
        <f aca="false">Sens!$I$3526*Sens!$I$3547</f>
        <v>78.9527630302702</v>
      </c>
      <c r="J3546" s="38" t="n">
        <f aca="false">Sens!$J$3526*Sens!$J$3547</f>
        <v>88.6042681781841</v>
      </c>
      <c r="K3546" s="38" t="n">
        <f aca="false">Sens!$K$3526*Sens!$K$3547</f>
        <v>95.6926096324389</v>
      </c>
      <c r="L3546" s="38" t="n">
        <f aca="false">Sens!$L$3526*Sens!$L$3547</f>
        <v>103.348018403034</v>
      </c>
      <c r="M3546" s="38" t="n">
        <f aca="false">Sens!$M$3526*Sens!$M$3547</f>
        <v>111.615859875277</v>
      </c>
      <c r="N3546" s="38" t="n">
        <f aca="false">Sens!$N$3545-Sens!$N$3541</f>
        <v>20.784358965108</v>
      </c>
      <c r="O3546" s="38" t="n">
        <f aca="false">Sens!$O$3545-Sens!$O$3541</f>
        <v>20.9435402281202</v>
      </c>
      <c r="P3546" s="5" t="s">
        <v>604</v>
      </c>
    </row>
    <row r="3547" customFormat="false" ht="17.15" hidden="false" customHeight="false" outlineLevel="0" collapsed="false">
      <c r="A3547" s="0" t="s">
        <v>605</v>
      </c>
      <c r="B3547" s="0" t="s">
        <v>52</v>
      </c>
      <c r="C3547" s="12" t="n">
        <f aca="false">Sens!$C$3546/Sens!$C$3526</f>
        <v>0.362900395443635</v>
      </c>
      <c r="D3547" s="12" t="n">
        <f aca="false">Sens!$D$3546/Sens!$D$3526</f>
        <v>0.34767098474203</v>
      </c>
      <c r="E3547" s="12" t="n">
        <f aca="false">Sens!$E$3546/Sens!$E$3526</f>
        <v>0.411861655558416</v>
      </c>
      <c r="F3547" s="12" t="n">
        <f aca="false">(Sens!$O$3546+Sens!$E$3546)/(Sens!$O$3526+Sens!$E$3526)</f>
        <v>0.37480827803158</v>
      </c>
      <c r="G3547" s="12" t="n">
        <f aca="false">Sens!$G$3546/Sens!$G$3526</f>
        <v>0.392434440489471</v>
      </c>
      <c r="H3547" s="12" t="n">
        <f aca="false">Sens!$F$3547</f>
        <v>0.37480827803158</v>
      </c>
      <c r="I3547" s="12" t="n">
        <f aca="false">Sens!$F$3547</f>
        <v>0.37480827803158</v>
      </c>
      <c r="J3547" s="12" t="n">
        <f aca="false">Sens!$F$3547</f>
        <v>0.37480827803158</v>
      </c>
      <c r="K3547" s="12" t="n">
        <f aca="false">Sens!$F$3547</f>
        <v>0.37480827803158</v>
      </c>
      <c r="L3547" s="12" t="n">
        <f aca="false">Sens!$F$3547</f>
        <v>0.37480827803158</v>
      </c>
      <c r="M3547" s="12" t="n">
        <f aca="false">Sens!$F$3547</f>
        <v>0.37480827803158</v>
      </c>
      <c r="N3547" s="12" t="n">
        <f aca="false">Sens!$N$3546/Sens!$N$3526</f>
        <v>0.364039571356823</v>
      </c>
      <c r="O3547" s="12" t="n">
        <f aca="false">Sens!$O$3546/Sens!$O$3526</f>
        <v>0.332819892300086</v>
      </c>
      <c r="P3547" s="8" t="s">
        <v>606</v>
      </c>
    </row>
    <row r="3548" customFormat="false" ht="17.15" hidden="false" customHeight="false" outlineLevel="0" collapsed="false">
      <c r="A3548" s="0" t="s">
        <v>607</v>
      </c>
      <c r="B3548" s="0" t="s">
        <v>52</v>
      </c>
      <c r="D3548" s="12" t="n">
        <f aca="false">(Q!$E$31-ext_sh*Sens!$D$3537)/Sens!$D$3526</f>
        <v>0.154572973163571</v>
      </c>
    </row>
    <row r="3549" customFormat="false" ht="17.15" hidden="false" customHeight="false" outlineLevel="0" collapsed="false">
      <c r="A3549" s="0" t="s">
        <v>608</v>
      </c>
      <c r="B3549" s="0" t="s">
        <v>73</v>
      </c>
      <c r="C3549" s="38" t="n">
        <f aca="false">Q!$D$31</f>
        <v>13.32</v>
      </c>
      <c r="D3549" s="38" t="n">
        <f aca="false">Q!$E$31</f>
        <v>21.45</v>
      </c>
      <c r="E3549" s="38" t="n">
        <f aca="false">Q!$P$31</f>
        <v>15.353</v>
      </c>
      <c r="F3549" s="38" t="n">
        <f aca="false">ext_sh*Sens!$F$3537+Sens!$D$3548*Sens!$F$3526</f>
        <v>17.3614451462707</v>
      </c>
      <c r="G3549" s="38" t="n">
        <f aca="false">Sens!$E$3549+Sens!$F$3549</f>
        <v>32.7144451462707</v>
      </c>
      <c r="H3549" s="38" t="n">
        <f aca="false">ext_sh*Sens!$H$3537+Sens!$D$3548*Sens!$H$3526</f>
        <v>56.1966092719415</v>
      </c>
      <c r="I3549" s="38" t="n">
        <f aca="false">ext_sh*Sens!$I$3537+Sens!$D$3548*Sens!$I$3526</f>
        <v>82.9744039068297</v>
      </c>
      <c r="J3549" s="38" t="n">
        <f aca="false">ext_sh*Sens!$J$3537+Sens!$D$3548*Sens!$J$3526</f>
        <v>109.943252237669</v>
      </c>
      <c r="K3549" s="38" t="n">
        <f aca="false">ext_sh*Sens!$K$3537+Sens!$D$3548*Sens!$K$3526</f>
        <v>136.406703436571</v>
      </c>
      <c r="L3549" s="38" t="n">
        <f aca="false">ext_sh*Sens!$L$3537+Sens!$D$3548*Sens!$L$3526</f>
        <v>161.485870454155</v>
      </c>
      <c r="M3549" s="38" t="n">
        <f aca="false">ext_sh*Sens!$M$3537+Sens!$D$3548*Sens!$M$3526</f>
        <v>187.389846618199</v>
      </c>
      <c r="N3549" s="38" t="n">
        <f aca="false">Q!$N$31</f>
        <v>9.234</v>
      </c>
      <c r="O3549" s="38" t="n">
        <f aca="false">Q!$O$31</f>
        <v>12.216</v>
      </c>
    </row>
    <row r="3550" customFormat="false" ht="17.15" hidden="false" customHeight="false" outlineLevel="0" collapsed="false">
      <c r="A3550" s="1" t="s">
        <v>609</v>
      </c>
    </row>
    <row r="3551" customFormat="false" ht="17.15" hidden="false" customHeight="false" outlineLevel="0" collapsed="false">
      <c r="A3551" s="14" t="s">
        <v>610</v>
      </c>
      <c r="B3551" s="13" t="s">
        <v>52</v>
      </c>
      <c r="C3551" s="13"/>
      <c r="D3551" s="13"/>
      <c r="E3551" s="13"/>
      <c r="F3551" s="13"/>
      <c r="G3551" s="16" t="n">
        <f aca="false">Sens!$G$3541*(1-tax)/(ext_sh*(Sens!$D$3538+Sens!$G$3538)/2)</f>
        <v>0.0492184452944045</v>
      </c>
      <c r="H3551" s="16" t="n">
        <f aca="false">Sens!$H$3541*(1-tax)/(ext_sh*(Sens!$G$3538+Sens!$H$3538)/2)</f>
        <v>0.0619414246858107</v>
      </c>
      <c r="I3551" s="16" t="n">
        <f aca="false">Sens!$I$3541*(1-tax)/(ext_sh*(Sens!$H$3538+Sens!$I$3538)/2)</f>
        <v>0.0656831488051666</v>
      </c>
      <c r="J3551" s="16" t="n">
        <f aca="false">Sens!$J$3541*(1-tax)/(ext_sh*(Sens!$I$3538+Sens!$J$3538)/2)</f>
        <v>0.0690334849962116</v>
      </c>
      <c r="K3551" s="16" t="n">
        <f aca="false">Sens!$K$3541*(1-tax)/(ext_sh*(Sens!$J$3538+Sens!$K$3538)/2)</f>
        <v>0.0728680488295485</v>
      </c>
      <c r="L3551" s="16" t="n">
        <f aca="false">Sens!$L$3541*(1-tax)/(ext_sh*(Sens!$K$3538+Sens!$L$3538)/2)</f>
        <v>0.0785052878122331</v>
      </c>
      <c r="M3551" s="16" t="n">
        <f aca="false">Sens!$M$3541*(1-tax)/(ext_sh*(Sens!$L$3538+Sens!$M$3538)/2)</f>
        <v>0.0804526580722741</v>
      </c>
      <c r="N3551" s="13"/>
      <c r="O3551" s="13"/>
      <c r="P3551" s="8" t="s">
        <v>611</v>
      </c>
    </row>
    <row r="3552" customFormat="false" ht="17.15" hidden="false" customHeight="false" outlineLevel="0" collapsed="false">
      <c r="A3552" s="5" t="s">
        <v>612</v>
      </c>
      <c r="B3552" s="0" t="s">
        <v>57</v>
      </c>
      <c r="H3552" s="36" t="n">
        <f aca="false">Sens!$H$3522*1000/(mw_open*he_open+Sens!$H$3520*Sens!$H$3517)</f>
        <v>0.991949006767191</v>
      </c>
      <c r="I3552" s="36" t="n">
        <f aca="false">Sens!$I$3522*1000/(mw_open*he_open+Sens!$I$3520*Sens!$I$3517)</f>
        <v>0.991949006767191</v>
      </c>
      <c r="J3552" s="36" t="n">
        <f aca="false">Sens!$J$3522*1000/(mw_open*he_open+Sens!$J$3520*Sens!$J$3517)</f>
        <v>0.991949006767191</v>
      </c>
      <c r="K3552" s="36" t="n">
        <f aca="false">Sens!$K$3522*1000/(mw_open*he_open+Sens!$K$3520*Sens!$K$3517)</f>
        <v>0.991949006767191</v>
      </c>
      <c r="L3552" s="36" t="n">
        <f aca="false">Sens!$L$3522*1000/(mw_open*he_open+Sens!$L$3520*Sens!$L$3517)</f>
        <v>0.991949006767191</v>
      </c>
      <c r="M3552" s="36" t="n">
        <f aca="false">Sens!$M$3522*1000/(mw_open*he_open+Sens!$M$3520*Sens!$M$3517)</f>
        <v>0.991949006767192</v>
      </c>
    </row>
    <row r="3553" customFormat="false" ht="17.15" hidden="false" customHeight="false" outlineLevel="0" collapsed="false">
      <c r="A3553" s="5" t="s">
        <v>613</v>
      </c>
      <c r="B3553" s="0" t="s">
        <v>57</v>
      </c>
      <c r="H3553" s="36" t="n">
        <f aca="false">Sens!$H$3552*(Sens!$H$3522+wacc*ext_sh*(Sens!$G$3538+Sens!$H$3538)/2/(1-tax)-Sens!$H$3541)/Sens!$H$3522</f>
        <v>1.3149781212103</v>
      </c>
      <c r="I3553" s="36" t="n">
        <f aca="false">Sens!$I$3552*(Sens!$I$3522+wacc*ext_sh*(Sens!$H$3538+Sens!$I$3538)/2/(1-tax)-Sens!$I$3541)/Sens!$I$3522</f>
        <v>1.25742005569107</v>
      </c>
      <c r="J3553" s="36" t="n">
        <f aca="false">Sens!$J$3552*(Sens!$J$3522+wacc*ext_sh*(Sens!$I$3538+Sens!$J$3538)/2/(1-tax)-Sens!$J$3541)/Sens!$J$3522</f>
        <v>1.21838845868559</v>
      </c>
      <c r="K3553" s="36" t="n">
        <f aca="false">Sens!$K$3552*(Sens!$K$3522+wacc*ext_sh*(Sens!$J$3538+Sens!$K$3538)/2/(1-tax)-Sens!$K$3541)/Sens!$K$3522</f>
        <v>1.18402644209548</v>
      </c>
      <c r="L3553" s="36" t="n">
        <f aca="false">Sens!$L$3552*(Sens!$L$3522+wacc*ext_sh*(Sens!$K$3538+Sens!$L$3538)/2/(1-tax)-Sens!$L$3541)/Sens!$L$3522</f>
        <v>1.15111215322059</v>
      </c>
      <c r="M3553" s="36" t="n">
        <f aca="false">Sens!$M$3552*(Sens!$M$3522+wacc*ext_sh*(Sens!$L$3538+Sens!$M$3538)/2/(1-tax)-Sens!$M$3541)/Sens!$M$3522</f>
        <v>1.1397166845677</v>
      </c>
    </row>
    <row r="3554" customFormat="false" ht="17.15" hidden="false" customHeight="false" outlineLevel="0" collapsed="false">
      <c r="A3554" s="5" t="s">
        <v>614</v>
      </c>
      <c r="B3554" s="0" t="s">
        <v>52</v>
      </c>
      <c r="C3554" s="12" t="n">
        <f aca="false">Sens!$C$3523/tk_pq</f>
        <v>0.195316432429398</v>
      </c>
      <c r="D3554" s="12" t="n">
        <f aca="false">Sens!$D$3523/tk_pq</f>
        <v>0.195316432429398</v>
      </c>
      <c r="E3554" s="12" t="n">
        <f aca="false">Sens!$E$3523/tk_pq</f>
        <v>0.195316432429398</v>
      </c>
      <c r="F3554" s="12" t="n">
        <f aca="false">Sens!$F$3523/tk_pq</f>
        <v>0.202241827274866</v>
      </c>
      <c r="G3554" s="12" t="n">
        <f aca="false">Sens!$G$3523/tk_pq</f>
        <v>0.199675016194063</v>
      </c>
      <c r="H3554" s="12" t="n">
        <f aca="false">Sens!$H$3523/tk_pq</f>
        <v>0.212647947710325</v>
      </c>
      <c r="I3554" s="12" t="n">
        <f aca="false">Sens!$I$3523/tk_pq</f>
        <v>0.219285125475351</v>
      </c>
      <c r="J3554" s="12" t="n">
        <f aca="false">Sens!$J$3523/tk_pq</f>
        <v>0.222492493217189</v>
      </c>
      <c r="K3554" s="12" t="n">
        <f aca="false">Sens!$K$3523/tk_pq</f>
        <v>0.224371415939166</v>
      </c>
      <c r="L3554" s="12" t="n">
        <f aca="false">Sens!$L$3523/tk_pq</f>
        <v>0.225603749825993</v>
      </c>
      <c r="M3554" s="12" t="n">
        <f aca="false">Sens!$M$3523/tk_pq</f>
        <v>0.22647376274628</v>
      </c>
      <c r="N3554" s="12" t="n">
        <f aca="false">Sens!$N$3523/tk_pq</f>
        <v>0.195316432429398</v>
      </c>
      <c r="O3554" s="12" t="n">
        <f aca="false">Sens!$O$3523/tk_pq</f>
        <v>0.195316432429398</v>
      </c>
      <c r="P3554" s="5" t="s">
        <v>615</v>
      </c>
    </row>
    <row r="3557" customFormat="false" ht="17.15" hidden="false" customHeight="false" outlineLevel="0" collapsed="false">
      <c r="A3557" s="1" t="s">
        <v>642</v>
      </c>
    </row>
    <row r="3558" customFormat="false" ht="17.15" hidden="false" customHeight="false" outlineLevel="0" collapsed="false">
      <c r="A3558" s="0" t="s">
        <v>643</v>
      </c>
      <c r="B3558" s="0" t="s">
        <v>73</v>
      </c>
      <c r="C3558" s="38" t="n">
        <f aca="false">Sens!$C$3522</f>
        <v>2.32100535697364</v>
      </c>
      <c r="D3558" s="38" t="n">
        <f aca="false">Sens!$D$3522</f>
        <v>8.70377008865116</v>
      </c>
      <c r="E3558" s="38" t="n">
        <f aca="false">Sens!$E$3522</f>
        <v>8.51035297557002</v>
      </c>
      <c r="F3558" s="38" t="n">
        <f aca="false">Sens!$F$3522</f>
        <v>14.9634336447205</v>
      </c>
      <c r="G3558" s="38" t="n">
        <f aca="false">Sens!$G$3522</f>
        <v>23.4737866202905</v>
      </c>
      <c r="H3558" s="38" t="n">
        <f aca="false">Sens!$H$3522</f>
        <v>60.1658907497746</v>
      </c>
      <c r="I3558" s="38" t="n">
        <f aca="false">Sens!$I$3522</f>
        <v>101.503699136432</v>
      </c>
      <c r="J3558" s="38" t="n">
        <f aca="false">Sens!$J$3522</f>
        <v>143.025407151278</v>
      </c>
      <c r="K3558" s="38" t="n">
        <f aca="false">Sens!$K$3522</f>
        <v>184.608415042187</v>
      </c>
      <c r="L3558" s="38" t="n">
        <f aca="false">Sens!$L$3522</f>
        <v>226.219286513125</v>
      </c>
      <c r="M3558" s="38" t="n">
        <f aca="false">Sens!$M$3522</f>
        <v>267.845161450232</v>
      </c>
      <c r="N3558" s="38" t="n">
        <f aca="false">Sens!$N$3522</f>
        <v>3.04631953102791</v>
      </c>
      <c r="O3558" s="38" t="n">
        <f aca="false">Sens!$O$3522</f>
        <v>5.65745055762326</v>
      </c>
      <c r="P3558" s="8" t="s">
        <v>644</v>
      </c>
    </row>
    <row r="3559" customFormat="false" ht="17.15" hidden="false" customHeight="false" outlineLevel="0" collapsed="false">
      <c r="A3559" s="0" t="s">
        <v>645</v>
      </c>
      <c r="B3559" s="0" t="s">
        <v>73</v>
      </c>
      <c r="C3559" s="38" t="n">
        <f aca="false">Sens!$C$3526</f>
        <v>105.234994643026</v>
      </c>
      <c r="D3559" s="38" t="n">
        <f aca="false">Sens!$D$3526</f>
        <v>120.021229911349</v>
      </c>
      <c r="E3559" s="38" t="n">
        <f aca="false">Sens!$E$3526</f>
        <v>71.30864702443</v>
      </c>
      <c r="F3559" s="38" t="n">
        <f aca="false">Sens!$F$3526</f>
        <v>78.5950104186653</v>
      </c>
      <c r="G3559" s="38" t="n">
        <f aca="false">Sens!$G$3526</f>
        <v>149.903657443095</v>
      </c>
      <c r="H3559" s="38" t="n">
        <f aca="false">Sens!$H$3526</f>
        <v>180.893560768142</v>
      </c>
      <c r="I3559" s="38" t="n">
        <f aca="false">Sens!$I$3526</f>
        <v>210.64839721501</v>
      </c>
      <c r="J3559" s="38" t="n">
        <f aca="false">Sens!$J$3526</f>
        <v>236.398909446495</v>
      </c>
      <c r="K3559" s="38" t="n">
        <f aca="false">Sens!$K$3526</f>
        <v>255.310822202215</v>
      </c>
      <c r="L3559" s="38" t="n">
        <f aca="false">Sens!$L$3526</f>
        <v>275.735687978392</v>
      </c>
      <c r="M3559" s="38" t="n">
        <f aca="false">Sens!$M$3526</f>
        <v>297.794543016663</v>
      </c>
      <c r="N3559" s="38" t="n">
        <f aca="false">Sens!$N$3526</f>
        <v>57.0936804689721</v>
      </c>
      <c r="O3559" s="38" t="n">
        <f aca="false">Sens!$O$3526</f>
        <v>62.9275494423768</v>
      </c>
      <c r="P3559" s="8" t="s">
        <v>644</v>
      </c>
    </row>
    <row r="3560" customFormat="false" ht="17.15" hidden="false" customHeight="false" outlineLevel="0" collapsed="false">
      <c r="A3560" s="1" t="s">
        <v>476</v>
      </c>
      <c r="B3560" s="8" t="s">
        <v>73</v>
      </c>
      <c r="C3560" s="38" t="n">
        <f aca="false">Q!$D$7</f>
        <v>107.556</v>
      </c>
      <c r="D3560" s="38" t="n">
        <f aca="false">Q!$E$7</f>
        <v>128.725</v>
      </c>
      <c r="E3560" s="38" t="n">
        <f aca="false">Q!$P$7</f>
        <v>79.819</v>
      </c>
      <c r="F3560" s="38" t="n">
        <f aca="false">Sens!$F$3558+Sens!$F$3559</f>
        <v>93.5584440633857</v>
      </c>
      <c r="G3560" s="38" t="n">
        <f aca="false">Sens!$G$3558+Sens!$G$3559</f>
        <v>173.377444063386</v>
      </c>
      <c r="H3560" s="38" t="n">
        <f aca="false">Sens!$H$3558+Sens!$H$3559</f>
        <v>241.059451517916</v>
      </c>
      <c r="I3560" s="38" t="n">
        <f aca="false">Sens!$I$3558+Sens!$I$3559</f>
        <v>312.152096351442</v>
      </c>
      <c r="J3560" s="38" t="n">
        <f aca="false">Sens!$J$3558+Sens!$J$3559</f>
        <v>379.424316597773</v>
      </c>
      <c r="K3560" s="38" t="n">
        <f aca="false">Sens!$K$3558+Sens!$K$3559</f>
        <v>439.919237244402</v>
      </c>
      <c r="L3560" s="38" t="n">
        <f aca="false">Sens!$L$3558+Sens!$L$3559</f>
        <v>501.954974491517</v>
      </c>
      <c r="M3560" s="38" t="n">
        <f aca="false">Sens!$M$3558+Sens!$M$3559</f>
        <v>565.639704466895</v>
      </c>
      <c r="N3560" s="38" t="n">
        <f aca="false">Q!$N$7</f>
        <v>60.14</v>
      </c>
      <c r="O3560" s="38" t="n">
        <f aca="false">Q!$O$7</f>
        <v>68.585</v>
      </c>
      <c r="P3560" s="5" t="s">
        <v>646</v>
      </c>
    </row>
    <row r="3561" customFormat="false" ht="15" hidden="false" customHeight="false" outlineLevel="0" collapsed="false">
      <c r="A3561" s="3" t="s">
        <v>647</v>
      </c>
      <c r="B3561" s="8" t="s">
        <v>73</v>
      </c>
      <c r="C3561" s="38" t="n">
        <f aca="false">Q!$D$8</f>
        <v>637.959</v>
      </c>
      <c r="D3561" s="38" t="n">
        <f aca="false">Q!$E$8</f>
        <v>716.924</v>
      </c>
      <c r="E3561" s="38" t="n">
        <f aca="false">Q!$P$8</f>
        <v>382.125</v>
      </c>
      <c r="F3561" s="38" t="n">
        <f aca="false">Sens!$F$3495+Sens!$F$3560</f>
        <v>450.494873271816</v>
      </c>
      <c r="G3561" s="38" t="n">
        <f aca="false">Sens!$G$3495+Sens!$G$3560</f>
        <v>832.619873271816</v>
      </c>
      <c r="H3561" s="38" t="n">
        <f aca="false">Sens!$H$3495+Sens!$H$3560</f>
        <v>970.356149103246</v>
      </c>
      <c r="I3561" s="38" t="n">
        <f aca="false">Sens!$I$3495+Sens!$I$3560</f>
        <v>1108.17706973268</v>
      </c>
      <c r="J3561" s="38" t="n">
        <f aca="false">Sens!$J$3495+Sens!$J$3560</f>
        <v>1235.95242139981</v>
      </c>
      <c r="K3561" s="38" t="n">
        <f aca="false">Sens!$K$3495+Sens!$K$3560</f>
        <v>1347.84382922445</v>
      </c>
      <c r="L3561" s="38" t="n">
        <f aca="false">Sens!$L$3495+Sens!$L$3560</f>
        <v>1464.46733149566</v>
      </c>
      <c r="M3561" s="38" t="n">
        <f aca="false">Sens!$M$3495+Sens!$M$3560</f>
        <v>1586.13481641018</v>
      </c>
      <c r="N3561" s="38" t="n">
        <f aca="false">Q!$N$8</f>
        <v>323.369</v>
      </c>
      <c r="O3561" s="38" t="n">
        <f aca="false">Q!$O$8</f>
        <v>393.555</v>
      </c>
    </row>
    <row r="3562" customFormat="false" ht="17.15" hidden="false" customHeight="false" outlineLevel="0" collapsed="false">
      <c r="A3562" s="24" t="s">
        <v>655</v>
      </c>
      <c r="B3562" s="25" t="s">
        <v>73</v>
      </c>
      <c r="C3562" s="39" t="n">
        <f aca="false">Sens!$C$3495-(Sens!$C$3497+Sens!$C$3498)</f>
        <v>0</v>
      </c>
      <c r="D3562" s="39" t="n">
        <f aca="false">Sens!$D$3495-(Sens!$D$3497+Sens!$D$3498)</f>
        <v>0</v>
      </c>
      <c r="E3562" s="39" t="n">
        <f aca="false">Sens!$E$3495-(Sens!$E$3497+Sens!$E$3498)</f>
        <v>0</v>
      </c>
      <c r="F3562" s="39" t="n">
        <f aca="false">Sens!$F$3495-(Sens!$F$3497+Sens!$F$3498)</f>
        <v>0</v>
      </c>
      <c r="G3562" s="39" t="n">
        <f aca="false">Sens!$G$3495-(Sens!$G$3497+Sens!$G$3498)</f>
        <v>0</v>
      </c>
      <c r="H3562" s="39" t="n">
        <f aca="false">Sens!$H$3495-(Sens!$H$3497+Sens!$H$3498)</f>
        <v>0</v>
      </c>
      <c r="I3562" s="39" t="n">
        <f aca="false">Sens!$I$3495-(Sens!$I$3497+Sens!$I$3498)</f>
        <v>0</v>
      </c>
      <c r="J3562" s="39" t="n">
        <f aca="false">Sens!$J$3495-(Sens!$J$3497+Sens!$J$3498)</f>
        <v>0</v>
      </c>
      <c r="K3562" s="39" t="n">
        <f aca="false">Sens!$K$3495-(Sens!$K$3497+Sens!$K$3498)</f>
        <v>0</v>
      </c>
      <c r="L3562" s="39" t="n">
        <f aca="false">Sens!$L$3495-(Sens!$L$3497+Sens!$L$3498)</f>
        <v>0</v>
      </c>
      <c r="M3562" s="39" t="n">
        <f aca="false">Sens!$M$3495-(Sens!$M$3497+Sens!$M$3498)</f>
        <v>0</v>
      </c>
      <c r="N3562" s="39" t="n">
        <f aca="false">Sens!$N$3495-(Sens!$N$3497+Sens!$N$3498)</f>
        <v>0</v>
      </c>
      <c r="O3562" s="39" t="n">
        <f aca="false">Sens!$O$3495-(Sens!$O$3497+Sens!$O$3498)</f>
        <v>0</v>
      </c>
    </row>
    <row r="3563" customFormat="false" ht="17.15" hidden="false" customHeight="false" outlineLevel="0" collapsed="false">
      <c r="A3563" s="24" t="s">
        <v>656</v>
      </c>
      <c r="B3563" s="25" t="s">
        <v>73</v>
      </c>
      <c r="C3563" s="39" t="n">
        <f aca="false">Sens!$C$3558+Sens!$C$3559-Sens!$C$3560</f>
        <v>0</v>
      </c>
      <c r="D3563" s="39" t="n">
        <f aca="false">Sens!$D$3558+Sens!$D$3559-Sens!$D$3560</f>
        <v>0</v>
      </c>
      <c r="E3563" s="39" t="n">
        <f aca="false">Sens!$E$3558+Sens!$E$3559-Sens!$E$3560</f>
        <v>0</v>
      </c>
      <c r="F3563" s="39" t="n">
        <f aca="false">Sens!$F$3558+Sens!$F$3559-Sens!$F$3560</f>
        <v>0</v>
      </c>
      <c r="G3563" s="39" t="n">
        <f aca="false">Sens!$G$3558+Sens!$G$3559-Sens!$G$3560</f>
        <v>0</v>
      </c>
      <c r="H3563" s="39" t="n">
        <f aca="false">Sens!$H$3558+Sens!$H$3559-Sens!$H$3560</f>
        <v>0</v>
      </c>
      <c r="I3563" s="39" t="n">
        <f aca="false">Sens!$I$3558+Sens!$I$3559-Sens!$I$3560</f>
        <v>0</v>
      </c>
      <c r="J3563" s="39" t="n">
        <f aca="false">Sens!$J$3558+Sens!$J$3559-Sens!$J$3560</f>
        <v>0</v>
      </c>
      <c r="K3563" s="39" t="n">
        <f aca="false">Sens!$K$3558+Sens!$K$3559-Sens!$K$3560</f>
        <v>0</v>
      </c>
      <c r="L3563" s="39" t="n">
        <f aca="false">Sens!$L$3558+Sens!$L$3559-Sens!$L$3560</f>
        <v>0</v>
      </c>
      <c r="M3563" s="39" t="n">
        <f aca="false">Sens!$M$3558+Sens!$M$3559-Sens!$M$3560</f>
        <v>0</v>
      </c>
      <c r="N3563" s="39" t="n">
        <f aca="false">Sens!$N$3558+Sens!$N$3559-Sens!$N$3560</f>
        <v>0</v>
      </c>
      <c r="O3563" s="39" t="n">
        <f aca="false">Sens!$O$3558+Sens!$O$3559-Sens!$O$3560</f>
        <v>0</v>
      </c>
    </row>
    <row r="3564" customFormat="false" ht="17.15" hidden="false" customHeight="false" outlineLevel="0" collapsed="false">
      <c r="A3564" s="24" t="s">
        <v>657</v>
      </c>
      <c r="B3564" s="25" t="s">
        <v>73</v>
      </c>
      <c r="C3564" s="39" t="n">
        <f aca="false">Sens!$C$3497+Sens!$C$3498+Sens!$C$3560-Sens!$C$3561</f>
        <v>0</v>
      </c>
      <c r="D3564" s="39" t="n">
        <f aca="false">Sens!$D$3497+Sens!$D$3498+Sens!$D$3560-Sens!$D$3561</f>
        <v>0</v>
      </c>
      <c r="E3564" s="39" t="n">
        <f aca="false">Sens!$E$3497+Sens!$E$3498+Sens!$E$3560-Sens!$E$3561</f>
        <v>0</v>
      </c>
      <c r="F3564" s="39" t="n">
        <f aca="false">Sens!$F$3497+Sens!$F$3498+Sens!$F$3560-Sens!$F$3561</f>
        <v>0</v>
      </c>
      <c r="G3564" s="39" t="n">
        <f aca="false">Sens!$G$3497+Sens!$G$3498+Sens!$G$3560-Sens!$G$3561</f>
        <v>0</v>
      </c>
      <c r="H3564" s="39" t="n">
        <f aca="false">Sens!$H$3497+Sens!$H$3498+Sens!$H$3560-Sens!$H$3561</f>
        <v>0</v>
      </c>
      <c r="I3564" s="39" t="n">
        <f aca="false">Sens!$I$3497+Sens!$I$3498+Sens!$I$3560-Sens!$I$3561</f>
        <v>0</v>
      </c>
      <c r="J3564" s="39" t="n">
        <f aca="false">Sens!$J$3497+Sens!$J$3498+Sens!$J$3560-Sens!$J$3561</f>
        <v>0</v>
      </c>
      <c r="K3564" s="39" t="n">
        <f aca="false">Sens!$K$3497+Sens!$K$3498+Sens!$K$3560-Sens!$K$3561</f>
        <v>0</v>
      </c>
      <c r="L3564" s="39" t="n">
        <f aca="false">Sens!$L$3497+Sens!$L$3498+Sens!$L$3560-Sens!$L$3561</f>
        <v>0</v>
      </c>
      <c r="M3564" s="39" t="n">
        <f aca="false">Sens!$M$3497+Sens!$M$3498+Sens!$M$3560-Sens!$M$3561</f>
        <v>0</v>
      </c>
      <c r="N3564" s="39" t="n">
        <f aca="false">Sens!$N$3497+Sens!$N$3498+Sens!$N$3560-Sens!$N$3561</f>
        <v>0</v>
      </c>
      <c r="O3564" s="39" t="n">
        <f aca="false">Sens!$O$3497+Sens!$O$3498+Sens!$O$3560-Sens!$O$3561</f>
        <v>0</v>
      </c>
    </row>
    <row r="3565" customFormat="false" ht="15" hidden="false" customHeight="false" outlineLevel="0" collapsed="false">
      <c r="A3565" s="5" t="s">
        <v>651</v>
      </c>
      <c r="B3565" s="0" t="s">
        <v>52</v>
      </c>
      <c r="G3565" s="12" t="n">
        <f aca="false">Sens!$G$3561/Sens!$D$3561-1</f>
        <v>0.161378156222718</v>
      </c>
      <c r="H3565" s="12" t="n">
        <f aca="false">Sens!$H$3561/Sens!$G$3561-1</f>
        <v>0.165425160091591</v>
      </c>
      <c r="I3565" s="12" t="n">
        <f aca="false">Sens!$I$3561/Sens!$H$3561-1</f>
        <v>0.142031274555018</v>
      </c>
      <c r="J3565" s="12" t="n">
        <f aca="false">Sens!$J$3561/Sens!$I$3561-1</f>
        <v>0.115302288016079</v>
      </c>
      <c r="K3565" s="12" t="n">
        <f aca="false">Sens!$K$3561/Sens!$J$3561-1</f>
        <v>0.090530513867124</v>
      </c>
      <c r="L3565" s="12" t="n">
        <f aca="false">Sens!$L$3561/Sens!$K$3561-1</f>
        <v>0.086525975593416</v>
      </c>
      <c r="M3565" s="12" t="n">
        <f aca="false">Sens!$M$3561/Sens!$L$3561-1</f>
        <v>0.0830796852192344</v>
      </c>
    </row>
    <row r="3566" customFormat="false" ht="17.15" hidden="false" customHeight="false" outlineLevel="0" collapsed="false">
      <c r="A3566" s="0" t="s">
        <v>652</v>
      </c>
      <c r="B3566" s="0" t="s">
        <v>52</v>
      </c>
      <c r="C3566" s="12" t="n">
        <f aca="false">Sens!$C$3560/Sens!$C$3561</f>
        <v>0.168593906504964</v>
      </c>
      <c r="D3566" s="12" t="n">
        <f aca="false">Sens!$D$3560/Sens!$D$3561</f>
        <v>0.179551807444025</v>
      </c>
      <c r="E3566" s="12" t="n">
        <f aca="false">Sens!$E$3560/Sens!$E$3561</f>
        <v>0.208881910369643</v>
      </c>
      <c r="F3566" s="12" t="n">
        <f aca="false">Sens!$F$3560/Sens!$F$3561</f>
        <v>0.207679264769203</v>
      </c>
      <c r="G3566" s="12" t="n">
        <f aca="false">Sens!$G$3560/Sens!$G$3561</f>
        <v>0.208231210458731</v>
      </c>
      <c r="H3566" s="12" t="n">
        <f aca="false">Sens!$H$3560/Sens!$H$3561</f>
        <v>0.248423686231794</v>
      </c>
      <c r="I3566" s="12" t="n">
        <f aca="false">Sens!$I$3560/Sens!$I$3561</f>
        <v>0.281680703271312</v>
      </c>
      <c r="J3566" s="12" t="n">
        <f aca="false">Sens!$J$3560/Sens!$J$3561</f>
        <v>0.306989419680125</v>
      </c>
      <c r="K3566" s="12" t="n">
        <f aca="false">Sens!$K$3560/Sens!$K$3561</f>
        <v>0.326387395710029</v>
      </c>
      <c r="L3566" s="12" t="n">
        <f aca="false">Sens!$L$3560/Sens!$L$3561</f>
        <v>0.342756006703727</v>
      </c>
      <c r="M3566" s="12" t="n">
        <f aca="false">Sens!$M$3560/Sens!$M$3561</f>
        <v>0.356615149364844</v>
      </c>
      <c r="N3566" s="12" t="n">
        <f aca="false">Sens!$N$3560/Sens!$N$3561</f>
        <v>0.185979484737251</v>
      </c>
      <c r="O3566" s="12" t="n">
        <f aca="false">Sens!$O$3560/Sens!$O$3561</f>
        <v>0.174270432341096</v>
      </c>
    </row>
    <row r="3567" customFormat="false" ht="17.15" hidden="false" customHeight="false" outlineLevel="0" collapsed="false">
      <c r="A3567" s="0" t="s">
        <v>653</v>
      </c>
      <c r="B3567" s="0" t="s">
        <v>52</v>
      </c>
      <c r="C3567" s="12" t="n">
        <f aca="false">Sens!$C$3558/Sens!$C$3560</f>
        <v>0.0215795060896058</v>
      </c>
      <c r="D3567" s="12" t="n">
        <f aca="false">Sens!$D$3558/Sens!$D$3560</f>
        <v>0.0676152269462122</v>
      </c>
      <c r="E3567" s="12" t="n">
        <f aca="false">Sens!$E$3558/Sens!$E$3560</f>
        <v>0.106620641395783</v>
      </c>
      <c r="F3567" s="12" t="n">
        <f aca="false">Sens!$F$3558/Sens!$F$3560</f>
        <v>0.159936751776064</v>
      </c>
      <c r="G3567" s="12" t="n">
        <f aca="false">Sens!$G$3558/Sens!$G$3560</f>
        <v>0.135391237003751</v>
      </c>
      <c r="H3567" s="12" t="n">
        <f aca="false">Sens!$H$3558/Sens!$H$3560</f>
        <v>0.249589428545194</v>
      </c>
      <c r="I3567" s="12" t="n">
        <f aca="false">Sens!$I$3558/Sens!$I$3560</f>
        <v>0.325173850577483</v>
      </c>
      <c r="J3567" s="12" t="n">
        <f aca="false">Sens!$J$3558/Sens!$J$3560</f>
        <v>0.376953718817392</v>
      </c>
      <c r="K3567" s="12" t="n">
        <f aca="false">Sens!$K$3558/Sens!$K$3560</f>
        <v>0.419641605578676</v>
      </c>
      <c r="L3567" s="12" t="n">
        <f aca="false">Sens!$L$3558/Sens!$L$3560</f>
        <v>0.450676451094615</v>
      </c>
      <c r="M3567" s="12" t="n">
        <f aca="false">Sens!$M$3558/Sens!$M$3560</f>
        <v>0.473526096798086</v>
      </c>
      <c r="N3567" s="12" t="n">
        <f aca="false">Sens!$N$3558/Sens!$N$3560</f>
        <v>0.0506537999838362</v>
      </c>
      <c r="O3567" s="12" t="n">
        <f aca="false">Sens!$O$3558/Sens!$O$3560</f>
        <v>0.0824881615167056</v>
      </c>
    </row>
    <row r="3570" customFormat="false" ht="19.4" hidden="false" customHeight="false" outlineLevel="0" collapsed="false">
      <c r="A3570" s="31" t="s">
        <v>1120</v>
      </c>
    </row>
    <row r="3571" customFormat="false" ht="17.15" hidden="false" customHeight="false" outlineLevel="0" collapsed="false">
      <c r="A3571" s="6" t="s">
        <v>16</v>
      </c>
      <c r="B3571" s="6" t="s">
        <v>17</v>
      </c>
      <c r="C3571" s="20" t="s">
        <v>457</v>
      </c>
      <c r="D3571" s="20" t="s">
        <v>458</v>
      </c>
      <c r="E3571" s="20" t="s">
        <v>540</v>
      </c>
      <c r="F3571" s="20" t="s">
        <v>541</v>
      </c>
      <c r="G3571" s="20" t="s">
        <v>542</v>
      </c>
      <c r="H3571" s="20" t="s">
        <v>543</v>
      </c>
      <c r="I3571" s="20" t="s">
        <v>544</v>
      </c>
      <c r="J3571" s="20" t="s">
        <v>545</v>
      </c>
      <c r="K3571" s="20" t="s">
        <v>546</v>
      </c>
      <c r="L3571" s="20" t="s">
        <v>547</v>
      </c>
      <c r="M3571" s="20" t="s">
        <v>548</v>
      </c>
      <c r="N3571" s="20" t="s">
        <v>549</v>
      </c>
      <c r="O3571" s="20" t="s">
        <v>550</v>
      </c>
      <c r="P3571" s="6" t="s">
        <v>23</v>
      </c>
      <c r="R3571" s="20" t="n">
        <v>2023</v>
      </c>
      <c r="S3571" s="20" t="n">
        <v>2024</v>
      </c>
      <c r="T3571" s="20" t="n">
        <v>2025</v>
      </c>
      <c r="U3571" s="20" t="n">
        <v>2026</v>
      </c>
      <c r="V3571" s="20" t="n">
        <v>2027</v>
      </c>
      <c r="W3571" s="20" t="n">
        <v>2028</v>
      </c>
      <c r="X3571" s="20" t="n">
        <v>2029</v>
      </c>
      <c r="Y3571" s="20" t="n">
        <v>2030</v>
      </c>
      <c r="Z3571" s="20" t="n">
        <v>2031</v>
      </c>
      <c r="AA3571" s="20" t="n">
        <v>2032</v>
      </c>
    </row>
    <row r="3572" customFormat="false" ht="17.15" hidden="false" customHeight="false" outlineLevel="0" collapsed="false">
      <c r="A3572" s="1" t="s">
        <v>668</v>
      </c>
    </row>
    <row r="3573" customFormat="false" ht="15" hidden="false" customHeight="false" outlineLevel="0" collapsed="false">
      <c r="A3573" s="0" t="s">
        <v>479</v>
      </c>
      <c r="B3573" s="0" t="s">
        <v>73</v>
      </c>
      <c r="C3573" s="38" t="n">
        <f aca="false">Sens!$C$3483</f>
        <v>247.029</v>
      </c>
      <c r="D3573" s="38" t="n">
        <f aca="false">Sens!$D$3483</f>
        <v>269.287</v>
      </c>
      <c r="E3573" s="38" t="n">
        <f aca="false">Sens!$E$3483</f>
        <v>134.686</v>
      </c>
      <c r="F3573" s="38" t="n">
        <f aca="false">Sens!$F$3483</f>
        <v>160.728085930082</v>
      </c>
      <c r="G3573" s="38" t="n">
        <f aca="false">Sens!$G$3483</f>
        <v>295.414085930082</v>
      </c>
      <c r="H3573" s="38" t="n">
        <f aca="false">Sens!$H$3483</f>
        <v>320.828163943375</v>
      </c>
      <c r="I3573" s="38" t="n">
        <f aca="false">Sens!$I$3483</f>
        <v>344.575578072228</v>
      </c>
      <c r="J3573" s="38" t="n">
        <f aca="false">Sens!$J$3483</f>
        <v>365.942555779681</v>
      </c>
      <c r="K3573" s="38" t="n">
        <f aca="false">Sens!$K$3483</f>
        <v>384.239683568665</v>
      </c>
      <c r="L3573" s="38" t="n">
        <f aca="false">Sens!$L$3483</f>
        <v>403.451667747098</v>
      </c>
      <c r="M3573" s="38" t="n">
        <f aca="false">Sens!$M$3483</f>
        <v>423.624251134453</v>
      </c>
      <c r="N3573" s="38" t="n">
        <f aca="false">Sens!$N$3483</f>
        <v>118.892</v>
      </c>
      <c r="O3573" s="38" t="n">
        <f aca="false">Sens!$O$3483</f>
        <v>150.395</v>
      </c>
    </row>
    <row r="3574" customFormat="false" ht="15" hidden="false" customHeight="false" outlineLevel="0" collapsed="false">
      <c r="A3574" s="0" t="s">
        <v>480</v>
      </c>
      <c r="B3574" s="0" t="s">
        <v>73</v>
      </c>
      <c r="C3574" s="38" t="n">
        <f aca="false">Sens!$C$3485</f>
        <v>21.215</v>
      </c>
      <c r="D3574" s="38" t="n">
        <f aca="false">Sens!$D$3485</f>
        <v>22.561</v>
      </c>
      <c r="E3574" s="38" t="n">
        <f aca="false">Sens!$E$3485</f>
        <v>11.579</v>
      </c>
      <c r="F3574" s="38" t="n">
        <f aca="false">Sens!$F$3485</f>
        <v>12.0952613121125</v>
      </c>
      <c r="G3574" s="38" t="n">
        <f aca="false">Sens!$G$3485</f>
        <v>23.6742613121125</v>
      </c>
      <c r="H3574" s="38" t="n">
        <f aca="false">Sens!$H$3485</f>
        <v>24.8803243963206</v>
      </c>
      <c r="I3574" s="38" t="n">
        <f aca="false">Sens!$I$3485</f>
        <v>25.9741308664154</v>
      </c>
      <c r="J3574" s="38" t="n">
        <f aca="false">Sens!$J$3485</f>
        <v>26.9346894124267</v>
      </c>
      <c r="K3574" s="38" t="n">
        <f aca="false">Sens!$K$3485</f>
        <v>27.7427300947995</v>
      </c>
      <c r="L3574" s="38" t="n">
        <f aca="false">Sens!$L$3485</f>
        <v>28.5750119976435</v>
      </c>
      <c r="M3574" s="38" t="n">
        <f aca="false">Sens!$M$3485</f>
        <v>29.4322623575728</v>
      </c>
      <c r="N3574" s="38" t="n">
        <f aca="false">Sens!$N$3485</f>
        <v>11.128</v>
      </c>
      <c r="O3574" s="38" t="n">
        <f aca="false">Sens!$O$3485</f>
        <v>11.433</v>
      </c>
    </row>
    <row r="3575" customFormat="false" ht="15" hidden="false" customHeight="false" outlineLevel="0" collapsed="false">
      <c r="A3575" s="0" t="s">
        <v>481</v>
      </c>
      <c r="B3575" s="0" t="s">
        <v>73</v>
      </c>
      <c r="C3575" s="38" t="n">
        <f aca="false">Sens!$C$3487</f>
        <v>156.146</v>
      </c>
      <c r="D3575" s="38" t="n">
        <f aca="false">Sens!$D$3487</f>
        <v>172.162</v>
      </c>
      <c r="E3575" s="38" t="n">
        <f aca="false">Sens!$E$3487</f>
        <v>88.358</v>
      </c>
      <c r="F3575" s="38" t="n">
        <f aca="false">Sens!$F$3487</f>
        <v>103.62028337149</v>
      </c>
      <c r="G3575" s="38" t="n">
        <f aca="false">Sens!$G$3487</f>
        <v>191.97828337149</v>
      </c>
      <c r="H3575" s="38" t="n">
        <f aca="false">Sens!$H$3487</f>
        <v>212.128608444755</v>
      </c>
      <c r="I3575" s="38" t="n">
        <f aca="false">Sens!$I$3487</f>
        <v>231.92183134134</v>
      </c>
      <c r="J3575" s="38" t="n">
        <f aca="false">Sens!$J$3487</f>
        <v>250.859136487863</v>
      </c>
      <c r="K3575" s="38" t="n">
        <f aca="false">Sens!$K$3487</f>
        <v>268.419276042014</v>
      </c>
      <c r="L3575" s="38" t="n">
        <f aca="false">Sens!$L$3487</f>
        <v>287.208625364954</v>
      </c>
      <c r="M3575" s="38" t="n">
        <f aca="false">Sens!$M$3487</f>
        <v>307.313229140501</v>
      </c>
      <c r="N3575" s="38" t="n">
        <f aca="false">Sens!$N$3487</f>
        <v>76.86</v>
      </c>
      <c r="O3575" s="38" t="n">
        <f aca="false">Sens!$O$3487</f>
        <v>95.302</v>
      </c>
    </row>
    <row r="3576" customFormat="false" ht="15" hidden="false" customHeight="false" outlineLevel="0" collapsed="false">
      <c r="A3576" s="0" t="s">
        <v>482</v>
      </c>
      <c r="B3576" s="0" t="s">
        <v>73</v>
      </c>
      <c r="C3576" s="38" t="n">
        <f aca="false">Sens!$C$3489</f>
        <v>56.214</v>
      </c>
      <c r="D3576" s="38" t="n">
        <f aca="false">Sens!$D$3489</f>
        <v>68.635</v>
      </c>
      <c r="E3576" s="38" t="n">
        <f aca="false">Sens!$E$3489</f>
        <v>37.052</v>
      </c>
      <c r="F3576" s="38" t="n">
        <f aca="false">Sens!$F$3489</f>
        <v>48.1533381827382</v>
      </c>
      <c r="G3576" s="38" t="n">
        <f aca="false">Sens!$G$3489</f>
        <v>85.2053381827382</v>
      </c>
      <c r="H3576" s="38" t="n">
        <f aca="false">Sens!$H$3489</f>
        <v>101.65432182257</v>
      </c>
      <c r="I3576" s="38" t="n">
        <f aca="false">Sens!$I$3489</f>
        <v>117.109241268605</v>
      </c>
      <c r="J3576" s="38" t="n">
        <f aca="false">Sens!$J$3489</f>
        <v>130.110361525097</v>
      </c>
      <c r="K3576" s="38" t="n">
        <f aca="false">Sens!$K$3489</f>
        <v>139.218086831854</v>
      </c>
      <c r="L3576" s="38" t="n">
        <f aca="false">Sens!$L$3489</f>
        <v>148.963352910084</v>
      </c>
      <c r="M3576" s="38" t="n">
        <f aca="false">Sens!$M$3489</f>
        <v>159.39078761379</v>
      </c>
      <c r="N3576" s="38" t="n">
        <f aca="false">Sens!$N$3489</f>
        <v>29.615</v>
      </c>
      <c r="O3576" s="38" t="n">
        <f aca="false">Sens!$O$3489</f>
        <v>39.02</v>
      </c>
    </row>
    <row r="3577" customFormat="false" ht="15" hidden="false" customHeight="false" outlineLevel="0" collapsed="false">
      <c r="A3577" s="0" t="s">
        <v>483</v>
      </c>
      <c r="B3577" s="0" t="s">
        <v>73</v>
      </c>
      <c r="C3577" s="38" t="n">
        <f aca="false">Sens!$C$3491</f>
        <v>44.374</v>
      </c>
      <c r="D3577" s="38" t="n">
        <f aca="false">Sens!$D$3491</f>
        <v>49.619</v>
      </c>
      <c r="E3577" s="38" t="n">
        <f aca="false">Sens!$E$3491</f>
        <v>27.157</v>
      </c>
      <c r="F3577" s="38" t="n">
        <f aca="false">Sens!$F$3491</f>
        <v>28.9776360923374</v>
      </c>
      <c r="G3577" s="38" t="n">
        <f aca="false">Sens!$G$3491</f>
        <v>56.1346360923374</v>
      </c>
      <c r="H3577" s="38" t="n">
        <f aca="false">Sens!$H$3491</f>
        <v>62.4937078946075</v>
      </c>
      <c r="I3577" s="38" t="n">
        <f aca="false">Sens!$I$3491</f>
        <v>68.6715233062498</v>
      </c>
      <c r="J3577" s="38" t="n">
        <f aca="false">Sens!$J$3491</f>
        <v>74.4692882949818</v>
      </c>
      <c r="K3577" s="38" t="n">
        <f aca="false">Sens!$K$3491</f>
        <v>79.6821384756306</v>
      </c>
      <c r="L3577" s="38" t="n">
        <f aca="false">Sens!$L$3491</f>
        <v>85.2598881689247</v>
      </c>
      <c r="M3577" s="38" t="n">
        <f aca="false">Sens!$M$3491</f>
        <v>91.2280803407494</v>
      </c>
      <c r="N3577" s="38" t="n">
        <f aca="false">Sens!$N$3491</f>
        <v>23.923</v>
      </c>
      <c r="O3577" s="38" t="n">
        <f aca="false">Sens!$O$3491</f>
        <v>25.696</v>
      </c>
    </row>
    <row r="3578" customFormat="false" ht="15" hidden="false" customHeight="false" outlineLevel="0" collapsed="false">
      <c r="A3578" s="0" t="s">
        <v>484</v>
      </c>
      <c r="B3578" s="0" t="s">
        <v>73</v>
      </c>
      <c r="C3578" s="38" t="n">
        <f aca="false">Sens!$C$3493</f>
        <v>5.425</v>
      </c>
      <c r="D3578" s="38" t="n">
        <f aca="false">Sens!$D$3493</f>
        <v>5.935</v>
      </c>
      <c r="E3578" s="38" t="n">
        <f aca="false">Sens!$E$3493</f>
        <v>3.474</v>
      </c>
      <c r="F3578" s="38" t="n">
        <f aca="false">Sens!$F$3493</f>
        <v>3.36182431966931</v>
      </c>
      <c r="G3578" s="38" t="n">
        <f aca="false">Sens!$G$3493</f>
        <v>6.83582431966931</v>
      </c>
      <c r="H3578" s="38" t="n">
        <f aca="false">Sens!$H$3493</f>
        <v>7.31157108370141</v>
      </c>
      <c r="I3578" s="38" t="n">
        <f aca="false">Sens!$I$3493</f>
        <v>7.77266852639815</v>
      </c>
      <c r="J3578" s="38" t="n">
        <f aca="false">Sens!$J$3493</f>
        <v>8.2120733019884</v>
      </c>
      <c r="K3578" s="38" t="n">
        <f aca="false">Sens!$K$3493</f>
        <v>8.62267696708783</v>
      </c>
      <c r="L3578" s="38" t="n">
        <f aca="false">Sens!$L$3493</f>
        <v>9.05381081544222</v>
      </c>
      <c r="M3578" s="38" t="n">
        <f aca="false">Sens!$M$3493</f>
        <v>9.50650135621433</v>
      </c>
      <c r="N3578" s="38" t="n">
        <f aca="false">Sens!$N$3493</f>
        <v>2.811</v>
      </c>
      <c r="O3578" s="38" t="n">
        <f aca="false">Sens!$O$3493</f>
        <v>3.124</v>
      </c>
    </row>
    <row r="3579" customFormat="false" ht="17.15" hidden="false" customHeight="false" outlineLevel="0" collapsed="false">
      <c r="A3579" s="0" t="s">
        <v>669</v>
      </c>
      <c r="B3579" s="0" t="s">
        <v>73</v>
      </c>
      <c r="C3579" s="38" t="n">
        <f aca="false">Sens!$C$3560</f>
        <v>107.556</v>
      </c>
      <c r="D3579" s="38" t="n">
        <f aca="false">Sens!$D$3560</f>
        <v>128.725</v>
      </c>
      <c r="E3579" s="38" t="n">
        <f aca="false">Sens!$E$3560</f>
        <v>79.819</v>
      </c>
      <c r="F3579" s="38" t="n">
        <f aca="false">Sens!$F$3560</f>
        <v>93.5584440633857</v>
      </c>
      <c r="G3579" s="38" t="n">
        <f aca="false">Sens!$G$3560</f>
        <v>173.377444063386</v>
      </c>
      <c r="H3579" s="38" t="n">
        <f aca="false">Sens!$H$3560</f>
        <v>241.059451517916</v>
      </c>
      <c r="I3579" s="38" t="n">
        <f aca="false">Sens!$I$3560</f>
        <v>312.152096351442</v>
      </c>
      <c r="J3579" s="38" t="n">
        <f aca="false">Sens!$J$3560</f>
        <v>379.424316597773</v>
      </c>
      <c r="K3579" s="38" t="n">
        <f aca="false">Sens!$K$3560</f>
        <v>439.919237244402</v>
      </c>
      <c r="L3579" s="38" t="n">
        <f aca="false">Sens!$L$3560</f>
        <v>501.954974491517</v>
      </c>
      <c r="M3579" s="38" t="n">
        <f aca="false">Sens!$M$3560</f>
        <v>565.639704466895</v>
      </c>
      <c r="N3579" s="38" t="n">
        <f aca="false">Sens!$N$3560</f>
        <v>60.14</v>
      </c>
      <c r="O3579" s="38" t="n">
        <f aca="false">Sens!$O$3560</f>
        <v>68.585</v>
      </c>
    </row>
    <row r="3580" customFormat="false" ht="15" hidden="false" customHeight="false" outlineLevel="0" collapsed="false">
      <c r="A3580" s="1" t="s">
        <v>472</v>
      </c>
      <c r="B3580" s="8" t="s">
        <v>73</v>
      </c>
      <c r="C3580" s="38" t="n">
        <f aca="false">Sens!$C$3497</f>
        <v>387.497</v>
      </c>
      <c r="D3580" s="38" t="n">
        <f aca="false">Sens!$D$3497</f>
        <v>426.305</v>
      </c>
      <c r="E3580" s="38" t="n">
        <f aca="false">Sens!$E$3497</f>
        <v>220.32</v>
      </c>
      <c r="F3580" s="38" t="n">
        <f aca="false">Sens!$F$3497</f>
        <v>256.304015003807</v>
      </c>
      <c r="G3580" s="38" t="n">
        <f aca="false">Sens!$G$3497</f>
        <v>476.624015003807</v>
      </c>
      <c r="H3580" s="38" t="n">
        <f aca="false">Sens!$H$3497</f>
        <v>527.272373153394</v>
      </c>
      <c r="I3580" s="38" t="n">
        <f aca="false">Sens!$I$3497</f>
        <v>575.516080346687</v>
      </c>
      <c r="J3580" s="38" t="n">
        <f aca="false">Sens!$J$3497</f>
        <v>619.259086167339</v>
      </c>
      <c r="K3580" s="38" t="n">
        <f aca="false">Sens!$K$3497</f>
        <v>656.418102320607</v>
      </c>
      <c r="L3580" s="38" t="n">
        <f aca="false">Sens!$L$3497</f>
        <v>695.884372365012</v>
      </c>
      <c r="M3580" s="38" t="n">
        <f aca="false">Sens!$M$3497</f>
        <v>737.805177573583</v>
      </c>
      <c r="N3580" s="38" t="n">
        <f aca="false">Sens!$N$3497</f>
        <v>192.955</v>
      </c>
      <c r="O3580" s="38" t="n">
        <f aca="false">Sens!$O$3497</f>
        <v>233.35</v>
      </c>
    </row>
    <row r="3581" customFormat="false" ht="15" hidden="false" customHeight="false" outlineLevel="0" collapsed="false">
      <c r="A3581" s="1" t="s">
        <v>475</v>
      </c>
      <c r="B3581" s="8" t="s">
        <v>73</v>
      </c>
      <c r="C3581" s="38" t="n">
        <f aca="false">Sens!$C$3498</f>
        <v>142.906</v>
      </c>
      <c r="D3581" s="38" t="n">
        <f aca="false">Sens!$D$3498</f>
        <v>161.894</v>
      </c>
      <c r="E3581" s="38" t="n">
        <f aca="false">Sens!$E$3498</f>
        <v>81.986</v>
      </c>
      <c r="F3581" s="38" t="n">
        <f aca="false">Sens!$F$3498</f>
        <v>100.632414204623</v>
      </c>
      <c r="G3581" s="38" t="n">
        <f aca="false">Sens!$G$3498</f>
        <v>182.618414204623</v>
      </c>
      <c r="H3581" s="38" t="n">
        <f aca="false">Sens!$H$3498</f>
        <v>202.024324431936</v>
      </c>
      <c r="I3581" s="38" t="n">
        <f aca="false">Sens!$I$3498</f>
        <v>220.50889303455</v>
      </c>
      <c r="J3581" s="38" t="n">
        <f aca="false">Sens!$J$3498</f>
        <v>237.269018634699</v>
      </c>
      <c r="K3581" s="38" t="n">
        <f aca="false">Sens!$K$3498</f>
        <v>251.506489659443</v>
      </c>
      <c r="L3581" s="38" t="n">
        <f aca="false">Sens!$L$3498</f>
        <v>266.627984639135</v>
      </c>
      <c r="M3581" s="38" t="n">
        <f aca="false">Sens!$M$3498</f>
        <v>282.689934369698</v>
      </c>
      <c r="N3581" s="38" t="n">
        <f aca="false">Sens!$N$3498</f>
        <v>70.274</v>
      </c>
      <c r="O3581" s="38" t="n">
        <f aca="false">Sens!$O$3498</f>
        <v>91.62</v>
      </c>
    </row>
    <row r="3582" customFormat="false" ht="15" hidden="false" customHeight="false" outlineLevel="0" collapsed="false">
      <c r="A3582" s="1" t="s">
        <v>476</v>
      </c>
      <c r="B3582" s="8" t="s">
        <v>73</v>
      </c>
      <c r="C3582" s="38" t="n">
        <f aca="false">Sens!$C$3560</f>
        <v>107.556</v>
      </c>
      <c r="D3582" s="38" t="n">
        <f aca="false">Sens!$D$3560</f>
        <v>128.725</v>
      </c>
      <c r="E3582" s="38" t="n">
        <f aca="false">Sens!$E$3560</f>
        <v>79.819</v>
      </c>
      <c r="F3582" s="38" t="n">
        <f aca="false">Sens!$F$3560</f>
        <v>93.5584440633857</v>
      </c>
      <c r="G3582" s="38" t="n">
        <f aca="false">Sens!$G$3560</f>
        <v>173.377444063386</v>
      </c>
      <c r="H3582" s="38" t="n">
        <f aca="false">Sens!$H$3560</f>
        <v>241.059451517916</v>
      </c>
      <c r="I3582" s="38" t="n">
        <f aca="false">Sens!$I$3560</f>
        <v>312.152096351442</v>
      </c>
      <c r="J3582" s="38" t="n">
        <f aca="false">Sens!$J$3560</f>
        <v>379.424316597773</v>
      </c>
      <c r="K3582" s="38" t="n">
        <f aca="false">Sens!$K$3560</f>
        <v>439.919237244402</v>
      </c>
      <c r="L3582" s="38" t="n">
        <f aca="false">Sens!$L$3560</f>
        <v>501.954974491517</v>
      </c>
      <c r="M3582" s="38" t="n">
        <f aca="false">Sens!$M$3560</f>
        <v>565.639704466895</v>
      </c>
      <c r="N3582" s="38" t="n">
        <f aca="false">Sens!$N$3560</f>
        <v>60.14</v>
      </c>
      <c r="O3582" s="38" t="n">
        <f aca="false">Sens!$O$3560</f>
        <v>68.585</v>
      </c>
    </row>
    <row r="3583" customFormat="false" ht="17.15" hidden="false" customHeight="false" outlineLevel="0" collapsed="false">
      <c r="A3583" s="0" t="s">
        <v>643</v>
      </c>
      <c r="B3583" s="0" t="s">
        <v>73</v>
      </c>
      <c r="C3583" s="38" t="n">
        <f aca="false">Sens!$C$3558</f>
        <v>2.32100535697364</v>
      </c>
      <c r="D3583" s="38" t="n">
        <f aca="false">Sens!$D$3558</f>
        <v>8.70377008865116</v>
      </c>
      <c r="E3583" s="38" t="n">
        <f aca="false">Sens!$E$3558</f>
        <v>8.51035297557002</v>
      </c>
      <c r="F3583" s="38" t="n">
        <f aca="false">Sens!$F$3558</f>
        <v>14.9634336447205</v>
      </c>
      <c r="G3583" s="38" t="n">
        <f aca="false">Sens!$G$3558</f>
        <v>23.4737866202905</v>
      </c>
      <c r="H3583" s="38" t="n">
        <f aca="false">Sens!$H$3558</f>
        <v>60.1658907497746</v>
      </c>
      <c r="I3583" s="38" t="n">
        <f aca="false">Sens!$I$3558</f>
        <v>101.503699136432</v>
      </c>
      <c r="J3583" s="38" t="n">
        <f aca="false">Sens!$J$3558</f>
        <v>143.025407151278</v>
      </c>
      <c r="K3583" s="38" t="n">
        <f aca="false">Sens!$K$3558</f>
        <v>184.608415042187</v>
      </c>
      <c r="L3583" s="38" t="n">
        <f aca="false">Sens!$L$3558</f>
        <v>226.219286513125</v>
      </c>
      <c r="M3583" s="38" t="n">
        <f aca="false">Sens!$M$3558</f>
        <v>267.845161450232</v>
      </c>
      <c r="N3583" s="38" t="n">
        <f aca="false">Sens!$N$3558</f>
        <v>3.04631953102791</v>
      </c>
      <c r="O3583" s="38" t="n">
        <f aca="false">Sens!$O$3558</f>
        <v>5.65745055762326</v>
      </c>
    </row>
    <row r="3584" customFormat="false" ht="17.15" hidden="false" customHeight="false" outlineLevel="0" collapsed="false">
      <c r="A3584" s="0" t="s">
        <v>645</v>
      </c>
      <c r="B3584" s="0" t="s">
        <v>73</v>
      </c>
      <c r="C3584" s="38" t="n">
        <f aca="false">Sens!$C$3559</f>
        <v>105.234994643026</v>
      </c>
      <c r="D3584" s="38" t="n">
        <f aca="false">Sens!$D$3559</f>
        <v>120.021229911349</v>
      </c>
      <c r="E3584" s="38" t="n">
        <f aca="false">Sens!$E$3559</f>
        <v>71.30864702443</v>
      </c>
      <c r="F3584" s="38" t="n">
        <f aca="false">Sens!$F$3559</f>
        <v>78.5950104186653</v>
      </c>
      <c r="G3584" s="38" t="n">
        <f aca="false">Sens!$G$3559</f>
        <v>149.903657443095</v>
      </c>
      <c r="H3584" s="38" t="n">
        <f aca="false">Sens!$H$3559</f>
        <v>180.893560768142</v>
      </c>
      <c r="I3584" s="38" t="n">
        <f aca="false">Sens!$I$3559</f>
        <v>210.64839721501</v>
      </c>
      <c r="J3584" s="38" t="n">
        <f aca="false">Sens!$J$3559</f>
        <v>236.398909446495</v>
      </c>
      <c r="K3584" s="38" t="n">
        <f aca="false">Sens!$K$3559</f>
        <v>255.310822202215</v>
      </c>
      <c r="L3584" s="38" t="n">
        <f aca="false">Sens!$L$3559</f>
        <v>275.735687978392</v>
      </c>
      <c r="M3584" s="38" t="n">
        <f aca="false">Sens!$M$3559</f>
        <v>297.794543016663</v>
      </c>
      <c r="N3584" s="38" t="n">
        <f aca="false">Sens!$N$3559</f>
        <v>57.0936804689721</v>
      </c>
      <c r="O3584" s="38" t="n">
        <f aca="false">Sens!$O$3559</f>
        <v>62.9275494423768</v>
      </c>
    </row>
    <row r="3585" customFormat="false" ht="15" hidden="false" customHeight="false" outlineLevel="0" collapsed="false">
      <c r="A3585" s="3" t="s">
        <v>477</v>
      </c>
      <c r="B3585" s="8" t="s">
        <v>73</v>
      </c>
      <c r="C3585" s="38" t="n">
        <f aca="false">Sens!$C$3561</f>
        <v>637.959</v>
      </c>
      <c r="D3585" s="38" t="n">
        <f aca="false">Sens!$D$3561</f>
        <v>716.924</v>
      </c>
      <c r="E3585" s="38" t="n">
        <f aca="false">Sens!$E$3561</f>
        <v>382.125</v>
      </c>
      <c r="F3585" s="38" t="n">
        <f aca="false">Sens!$F$3561</f>
        <v>450.494873271816</v>
      </c>
      <c r="G3585" s="38" t="n">
        <f aca="false">Sens!$G$3561</f>
        <v>832.619873271816</v>
      </c>
      <c r="H3585" s="38" t="n">
        <f aca="false">Sens!$H$3561</f>
        <v>970.356149103246</v>
      </c>
      <c r="I3585" s="38" t="n">
        <f aca="false">Sens!$I$3561</f>
        <v>1108.17706973268</v>
      </c>
      <c r="J3585" s="38" t="n">
        <f aca="false">Sens!$J$3561</f>
        <v>1235.95242139981</v>
      </c>
      <c r="K3585" s="38" t="n">
        <f aca="false">Sens!$K$3561</f>
        <v>1347.84382922445</v>
      </c>
      <c r="L3585" s="38" t="n">
        <f aca="false">Sens!$L$3561</f>
        <v>1464.46733149566</v>
      </c>
      <c r="M3585" s="38" t="n">
        <f aca="false">Sens!$M$3561</f>
        <v>1586.13481641018</v>
      </c>
      <c r="N3585" s="38" t="n">
        <f aca="false">Sens!$N$3561</f>
        <v>323.369</v>
      </c>
      <c r="O3585" s="38" t="n">
        <f aca="false">Sens!$O$3561</f>
        <v>393.555</v>
      </c>
    </row>
    <row r="3586" customFormat="false" ht="17.15" hidden="false" customHeight="false" outlineLevel="0" collapsed="false">
      <c r="A3586" s="24" t="s">
        <v>655</v>
      </c>
      <c r="B3586" s="25" t="s">
        <v>73</v>
      </c>
      <c r="C3586" s="39" t="n">
        <f aca="false">Sens!$C$3573+Sens!$C$3574+Sens!$C$3575+Sens!$C$3576+Sens!$C$3577+Sens!$C$3578-(Sens!$C$3580+Sens!$C$3581)</f>
        <v>0</v>
      </c>
      <c r="D3586" s="39" t="n">
        <f aca="false">Sens!$D$3573+Sens!$D$3574+Sens!$D$3575+Sens!$D$3576+Sens!$D$3577+Sens!$D$3578-(Sens!$D$3580+Sens!$D$3581)</f>
        <v>0</v>
      </c>
      <c r="E3586" s="39" t="n">
        <f aca="false">Sens!$E$3573+Sens!$E$3574+Sens!$E$3575+Sens!$E$3576+Sens!$E$3577+Sens!$E$3578-(Sens!$E$3580+Sens!$E$3581)</f>
        <v>0</v>
      </c>
      <c r="F3586" s="39" t="n">
        <f aca="false">Sens!$F$3573+Sens!$F$3574+Sens!$F$3575+Sens!$F$3576+Sens!$F$3577+Sens!$F$3578-(Sens!$F$3580+Sens!$F$3581)</f>
        <v>0</v>
      </c>
      <c r="G3586" s="39" t="n">
        <f aca="false">Sens!$G$3573+Sens!$G$3574+Sens!$G$3575+Sens!$G$3576+Sens!$G$3577+Sens!$G$3578-(Sens!$G$3580+Sens!$G$3581)</f>
        <v>0</v>
      </c>
      <c r="H3586" s="39" t="n">
        <f aca="false">Sens!$H$3573+Sens!$H$3574+Sens!$H$3575+Sens!$H$3576+Sens!$H$3577+Sens!$H$3578-(Sens!$H$3580+Sens!$H$3581)</f>
        <v>0</v>
      </c>
      <c r="I3586" s="39" t="n">
        <f aca="false">Sens!$I$3573+Sens!$I$3574+Sens!$I$3575+Sens!$I$3576+Sens!$I$3577+Sens!$I$3578-(Sens!$I$3580+Sens!$I$3581)</f>
        <v>0</v>
      </c>
      <c r="J3586" s="39" t="n">
        <f aca="false">Sens!$J$3573+Sens!$J$3574+Sens!$J$3575+Sens!$J$3576+Sens!$J$3577+Sens!$J$3578-(Sens!$J$3580+Sens!$J$3581)</f>
        <v>0</v>
      </c>
      <c r="K3586" s="39" t="n">
        <f aca="false">Sens!$K$3573+Sens!$K$3574+Sens!$K$3575+Sens!$K$3576+Sens!$K$3577+Sens!$K$3578-(Sens!$K$3580+Sens!$K$3581)</f>
        <v>0</v>
      </c>
      <c r="L3586" s="39" t="n">
        <f aca="false">Sens!$L$3573+Sens!$L$3574+Sens!$L$3575+Sens!$L$3576+Sens!$L$3577+Sens!$L$3578-(Sens!$L$3580+Sens!$L$3581)</f>
        <v>0</v>
      </c>
      <c r="M3586" s="39" t="n">
        <f aca="false">Sens!$M$3573+Sens!$M$3574+Sens!$M$3575+Sens!$M$3576+Sens!$M$3577+Sens!$M$3578-(Sens!$M$3580+Sens!$M$3581)</f>
        <v>0</v>
      </c>
      <c r="N3586" s="39" t="n">
        <f aca="false">Sens!$N$3573+Sens!$N$3574+Sens!$N$3575+Sens!$N$3576+Sens!$N$3577+Sens!$N$3578-(Sens!$N$3580+Sens!$N$3581)</f>
        <v>0</v>
      </c>
      <c r="O3586" s="39" t="n">
        <f aca="false">Sens!$O$3573+Sens!$O$3574+Sens!$O$3575+Sens!$O$3576+Sens!$O$3577+Sens!$O$3578-(Sens!$O$3580+Sens!$O$3581)</f>
        <v>0</v>
      </c>
    </row>
    <row r="3587" customFormat="false" ht="17.15" hidden="false" customHeight="false" outlineLevel="0" collapsed="false">
      <c r="A3587" s="24" t="s">
        <v>656</v>
      </c>
      <c r="B3587" s="25" t="s">
        <v>73</v>
      </c>
      <c r="C3587" s="39" t="n">
        <f aca="false">Sens!$C$3583+Sens!$C$3584-Sens!$C$3582</f>
        <v>0</v>
      </c>
      <c r="D3587" s="39" t="n">
        <f aca="false">Sens!$D$3583+Sens!$D$3584-Sens!$D$3582</f>
        <v>0</v>
      </c>
      <c r="E3587" s="39" t="n">
        <f aca="false">Sens!$E$3583+Sens!$E$3584-Sens!$E$3582</f>
        <v>0</v>
      </c>
      <c r="F3587" s="39" t="n">
        <f aca="false">Sens!$F$3583+Sens!$F$3584-Sens!$F$3582</f>
        <v>0</v>
      </c>
      <c r="G3587" s="39" t="n">
        <f aca="false">Sens!$G$3583+Sens!$G$3584-Sens!$G$3582</f>
        <v>0</v>
      </c>
      <c r="H3587" s="39" t="n">
        <f aca="false">Sens!$H$3583+Sens!$H$3584-Sens!$H$3582</f>
        <v>0</v>
      </c>
      <c r="I3587" s="39" t="n">
        <f aca="false">Sens!$I$3583+Sens!$I$3584-Sens!$I$3582</f>
        <v>0</v>
      </c>
      <c r="J3587" s="39" t="n">
        <f aca="false">Sens!$J$3583+Sens!$J$3584-Sens!$J$3582</f>
        <v>0</v>
      </c>
      <c r="K3587" s="39" t="n">
        <f aca="false">Sens!$K$3583+Sens!$K$3584-Sens!$K$3582</f>
        <v>0</v>
      </c>
      <c r="L3587" s="39" t="n">
        <f aca="false">Sens!$L$3583+Sens!$L$3584-Sens!$L$3582</f>
        <v>0</v>
      </c>
      <c r="M3587" s="39" t="n">
        <f aca="false">Sens!$M$3583+Sens!$M$3584-Sens!$M$3582</f>
        <v>0</v>
      </c>
      <c r="N3587" s="39" t="n">
        <f aca="false">Sens!$N$3583+Sens!$N$3584-Sens!$N$3582</f>
        <v>0</v>
      </c>
      <c r="O3587" s="39" t="n">
        <f aca="false">Sens!$O$3583+Sens!$O$3584-Sens!$O$3582</f>
        <v>0</v>
      </c>
    </row>
    <row r="3588" customFormat="false" ht="17.15" hidden="false" customHeight="false" outlineLevel="0" collapsed="false">
      <c r="A3588" s="24" t="s">
        <v>710</v>
      </c>
      <c r="B3588" s="25" t="s">
        <v>73</v>
      </c>
      <c r="C3588" s="39" t="n">
        <f aca="false">Sens!$C$3573+Sens!$C$3574+Sens!$C$3575+Sens!$C$3576+Sens!$C$3577+Sens!$C$3578+Sens!$C$3579-Sens!$C$3585</f>
        <v>0</v>
      </c>
      <c r="D3588" s="39" t="n">
        <f aca="false">Sens!$D$3573+Sens!$D$3574+Sens!$D$3575+Sens!$D$3576+Sens!$D$3577+Sens!$D$3578+Sens!$D$3579-Sens!$D$3585</f>
        <v>0</v>
      </c>
      <c r="E3588" s="39" t="n">
        <f aca="false">Sens!$E$3573+Sens!$E$3574+Sens!$E$3575+Sens!$E$3576+Sens!$E$3577+Sens!$E$3578+Sens!$E$3579-Sens!$E$3585</f>
        <v>0</v>
      </c>
      <c r="F3588" s="39" t="n">
        <f aca="false">Sens!$F$3573+Sens!$F$3574+Sens!$F$3575+Sens!$F$3576+Sens!$F$3577+Sens!$F$3578+Sens!$F$3579-Sens!$F$3585</f>
        <v>0</v>
      </c>
      <c r="G3588" s="39" t="n">
        <f aca="false">Sens!$G$3573+Sens!$G$3574+Sens!$G$3575+Sens!$G$3576+Sens!$G$3577+Sens!$G$3578+Sens!$G$3579-Sens!$G$3585</f>
        <v>0</v>
      </c>
      <c r="H3588" s="39" t="n">
        <f aca="false">Sens!$H$3573+Sens!$H$3574+Sens!$H$3575+Sens!$H$3576+Sens!$H$3577+Sens!$H$3578+Sens!$H$3579-Sens!$H$3585</f>
        <v>0</v>
      </c>
      <c r="I3588" s="39" t="n">
        <f aca="false">Sens!$I$3573+Sens!$I$3574+Sens!$I$3575+Sens!$I$3576+Sens!$I$3577+Sens!$I$3578+Sens!$I$3579-Sens!$I$3585</f>
        <v>0</v>
      </c>
      <c r="J3588" s="39" t="n">
        <f aca="false">Sens!$J$3573+Sens!$J$3574+Sens!$J$3575+Sens!$J$3576+Sens!$J$3577+Sens!$J$3578+Sens!$J$3579-Sens!$J$3585</f>
        <v>0</v>
      </c>
      <c r="K3588" s="39" t="n">
        <f aca="false">Sens!$K$3573+Sens!$K$3574+Sens!$K$3575+Sens!$K$3576+Sens!$K$3577+Sens!$K$3578+Sens!$K$3579-Sens!$K$3585</f>
        <v>0</v>
      </c>
      <c r="L3588" s="39" t="n">
        <f aca="false">Sens!$L$3573+Sens!$L$3574+Sens!$L$3575+Sens!$L$3576+Sens!$L$3577+Sens!$L$3578+Sens!$L$3579-Sens!$L$3585</f>
        <v>0</v>
      </c>
      <c r="M3588" s="39" t="n">
        <f aca="false">Sens!$M$3573+Sens!$M$3574+Sens!$M$3575+Sens!$M$3576+Sens!$M$3577+Sens!$M$3578+Sens!$M$3579-Sens!$M$3585</f>
        <v>0</v>
      </c>
      <c r="N3588" s="39" t="n">
        <f aca="false">Sens!$N$3573+Sens!$N$3574+Sens!$N$3575+Sens!$N$3576+Sens!$N$3577+Sens!$N$3578+Sens!$N$3579-Sens!$N$3585</f>
        <v>0</v>
      </c>
      <c r="O3588" s="39" t="n">
        <f aca="false">Sens!$O$3573+Sens!$O$3574+Sens!$O$3575+Sens!$O$3576+Sens!$O$3577+Sens!$O$3578+Sens!$O$3579-Sens!$O$3585</f>
        <v>0</v>
      </c>
    </row>
    <row r="3589" customFormat="false" ht="17.15" hidden="false" customHeight="false" outlineLevel="0" collapsed="false">
      <c r="A3589" s="24" t="s">
        <v>657</v>
      </c>
      <c r="B3589" s="25" t="s">
        <v>73</v>
      </c>
      <c r="C3589" s="39" t="n">
        <f aca="false">Sens!$C$3580+Sens!$C$3581+Sens!$C$3582-Sens!$C$3585</f>
        <v>0</v>
      </c>
      <c r="D3589" s="39" t="n">
        <f aca="false">Sens!$D$3580+Sens!$D$3581+Sens!$D$3582-Sens!$D$3585</f>
        <v>0</v>
      </c>
      <c r="E3589" s="39" t="n">
        <f aca="false">Sens!$E$3580+Sens!$E$3581+Sens!$E$3582-Sens!$E$3585</f>
        <v>0</v>
      </c>
      <c r="F3589" s="39" t="n">
        <f aca="false">Sens!$F$3580+Sens!$F$3581+Sens!$F$3582-Sens!$F$3585</f>
        <v>0</v>
      </c>
      <c r="G3589" s="39" t="n">
        <f aca="false">Sens!$G$3580+Sens!$G$3581+Sens!$G$3582-Sens!$G$3585</f>
        <v>0</v>
      </c>
      <c r="H3589" s="39" t="n">
        <f aca="false">Sens!$H$3580+Sens!$H$3581+Sens!$H$3582-Sens!$H$3585</f>
        <v>0</v>
      </c>
      <c r="I3589" s="39" t="n">
        <f aca="false">Sens!$I$3580+Sens!$I$3581+Sens!$I$3582-Sens!$I$3585</f>
        <v>0</v>
      </c>
      <c r="J3589" s="39" t="n">
        <f aca="false">Sens!$J$3580+Sens!$J$3581+Sens!$J$3582-Sens!$J$3585</f>
        <v>0</v>
      </c>
      <c r="K3589" s="39" t="n">
        <f aca="false">Sens!$K$3580+Sens!$K$3581+Sens!$K$3582-Sens!$K$3585</f>
        <v>0</v>
      </c>
      <c r="L3589" s="39" t="n">
        <f aca="false">Sens!$L$3580+Sens!$L$3581+Sens!$L$3582-Sens!$L$3585</f>
        <v>0</v>
      </c>
      <c r="M3589" s="39" t="n">
        <f aca="false">Sens!$M$3580+Sens!$M$3581+Sens!$M$3582-Sens!$M$3585</f>
        <v>0</v>
      </c>
      <c r="N3589" s="39" t="n">
        <f aca="false">Sens!$N$3580+Sens!$N$3581+Sens!$N$3582-Sens!$N$3585</f>
        <v>0</v>
      </c>
      <c r="O3589" s="39" t="n">
        <f aca="false">Sens!$O$3580+Sens!$O$3581+Sens!$O$3582-Sens!$O$3585</f>
        <v>0</v>
      </c>
    </row>
    <row r="3590" customFormat="false" ht="17.15" hidden="false" customHeight="false" outlineLevel="0" collapsed="false">
      <c r="A3590" s="1" t="s">
        <v>671</v>
      </c>
    </row>
    <row r="3591" customFormat="false" ht="17.15" hidden="false" customHeight="false" outlineLevel="0" collapsed="false">
      <c r="A3591" s="0" t="s">
        <v>672</v>
      </c>
      <c r="B3591" s="0" t="s">
        <v>73</v>
      </c>
      <c r="C3591" s="38" t="n">
        <f aca="false">Sens!$C$3499*m_ad</f>
        <v>20.5341564414228</v>
      </c>
      <c r="D3591" s="38" t="n">
        <f aca="false">Sens!$D$3499*m_ad</f>
        <v>24.8720617299587</v>
      </c>
      <c r="E3591" s="38" t="n">
        <f aca="false">Sens!$E$3499*m_ad</f>
        <v>13.5017112462207</v>
      </c>
      <c r="F3591" s="38" t="n">
        <f aca="false">Sens!$F$3499*m_ad</f>
        <v>17.2886442824599</v>
      </c>
      <c r="G3591" s="38" t="n">
        <f aca="false">Sens!$G$3499*m_ad</f>
        <v>30.8011958765886</v>
      </c>
      <c r="H3591" s="38" t="n">
        <f aca="false">Sens!$H$3499*m_ad</f>
        <v>36.7474003969515</v>
      </c>
      <c r="I3591" s="38" t="n">
        <f aca="false">Sens!$I$3499*m_ad</f>
        <v>42.334256939828</v>
      </c>
      <c r="J3591" s="38" t="n">
        <f aca="false">Sens!$J$3499*m_ad</f>
        <v>47.0340804506092</v>
      </c>
      <c r="K3591" s="38" t="n">
        <f aca="false">Sens!$K$3499*m_ad</f>
        <v>50.3264660821518</v>
      </c>
      <c r="L3591" s="38" t="n">
        <f aca="false">Sens!$L$3499*m_ad</f>
        <v>53.8493187079024</v>
      </c>
      <c r="M3591" s="38" t="n">
        <f aca="false">Sens!$M$3499*m_ad</f>
        <v>57.6187710174556</v>
      </c>
      <c r="N3591" s="38" t="n">
        <f aca="false">Sens!$N$3499*m_ad</f>
        <v>10.8543555706248</v>
      </c>
      <c r="O3591" s="38" t="n">
        <f aca="false">Sens!$O$3499*m_ad</f>
        <v>14.0094731821399</v>
      </c>
    </row>
    <row r="3592" customFormat="false" ht="17.15" hidden="false" customHeight="false" outlineLevel="0" collapsed="false">
      <c r="A3592" s="0" t="s">
        <v>673</v>
      </c>
      <c r="B3592" s="0" t="s">
        <v>73</v>
      </c>
      <c r="C3592" s="38" t="n">
        <f aca="false">Sens!$C$3497-Sens!$C$3499</f>
        <v>346.428687117154</v>
      </c>
      <c r="D3592" s="38" t="n">
        <f aca="false">Sens!$D$3497-Sens!$D$3499</f>
        <v>376.560876540083</v>
      </c>
      <c r="E3592" s="38" t="n">
        <f aca="false">Sens!$E$3497-Sens!$E$3499</f>
        <v>193.316577507559</v>
      </c>
      <c r="F3592" s="38" t="n">
        <f aca="false">Sens!$F$3497-Sens!$F$3499</f>
        <v>221.726726438887</v>
      </c>
      <c r="G3592" s="38" t="n">
        <f aca="false">Sens!$G$3497-Sens!$G$3499</f>
        <v>415.02162325063</v>
      </c>
      <c r="H3592" s="38" t="n">
        <f aca="false">Sens!$H$3497-Sens!$H$3499</f>
        <v>453.777572359491</v>
      </c>
      <c r="I3592" s="38" t="n">
        <f aca="false">Sens!$I$3497-Sens!$I$3499</f>
        <v>490.847566467031</v>
      </c>
      <c r="J3592" s="38" t="n">
        <f aca="false">Sens!$J$3497-Sens!$J$3499</f>
        <v>525.190925266121</v>
      </c>
      <c r="K3592" s="38" t="n">
        <f aca="false">Sens!$K$3497-Sens!$K$3499</f>
        <v>555.765170156304</v>
      </c>
      <c r="L3592" s="38" t="n">
        <f aca="false">Sens!$L$3497-Sens!$L$3499</f>
        <v>588.185734949207</v>
      </c>
      <c r="M3592" s="38" t="n">
        <f aca="false">Sens!$M$3497-Sens!$M$3499</f>
        <v>622.567635538672</v>
      </c>
      <c r="N3592" s="38" t="n">
        <f aca="false">Sens!$N$3497-Sens!$N$3499</f>
        <v>171.24628885875</v>
      </c>
      <c r="O3592" s="38" t="n">
        <f aca="false">Sens!$O$3497-Sens!$O$3499</f>
        <v>205.33105363572</v>
      </c>
    </row>
    <row r="3593" customFormat="false" ht="17.15" hidden="false" customHeight="false" outlineLevel="0" collapsed="false">
      <c r="A3593" s="0" t="s">
        <v>674</v>
      </c>
      <c r="B3593" s="0" t="s">
        <v>73</v>
      </c>
      <c r="C3593" s="38" t="n">
        <f aca="false">Sens!$C$3544*Sens!$C$3496</f>
        <v>0.123617442257179</v>
      </c>
      <c r="D3593" s="38" t="n">
        <f aca="false">Sens!$D$3544*Sens!$D$3496</f>
        <v>0.874366899302609</v>
      </c>
      <c r="E3593" s="38" t="n">
        <f aca="false">Sens!$E$3544*Sens!$E$3496</f>
        <v>1.29318830502574</v>
      </c>
      <c r="F3593" s="38" t="n">
        <f aca="false">Sens!$F$3544*Sens!$F$3496</f>
        <v>1.51802024162534</v>
      </c>
      <c r="G3593" s="38" t="n">
        <f aca="false">Sens!$G$3544*Sens!$G$3496</f>
        <v>2.81130189308167</v>
      </c>
      <c r="H3593" s="38" t="n">
        <f aca="false">Sens!$H$3544*Sens!$H$3496</f>
        <v>7.38966789318209</v>
      </c>
      <c r="I3593" s="38" t="n">
        <f aca="false">Sens!$I$3544*Sens!$I$3496</f>
        <v>12.8987443661473</v>
      </c>
      <c r="J3593" s="38" t="n">
        <f aca="false">Sens!$J$3544*Sens!$J$3496</f>
        <v>18.5570025453645</v>
      </c>
      <c r="K3593" s="38" t="n">
        <f aca="false">Sens!$K$3544*Sens!$K$3496</f>
        <v>24.3158972773405</v>
      </c>
      <c r="L3593" s="38" t="n">
        <f aca="false">Sens!$L$3544*Sens!$L$3496</f>
        <v>29.7827375558674</v>
      </c>
      <c r="M3593" s="38" t="n">
        <f aca="false">Sens!$M$3544*Sens!$M$3496</f>
        <v>35.3532344973194</v>
      </c>
      <c r="N3593" s="38" t="n">
        <f aca="false">Sens!$N$3544*Sens!$N$3496</f>
        <v>0.389180508437431</v>
      </c>
      <c r="O3593" s="38" t="n">
        <f aca="false">Sens!$O$3544*Sens!$O$3496</f>
        <v>0.485052120082802</v>
      </c>
    </row>
    <row r="3594" customFormat="false" ht="17.15" hidden="false" customHeight="false" outlineLevel="0" collapsed="false">
      <c r="A3594" s="0" t="s">
        <v>675</v>
      </c>
      <c r="B3594" s="0" t="s">
        <v>52</v>
      </c>
      <c r="C3594" s="28" t="n">
        <f aca="false">(Sens!$C$3595-Sens!$C$3591+Sens!$C$3593)/Sens!$C$3592</f>
        <v>0.0131526665379575</v>
      </c>
      <c r="D3594" s="28" t="n">
        <f aca="false">(Sens!$D$3595-Sens!$D$3591+Sens!$D$3593)/Sens!$D$3592</f>
        <v>0.0149280116962589</v>
      </c>
      <c r="E3594" s="28" t="n">
        <f aca="false">(Sens!$E$3595-Sens!$E$3591+Sens!$E$3593)/Sens!$E$3592</f>
        <v>0.0268030663774938</v>
      </c>
      <c r="F3594" s="28" t="n">
        <f aca="false">Sens!$O$3594+(Sens!$E$3594-Sens!$N$3594)</f>
        <v>0.0232379346966962</v>
      </c>
      <c r="G3594" s="28" t="n">
        <f aca="false">(Sens!$G$3595-Sens!$G$3591+Sens!$G$3593)/Sens!$G$3592</f>
        <v>0.0248738876928168</v>
      </c>
      <c r="H3594" s="28" t="n">
        <f aca="false">Sens!$G$3594+step_na</f>
        <v>0.0278738876928168</v>
      </c>
      <c r="I3594" s="28" t="n">
        <f aca="false">Sens!$H$3594+step_na</f>
        <v>0.0308738876928168</v>
      </c>
      <c r="J3594" s="28" t="n">
        <f aca="false">Sens!$I$3594+step_na</f>
        <v>0.0338738876928168</v>
      </c>
      <c r="K3594" s="28" t="n">
        <f aca="false">Sens!$J$3594+step_na</f>
        <v>0.0368738876928168</v>
      </c>
      <c r="L3594" s="28" t="n">
        <f aca="false">Sens!$K$3594</f>
        <v>0.0368738876928168</v>
      </c>
      <c r="M3594" s="28" t="n">
        <f aca="false">Sens!$L$3594</f>
        <v>0.0368738876928168</v>
      </c>
      <c r="N3594" s="28" t="n">
        <f aca="false">(Sens!$N$3595-Sens!$N$3591+Sens!$N$3593)/Sens!$N$3592</f>
        <v>0.0168927744775755</v>
      </c>
      <c r="O3594" s="28" t="n">
        <f aca="false">(Sens!$O$3595-Sens!$O$3591+Sens!$O$3593)/Sens!$O$3592</f>
        <v>0.0133276427967779</v>
      </c>
      <c r="P3594" s="8" t="s">
        <v>676</v>
      </c>
    </row>
    <row r="3595" customFormat="false" ht="17.15" hidden="false" customHeight="false" outlineLevel="0" collapsed="false">
      <c r="A3595" s="1" t="s">
        <v>677</v>
      </c>
      <c r="B3595" s="8" t="s">
        <v>73</v>
      </c>
      <c r="C3595" s="38" t="n">
        <f aca="false">Q!$D$22</f>
        <v>24.967</v>
      </c>
      <c r="D3595" s="38" t="n">
        <f aca="false">Q!$E$22</f>
        <v>29.619</v>
      </c>
      <c r="E3595" s="38" t="n">
        <f aca="false">Q!$P$22</f>
        <v>17.39</v>
      </c>
      <c r="F3595" s="38" t="n">
        <f aca="false">Sens!$F$3591+Sens!$F$3592*Sens!$F$3594-Sens!$F$3593</f>
        <v>20.9230952303336</v>
      </c>
      <c r="G3595" s="38" t="n">
        <f aca="false">Sens!$E$3595+Sens!$F$3595</f>
        <v>38.3130952303336</v>
      </c>
      <c r="H3595" s="38" t="n">
        <f aca="false">Sens!$H$3591+Sens!$H$3592*Sens!$H$3594-Sens!$H$3593</f>
        <v>42.006277593237</v>
      </c>
      <c r="I3595" s="38" t="n">
        <f aca="false">Sens!$I$3591+Sens!$I$3592*Sens!$I$3594-Sens!$I$3593</f>
        <v>44.5898852150763</v>
      </c>
      <c r="J3595" s="38" t="n">
        <f aca="false">Sens!$J$3591+Sens!$J$3592*Sens!$J$3594-Sens!$J$3593</f>
        <v>46.2673363249958</v>
      </c>
      <c r="K3595" s="38" t="n">
        <f aca="false">Sens!$K$3591+Sens!$K$3592*Sens!$K$3594-Sens!$K$3593</f>
        <v>46.5037912727341</v>
      </c>
      <c r="L3595" s="38" t="n">
        <f aca="false">Sens!$L$3591+Sens!$L$3592*Sens!$L$3594-Sens!$L$3593</f>
        <v>45.755275885069</v>
      </c>
      <c r="M3595" s="38" t="n">
        <f aca="false">Sens!$M$3591+Sens!$M$3592*Sens!$M$3594-Sens!$M$3593</f>
        <v>45.2220255941717</v>
      </c>
      <c r="N3595" s="38" t="n">
        <f aca="false">Q!$N$22</f>
        <v>13.358</v>
      </c>
      <c r="O3595" s="38" t="n">
        <f aca="false">Q!$O$22</f>
        <v>16.261</v>
      </c>
    </row>
    <row r="3596" customFormat="false" ht="17.15" hidden="false" customHeight="false" outlineLevel="0" collapsed="false">
      <c r="A3596" s="0" t="s">
        <v>678</v>
      </c>
      <c r="B3596" s="0" t="s">
        <v>73</v>
      </c>
      <c r="C3596" s="38" t="n">
        <f aca="false">Sens!$C$3500*m_ad</f>
        <v>7.57284355857716</v>
      </c>
      <c r="D3596" s="38" t="n">
        <f aca="false">Sens!$D$3500*m_ad</f>
        <v>9.44543827004127</v>
      </c>
      <c r="E3596" s="38" t="n">
        <f aca="false">Sens!$E$3500*m_ad</f>
        <v>5.02428875377928</v>
      </c>
      <c r="F3596" s="38" t="n">
        <f aca="false">Sens!$F$3500*m_ad</f>
        <v>6.78802480890925</v>
      </c>
      <c r="G3596" s="38" t="n">
        <f aca="false">Sens!$G$3500*m_ad</f>
        <v>11.8014732147805</v>
      </c>
      <c r="H3596" s="38" t="n">
        <f aca="false">Sens!$H$3500*m_ad</f>
        <v>14.0797605143333</v>
      </c>
      <c r="I3596" s="38" t="n">
        <f aca="false">Sens!$I$3500*m_ad</f>
        <v>16.2203636944746</v>
      </c>
      <c r="J3596" s="38" t="n">
        <f aca="false">Sens!$J$3500*m_ad</f>
        <v>18.0211003119394</v>
      </c>
      <c r="K3596" s="38" t="n">
        <f aca="false">Sens!$K$3500*m_ad</f>
        <v>19.2825773337751</v>
      </c>
      <c r="L3596" s="38" t="n">
        <f aca="false">Sens!$L$3500*m_ad</f>
        <v>20.6323577471394</v>
      </c>
      <c r="M3596" s="38" t="n">
        <f aca="false">Sens!$M$3500*m_ad</f>
        <v>22.0766227894392</v>
      </c>
      <c r="N3596" s="38" t="n">
        <f aca="false">Sens!$N$3500*m_ad</f>
        <v>3.95314442937518</v>
      </c>
      <c r="O3596" s="38" t="n">
        <f aca="false">Sens!$O$3500*m_ad</f>
        <v>5.50052681786011</v>
      </c>
    </row>
    <row r="3597" customFormat="false" ht="17.15" hidden="false" customHeight="false" outlineLevel="0" collapsed="false">
      <c r="A3597" s="0" t="s">
        <v>679</v>
      </c>
      <c r="B3597" s="0" t="s">
        <v>73</v>
      </c>
      <c r="C3597" s="38" t="n">
        <f aca="false">Sens!$C$3498-Sens!$C$3500</f>
        <v>127.760312882846</v>
      </c>
      <c r="D3597" s="38" t="n">
        <f aca="false">Sens!$D$3498-Sens!$D$3500</f>
        <v>143.003123459917</v>
      </c>
      <c r="E3597" s="38" t="n">
        <f aca="false">Sens!$E$3498-Sens!$E$3500</f>
        <v>71.9374224924414</v>
      </c>
      <c r="F3597" s="38" t="n">
        <f aca="false">Sens!$F$3498-Sens!$F$3500</f>
        <v>87.0563645868046</v>
      </c>
      <c r="G3597" s="38" t="n">
        <f aca="false">Sens!$G$3498-Sens!$G$3500</f>
        <v>159.015467775062</v>
      </c>
      <c r="H3597" s="38" t="n">
        <f aca="false">Sens!$H$3498-Sens!$H$3500</f>
        <v>173.864803403269</v>
      </c>
      <c r="I3597" s="38" t="n">
        <f aca="false">Sens!$I$3498-Sens!$I$3500</f>
        <v>188.068165645601</v>
      </c>
      <c r="J3597" s="38" t="n">
        <f aca="false">Sens!$J$3498-Sens!$J$3500</f>
        <v>201.226818010821</v>
      </c>
      <c r="K3597" s="38" t="n">
        <f aca="false">Sens!$K$3498-Sens!$K$3500</f>
        <v>212.941334991893</v>
      </c>
      <c r="L3597" s="38" t="n">
        <f aca="false">Sens!$L$3498-Sens!$L$3500</f>
        <v>225.363269144856</v>
      </c>
      <c r="M3597" s="38" t="n">
        <f aca="false">Sens!$M$3498-Sens!$M$3500</f>
        <v>238.536688790819</v>
      </c>
      <c r="N3597" s="38" t="n">
        <f aca="false">Sens!$N$3498-Sens!$N$3500</f>
        <v>62.3677111412496</v>
      </c>
      <c r="O3597" s="38" t="n">
        <f aca="false">Sens!$O$3498-Sens!$O$3500</f>
        <v>80.6189463642798</v>
      </c>
    </row>
    <row r="3598" customFormat="false" ht="17.15" hidden="false" customHeight="false" outlineLevel="0" collapsed="false">
      <c r="A3598" s="0" t="s">
        <v>680</v>
      </c>
      <c r="B3598" s="0" t="s">
        <v>73</v>
      </c>
      <c r="C3598" s="38" t="n">
        <f aca="false">Sens!$C$3544*(1-Sens!$C$3496)</f>
        <v>0.0455891896019953</v>
      </c>
      <c r="D3598" s="38" t="n">
        <f aca="false">Sens!$D$3544*(1-Sens!$D$3496)</f>
        <v>0.332050421167231</v>
      </c>
      <c r="E3598" s="38" t="n">
        <f aca="false">Sens!$E$3544*(1-Sens!$E$3496)</f>
        <v>0.481224293644882</v>
      </c>
      <c r="F3598" s="38" t="n">
        <f aca="false">Sens!$F$3544*(1-Sens!$F$3496)</f>
        <v>0.596018918096053</v>
      </c>
      <c r="G3598" s="38" t="n">
        <f aca="false">Sens!$G$3544*(1-Sens!$G$3496)</f>
        <v>1.07714986531035</v>
      </c>
      <c r="H3598" s="38" t="n">
        <f aca="false">Sens!$H$3544*(1-Sens!$H$3496)</f>
        <v>2.83135005721638</v>
      </c>
      <c r="I3598" s="38" t="n">
        <f aca="false">Sens!$I$3544*(1-Sens!$I$3496)</f>
        <v>4.9421518161602</v>
      </c>
      <c r="J3598" s="38" t="n">
        <f aca="false">Sens!$J$3544*(1-Sens!$J$3496)</f>
        <v>7.11011252170866</v>
      </c>
      <c r="K3598" s="38" t="n">
        <f aca="false">Sens!$K$3544*(1-Sens!$K$3496)</f>
        <v>9.31663210615807</v>
      </c>
      <c r="L3598" s="38" t="n">
        <f aca="false">Sens!$L$3544*(1-Sens!$L$3496)</f>
        <v>11.411251074039</v>
      </c>
      <c r="M3598" s="38" t="n">
        <f aca="false">Sens!$M$3544*(1-Sens!$M$3496)</f>
        <v>13.5455860755423</v>
      </c>
      <c r="N3598" s="38" t="n">
        <f aca="false">Sens!$N$3544*(1-Sens!$N$3496)</f>
        <v>0.141739115596548</v>
      </c>
      <c r="O3598" s="38" t="n">
        <f aca="false">Sens!$O$3544*(1-Sens!$O$3496)</f>
        <v>0.190445576353059</v>
      </c>
    </row>
    <row r="3599" customFormat="false" ht="17.15" hidden="false" customHeight="false" outlineLevel="0" collapsed="false">
      <c r="A3599" s="0" t="s">
        <v>681</v>
      </c>
      <c r="B3599" s="0" t="s">
        <v>52</v>
      </c>
      <c r="C3599" s="28" t="n">
        <f aca="false">(Sens!$C$3600-Sens!$C$3596+Sens!$C$3598)/Sens!$C$3597</f>
        <v>-0.0292364215826579</v>
      </c>
      <c r="D3599" s="28" t="n">
        <f aca="false">(Sens!$D$3600-Sens!$D$3596+Sens!$D$3598)/Sens!$D$3597</f>
        <v>-0.0305125352740778</v>
      </c>
      <c r="E3599" s="28" t="n">
        <f aca="false">(Sens!$E$3600-Sens!$E$3596+Sens!$E$3598)/Sens!$E$3597</f>
        <v>-0.019490056934994</v>
      </c>
      <c r="F3599" s="28" t="n">
        <f aca="false">Sens!$O$3599+(Sens!$E$3599-Sens!$N$3599)</f>
        <v>-0.0367332293992226</v>
      </c>
      <c r="G3599" s="28" t="n">
        <f aca="false">(Sens!$G$3600-Sens!$G$3596+Sens!$G$3598)/Sens!$G$3597</f>
        <v>-0.0288599526442178</v>
      </c>
      <c r="H3599" s="28" t="n">
        <f aca="false">Sens!$G$3599+step_in</f>
        <v>-0.0288599526442178</v>
      </c>
      <c r="I3599" s="28" t="n">
        <f aca="false">Sens!$H$3599+step_in</f>
        <v>-0.0288599526442178</v>
      </c>
      <c r="J3599" s="28" t="n">
        <f aca="false">Sens!$I$3599+step_in</f>
        <v>-0.0288599526442178</v>
      </c>
      <c r="K3599" s="28" t="n">
        <f aca="false">Sens!$J$3599+step_in</f>
        <v>-0.0288599526442178</v>
      </c>
      <c r="L3599" s="28" t="n">
        <f aca="false">Sens!$K$3599</f>
        <v>-0.0288599526442178</v>
      </c>
      <c r="M3599" s="28" t="n">
        <f aca="false">Sens!$L$3599</f>
        <v>-0.0288599526442178</v>
      </c>
      <c r="N3599" s="28" t="n">
        <f aca="false">(Sens!$N$3600-Sens!$N$3596+Sens!$N$3598)/Sens!$N$3597</f>
        <v>-0.02085061789158</v>
      </c>
      <c r="O3599" s="28" t="n">
        <f aca="false">(Sens!$O$3600-Sens!$O$3596+Sens!$O$3598)/Sens!$O$3597</f>
        <v>-0.0380937903558086</v>
      </c>
      <c r="P3599" s="8" t="s">
        <v>676</v>
      </c>
    </row>
    <row r="3600" customFormat="false" ht="17.15" hidden="false" customHeight="false" outlineLevel="0" collapsed="false">
      <c r="A3600" s="1" t="s">
        <v>682</v>
      </c>
      <c r="B3600" s="8" t="s">
        <v>73</v>
      </c>
      <c r="C3600" s="38" t="n">
        <f aca="false">Q!$D$23</f>
        <v>3.792</v>
      </c>
      <c r="D3600" s="38" t="n">
        <f aca="false">Q!$E$23</f>
        <v>4.75</v>
      </c>
      <c r="E3600" s="38" t="n">
        <f aca="false">Q!$P$23</f>
        <v>3.141</v>
      </c>
      <c r="F3600" s="38" t="n">
        <f aca="false">Sens!$F$3596+Sens!$F$3597*Sens!$F$3599-Sens!$F$3598</f>
        <v>2.99414447978375</v>
      </c>
      <c r="G3600" s="38" t="n">
        <f aca="false">Sens!$E$3600+Sens!$F$3600</f>
        <v>6.13514447978375</v>
      </c>
      <c r="H3600" s="38" t="n">
        <f aca="false">Sens!$H$3596+Sens!$H$3597*Sens!$H$3599-Sens!$H$3598</f>
        <v>6.23068046440237</v>
      </c>
      <c r="I3600" s="38" t="n">
        <f aca="false">Sens!$I$3596+Sens!$I$3597*Sens!$I$3599-Sens!$I$3598</f>
        <v>5.8505735238974</v>
      </c>
      <c r="J3600" s="38" t="n">
        <f aca="false">Sens!$J$3596+Sens!$J$3597*Sens!$J$3599-Sens!$J$3598</f>
        <v>5.10359135169181</v>
      </c>
      <c r="K3600" s="38" t="n">
        <f aca="false">Sens!$K$3596+Sens!$K$3597*Sens!$K$3599-Sens!$K$3598</f>
        <v>3.82046838375453</v>
      </c>
      <c r="L3600" s="38" t="n">
        <f aca="false">Sens!$L$3596+Sens!$L$3597*Sens!$L$3599-Sens!$L$3598</f>
        <v>2.71713339783372</v>
      </c>
      <c r="M3600" s="38" t="n">
        <f aca="false">Sens!$M$3596+Sens!$M$3597*Sens!$M$3599-Sens!$M$3598</f>
        <v>1.64687917148528</v>
      </c>
      <c r="N3600" s="38" t="n">
        <f aca="false">Q!$N$23</f>
        <v>2.511</v>
      </c>
      <c r="O3600" s="38" t="n">
        <f aca="false">Q!$O$23</f>
        <v>2.239</v>
      </c>
    </row>
    <row r="3601" customFormat="false" ht="17.15" hidden="false" customHeight="false" outlineLevel="0" collapsed="false">
      <c r="A3601" s="0" t="s">
        <v>683</v>
      </c>
      <c r="B3601" s="0" t="s">
        <v>73</v>
      </c>
      <c r="C3601" s="38" t="n">
        <f aca="false">Sens!$C$3541</f>
        <v>1.64417882953695</v>
      </c>
      <c r="D3601" s="38" t="n">
        <f aca="false">Sens!$D$3541</f>
        <v>3.8781008067718</v>
      </c>
      <c r="E3601" s="38" t="n">
        <f aca="false">Sens!$E$3541</f>
        <v>1.41270258088753</v>
      </c>
      <c r="F3601" s="38" t="n">
        <f aca="false">Sens!$F$3541</f>
        <v>6.50727700583486</v>
      </c>
      <c r="G3601" s="38" t="n">
        <f aca="false">Sens!$G$3541</f>
        <v>7.9199795867224</v>
      </c>
      <c r="H3601" s="38" t="n">
        <f aca="false">Sens!$H$3541</f>
        <v>19.2818189481807</v>
      </c>
      <c r="I3601" s="38" t="n">
        <f aca="false">Sens!$I$3541</f>
        <v>30.140114407202</v>
      </c>
      <c r="J3601" s="38" t="n">
        <f aca="false">Sens!$J$3541</f>
        <v>40.3569468829854</v>
      </c>
      <c r="K3601" s="38" t="n">
        <f aca="false">Sens!$K$3541</f>
        <v>50.0782975081929</v>
      </c>
      <c r="L3601" s="38" t="n">
        <f aca="false">Sens!$L$3541</f>
        <v>61.443331993499</v>
      </c>
      <c r="M3601" s="38" t="n">
        <f aca="false">Sens!$M$3541</f>
        <v>72.2498791587849</v>
      </c>
      <c r="N3601" s="38" t="n">
        <f aca="false">Sens!$N$3541</f>
        <v>0.92264103489199</v>
      </c>
      <c r="O3601" s="38" t="n">
        <f aca="false">Sens!$O$3541</f>
        <v>2.95545977187981</v>
      </c>
    </row>
    <row r="3602" customFormat="false" ht="17.15" hidden="false" customHeight="false" outlineLevel="0" collapsed="false">
      <c r="A3602" s="0" t="s">
        <v>603</v>
      </c>
      <c r="B3602" s="0" t="s">
        <v>73</v>
      </c>
      <c r="C3602" s="38" t="n">
        <f aca="false">Sens!$C$3546</f>
        <v>38.1898211704631</v>
      </c>
      <c r="D3602" s="38" t="n">
        <f aca="false">Sens!$D$3546</f>
        <v>41.7278991932282</v>
      </c>
      <c r="E3602" s="38" t="n">
        <f aca="false">Sens!$E$3546</f>
        <v>29.3692974191125</v>
      </c>
      <c r="F3602" s="38" t="n">
        <f aca="false">Sens!$F$3546</f>
        <v>29.458060516894</v>
      </c>
      <c r="G3602" s="38" t="n">
        <f aca="false">Sens!$G$3546</f>
        <v>58.8273579360065</v>
      </c>
      <c r="H3602" s="38" t="n">
        <f aca="false">Sens!$H$3546</f>
        <v>67.8004040185081</v>
      </c>
      <c r="I3602" s="38" t="n">
        <f aca="false">Sens!$I$3546</f>
        <v>78.9527630302702</v>
      </c>
      <c r="J3602" s="38" t="n">
        <f aca="false">Sens!$J$3546</f>
        <v>88.6042681781841</v>
      </c>
      <c r="K3602" s="38" t="n">
        <f aca="false">Sens!$K$3546</f>
        <v>95.6926096324389</v>
      </c>
      <c r="L3602" s="38" t="n">
        <f aca="false">Sens!$L$3546</f>
        <v>103.348018403034</v>
      </c>
      <c r="M3602" s="38" t="n">
        <f aca="false">Sens!$M$3546</f>
        <v>111.615859875277</v>
      </c>
      <c r="N3602" s="38" t="n">
        <f aca="false">Sens!$N$3546</f>
        <v>20.784358965108</v>
      </c>
      <c r="O3602" s="38" t="n">
        <f aca="false">Sens!$O$3546</f>
        <v>20.9435402281202</v>
      </c>
    </row>
    <row r="3603" customFormat="false" ht="17.15" hidden="false" customHeight="false" outlineLevel="0" collapsed="false">
      <c r="A3603" s="1" t="s">
        <v>684</v>
      </c>
      <c r="B3603" s="8" t="s">
        <v>73</v>
      </c>
      <c r="C3603" s="38" t="n">
        <f aca="false">Q!$D$24</f>
        <v>39.834</v>
      </c>
      <c r="D3603" s="38" t="n">
        <f aca="false">Q!$E$24</f>
        <v>45.606</v>
      </c>
      <c r="E3603" s="38" t="n">
        <f aca="false">Q!$P$24</f>
        <v>30.782</v>
      </c>
      <c r="F3603" s="38" t="n">
        <f aca="false">Sens!$F$3601+Sens!$F$3602</f>
        <v>35.9653375227289</v>
      </c>
      <c r="G3603" s="38" t="n">
        <f aca="false">Sens!$G$3601+Sens!$G$3602</f>
        <v>66.7473375227289</v>
      </c>
      <c r="H3603" s="38" t="n">
        <f aca="false">Sens!$H$3601+Sens!$H$3602</f>
        <v>87.0822229666888</v>
      </c>
      <c r="I3603" s="38" t="n">
        <f aca="false">Sens!$I$3601+Sens!$I$3602</f>
        <v>109.092877437472</v>
      </c>
      <c r="J3603" s="38" t="n">
        <f aca="false">Sens!$J$3601+Sens!$J$3602</f>
        <v>128.96121506117</v>
      </c>
      <c r="K3603" s="38" t="n">
        <f aca="false">Sens!$K$3601+Sens!$K$3602</f>
        <v>145.770907140632</v>
      </c>
      <c r="L3603" s="38" t="n">
        <f aca="false">Sens!$L$3601+Sens!$L$3602</f>
        <v>164.791350396533</v>
      </c>
      <c r="M3603" s="38" t="n">
        <f aca="false">Sens!$M$3601+Sens!$M$3602</f>
        <v>183.865739034062</v>
      </c>
      <c r="N3603" s="38" t="n">
        <f aca="false">Q!$N$24</f>
        <v>21.707</v>
      </c>
      <c r="O3603" s="38" t="n">
        <f aca="false">Q!$O$24</f>
        <v>23.899</v>
      </c>
    </row>
    <row r="3604" customFormat="false" ht="17.15" hidden="false" customHeight="false" outlineLevel="0" collapsed="false">
      <c r="A3604" s="5" t="s">
        <v>685</v>
      </c>
      <c r="B3604" s="0" t="s">
        <v>73</v>
      </c>
      <c r="C3604" s="38" t="n">
        <f aca="false">Q!$D$26</f>
        <v>0</v>
      </c>
      <c r="D3604" s="38" t="n">
        <f aca="false">Q!$E$26</f>
        <v>0</v>
      </c>
      <c r="E3604" s="38" t="n">
        <f aca="false">Q!$P$26</f>
        <v>0</v>
      </c>
      <c r="F3604" s="41" t="n">
        <v>0</v>
      </c>
      <c r="G3604" s="38" t="n">
        <f aca="false">Sens!$E$3604+Sens!$F$3604</f>
        <v>0</v>
      </c>
      <c r="H3604" s="41" t="n">
        <v>0</v>
      </c>
      <c r="I3604" s="41" t="n">
        <v>0</v>
      </c>
      <c r="J3604" s="41" t="n">
        <v>0</v>
      </c>
      <c r="K3604" s="41" t="n">
        <v>0</v>
      </c>
      <c r="L3604" s="41" t="n">
        <v>0</v>
      </c>
      <c r="M3604" s="41" t="n">
        <v>0</v>
      </c>
      <c r="N3604" s="38" t="n">
        <f aca="false">Q!$N$26</f>
        <v>0</v>
      </c>
      <c r="O3604" s="38" t="n">
        <f aca="false">Q!$O$26</f>
        <v>0</v>
      </c>
    </row>
    <row r="3605" customFormat="false" ht="15" hidden="false" customHeight="false" outlineLevel="0" collapsed="false">
      <c r="A3605" s="3" t="s">
        <v>494</v>
      </c>
      <c r="B3605" s="8" t="s">
        <v>73</v>
      </c>
      <c r="C3605" s="38" t="n">
        <f aca="false">Q!$D$25</f>
        <v>68.593</v>
      </c>
      <c r="D3605" s="38" t="n">
        <f aca="false">Q!$E$25</f>
        <v>79.975</v>
      </c>
      <c r="E3605" s="38" t="n">
        <f aca="false">Q!$P$25</f>
        <v>51.313</v>
      </c>
      <c r="F3605" s="38" t="n">
        <f aca="false">Sens!$F$3595+Sens!$F$3600+Sens!$F$3603+Sens!$F$3604</f>
        <v>59.8825772328462</v>
      </c>
      <c r="G3605" s="38" t="n">
        <f aca="false">Sens!$G$3595+Sens!$G$3600+Sens!$G$3603+Sens!$G$3604</f>
        <v>111.195577232846</v>
      </c>
      <c r="H3605" s="38" t="n">
        <f aca="false">Sens!$H$3595+Sens!$H$3600+Sens!$H$3603+Sens!$H$3604</f>
        <v>135.319181024328</v>
      </c>
      <c r="I3605" s="38" t="n">
        <f aca="false">Sens!$I$3595+Sens!$I$3600+Sens!$I$3603+Sens!$I$3604</f>
        <v>159.533336176446</v>
      </c>
      <c r="J3605" s="38" t="n">
        <f aca="false">Sens!$J$3595+Sens!$J$3600+Sens!$J$3603+Sens!$J$3604</f>
        <v>180.332142737857</v>
      </c>
      <c r="K3605" s="38" t="n">
        <f aca="false">Sens!$K$3595+Sens!$K$3600+Sens!$K$3603+Sens!$K$3604</f>
        <v>196.09516679712</v>
      </c>
      <c r="L3605" s="38" t="n">
        <f aca="false">Sens!$L$3595+Sens!$L$3600+Sens!$L$3603+Sens!$L$3604</f>
        <v>213.263759679436</v>
      </c>
      <c r="M3605" s="38" t="n">
        <f aca="false">Sens!$M$3595+Sens!$M$3600+Sens!$M$3603+Sens!$M$3604</f>
        <v>230.734643799719</v>
      </c>
      <c r="N3605" s="38" t="n">
        <f aca="false">Q!$N$25</f>
        <v>37.576</v>
      </c>
      <c r="O3605" s="38" t="n">
        <f aca="false">Q!$O$25</f>
        <v>42.399</v>
      </c>
    </row>
    <row r="3606" customFormat="false" ht="17.15" hidden="false" customHeight="false" outlineLevel="0" collapsed="false">
      <c r="A3606" s="24" t="s">
        <v>711</v>
      </c>
      <c r="B3606" s="25" t="s">
        <v>73</v>
      </c>
      <c r="C3606" s="39" t="n">
        <f aca="false">Sens!$C$3595+Sens!$C$3600+Sens!$C$3603+Sens!$C$3604-Sens!$C$3605</f>
        <v>0</v>
      </c>
      <c r="D3606" s="39" t="n">
        <f aca="false">Sens!$D$3595+Sens!$D$3600+Sens!$D$3603+Sens!$D$3604-Sens!$D$3605</f>
        <v>0</v>
      </c>
      <c r="E3606" s="39" t="n">
        <f aca="false">Sens!$E$3595+Sens!$E$3600+Sens!$E$3603+Sens!$E$3604-Sens!$E$3605</f>
        <v>0</v>
      </c>
      <c r="F3606" s="39" t="n">
        <f aca="false">Sens!$F$3595+Sens!$F$3600+Sens!$F$3603+Sens!$F$3604-Sens!$F$3605</f>
        <v>0</v>
      </c>
      <c r="G3606" s="39" t="n">
        <f aca="false">Sens!$G$3595+Sens!$G$3600+Sens!$G$3603+Sens!$G$3604-Sens!$G$3605</f>
        <v>0</v>
      </c>
      <c r="H3606" s="39" t="n">
        <f aca="false">Sens!$H$3595+Sens!$H$3600+Sens!$H$3603+Sens!$H$3604-Sens!$H$3605</f>
        <v>0</v>
      </c>
      <c r="I3606" s="39" t="n">
        <f aca="false">Sens!$I$3595+Sens!$I$3600+Sens!$I$3603+Sens!$I$3604-Sens!$I$3605</f>
        <v>0</v>
      </c>
      <c r="J3606" s="39" t="n">
        <f aca="false">Sens!$J$3595+Sens!$J$3600+Sens!$J$3603+Sens!$J$3604-Sens!$J$3605</f>
        <v>0</v>
      </c>
      <c r="K3606" s="39" t="n">
        <f aca="false">Sens!$K$3595+Sens!$K$3600+Sens!$K$3603+Sens!$K$3604-Sens!$K$3605</f>
        <v>0</v>
      </c>
      <c r="L3606" s="39" t="n">
        <f aca="false">Sens!$L$3595+Sens!$L$3600+Sens!$L$3603+Sens!$L$3604-Sens!$L$3605</f>
        <v>0</v>
      </c>
      <c r="M3606" s="39" t="n">
        <f aca="false">Sens!$M$3595+Sens!$M$3600+Sens!$M$3603+Sens!$M$3604-Sens!$M$3605</f>
        <v>0</v>
      </c>
      <c r="N3606" s="39" t="n">
        <f aca="false">Sens!$N$3595+Sens!$N$3600+Sens!$N$3603+Sens!$N$3604-Sens!$N$3605</f>
        <v>0</v>
      </c>
      <c r="O3606" s="39" t="n">
        <f aca="false">Sens!$O$3595+Sens!$O$3600+Sens!$O$3603+Sens!$O$3604-Sens!$O$3605</f>
        <v>0</v>
      </c>
    </row>
    <row r="3607" customFormat="false" ht="17.15" hidden="false" customHeight="false" outlineLevel="0" collapsed="false">
      <c r="A3607" s="0" t="s">
        <v>687</v>
      </c>
      <c r="B3607" s="0" t="s">
        <v>52</v>
      </c>
      <c r="C3607" s="12" t="n">
        <f aca="false">Sens!$C$3595/Sens!$C$3580</f>
        <v>0.0644314665661928</v>
      </c>
      <c r="D3607" s="12" t="n">
        <f aca="false">Sens!$D$3595/Sens!$D$3580</f>
        <v>0.0694784250712518</v>
      </c>
      <c r="E3607" s="12" t="n">
        <f aca="false">Sens!$E$3595/Sens!$E$3580</f>
        <v>0.0789306463326071</v>
      </c>
      <c r="F3607" s="12" t="n">
        <f aca="false">Sens!$F$3595/Sens!$F$3580</f>
        <v>0.0816338957078875</v>
      </c>
      <c r="G3607" s="12" t="n">
        <f aca="false">Sens!$G$3595/Sens!$G$3580</f>
        <v>0.080384315570057</v>
      </c>
      <c r="H3607" s="12" t="n">
        <f aca="false">Sens!$H$3595/Sens!$H$3580</f>
        <v>0.0796671316989645</v>
      </c>
      <c r="I3607" s="12" t="n">
        <f aca="false">Sens!$I$3595/Sens!$I$3580</f>
        <v>0.0774780874727526</v>
      </c>
      <c r="J3607" s="12" t="n">
        <f aca="false">Sens!$J$3595/Sens!$J$3580</f>
        <v>0.0747140209299944</v>
      </c>
      <c r="K3607" s="12" t="n">
        <f aca="false">Sens!$K$3595/Sens!$K$3580</f>
        <v>0.0708447727269117</v>
      </c>
      <c r="L3607" s="12" t="n">
        <f aca="false">Sens!$L$3595/Sens!$L$3580</f>
        <v>0.0657512622816438</v>
      </c>
      <c r="M3607" s="12" t="n">
        <f aca="false">Sens!$M$3595/Sens!$M$3580</f>
        <v>0.0612926379059757</v>
      </c>
      <c r="N3607" s="12" t="n">
        <f aca="false">Sens!$N$3595/Sens!$N$3580</f>
        <v>0.069228576611127</v>
      </c>
      <c r="O3607" s="12" t="n">
        <f aca="false">Sens!$O$3595/Sens!$O$3580</f>
        <v>0.069685022498393</v>
      </c>
    </row>
    <row r="3608" customFormat="false" ht="17.15" hidden="false" customHeight="false" outlineLevel="0" collapsed="false">
      <c r="A3608" s="0" t="s">
        <v>688</v>
      </c>
      <c r="B3608" s="0" t="s">
        <v>52</v>
      </c>
      <c r="C3608" s="12" t="n">
        <f aca="false">Sens!$C$3600/Sens!$C$3581</f>
        <v>0.026534925055631</v>
      </c>
      <c r="D3608" s="12" t="n">
        <f aca="false">Sens!$D$3600/Sens!$D$3581</f>
        <v>0.0293401855535103</v>
      </c>
      <c r="E3608" s="12" t="n">
        <f aca="false">Sens!$E$3600/Sens!$E$3581</f>
        <v>0.03831141902276</v>
      </c>
      <c r="F3608" s="12" t="n">
        <f aca="false">Sens!$F$3600/Sens!$F$3581</f>
        <v>0.0297532808235678</v>
      </c>
      <c r="G3608" s="12" t="n">
        <f aca="false">Sens!$G$3600/Sens!$G$3581</f>
        <v>0.0335954317997163</v>
      </c>
      <c r="H3608" s="12" t="n">
        <f aca="false">Sens!$H$3600/Sens!$H$3581</f>
        <v>0.0308412389543792</v>
      </c>
      <c r="I3608" s="12" t="n">
        <f aca="false">Sens!$I$3600/Sens!$I$3581</f>
        <v>0.0265321431865367</v>
      </c>
      <c r="J3608" s="12" t="n">
        <f aca="false">Sens!$J$3600/Sens!$J$3581</f>
        <v>0.02150972504147</v>
      </c>
      <c r="K3608" s="12" t="n">
        <f aca="false">Sens!$K$3600/Sens!$K$3581</f>
        <v>0.0151903371914089</v>
      </c>
      <c r="L3608" s="12" t="n">
        <f aca="false">Sens!$L$3600/Sens!$L$3581</f>
        <v>0.0101907284845257</v>
      </c>
      <c r="M3608" s="12" t="n">
        <f aca="false">Sens!$M$3600/Sens!$M$3581</f>
        <v>0.00582574393799077</v>
      </c>
      <c r="N3608" s="12" t="n">
        <f aca="false">Sens!$N$3600/Sens!$N$3581</f>
        <v>0.0357315650169337</v>
      </c>
      <c r="O3608" s="12" t="n">
        <f aca="false">Sens!$O$3600/Sens!$O$3581</f>
        <v>0.0244378956559703</v>
      </c>
    </row>
    <row r="3609" customFormat="false" ht="17.15" hidden="false" customHeight="false" outlineLevel="0" collapsed="false">
      <c r="A3609" s="13" t="s">
        <v>689</v>
      </c>
      <c r="B3609" s="13" t="s">
        <v>52</v>
      </c>
      <c r="C3609" s="16" t="n">
        <f aca="false">Sens!$C$3603/Sens!$C$3582</f>
        <v>0.370355907620217</v>
      </c>
      <c r="D3609" s="16" t="n">
        <f aca="false">Sens!$D$3603/Sens!$D$3582</f>
        <v>0.35429015342785</v>
      </c>
      <c r="E3609" s="16" t="n">
        <f aca="false">Sens!$E$3603/Sens!$E$3582</f>
        <v>0.385647527531039</v>
      </c>
      <c r="F3609" s="16" t="n">
        <f aca="false">Sens!$F$3603/Sens!$F$3582</f>
        <v>0.384415729470259</v>
      </c>
      <c r="G3609" s="16" t="n">
        <f aca="false">Sens!$G$3603/Sens!$G$3582</f>
        <v>0.38498282105443</v>
      </c>
      <c r="H3609" s="16" t="n">
        <f aca="false">Sens!$H$3603/Sens!$H$3582</f>
        <v>0.361247909668527</v>
      </c>
      <c r="I3609" s="16" t="n">
        <f aca="false">Sens!$I$3603/Sens!$I$3582</f>
        <v>0.349486287974975</v>
      </c>
      <c r="J3609" s="16" t="n">
        <f aca="false">Sens!$J$3603/Sens!$J$3582</f>
        <v>0.339886531832068</v>
      </c>
      <c r="K3609" s="16" t="n">
        <f aca="false">Sens!$K$3603/Sens!$K$3582</f>
        <v>0.33135833762061</v>
      </c>
      <c r="L3609" s="16" t="n">
        <f aca="false">Sens!$L$3603/Sens!$L$3582</f>
        <v>0.328299068185284</v>
      </c>
      <c r="M3609" s="16" t="n">
        <f aca="false">Sens!$M$3603/Sens!$M$3582</f>
        <v>0.325058049465166</v>
      </c>
      <c r="N3609" s="16" t="n">
        <f aca="false">Sens!$N$3603/Sens!$N$3582</f>
        <v>0.360941137346192</v>
      </c>
      <c r="O3609" s="16" t="n">
        <f aca="false">Sens!$O$3603/Sens!$O$3582</f>
        <v>0.348458117664212</v>
      </c>
    </row>
    <row r="3610" customFormat="false" ht="17.15" hidden="false" customHeight="false" outlineLevel="0" collapsed="false">
      <c r="A3610" s="0" t="s">
        <v>690</v>
      </c>
      <c r="B3610" s="0" t="s">
        <v>52</v>
      </c>
      <c r="C3610" s="12" t="n">
        <f aca="false">Sens!$C$3601/Sens!$C$3583</f>
        <v>0.708390794789371</v>
      </c>
      <c r="D3610" s="12" t="n">
        <f aca="false">Sens!$D$3601/Sens!$D$3583</f>
        <v>0.445565630441968</v>
      </c>
      <c r="E3610" s="12" t="n">
        <f aca="false">Sens!$E$3601/Sens!$E$3583</f>
        <v>0.165998118402711</v>
      </c>
      <c r="F3610" s="12" t="n">
        <f aca="false">Sens!$F$3601/Sens!$F$3583</f>
        <v>0.434878595403858</v>
      </c>
      <c r="G3610" s="12" t="n">
        <f aca="false">Sens!$G$3601/Sens!$G$3583</f>
        <v>0.3373967615381</v>
      </c>
      <c r="H3610" s="12" t="n">
        <f aca="false">Sens!$H$3601/Sens!$H$3583</f>
        <v>0.320477578041224</v>
      </c>
      <c r="I3610" s="12" t="n">
        <f aca="false">Sens!$I$3601/Sens!$I$3583</f>
        <v>0.296936118226494</v>
      </c>
      <c r="J3610" s="12" t="n">
        <f aca="false">Sens!$J$3601/Sens!$J$3583</f>
        <v>0.282166278613001</v>
      </c>
      <c r="K3610" s="12" t="n">
        <f aca="false">Sens!$K$3601/Sens!$K$3583</f>
        <v>0.271267685694333</v>
      </c>
      <c r="L3610" s="12" t="n">
        <f aca="false">Sens!$L$3601/Sens!$L$3583</f>
        <v>0.27160960915653</v>
      </c>
      <c r="M3610" s="12" t="n">
        <f aca="false">Sens!$M$3601/Sens!$M$3583</f>
        <v>0.26974494804234</v>
      </c>
      <c r="N3610" s="12" t="n">
        <f aca="false">Sens!$N$3601/Sens!$N$3583</f>
        <v>0.302870734830849</v>
      </c>
      <c r="O3610" s="12" t="n">
        <f aca="false">Sens!$O$3601/Sens!$O$3583</f>
        <v>0.52240134346334</v>
      </c>
    </row>
    <row r="3611" customFormat="false" ht="15" hidden="false" customHeight="false" outlineLevel="0" collapsed="false">
      <c r="A3611" s="5" t="s">
        <v>691</v>
      </c>
      <c r="B3611" s="0" t="s">
        <v>52</v>
      </c>
      <c r="C3611" s="12" t="n">
        <f aca="false">Sens!$C$3605/Sens!$C$3585</f>
        <v>0.107519448742004</v>
      </c>
      <c r="D3611" s="12" t="n">
        <f aca="false">Sens!$D$3605/Sens!$D$3585</f>
        <v>0.111552967957552</v>
      </c>
      <c r="E3611" s="12" t="n">
        <f aca="false">Sens!$E$3605/Sens!$E$3585</f>
        <v>0.13428328426562</v>
      </c>
      <c r="F3611" s="12" t="n">
        <f aca="false">Sens!$F$3605/Sens!$F$3585</f>
        <v>0.132926212451512</v>
      </c>
      <c r="G3611" s="12" t="n">
        <f aca="false">Sens!$G$3605/Sens!$G$3585</f>
        <v>0.133549030959228</v>
      </c>
      <c r="H3611" s="12" t="n">
        <f aca="false">Sens!$H$3605/Sens!$H$3585</f>
        <v>0.139453108170009</v>
      </c>
      <c r="I3611" s="12" t="n">
        <f aca="false">Sens!$I$3605/Sens!$I$3585</f>
        <v>0.143960149089648</v>
      </c>
      <c r="J3611" s="12" t="n">
        <f aca="false">Sens!$J$3605/Sens!$J$3585</f>
        <v>0.145905408343807</v>
      </c>
      <c r="K3611" s="12" t="n">
        <f aca="false">Sens!$K$3605/Sens!$K$3585</f>
        <v>0.145488047313281</v>
      </c>
      <c r="L3611" s="12" t="n">
        <f aca="false">Sens!$L$3605/Sens!$L$3585</f>
        <v>0.145625481083029</v>
      </c>
      <c r="M3611" s="12" t="n">
        <f aca="false">Sens!$M$3605/Sens!$M$3585</f>
        <v>0.145469755415829</v>
      </c>
      <c r="N3611" s="12" t="n">
        <f aca="false">Sens!$N$3605/Sens!$N$3585</f>
        <v>0.116201614873411</v>
      </c>
      <c r="O3611" s="12" t="n">
        <f aca="false">Sens!$O$3605/Sens!$O$3585</f>
        <v>0.107733353660861</v>
      </c>
    </row>
    <row r="3612" customFormat="false" ht="17.15" hidden="false" customHeight="false" outlineLevel="0" collapsed="false">
      <c r="A3612" s="1" t="s">
        <v>692</v>
      </c>
    </row>
    <row r="3613" customFormat="false" ht="17.15" hidden="false" customHeight="false" outlineLevel="0" collapsed="false">
      <c r="A3613" s="5" t="s">
        <v>693</v>
      </c>
      <c r="B3613" s="0" t="s">
        <v>52</v>
      </c>
      <c r="D3613" s="28" t="n">
        <f aca="false">(Q!$E$29+Q!$E$30-(1-ext_sh)*Sens!$D$3537)/Sens!$D$3495</f>
        <v>0.0334674312393194</v>
      </c>
    </row>
    <row r="3614" customFormat="false" ht="17.15" hidden="false" customHeight="false" outlineLevel="0" collapsed="false">
      <c r="A3614" s="0" t="s">
        <v>498</v>
      </c>
      <c r="B3614" s="0" t="s">
        <v>73</v>
      </c>
      <c r="C3614" s="38" t="n">
        <f aca="false">Q!$D$29</f>
        <v>14.285</v>
      </c>
      <c r="D3614" s="38" t="n">
        <f aca="false">Q!$E$29</f>
        <v>15.503</v>
      </c>
      <c r="E3614" s="38" t="n">
        <f aca="false">Q!$P$29</f>
        <v>8.78</v>
      </c>
      <c r="F3614" s="38" t="n">
        <f aca="false">(Sens!$D$3613*Sens!$F$3495+(1-ext_sh)*Sens!$F$3537)*Sens!$F$3496</f>
        <v>9.51361751569285</v>
      </c>
      <c r="G3614" s="38" t="n">
        <f aca="false">Sens!$E$3614+Sens!$F$3614</f>
        <v>18.2936175156929</v>
      </c>
      <c r="H3614" s="38" t="n">
        <f aca="false">(Sens!$D$3613*Sens!$H$3495+(1-ext_sh)*Sens!$H$3537)*Sens!$H$3496</f>
        <v>22.7499036266179</v>
      </c>
      <c r="I3614" s="38" t="n">
        <f aca="false">(Sens!$D$3613*Sens!$I$3495+(1-ext_sh)*Sens!$I$3537)*Sens!$I$3496</f>
        <v>28.3731911709199</v>
      </c>
      <c r="J3614" s="38" t="n">
        <f aca="false">(Sens!$D$3613*Sens!$J$3495+(1-ext_sh)*Sens!$J$3537)*Sens!$J$3496</f>
        <v>33.992259293501</v>
      </c>
      <c r="K3614" s="38" t="n">
        <f aca="false">(Sens!$D$3613*Sens!$K$3495+(1-ext_sh)*Sens!$K$3537)*Sens!$K$3496</f>
        <v>39.4906900092821</v>
      </c>
      <c r="L3614" s="38" t="n">
        <f aca="false">(Sens!$D$3613*Sens!$L$3495+(1-ext_sh)*Sens!$L$3537)*Sens!$L$3496</f>
        <v>44.7738637970742</v>
      </c>
      <c r="M3614" s="38" t="n">
        <f aca="false">(Sens!$D$3613*Sens!$M$3495+(1-ext_sh)*Sens!$M$3537)*Sens!$M$3496</f>
        <v>50.2426149001262</v>
      </c>
      <c r="N3614" s="38" t="n">
        <f aca="false">Q!$N$29</f>
        <v>7.272</v>
      </c>
      <c r="O3614" s="38" t="n">
        <f aca="false">Q!$O$29</f>
        <v>8.231</v>
      </c>
    </row>
    <row r="3615" customFormat="false" ht="17.15" hidden="false" customHeight="false" outlineLevel="0" collapsed="false">
      <c r="A3615" s="0" t="s">
        <v>500</v>
      </c>
      <c r="B3615" s="0" t="s">
        <v>73</v>
      </c>
      <c r="C3615" s="38" t="n">
        <f aca="false">Q!$D$30</f>
        <v>4.462</v>
      </c>
      <c r="D3615" s="38" t="n">
        <f aca="false">Q!$E$30</f>
        <v>4.907</v>
      </c>
      <c r="E3615" s="38" t="n">
        <f aca="false">Q!$P$30</f>
        <v>2.57</v>
      </c>
      <c r="F3615" s="38" t="n">
        <f aca="false">(Sens!$D$3613*Sens!$F$3495+(1-ext_sh)*Sens!$F$3537)*(1-Sens!$F$3496)</f>
        <v>3.7353230631574</v>
      </c>
      <c r="G3615" s="38" t="n">
        <f aca="false">Sens!$E$3615+Sens!$F$3615</f>
        <v>6.3053230631574</v>
      </c>
      <c r="H3615" s="38" t="n">
        <f aca="false">(Sens!$D$3613*Sens!$H$3495+(1-ext_sh)*Sens!$H$3537)*(1-Sens!$H$3496)</f>
        <v>8.71662189234797</v>
      </c>
      <c r="I3615" s="38" t="n">
        <f aca="false">(Sens!$D$3613*Sens!$I$3495+(1-ext_sh)*Sens!$I$3537)*(1-Sens!$I$3496)</f>
        <v>10.8711836047888</v>
      </c>
      <c r="J3615" s="38" t="n">
        <f aca="false">(Sens!$D$3613*Sens!$J$3495+(1-ext_sh)*Sens!$J$3537)*(1-Sens!$J$3496)</f>
        <v>13.0241286464803</v>
      </c>
      <c r="K3615" s="38" t="n">
        <f aca="false">(Sens!$D$3613*Sens!$K$3495+(1-ext_sh)*Sens!$K$3537)*(1-Sens!$K$3496)</f>
        <v>15.1308514852821</v>
      </c>
      <c r="L3615" s="38" t="n">
        <f aca="false">(Sens!$D$3613*Sens!$L$3495+(1-ext_sh)*Sens!$L$3537)*(1-Sens!$L$3496)</f>
        <v>17.1550986669653</v>
      </c>
      <c r="M3615" s="38" t="n">
        <f aca="false">(Sens!$D$3613*Sens!$M$3495+(1-ext_sh)*Sens!$M$3537)*(1-Sens!$M$3496)</f>
        <v>19.2504497669538</v>
      </c>
      <c r="N3615" s="38" t="n">
        <f aca="false">Q!$N$30</f>
        <v>2.316</v>
      </c>
      <c r="O3615" s="38" t="n">
        <f aca="false">Q!$O$30</f>
        <v>2.591</v>
      </c>
    </row>
    <row r="3616" customFormat="false" ht="17.15" hidden="false" customHeight="false" outlineLevel="0" collapsed="false">
      <c r="A3616" s="0" t="s">
        <v>501</v>
      </c>
      <c r="B3616" s="0" t="s">
        <v>73</v>
      </c>
      <c r="C3616" s="38" t="n">
        <f aca="false">Sens!$C$3549</f>
        <v>13.32</v>
      </c>
      <c r="D3616" s="38" t="n">
        <f aca="false">Sens!$D$3549</f>
        <v>21.45</v>
      </c>
      <c r="E3616" s="38" t="n">
        <f aca="false">Sens!$E$3549</f>
        <v>15.353</v>
      </c>
      <c r="F3616" s="38" t="n">
        <f aca="false">Sens!$F$3549</f>
        <v>17.3614451462707</v>
      </c>
      <c r="G3616" s="38" t="n">
        <f aca="false">Sens!$G$3549</f>
        <v>32.7144451462707</v>
      </c>
      <c r="H3616" s="38" t="n">
        <f aca="false">Sens!$H$3549</f>
        <v>56.1966092719415</v>
      </c>
      <c r="I3616" s="38" t="n">
        <f aca="false">Sens!$I$3549</f>
        <v>82.9744039068297</v>
      </c>
      <c r="J3616" s="38" t="n">
        <f aca="false">Sens!$J$3549</f>
        <v>109.943252237669</v>
      </c>
      <c r="K3616" s="38" t="n">
        <f aca="false">Sens!$K$3549</f>
        <v>136.406703436571</v>
      </c>
      <c r="L3616" s="38" t="n">
        <f aca="false">Sens!$L$3549</f>
        <v>161.485870454155</v>
      </c>
      <c r="M3616" s="38" t="n">
        <f aca="false">Sens!$M$3549</f>
        <v>187.389846618199</v>
      </c>
      <c r="N3616" s="38" t="n">
        <f aca="false">Sens!$N$3549</f>
        <v>9.234</v>
      </c>
      <c r="O3616" s="38" t="n">
        <f aca="false">Sens!$O$3549</f>
        <v>12.216</v>
      </c>
    </row>
    <row r="3617" customFormat="false" ht="17.15" hidden="false" customHeight="false" outlineLevel="0" collapsed="false">
      <c r="A3617" s="5" t="s">
        <v>694</v>
      </c>
      <c r="B3617" s="0" t="s">
        <v>73</v>
      </c>
      <c r="C3617" s="38" t="n">
        <f aca="false">Sens!$C$3614+Sens!$C$3615+Sens!$C$3616</f>
        <v>32.067</v>
      </c>
      <c r="D3617" s="38" t="n">
        <f aca="false">Sens!$D$3614+Sens!$D$3615+Sens!$D$3616</f>
        <v>41.86</v>
      </c>
      <c r="E3617" s="38" t="n">
        <f aca="false">Sens!$E$3614+Sens!$E$3615+Sens!$E$3616</f>
        <v>26.703</v>
      </c>
      <c r="F3617" s="38" t="n">
        <f aca="false">Sens!$F$3614+Sens!$F$3615+Sens!$F$3616</f>
        <v>30.6103857251209</v>
      </c>
      <c r="G3617" s="38" t="n">
        <f aca="false">Sens!$G$3614+Sens!$G$3615+Sens!$G$3616</f>
        <v>57.3133857251209</v>
      </c>
      <c r="H3617" s="38" t="n">
        <f aca="false">Sens!$H$3614+Sens!$H$3615+Sens!$H$3616</f>
        <v>87.6631347909074</v>
      </c>
      <c r="I3617" s="38" t="n">
        <f aca="false">Sens!$I$3614+Sens!$I$3615+Sens!$I$3616</f>
        <v>122.218778682539</v>
      </c>
      <c r="J3617" s="38" t="n">
        <f aca="false">Sens!$J$3614+Sens!$J$3615+Sens!$J$3616</f>
        <v>156.95964017765</v>
      </c>
      <c r="K3617" s="38" t="n">
        <f aca="false">Sens!$K$3614+Sens!$K$3615+Sens!$K$3616</f>
        <v>191.028244931135</v>
      </c>
      <c r="L3617" s="38" t="n">
        <f aca="false">Sens!$L$3614+Sens!$L$3615+Sens!$L$3616</f>
        <v>223.414832918194</v>
      </c>
      <c r="M3617" s="38" t="n">
        <f aca="false">Sens!$M$3614+Sens!$M$3615+Sens!$M$3616</f>
        <v>256.882911285279</v>
      </c>
      <c r="N3617" s="38" t="n">
        <f aca="false">Sens!$N$3614+Sens!$N$3615+Sens!$N$3616</f>
        <v>18.822</v>
      </c>
      <c r="O3617" s="38" t="n">
        <f aca="false">Sens!$O$3614+Sens!$O$3615+Sens!$O$3616</f>
        <v>23.038</v>
      </c>
    </row>
    <row r="3618" customFormat="false" ht="17.15" hidden="false" customHeight="false" outlineLevel="0" collapsed="false">
      <c r="A3618" s="0" t="s">
        <v>695</v>
      </c>
      <c r="B3618" s="0" t="s">
        <v>73</v>
      </c>
      <c r="C3618" s="38" t="n">
        <f aca="false">Sens!$C$3591+Sens!$C$3596</f>
        <v>28.107</v>
      </c>
      <c r="D3618" s="38" t="n">
        <f aca="false">Sens!$D$3591+Sens!$D$3596</f>
        <v>34.3175</v>
      </c>
      <c r="E3618" s="38" t="n">
        <f aca="false">Sens!$E$3591+Sens!$E$3596</f>
        <v>18.526</v>
      </c>
      <c r="F3618" s="38" t="n">
        <f aca="false">Sens!$F$3591+Sens!$F$3596</f>
        <v>24.0766690913691</v>
      </c>
      <c r="G3618" s="38" t="n">
        <f aca="false">Sens!$G$3591+Sens!$G$3596</f>
        <v>42.6026690913691</v>
      </c>
      <c r="H3618" s="38" t="n">
        <f aca="false">Sens!$H$3591+Sens!$H$3596</f>
        <v>50.8271609112849</v>
      </c>
      <c r="I3618" s="38" t="n">
        <f aca="false">Sens!$I$3591+Sens!$I$3596</f>
        <v>58.5546206343026</v>
      </c>
      <c r="J3618" s="38" t="n">
        <f aca="false">Sens!$J$3591+Sens!$J$3596</f>
        <v>65.0551807625486</v>
      </c>
      <c r="K3618" s="38" t="n">
        <f aca="false">Sens!$K$3591+Sens!$K$3596</f>
        <v>69.609043415927</v>
      </c>
      <c r="L3618" s="38" t="n">
        <f aca="false">Sens!$L$3591+Sens!$L$3596</f>
        <v>74.4816764550418</v>
      </c>
      <c r="M3618" s="38" t="n">
        <f aca="false">Sens!$M$3591+Sens!$M$3596</f>
        <v>79.6953938068948</v>
      </c>
      <c r="N3618" s="38" t="n">
        <f aca="false">Sens!$N$3591+Sens!$N$3596</f>
        <v>14.8075</v>
      </c>
      <c r="O3618" s="38" t="n">
        <f aca="false">Sens!$O$3591+Sens!$O$3596</f>
        <v>19.51</v>
      </c>
    </row>
    <row r="3619" customFormat="false" ht="17.15" hidden="false" customHeight="false" outlineLevel="0" collapsed="false">
      <c r="A3619" s="0" t="s">
        <v>696</v>
      </c>
      <c r="B3619" s="0" t="s">
        <v>73</v>
      </c>
      <c r="C3619" s="38" t="n">
        <f aca="false">Sens!$C$3595+Sens!$C$3600+Sens!$C$3614+Sens!$C$3615-Sens!$C$3618</f>
        <v>19.399</v>
      </c>
      <c r="D3619" s="38" t="n">
        <f aca="false">Sens!$D$3595+Sens!$D$3600+Sens!$D$3614+Sens!$D$3615-Sens!$D$3618</f>
        <v>20.4615</v>
      </c>
      <c r="E3619" s="38" t="n">
        <f aca="false">Sens!$E$3595+Sens!$E$3600+Sens!$E$3614+Sens!$E$3615-Sens!$E$3618</f>
        <v>13.355</v>
      </c>
      <c r="F3619" s="38" t="n">
        <f aca="false">Sens!$F$3595+Sens!$F$3600+Sens!$F$3614+Sens!$F$3615-Sens!$F$3618</f>
        <v>13.0895111975985</v>
      </c>
      <c r="G3619" s="38" t="n">
        <f aca="false">Sens!$G$3595+Sens!$G$3600+Sens!$G$3614+Sens!$G$3615-Sens!$G$3618</f>
        <v>26.4445111975985</v>
      </c>
      <c r="H3619" s="38" t="n">
        <f aca="false">Sens!$H$3595+Sens!$H$3600+Sens!$H$3614+Sens!$H$3615-Sens!$H$3618</f>
        <v>28.8763226653204</v>
      </c>
      <c r="I3619" s="38" t="n">
        <f aca="false">Sens!$I$3595+Sens!$I$3600+Sens!$I$3614+Sens!$I$3615-Sens!$I$3618</f>
        <v>31.1302128803799</v>
      </c>
      <c r="J3619" s="38" t="n">
        <f aca="false">Sens!$J$3595+Sens!$J$3600+Sens!$J$3614+Sens!$J$3615-Sens!$J$3618</f>
        <v>33.3321348541203</v>
      </c>
      <c r="K3619" s="38" t="n">
        <f aca="false">Sens!$K$3595+Sens!$K$3600+Sens!$K$3614+Sens!$K$3615-Sens!$K$3618</f>
        <v>35.3367577351258</v>
      </c>
      <c r="L3619" s="38" t="n">
        <f aca="false">Sens!$L$3595+Sens!$L$3600+Sens!$L$3614+Sens!$L$3615-Sens!$L$3618</f>
        <v>35.9196952919004</v>
      </c>
      <c r="M3619" s="38" t="n">
        <f aca="false">Sens!$M$3595+Sens!$M$3600+Sens!$M$3614+Sens!$M$3615-Sens!$M$3618</f>
        <v>36.6665756258422</v>
      </c>
      <c r="N3619" s="38" t="n">
        <f aca="false">Sens!$N$3595+Sens!$N$3600+Sens!$N$3614+Sens!$N$3615-Sens!$N$3618</f>
        <v>10.6495</v>
      </c>
      <c r="O3619" s="38" t="n">
        <f aca="false">Sens!$O$3595+Sens!$O$3600+Sens!$O$3614+Sens!$O$3615-Sens!$O$3618</f>
        <v>9.81200000000001</v>
      </c>
    </row>
    <row r="3620" customFormat="false" ht="17.15" hidden="false" customHeight="false" outlineLevel="0" collapsed="false">
      <c r="A3620" s="0" t="s">
        <v>697</v>
      </c>
      <c r="B3620" s="0" t="s">
        <v>73</v>
      </c>
      <c r="C3620" s="38" t="n">
        <f aca="false">Sens!$C$3602+Sens!$C$3616-ext_sh*Sens!$C$3537</f>
        <v>51.3470500115664</v>
      </c>
      <c r="D3620" s="38" t="n">
        <f aca="false">Sens!$D$3602+Sens!$D$3616-ext_sh*Sens!$D$3537</f>
        <v>60.2799375433739</v>
      </c>
      <c r="E3620" s="38" t="n">
        <f aca="false">Sens!$E$3602+Sens!$E$3616-ext_sh*Sens!$E$3537</f>
        <v>39.5095167090767</v>
      </c>
      <c r="F3620" s="38" t="n">
        <f aca="false">Sens!$F$3602+Sens!$F$3616-ext_sh*Sens!$F$3537</f>
        <v>41.606724953129</v>
      </c>
      <c r="G3620" s="38" t="n">
        <f aca="false">Sens!$G$3602+Sens!$G$3616-ext_sh*Sens!$G$3537</f>
        <v>81.1162416622057</v>
      </c>
      <c r="H3620" s="38" t="n">
        <f aca="false">Sens!$H$3602+Sens!$H$3616-ext_sh*Sens!$H$3537</f>
        <v>95.7616595325849</v>
      </c>
      <c r="I3620" s="38" t="n">
        <f aca="false">Sens!$I$3602+Sens!$I$3616-ext_sh*Sens!$I$3537</f>
        <v>111.513312079935</v>
      </c>
      <c r="J3620" s="38" t="n">
        <f aca="false">Sens!$J$3602+Sens!$J$3616-ext_sh*Sens!$J$3537</f>
        <v>125.145150463955</v>
      </c>
      <c r="K3620" s="38" t="n">
        <f aca="false">Sens!$K$3602+Sens!$K$3616-ext_sh*Sens!$K$3537</f>
        <v>135.156762501071</v>
      </c>
      <c r="L3620" s="38" t="n">
        <f aca="false">Sens!$L$3602+Sens!$L$3616-ext_sh*Sens!$L$3537</f>
        <v>145.969303501157</v>
      </c>
      <c r="M3620" s="38" t="n">
        <f aca="false">Sens!$M$3602+Sens!$M$3616-ext_sh*Sens!$M$3537</f>
        <v>157.646847781249</v>
      </c>
      <c r="N3620" s="38" t="n">
        <f aca="false">Sens!$N$3602+Sens!$N$3616-ext_sh*Sens!$N$3537</f>
        <v>28.5693781401809</v>
      </c>
      <c r="O3620" s="38" t="n">
        <f aca="false">Sens!$O$3602+Sens!$O$3616-ext_sh*Sens!$O$3537</f>
        <v>31.7105594031931</v>
      </c>
    </row>
    <row r="3621" customFormat="false" ht="17.15" hidden="false" customHeight="false" outlineLevel="0" collapsed="false">
      <c r="A3621" s="0" t="s">
        <v>698</v>
      </c>
      <c r="B3621" s="0" t="s">
        <v>73</v>
      </c>
      <c r="C3621" s="38" t="n">
        <f aca="false">Sens!$C$3540</f>
        <v>1.80694998843362</v>
      </c>
      <c r="D3621" s="38" t="n">
        <f aca="false">Sens!$D$3540</f>
        <v>6.77606245662607</v>
      </c>
      <c r="E3621" s="38" t="n">
        <f aca="false">Sens!$E$3540</f>
        <v>6.62548329092326</v>
      </c>
      <c r="F3621" s="38" t="n">
        <f aca="false">Sens!$F$3540</f>
        <v>11.7200577158706</v>
      </c>
      <c r="G3621" s="38" t="n">
        <f aca="false">Sens!$G$3540</f>
        <v>18.3455410067939</v>
      </c>
      <c r="H3621" s="38" t="n">
        <f aca="false">Sens!$H$3540</f>
        <v>47.5171727060453</v>
      </c>
      <c r="I3621" s="38" t="n">
        <f aca="false">Sens!$I$3540</f>
        <v>80.5539692643667</v>
      </c>
      <c r="J3621" s="38" t="n">
        <f aca="false">Sens!$J$3540</f>
        <v>113.759316834883</v>
      </c>
      <c r="K3621" s="38" t="n">
        <f aca="false">Sens!$K$3540</f>
        <v>147.020848076132</v>
      </c>
      <c r="L3621" s="38" t="n">
        <f aca="false">Sens!$L$3540</f>
        <v>180.307917349531</v>
      </c>
      <c r="M3621" s="38" t="n">
        <f aca="false">Sens!$M$3540</f>
        <v>213.608737871012</v>
      </c>
      <c r="N3621" s="38" t="n">
        <f aca="false">Sens!$N$3540</f>
        <v>2.37162185981912</v>
      </c>
      <c r="O3621" s="38" t="n">
        <f aca="false">Sens!$O$3540</f>
        <v>4.40444059680694</v>
      </c>
    </row>
    <row r="3622" customFormat="false" ht="17.15" hidden="false" customHeight="false" outlineLevel="0" collapsed="false">
      <c r="A3622" s="0" t="s">
        <v>699</v>
      </c>
      <c r="B3622" s="0" t="s">
        <v>73</v>
      </c>
      <c r="C3622" s="38" t="n">
        <f aca="false">Sens!$C$3605+Sens!$C$3617</f>
        <v>100.66</v>
      </c>
      <c r="D3622" s="38" t="n">
        <f aca="false">Sens!$D$3605+Sens!$D$3617</f>
        <v>121.835</v>
      </c>
      <c r="E3622" s="38" t="n">
        <f aca="false">Sens!$E$3605+Sens!$E$3617</f>
        <v>78.016</v>
      </c>
      <c r="F3622" s="38" t="n">
        <f aca="false">Sens!$F$3605+Sens!$F$3617</f>
        <v>90.4929629579672</v>
      </c>
      <c r="G3622" s="38" t="n">
        <f aca="false">Sens!$G$3605+Sens!$G$3617</f>
        <v>168.508962957967</v>
      </c>
      <c r="H3622" s="38" t="n">
        <f aca="false">Sens!$H$3605+Sens!$H$3617</f>
        <v>222.982315815235</v>
      </c>
      <c r="I3622" s="38" t="n">
        <f aca="false">Sens!$I$3605+Sens!$I$3617</f>
        <v>281.752114858984</v>
      </c>
      <c r="J3622" s="38" t="n">
        <f aca="false">Sens!$J$3605+Sens!$J$3617</f>
        <v>337.291782915507</v>
      </c>
      <c r="K3622" s="38" t="n">
        <f aca="false">Sens!$K$3605+Sens!$K$3617</f>
        <v>387.123411728256</v>
      </c>
      <c r="L3622" s="38" t="n">
        <f aca="false">Sens!$L$3605+Sens!$L$3617</f>
        <v>436.67859259763</v>
      </c>
      <c r="M3622" s="38" t="n">
        <f aca="false">Sens!$M$3605+Sens!$M$3617</f>
        <v>487.617555084998</v>
      </c>
      <c r="N3622" s="38" t="n">
        <f aca="false">Sens!$N$3605+Sens!$N$3617</f>
        <v>56.398</v>
      </c>
      <c r="O3622" s="38" t="n">
        <f aca="false">Sens!$O$3605+Sens!$O$3617</f>
        <v>65.437</v>
      </c>
    </row>
    <row r="3623" customFormat="false" ht="17.15" hidden="false" customHeight="false" outlineLevel="0" collapsed="false">
      <c r="A3623" s="1" t="s">
        <v>700</v>
      </c>
    </row>
    <row r="3624" customFormat="false" ht="15" hidden="false" customHeight="false" outlineLevel="0" collapsed="false">
      <c r="A3624" s="5" t="s">
        <v>504</v>
      </c>
      <c r="B3624" s="0" t="s">
        <v>73</v>
      </c>
      <c r="C3624" s="38" t="n">
        <f aca="false">Q!$D$34</f>
        <v>2.406</v>
      </c>
      <c r="D3624" s="38" t="n">
        <f aca="false">Q!$E$34</f>
        <v>2.274</v>
      </c>
      <c r="E3624" s="38" t="n">
        <f aca="false">Q!$P$34</f>
        <v>2.114</v>
      </c>
      <c r="F3624" s="38" t="n">
        <f aca="false">Sens!$F$3660</f>
        <v>3.24888964316061</v>
      </c>
      <c r="G3624" s="38" t="n">
        <f aca="false">Sens!$E$3624+Sens!$F$3624</f>
        <v>5.36288964316061</v>
      </c>
      <c r="H3624" s="38" t="n">
        <f aca="false">Sens!$H$3660</f>
        <v>7.42354178632123</v>
      </c>
      <c r="I3624" s="38" t="n">
        <f aca="false">Sens!$I$3660</f>
        <v>7.53544693632448</v>
      </c>
      <c r="J3624" s="38" t="n">
        <f aca="false">Sens!$J$3660</f>
        <v>7.84902058986697</v>
      </c>
      <c r="K3624" s="38" t="n">
        <f aca="false">Sens!$K$3660</f>
        <v>7.84902058986697</v>
      </c>
      <c r="L3624" s="38" t="n">
        <f aca="false">Sens!$L$3660</f>
        <v>7.84902058986697</v>
      </c>
      <c r="M3624" s="38" t="n">
        <f aca="false">Sens!$M$3660</f>
        <v>7.84902058986697</v>
      </c>
      <c r="N3624" s="38" t="n">
        <f aca="false">Q!$N$34</f>
        <v>1.057</v>
      </c>
      <c r="O3624" s="38" t="n">
        <f aca="false">Q!$O$34</f>
        <v>1.217</v>
      </c>
    </row>
    <row r="3625" customFormat="false" ht="15" hidden="false" customHeight="false" outlineLevel="0" collapsed="false">
      <c r="A3625" s="5" t="s">
        <v>701</v>
      </c>
      <c r="B3625" s="0" t="s">
        <v>73</v>
      </c>
      <c r="F3625" s="38" t="n">
        <f aca="false">Sens!$F$3661</f>
        <v>2.59</v>
      </c>
      <c r="H3625" s="38" t="n">
        <f aca="false">Sens!$H$3661</f>
        <v>4.00971603121774</v>
      </c>
      <c r="I3625" s="38" t="n">
        <f aca="false">Sens!$I$3661</f>
        <v>2.10589651022864</v>
      </c>
      <c r="J3625" s="38" t="n">
        <f aca="false">Sens!$J$3661</f>
        <v>2.10589651022864</v>
      </c>
      <c r="K3625" s="38" t="n">
        <f aca="false">Sens!$K$3661</f>
        <v>3.68398191169394</v>
      </c>
      <c r="L3625" s="38" t="n">
        <f aca="false">Sens!$L$3661</f>
        <v>6.96663205732767</v>
      </c>
      <c r="M3625" s="38" t="n">
        <f aca="false">Sens!$M$3661</f>
        <v>10.654553607963</v>
      </c>
    </row>
    <row r="3626" customFormat="false" ht="17.15" hidden="false" customHeight="false" outlineLevel="0" collapsed="false">
      <c r="A3626" s="5" t="s">
        <v>702</v>
      </c>
      <c r="B3626" s="0" t="s">
        <v>73</v>
      </c>
      <c r="C3626" s="38" t="n">
        <f aca="false">Q!$D$39</f>
        <v>2.427</v>
      </c>
      <c r="D3626" s="38" t="n">
        <f aca="false">Q!$E$39</f>
        <v>19.61</v>
      </c>
      <c r="E3626" s="38" t="n">
        <f aca="false">Q!$P$39</f>
        <v>71.492</v>
      </c>
      <c r="F3626" s="41" t="n">
        <v>0</v>
      </c>
      <c r="G3626" s="38" t="n">
        <f aca="false">Sens!$E$3626+Sens!$F$3626</f>
        <v>71.492</v>
      </c>
      <c r="H3626" s="41" t="n">
        <v>0</v>
      </c>
      <c r="I3626" s="41" t="n">
        <v>0</v>
      </c>
      <c r="J3626" s="41" t="n">
        <v>0</v>
      </c>
      <c r="K3626" s="41" t="n">
        <v>0</v>
      </c>
      <c r="L3626" s="41" t="n">
        <v>0</v>
      </c>
      <c r="M3626" s="41" t="n">
        <v>0</v>
      </c>
      <c r="N3626" s="38" t="n">
        <f aca="false">Q!$N$39</f>
        <v>6.017</v>
      </c>
      <c r="O3626" s="38" t="n">
        <f aca="false">Q!$O$39</f>
        <v>13.593</v>
      </c>
      <c r="P3626" s="5" t="s">
        <v>703</v>
      </c>
    </row>
    <row r="3627" customFormat="false" ht="15" hidden="false" customHeight="false" outlineLevel="0" collapsed="false">
      <c r="A3627" s="5" t="s">
        <v>507</v>
      </c>
      <c r="B3627" s="0" t="s">
        <v>73</v>
      </c>
      <c r="C3627" s="38" t="n">
        <f aca="false">Q!$D$36</f>
        <v>68.614</v>
      </c>
      <c r="D3627" s="38" t="n">
        <f aca="false">Q!$E$36</f>
        <v>97.311</v>
      </c>
      <c r="E3627" s="38" t="n">
        <f aca="false">Q!$P$36</f>
        <v>120.691</v>
      </c>
      <c r="F3627" s="38" t="n">
        <f aca="false">Sens!$F$3605-Sens!$F$3624+Sens!$F$3625+Sens!$F$3626</f>
        <v>59.2236875896856</v>
      </c>
      <c r="G3627" s="38" t="n">
        <f aca="false">Sens!$E$3627+Sens!$F$3627</f>
        <v>179.914687589686</v>
      </c>
      <c r="H3627" s="38" t="n">
        <f aca="false">Sens!$H$3605-Sens!$H$3624+Sens!$H$3625+Sens!$H$3626</f>
        <v>131.905355269225</v>
      </c>
      <c r="I3627" s="38" t="n">
        <f aca="false">Sens!$I$3605-Sens!$I$3624+Sens!$I$3625+Sens!$I$3626</f>
        <v>154.10378575035</v>
      </c>
      <c r="J3627" s="38" t="n">
        <f aca="false">Sens!$J$3605-Sens!$J$3624+Sens!$J$3625+Sens!$J$3626</f>
        <v>174.589018658219</v>
      </c>
      <c r="K3627" s="38" t="n">
        <f aca="false">Sens!$K$3605-Sens!$K$3624+Sens!$K$3625+Sens!$K$3626</f>
        <v>191.930128118947</v>
      </c>
      <c r="L3627" s="38" t="n">
        <f aca="false">Sens!$L$3605-Sens!$L$3624+Sens!$L$3625+Sens!$L$3626</f>
        <v>212.381371146896</v>
      </c>
      <c r="M3627" s="38" t="n">
        <f aca="false">Sens!$M$3605-Sens!$M$3624+Sens!$M$3625+Sens!$M$3626</f>
        <v>233.540176817815</v>
      </c>
      <c r="N3627" s="38" t="n">
        <f aca="false">Q!$N$36</f>
        <v>42.536</v>
      </c>
      <c r="O3627" s="38" t="n">
        <f aca="false">Q!$O$36</f>
        <v>54.775</v>
      </c>
    </row>
    <row r="3628" customFormat="false" ht="15" hidden="false" customHeight="false" outlineLevel="0" collapsed="false">
      <c r="A3628" s="5" t="s">
        <v>508</v>
      </c>
      <c r="B3628" s="0" t="s">
        <v>73</v>
      </c>
      <c r="C3628" s="38" t="n">
        <f aca="false">Q!$D$37</f>
        <v>9.265</v>
      </c>
      <c r="D3628" s="38" t="n">
        <f aca="false">Q!$E$37</f>
        <v>19.087</v>
      </c>
      <c r="E3628" s="38" t="n">
        <f aca="false">Q!$P$37</f>
        <v>27.759</v>
      </c>
      <c r="F3628" s="38" t="n">
        <f aca="false">Sens!$F$3627*tax</f>
        <v>10.2803157750071</v>
      </c>
      <c r="G3628" s="38" t="n">
        <f aca="false">Sens!$E$3628+Sens!$F$3628</f>
        <v>38.0393157750071</v>
      </c>
      <c r="H3628" s="38" t="n">
        <f aca="false">Sens!$H$3627*tax</f>
        <v>22.8967286531866</v>
      </c>
      <c r="I3628" s="38" t="n">
        <f aca="false">Sens!$I$3627*tax</f>
        <v>26.7500326999825</v>
      </c>
      <c r="J3628" s="38" t="n">
        <f aca="false">Sens!$J$3627*tax</f>
        <v>30.3059521570163</v>
      </c>
      <c r="K3628" s="38" t="n">
        <f aca="false">Sens!$K$3627*tax</f>
        <v>33.3161004338403</v>
      </c>
      <c r="L3628" s="38" t="n">
        <f aca="false">Sens!$L$3627*tax</f>
        <v>36.8661197736584</v>
      </c>
      <c r="M3628" s="38" t="n">
        <f aca="false">Sens!$M$3627*tax</f>
        <v>40.538961039911</v>
      </c>
      <c r="N3628" s="38" t="n">
        <f aca="false">Q!$N$37</f>
        <v>7.231</v>
      </c>
      <c r="O3628" s="38" t="n">
        <f aca="false">Q!$O$37</f>
        <v>11.856</v>
      </c>
    </row>
    <row r="3629" customFormat="false" ht="15" hidden="false" customHeight="false" outlineLevel="0" collapsed="false">
      <c r="A3629" s="3" t="s">
        <v>509</v>
      </c>
      <c r="B3629" s="8" t="s">
        <v>73</v>
      </c>
      <c r="C3629" s="38" t="n">
        <f aca="false">Q!$D$38</f>
        <v>59.248</v>
      </c>
      <c r="D3629" s="38" t="n">
        <f aca="false">Q!$E$38</f>
        <v>77.67</v>
      </c>
      <c r="E3629" s="38" t="n">
        <f aca="false">Q!$P$38</f>
        <v>92.902</v>
      </c>
      <c r="F3629" s="38" t="n">
        <f aca="false">Sens!$F$3627-Sens!$F$3628</f>
        <v>48.9433718146785</v>
      </c>
      <c r="G3629" s="38" t="n">
        <f aca="false">Sens!$E$3629+Sens!$F$3629</f>
        <v>141.845371814679</v>
      </c>
      <c r="H3629" s="38" t="n">
        <f aca="false">Sens!$H$3627-Sens!$H$3628</f>
        <v>109.008626616038</v>
      </c>
      <c r="I3629" s="38" t="n">
        <f aca="false">Sens!$I$3627-Sens!$I$3628</f>
        <v>127.353753050368</v>
      </c>
      <c r="J3629" s="38" t="n">
        <f aca="false">Sens!$J$3627-Sens!$J$3628</f>
        <v>144.283066501202</v>
      </c>
      <c r="K3629" s="38" t="n">
        <f aca="false">Sens!$K$3627-Sens!$K$3628</f>
        <v>158.614027685107</v>
      </c>
      <c r="L3629" s="38" t="n">
        <f aca="false">Sens!$L$3627-Sens!$L$3628</f>
        <v>175.515251373238</v>
      </c>
      <c r="M3629" s="38" t="n">
        <f aca="false">Sens!$M$3627-Sens!$M$3628</f>
        <v>193.001215777904</v>
      </c>
      <c r="N3629" s="38" t="n">
        <f aca="false">Q!$N$38</f>
        <v>35.291</v>
      </c>
      <c r="O3629" s="38" t="n">
        <f aca="false">Q!$O$38</f>
        <v>42.379</v>
      </c>
    </row>
    <row r="3630" customFormat="false" ht="17.15" hidden="false" customHeight="false" outlineLevel="0" collapsed="false">
      <c r="A3630" s="5" t="s">
        <v>512</v>
      </c>
      <c r="B3630" s="5" t="s">
        <v>33</v>
      </c>
      <c r="C3630" s="22" t="n">
        <f aca="false">Q!$D$41</f>
        <v>10.721</v>
      </c>
      <c r="D3630" s="22" t="n">
        <f aca="false">Q!$E$41</f>
        <v>10.827</v>
      </c>
      <c r="E3630" s="22" t="n">
        <f aca="false">(Q!$L$41+Q!$M$41)/2</f>
        <v>10.8885</v>
      </c>
      <c r="F3630" s="22" t="n">
        <f aca="false">Sens!$G$3630</f>
        <v>10.924806</v>
      </c>
      <c r="G3630" s="22" t="n">
        <f aca="false">Q!$M$41*(1+sh_g*0.25)</f>
        <v>10.924806</v>
      </c>
      <c r="H3630" s="22" t="n">
        <f aca="false">Sens!$G$3630*(1+sh_g)</f>
        <v>11.012204448</v>
      </c>
      <c r="I3630" s="22" t="n">
        <f aca="false">Sens!$H$3630*(1+sh_g)</f>
        <v>11.100302083584</v>
      </c>
      <c r="J3630" s="22" t="n">
        <f aca="false">Sens!$I$3630*(1+sh_g)</f>
        <v>11.1891045002527</v>
      </c>
      <c r="K3630" s="22" t="n">
        <f aca="false">Sens!$J$3630*(1+sh_g)</f>
        <v>11.2786173362547</v>
      </c>
      <c r="L3630" s="22" t="n">
        <f aca="false">Sens!$K$3630*(1+sh_g)</f>
        <v>11.3688462749447</v>
      </c>
      <c r="M3630" s="22" t="n">
        <f aca="false">Sens!$L$3630*(1+sh_g)</f>
        <v>11.4597970451443</v>
      </c>
      <c r="P3630" s="5" t="s">
        <v>704</v>
      </c>
    </row>
    <row r="3631" customFormat="false" ht="17.15" hidden="false" customHeight="false" outlineLevel="0" collapsed="false">
      <c r="A3631" s="42" t="s">
        <v>705</v>
      </c>
      <c r="B3631" s="13" t="s">
        <v>27</v>
      </c>
      <c r="C3631" s="43" t="n">
        <f aca="false">Sens!$C$3629/Sens!$C$3630</f>
        <v>5.52635015390355</v>
      </c>
      <c r="D3631" s="43" t="n">
        <f aca="false">Sens!$D$3629/Sens!$D$3630</f>
        <v>7.1737323358271</v>
      </c>
      <c r="E3631" s="43" t="n">
        <f aca="false">Sens!$E$3629/Sens!$E$3630</f>
        <v>8.53212104513937</v>
      </c>
      <c r="F3631" s="13"/>
      <c r="G3631" s="43" t="n">
        <f aca="false">Sens!$G$3629/Sens!$G$3630</f>
        <v>12.9837886196495</v>
      </c>
      <c r="H3631" s="43" t="n">
        <f aca="false">Sens!$H$3629/Sens!$H$3630</f>
        <v>9.89889237261989</v>
      </c>
      <c r="I3631" s="43" t="n">
        <f aca="false">Sens!$I$3629/Sens!$I$3630</f>
        <v>11.472998850969</v>
      </c>
      <c r="J3631" s="43" t="n">
        <f aca="false">Sens!$J$3629/Sens!$J$3630</f>
        <v>12.89496103088</v>
      </c>
      <c r="K3631" s="43" t="n">
        <f aca="false">Sens!$K$3629/Sens!$K$3630</f>
        <v>14.0632511021762</v>
      </c>
      <c r="L3631" s="43" t="n">
        <f aca="false">Sens!$L$3629/Sens!$L$3630</f>
        <v>15.4382641060112</v>
      </c>
      <c r="M3631" s="43" t="n">
        <f aca="false">Sens!$M$3629/Sens!$M$3630</f>
        <v>16.8415910873117</v>
      </c>
      <c r="N3631" s="13"/>
      <c r="O3631" s="13"/>
    </row>
    <row r="3632" customFormat="false" ht="17.15" hidden="false" customHeight="false" outlineLevel="0" collapsed="false">
      <c r="A3632" s="0" t="s">
        <v>706</v>
      </c>
      <c r="B3632" s="0" t="s">
        <v>27</v>
      </c>
      <c r="C3632" s="30" t="n">
        <f aca="false">(Sens!$C$3629-Sens!$C$3626*(1-tax))/Sens!$C$3630</f>
        <v>5.33926775917445</v>
      </c>
      <c r="D3632" s="30" t="n">
        <f aca="false">(Sens!$D$3629-Sens!$D$3626*(1-tax))/Sens!$D$3630</f>
        <v>5.67691812755503</v>
      </c>
      <c r="E3632" s="30" t="n">
        <f aca="false">(Sens!$E$3629-Sens!$E$3626*(1-tax))/Sens!$E$3630</f>
        <v>3.10602057006846</v>
      </c>
      <c r="G3632" s="30" t="n">
        <f aca="false">(Sens!$G$3629-Sens!$G$3626*(1-tax))/Sens!$G$3630</f>
        <v>7.57572050175252</v>
      </c>
      <c r="H3632" s="30" t="n">
        <f aca="false">(Sens!$H$3629-Sens!$H$3626*(1-tax))/Sens!$H$3630</f>
        <v>9.89889237261989</v>
      </c>
      <c r="I3632" s="30" t="n">
        <f aca="false">(Sens!$I$3629-Sens!$I$3626*(1-tax))/Sens!$I$3630</f>
        <v>11.472998850969</v>
      </c>
      <c r="J3632" s="30" t="n">
        <f aca="false">(Sens!$J$3629-Sens!$J$3626*(1-tax))/Sens!$J$3630</f>
        <v>12.89496103088</v>
      </c>
      <c r="K3632" s="30" t="n">
        <f aca="false">(Sens!$K$3629-Sens!$K$3626*(1-tax))/Sens!$K$3630</f>
        <v>14.0632511021762</v>
      </c>
      <c r="L3632" s="30" t="n">
        <f aca="false">(Sens!$L$3629-Sens!$L$3626*(1-tax))/Sens!$L$3630</f>
        <v>15.4382641060112</v>
      </c>
      <c r="M3632" s="30" t="n">
        <f aca="false">(Sens!$M$3629-Sens!$M$3626*(1-tax))/Sens!$M$3630</f>
        <v>16.8415910873117</v>
      </c>
      <c r="P3632" s="5" t="s">
        <v>707</v>
      </c>
    </row>
    <row r="3633" customFormat="false" ht="17.15" hidden="false" customHeight="false" outlineLevel="0" collapsed="false">
      <c r="A3633" s="0" t="s">
        <v>708</v>
      </c>
      <c r="B3633" s="0" t="s">
        <v>52</v>
      </c>
      <c r="H3633" s="12" t="n">
        <f aca="false">Sens!$H$3631/Sens!$G$3631-1</f>
        <v>-0.237596000474081</v>
      </c>
      <c r="I3633" s="12" t="n">
        <f aca="false">Sens!$I$3631/Sens!$H$3631-1</f>
        <v>0.159018445609431</v>
      </c>
      <c r="J3633" s="12" t="n">
        <f aca="false">Sens!$J$3631/Sens!$I$3631-1</f>
        <v>0.123939886892864</v>
      </c>
      <c r="K3633" s="12" t="n">
        <f aca="false">Sens!$K$3631/Sens!$J$3631-1</f>
        <v>0.0906005119750581</v>
      </c>
      <c r="L3633" s="12" t="n">
        <f aca="false">Sens!$L$3631/Sens!$K$3631-1</f>
        <v>0.0977734802461308</v>
      </c>
      <c r="M3633" s="12" t="n">
        <f aca="false">Sens!$M$3631/Sens!$L$3631-1</f>
        <v>0.0908992728498645</v>
      </c>
    </row>
    <row r="3636" customFormat="false" ht="19.4" hidden="false" customHeight="false" outlineLevel="0" collapsed="false">
      <c r="A3636" s="31" t="s">
        <v>1121</v>
      </c>
    </row>
    <row r="3637" customFormat="false" ht="17.15" hidden="false" customHeight="false" outlineLevel="0" collapsed="false">
      <c r="A3637" s="6" t="s">
        <v>16</v>
      </c>
      <c r="B3637" s="6" t="s">
        <v>17</v>
      </c>
      <c r="C3637" s="20" t="s">
        <v>457</v>
      </c>
      <c r="D3637" s="20" t="s">
        <v>458</v>
      </c>
      <c r="E3637" s="20" t="s">
        <v>540</v>
      </c>
      <c r="F3637" s="20" t="s">
        <v>541</v>
      </c>
      <c r="G3637" s="20" t="s">
        <v>542</v>
      </c>
      <c r="H3637" s="20" t="s">
        <v>543</v>
      </c>
      <c r="I3637" s="20" t="s">
        <v>544</v>
      </c>
      <c r="J3637" s="20" t="s">
        <v>545</v>
      </c>
      <c r="K3637" s="20" t="s">
        <v>546</v>
      </c>
      <c r="L3637" s="20" t="s">
        <v>547</v>
      </c>
      <c r="M3637" s="20" t="s">
        <v>548</v>
      </c>
      <c r="N3637" s="20" t="s">
        <v>549</v>
      </c>
      <c r="O3637" s="20" t="s">
        <v>550</v>
      </c>
      <c r="P3637" s="6" t="s">
        <v>23</v>
      </c>
      <c r="R3637" s="20" t="n">
        <v>2023</v>
      </c>
      <c r="S3637" s="20" t="n">
        <v>2024</v>
      </c>
      <c r="T3637" s="20" t="n">
        <v>2025</v>
      </c>
      <c r="U3637" s="20" t="n">
        <v>2026</v>
      </c>
      <c r="V3637" s="20" t="n">
        <v>2027</v>
      </c>
      <c r="W3637" s="20" t="n">
        <v>2028</v>
      </c>
      <c r="X3637" s="20" t="n">
        <v>2029</v>
      </c>
      <c r="Y3637" s="20" t="n">
        <v>2030</v>
      </c>
      <c r="Z3637" s="20" t="n">
        <v>2031</v>
      </c>
      <c r="AA3637" s="20" t="n">
        <v>2032</v>
      </c>
    </row>
    <row r="3638" customFormat="false" ht="15" hidden="false" customHeight="false" outlineLevel="0" collapsed="false">
      <c r="A3638" s="5" t="s">
        <v>509</v>
      </c>
      <c r="B3638" s="0" t="s">
        <v>73</v>
      </c>
      <c r="C3638" s="38" t="n">
        <f aca="false">Sens!$C$3629</f>
        <v>59.248</v>
      </c>
      <c r="D3638" s="38" t="n">
        <f aca="false">Sens!$D$3629</f>
        <v>77.67</v>
      </c>
      <c r="E3638" s="38" t="n">
        <f aca="false">Sens!$E$3629</f>
        <v>92.902</v>
      </c>
      <c r="F3638" s="38" t="n">
        <f aca="false">Sens!$F$3629</f>
        <v>48.9433718146785</v>
      </c>
      <c r="G3638" s="38" t="n">
        <f aca="false">Sens!$G$3629</f>
        <v>141.845371814679</v>
      </c>
      <c r="H3638" s="38" t="n">
        <f aca="false">Sens!$H$3629</f>
        <v>109.008626616038</v>
      </c>
      <c r="I3638" s="38" t="n">
        <f aca="false">Sens!$I$3629</f>
        <v>127.353753050368</v>
      </c>
      <c r="J3638" s="38" t="n">
        <f aca="false">Sens!$J$3629</f>
        <v>144.283066501202</v>
      </c>
      <c r="K3638" s="38" t="n">
        <f aca="false">Sens!$K$3629</f>
        <v>158.614027685107</v>
      </c>
      <c r="L3638" s="38" t="n">
        <f aca="false">Sens!$L$3629</f>
        <v>175.515251373238</v>
      </c>
      <c r="M3638" s="38" t="n">
        <f aca="false">Sens!$M$3629</f>
        <v>193.001215777904</v>
      </c>
    </row>
    <row r="3639" customFormat="false" ht="17.15" hidden="false" customHeight="false" outlineLevel="0" collapsed="false">
      <c r="A3639" s="5" t="s">
        <v>730</v>
      </c>
      <c r="B3639" s="0" t="s">
        <v>73</v>
      </c>
      <c r="C3639" s="38" t="n">
        <f aca="false">Sens!$C$3617</f>
        <v>32.067</v>
      </c>
      <c r="D3639" s="38" t="n">
        <f aca="false">Sens!$D$3617</f>
        <v>41.86</v>
      </c>
      <c r="E3639" s="38" t="n">
        <f aca="false">Sens!$E$3617</f>
        <v>26.703</v>
      </c>
      <c r="F3639" s="38" t="n">
        <f aca="false">Sens!$F$3617</f>
        <v>30.6103857251209</v>
      </c>
      <c r="G3639" s="38" t="n">
        <f aca="false">Sens!$G$3617</f>
        <v>57.3133857251209</v>
      </c>
      <c r="H3639" s="38" t="n">
        <f aca="false">Sens!$H$3617</f>
        <v>87.6631347909074</v>
      </c>
      <c r="I3639" s="38" t="n">
        <f aca="false">Sens!$I$3617</f>
        <v>122.218778682539</v>
      </c>
      <c r="J3639" s="38" t="n">
        <f aca="false">Sens!$J$3617</f>
        <v>156.95964017765</v>
      </c>
      <c r="K3639" s="38" t="n">
        <f aca="false">Sens!$K$3617</f>
        <v>191.028244931135</v>
      </c>
      <c r="L3639" s="38" t="n">
        <f aca="false">Sens!$L$3617</f>
        <v>223.414832918194</v>
      </c>
      <c r="M3639" s="38" t="n">
        <f aca="false">Sens!$M$3617</f>
        <v>256.882911285279</v>
      </c>
    </row>
    <row r="3640" customFormat="false" ht="15" hidden="false" customHeight="false" outlineLevel="0" collapsed="false">
      <c r="A3640" s="5" t="s">
        <v>731</v>
      </c>
      <c r="B3640" s="0" t="s">
        <v>73</v>
      </c>
      <c r="C3640" s="38" t="n">
        <f aca="false">Q!$D$48</f>
        <v>22.011</v>
      </c>
      <c r="D3640" s="38" t="n">
        <f aca="false">Q!$E$48</f>
        <v>19.467</v>
      </c>
      <c r="E3640" s="38" t="n">
        <f aca="false">Q!$P$48</f>
        <v>10.07</v>
      </c>
      <c r="F3640" s="38" t="n">
        <f aca="false">sbc_r*Sens!$F$3561</f>
        <v>11.2170714500462</v>
      </c>
      <c r="G3640" s="38" t="n">
        <f aca="false">Sens!$E$3640+Sens!$F$3640</f>
        <v>21.2870714500462</v>
      </c>
      <c r="H3640" s="38" t="n">
        <f aca="false">sbc_r*Sens!$H$3561</f>
        <v>24.1613276915482</v>
      </c>
      <c r="I3640" s="38" t="n">
        <f aca="false">sbc_r*Sens!$I$3561</f>
        <v>27.5929918585202</v>
      </c>
      <c r="J3640" s="38" t="n">
        <f aca="false">sbc_r*Sens!$J$3561</f>
        <v>30.7745269530166</v>
      </c>
      <c r="K3640" s="38" t="n">
        <f aca="false">sbc_r*Sens!$K$3561</f>
        <v>33.5605606920909</v>
      </c>
      <c r="L3640" s="38" t="n">
        <f aca="false">sbc_r*Sens!$L$3561</f>
        <v>36.4644209474361</v>
      </c>
      <c r="M3640" s="38" t="n">
        <f aca="false">sbc_r*Sens!$M$3561</f>
        <v>39.4938735614508</v>
      </c>
    </row>
    <row r="3641" customFormat="false" ht="17.15" hidden="false" customHeight="false" outlineLevel="0" collapsed="false">
      <c r="A3641" s="5" t="s">
        <v>732</v>
      </c>
      <c r="B3641" s="0" t="s">
        <v>73</v>
      </c>
      <c r="C3641" s="38" t="n">
        <f aca="false">Q!$D$44-Sens!$C$3638-Sens!$C$3639-Sens!$C$3640</f>
        <v>2.551</v>
      </c>
      <c r="D3641" s="38" t="n">
        <f aca="false">Q!$E$44-Sens!$D$3638-Sens!$D$3639-Sens!$D$3640</f>
        <v>0.51700000000001</v>
      </c>
      <c r="E3641" s="38" t="n">
        <f aca="false">Q!$P$44-Sens!$E$3638-Sens!$E$3639-Sens!$E$3640</f>
        <v>-58.256</v>
      </c>
      <c r="F3641" s="38" t="n">
        <f aca="false">wc_2h26+oth_r*Sens!$F$3561</f>
        <v>7.34599241893378</v>
      </c>
      <c r="G3641" s="38" t="n">
        <f aca="false">Sens!$E$3641+Sens!$F$3641</f>
        <v>-50.9100075810662</v>
      </c>
      <c r="H3641" s="38" t="n">
        <f aca="false">oth_r*Sens!$H$3561</f>
        <v>11.6293121265182</v>
      </c>
      <c r="I3641" s="38" t="n">
        <f aca="false">oth_r*Sens!$I$3561</f>
        <v>13.2810381500457</v>
      </c>
      <c r="J3641" s="38" t="n">
        <f aca="false">oth_r*Sens!$J$3561</f>
        <v>14.8123722359748</v>
      </c>
      <c r="K3641" s="38" t="n">
        <f aca="false">oth_r*Sens!$K$3561</f>
        <v>16.1533439060887</v>
      </c>
      <c r="L3641" s="38" t="n">
        <f aca="false">oth_r*Sens!$L$3561</f>
        <v>17.551027746659</v>
      </c>
      <c r="M3641" s="38" t="n">
        <f aca="false">oth_r*Sens!$M$3561</f>
        <v>19.0091616071255</v>
      </c>
      <c r="P3641" s="8" t="s">
        <v>733</v>
      </c>
    </row>
    <row r="3642" customFormat="false" ht="15" hidden="false" customHeight="false" outlineLevel="0" collapsed="false">
      <c r="A3642" s="3" t="s">
        <v>515</v>
      </c>
      <c r="B3642" s="8" t="s">
        <v>73</v>
      </c>
      <c r="C3642" s="38" t="n">
        <f aca="false">Q!$D$44</f>
        <v>115.877</v>
      </c>
      <c r="D3642" s="38" t="n">
        <f aca="false">Q!$E$44</f>
        <v>139.514</v>
      </c>
      <c r="E3642" s="38" t="n">
        <f aca="false">Q!$P$44</f>
        <v>71.419</v>
      </c>
      <c r="F3642" s="38" t="n">
        <f aca="false">Sens!$F$3638+Sens!$F$3639+Sens!$F$3640+Sens!$F$3641</f>
        <v>98.1168214087795</v>
      </c>
      <c r="G3642" s="38" t="n">
        <f aca="false">Sens!$E$3642+Sens!$F$3642</f>
        <v>169.535821408779</v>
      </c>
      <c r="H3642" s="38" t="n">
        <f aca="false">Sens!$H$3638+Sens!$H$3639+Sens!$H$3640+Sens!$H$3641</f>
        <v>232.462401225012</v>
      </c>
      <c r="I3642" s="38" t="n">
        <f aca="false">Sens!$I$3638+Sens!$I$3639+Sens!$I$3640+Sens!$I$3641</f>
        <v>290.446561741472</v>
      </c>
      <c r="J3642" s="38" t="n">
        <f aca="false">Sens!$J$3638+Sens!$J$3639+Sens!$J$3640+Sens!$J$3641</f>
        <v>346.829605867844</v>
      </c>
      <c r="K3642" s="38" t="n">
        <f aca="false">Sens!$K$3638+Sens!$K$3639+Sens!$K$3640+Sens!$K$3641</f>
        <v>399.356177214422</v>
      </c>
      <c r="L3642" s="38" t="n">
        <f aca="false">Sens!$L$3638+Sens!$L$3639+Sens!$L$3640+Sens!$L$3641</f>
        <v>452.945532985528</v>
      </c>
      <c r="M3642" s="38" t="n">
        <f aca="false">Sens!$M$3638+Sens!$M$3639+Sens!$M$3640+Sens!$M$3641</f>
        <v>508.387162231759</v>
      </c>
    </row>
    <row r="3643" customFormat="false" ht="17.15" hidden="false" customHeight="false" outlineLevel="0" collapsed="false">
      <c r="A3643" s="5" t="s">
        <v>734</v>
      </c>
      <c r="B3643" s="0" t="s">
        <v>73</v>
      </c>
      <c r="C3643" s="38" t="n">
        <f aca="false">Sens!$C$3531</f>
        <v>25.2781053077374</v>
      </c>
      <c r="D3643" s="38" t="n">
        <f aca="false">Sens!$D$3531</f>
        <v>69.5686316310026</v>
      </c>
      <c r="E3643" s="38" t="n">
        <f aca="false">Sens!$E$3531</f>
        <v>64.1899206485108</v>
      </c>
      <c r="F3643" s="38" t="n">
        <f aca="false">Sens!$F$3531</f>
        <v>96.2481299895</v>
      </c>
      <c r="G3643" s="38" t="n">
        <f aca="false">Sens!$G$3531</f>
        <v>160.438050638011</v>
      </c>
      <c r="H3643" s="38" t="n">
        <f aca="false">Sens!$H$3531</f>
        <v>198.57136494475</v>
      </c>
      <c r="I3643" s="38" t="n">
        <f aca="false">Sens!$I$3531</f>
        <v>204.6464699105</v>
      </c>
      <c r="J3643" s="38" t="n">
        <f aca="false">Sens!$J$3531</f>
        <v>209.8832381105</v>
      </c>
      <c r="K3643" s="38" t="n">
        <f aca="false">Sens!$K$3531</f>
        <v>215.1200063105</v>
      </c>
      <c r="L3643" s="38" t="n">
        <f aca="false">Sens!$L$3531</f>
        <v>251.7773837105</v>
      </c>
      <c r="M3643" s="38" t="n">
        <f aca="false">Sens!$M$3531</f>
        <v>311.87584476575</v>
      </c>
    </row>
    <row r="3644" customFormat="false" ht="17.15" hidden="false" customHeight="false" outlineLevel="0" collapsed="false">
      <c r="A3644" s="5" t="s">
        <v>735</v>
      </c>
      <c r="B3644" s="0" t="s">
        <v>73</v>
      </c>
      <c r="C3644" s="38" t="n">
        <f aca="false">cx_awso*Sens!$C$3559</f>
        <v>21.0469989286053</v>
      </c>
      <c r="D3644" s="38" t="n">
        <f aca="false">cx_awso*Sens!$D$3559</f>
        <v>24.0042459822698</v>
      </c>
      <c r="E3644" s="38" t="n">
        <f aca="false">cx_awso*Sens!$E$3559</f>
        <v>14.261729404886</v>
      </c>
      <c r="F3644" s="38" t="n">
        <f aca="false">cx_awso*Sens!$F$3559</f>
        <v>15.7190020837331</v>
      </c>
      <c r="G3644" s="38" t="n">
        <f aca="false">Sens!$E$3644+Sens!$F$3644</f>
        <v>29.9807314886191</v>
      </c>
      <c r="H3644" s="38" t="n">
        <f aca="false">cx_awso*Sens!$H$3559</f>
        <v>36.1787121536283</v>
      </c>
      <c r="I3644" s="38" t="n">
        <f aca="false">cx_awso*Sens!$I$3559</f>
        <v>42.1296794430021</v>
      </c>
      <c r="J3644" s="38" t="n">
        <f aca="false">cx_awso*Sens!$J$3559</f>
        <v>47.279781889299</v>
      </c>
      <c r="K3644" s="38" t="n">
        <f aca="false">cx_awso*Sens!$K$3559</f>
        <v>51.0621644404429</v>
      </c>
      <c r="L3644" s="38" t="n">
        <f aca="false">cx_awso*Sens!$L$3559</f>
        <v>55.1471375956783</v>
      </c>
      <c r="M3644" s="38" t="n">
        <f aca="false">cx_awso*Sens!$M$3559</f>
        <v>59.5589086033326</v>
      </c>
    </row>
    <row r="3645" customFormat="false" ht="17.15" hidden="false" customHeight="false" outlineLevel="0" collapsed="false">
      <c r="A3645" s="5" t="s">
        <v>736</v>
      </c>
      <c r="B3645" s="0" t="s">
        <v>73</v>
      </c>
      <c r="C3645" s="38" t="n">
        <f aca="false">Q!$D$46-Sens!$C$3643-Sens!$C$3644</f>
        <v>31.3328957636573</v>
      </c>
      <c r="D3645" s="38" t="n">
        <f aca="false">Q!$E$46-Sens!$D$3643-Sens!$D$3644</f>
        <v>34.7471223867276</v>
      </c>
      <c r="E3645" s="38" t="n">
        <f aca="false">Q!$P$46-Sens!$E$3643-Sens!$E$3644</f>
        <v>17.8583499466032</v>
      </c>
      <c r="F3645" s="38" t="n">
        <f aca="false">cx_rt*Sens!$F$3495</f>
        <v>21.0855744229195</v>
      </c>
      <c r="G3645" s="38" t="n">
        <f aca="false">Sens!$E$3645+Sens!$F$3645</f>
        <v>38.9439243695228</v>
      </c>
      <c r="H3645" s="38" t="n">
        <f aca="false">cx_rt*Sens!$H$3495</f>
        <v>43.0822929097699</v>
      </c>
      <c r="I3645" s="38" t="n">
        <f aca="false">cx_rt*Sens!$I$3495</f>
        <v>47.0241825861136</v>
      </c>
      <c r="J3645" s="38" t="n">
        <f aca="false">cx_rt*Sens!$J$3495</f>
        <v>50.5983296218257</v>
      </c>
      <c r="K3645" s="38" t="n">
        <f aca="false">cx_rt*Sens!$K$3495</f>
        <v>53.6345130057184</v>
      </c>
      <c r="L3645" s="38" t="n">
        <f aca="false">cx_rt*Sens!$L$3495</f>
        <v>56.8592171485513</v>
      </c>
      <c r="M3645" s="38" t="n">
        <f aca="false">cx_rt*Sens!$M$3495</f>
        <v>60.2844760867503</v>
      </c>
    </row>
    <row r="3646" customFormat="false" ht="15" hidden="false" customHeight="false" outlineLevel="0" collapsed="false">
      <c r="A3646" s="3" t="s">
        <v>737</v>
      </c>
      <c r="B3646" s="8" t="s">
        <v>73</v>
      </c>
      <c r="C3646" s="38" t="n">
        <f aca="false">Q!$D$46</f>
        <v>77.658</v>
      </c>
      <c r="D3646" s="38" t="n">
        <f aca="false">Q!$E$46</f>
        <v>128.32</v>
      </c>
      <c r="E3646" s="38" t="n">
        <f aca="false">Q!$P$46</f>
        <v>96.31</v>
      </c>
      <c r="F3646" s="38" t="n">
        <f aca="false">Sens!$F$3643+Sens!$F$3644+Sens!$F$3645</f>
        <v>133.052706496153</v>
      </c>
      <c r="G3646" s="38" t="n">
        <f aca="false">Sens!$E$3646+Sens!$F$3646</f>
        <v>229.362706496153</v>
      </c>
      <c r="H3646" s="38" t="n">
        <f aca="false">Sens!$H$3643+Sens!$H$3644+Sens!$H$3645</f>
        <v>277.832370008148</v>
      </c>
      <c r="I3646" s="38" t="n">
        <f aca="false">Sens!$I$3643+Sens!$I$3644+Sens!$I$3645</f>
        <v>293.800331939616</v>
      </c>
      <c r="J3646" s="38" t="n">
        <f aca="false">Sens!$J$3643+Sens!$J$3644+Sens!$J$3645</f>
        <v>307.761349621625</v>
      </c>
      <c r="K3646" s="38" t="n">
        <f aca="false">Sens!$K$3643+Sens!$K$3644+Sens!$K$3645</f>
        <v>319.816683756661</v>
      </c>
      <c r="L3646" s="38" t="n">
        <f aca="false">Sens!$L$3643+Sens!$L$3644+Sens!$L$3645</f>
        <v>363.78373845473</v>
      </c>
      <c r="M3646" s="38" t="n">
        <f aca="false">Sens!$M$3643+Sens!$M$3644+Sens!$M$3645</f>
        <v>431.719229455833</v>
      </c>
    </row>
    <row r="3647" customFormat="false" ht="17.15" hidden="false" customHeight="false" outlineLevel="0" collapsed="false">
      <c r="A3647" s="5" t="s">
        <v>523</v>
      </c>
      <c r="B3647" s="0" t="s">
        <v>73</v>
      </c>
      <c r="C3647" s="38" t="n">
        <f aca="false">Q!$D$50</f>
        <v>2.043</v>
      </c>
      <c r="D3647" s="38" t="n">
        <f aca="false">Q!$E$50</f>
        <v>1.557</v>
      </c>
      <c r="E3647" s="38" t="n">
        <f aca="false">lease_pr/2</f>
        <v>0.8</v>
      </c>
      <c r="F3647" s="38" t="n">
        <f aca="false">lease_pr/2</f>
        <v>0.8</v>
      </c>
      <c r="G3647" s="38" t="n">
        <f aca="false">Sens!$E$3647+Sens!$F$3647</f>
        <v>1.6</v>
      </c>
      <c r="H3647" s="38" t="n">
        <f aca="false">lease_pr</f>
        <v>1.6</v>
      </c>
      <c r="I3647" s="38" t="n">
        <f aca="false">lease_pr</f>
        <v>1.6</v>
      </c>
      <c r="J3647" s="38" t="n">
        <f aca="false">lease_pr</f>
        <v>1.6</v>
      </c>
      <c r="K3647" s="38" t="n">
        <f aca="false">lease_pr</f>
        <v>1.6</v>
      </c>
      <c r="L3647" s="38" t="n">
        <f aca="false">lease_pr</f>
        <v>1.6</v>
      </c>
      <c r="M3647" s="38" t="n">
        <f aca="false">lease_pr</f>
        <v>1.6</v>
      </c>
      <c r="P3647" s="8" t="s">
        <v>738</v>
      </c>
    </row>
    <row r="3648" customFormat="false" ht="15" hidden="false" customHeight="false" outlineLevel="0" collapsed="false">
      <c r="A3648" s="46" t="s">
        <v>739</v>
      </c>
      <c r="B3648" s="13" t="s">
        <v>73</v>
      </c>
      <c r="C3648" s="47" t="n">
        <f aca="false">Sens!$C$3642-Sens!$C$3646-Sens!$C$3647</f>
        <v>36.176</v>
      </c>
      <c r="D3648" s="47" t="n">
        <f aca="false">Sens!$D$3642-Sens!$D$3646-Sens!$D$3647</f>
        <v>9.63700000000002</v>
      </c>
      <c r="E3648" s="47" t="n">
        <f aca="false">Sens!$E$3642-Sens!$E$3646-Sens!$E$3647</f>
        <v>-25.691</v>
      </c>
      <c r="F3648" s="47" t="n">
        <f aca="false">Sens!$F$3642-Sens!$F$3646-Sens!$F$3647</f>
        <v>-35.7358850873731</v>
      </c>
      <c r="G3648" s="47" t="n">
        <f aca="false">Sens!$G$3642-Sens!$G$3646-Sens!$G$3647</f>
        <v>-61.4268850873731</v>
      </c>
      <c r="H3648" s="47" t="n">
        <f aca="false">Sens!$H$3642-Sens!$H$3646-Sens!$H$3647</f>
        <v>-46.9699687831364</v>
      </c>
      <c r="I3648" s="47" t="n">
        <f aca="false">Sens!$I$3642-Sens!$I$3646-Sens!$I$3647</f>
        <v>-4.95377019814354</v>
      </c>
      <c r="J3648" s="47" t="n">
        <f aca="false">Sens!$J$3642-Sens!$J$3646-Sens!$J$3647</f>
        <v>37.468256246219</v>
      </c>
      <c r="K3648" s="47" t="n">
        <f aca="false">Sens!$K$3642-Sens!$K$3646-Sens!$K$3647</f>
        <v>77.9394934577607</v>
      </c>
      <c r="L3648" s="47" t="n">
        <f aca="false">Sens!$L$3642-Sens!$L$3646-Sens!$L$3647</f>
        <v>87.5617945307979</v>
      </c>
      <c r="M3648" s="47" t="n">
        <f aca="false">Sens!$M$3642-Sens!$M$3646-Sens!$M$3647</f>
        <v>75.0679327759262</v>
      </c>
      <c r="N3648" s="13"/>
      <c r="O3648" s="13"/>
    </row>
    <row r="3649" customFormat="false" ht="17.15" hidden="false" customHeight="false" outlineLevel="0" collapsed="false">
      <c r="A3649" s="5" t="s">
        <v>740</v>
      </c>
      <c r="B3649" s="0" t="s">
        <v>73</v>
      </c>
      <c r="C3649" s="38" t="n">
        <f aca="false">dps*Sens!$C$3630</f>
        <v>0</v>
      </c>
      <c r="D3649" s="38" t="n">
        <f aca="false">dps*Sens!$D$3630</f>
        <v>0</v>
      </c>
      <c r="E3649" s="38" t="n">
        <f aca="false">dps*Sens!$E$3630</f>
        <v>0</v>
      </c>
      <c r="F3649" s="38" t="n">
        <f aca="false">0</f>
        <v>0</v>
      </c>
      <c r="G3649" s="38" t="n">
        <f aca="false">dps*Sens!$G$3630</f>
        <v>0</v>
      </c>
      <c r="H3649" s="38" t="n">
        <f aca="false">dps*Sens!$H$3630</f>
        <v>0</v>
      </c>
      <c r="I3649" s="38" t="n">
        <f aca="false">dps*Sens!$I$3630</f>
        <v>0</v>
      </c>
      <c r="J3649" s="38" t="n">
        <f aca="false">dps*Sens!$J$3630</f>
        <v>0</v>
      </c>
      <c r="K3649" s="38" t="n">
        <f aca="false">dps*Sens!$K$3630</f>
        <v>0</v>
      </c>
      <c r="L3649" s="38" t="n">
        <f aca="false">dps*Sens!$L$3630</f>
        <v>0</v>
      </c>
      <c r="M3649" s="38" t="n">
        <f aca="false">dps*Sens!$M$3630</f>
        <v>0</v>
      </c>
      <c r="P3649" s="8" t="s">
        <v>741</v>
      </c>
    </row>
    <row r="3650" customFormat="false" ht="17.15" hidden="false" customHeight="false" outlineLevel="0" collapsed="false">
      <c r="A3650" s="5" t="s">
        <v>742</v>
      </c>
      <c r="B3650" s="0" t="s">
        <v>73</v>
      </c>
      <c r="C3650" s="38" t="n">
        <f aca="false">0</f>
        <v>0</v>
      </c>
      <c r="D3650" s="38" t="n">
        <f aca="false">0</f>
        <v>0</v>
      </c>
      <c r="E3650" s="38" t="n">
        <f aca="false">0</f>
        <v>0</v>
      </c>
      <c r="F3650" s="38" t="n">
        <f aca="false">0</f>
        <v>0</v>
      </c>
      <c r="G3650" s="38" t="n">
        <f aca="false">0</f>
        <v>0</v>
      </c>
      <c r="H3650" s="38" t="n">
        <f aca="false">0</f>
        <v>0</v>
      </c>
      <c r="I3650" s="38" t="n">
        <f aca="false">0</f>
        <v>0</v>
      </c>
      <c r="J3650" s="38" t="n">
        <f aca="false">0</f>
        <v>0</v>
      </c>
      <c r="K3650" s="38" t="n">
        <f aca="false">0</f>
        <v>0</v>
      </c>
      <c r="L3650" s="38" t="n">
        <f aca="false">0</f>
        <v>0</v>
      </c>
      <c r="M3650" s="38" t="n">
        <f aca="false">0</f>
        <v>0</v>
      </c>
      <c r="P3650" s="8" t="s">
        <v>743</v>
      </c>
    </row>
    <row r="3651" customFormat="false" ht="15" hidden="false" customHeight="false" outlineLevel="0" collapsed="false">
      <c r="A3651" s="3" t="s">
        <v>744</v>
      </c>
      <c r="B3651" s="8" t="s">
        <v>73</v>
      </c>
      <c r="C3651" s="38" t="n">
        <f aca="false">Sens!$C$3648-Sens!$C$3649</f>
        <v>36.176</v>
      </c>
      <c r="D3651" s="38" t="n">
        <f aca="false">Sens!$D$3648-Sens!$D$3649</f>
        <v>9.63700000000002</v>
      </c>
      <c r="E3651" s="38" t="n">
        <f aca="false">Sens!$E$3648-Sens!$E$3649</f>
        <v>-25.691</v>
      </c>
      <c r="F3651" s="38" t="n">
        <f aca="false">Sens!$F$3648-Sens!$F$3649</f>
        <v>-35.7358850873731</v>
      </c>
      <c r="G3651" s="38" t="n">
        <f aca="false">Sens!$G$3648-Sens!$G$3649</f>
        <v>-61.4268850873731</v>
      </c>
      <c r="H3651" s="38" t="n">
        <f aca="false">Sens!$H$3648-Sens!$H$3649</f>
        <v>-46.9699687831364</v>
      </c>
      <c r="I3651" s="38" t="n">
        <f aca="false">Sens!$I$3648-Sens!$I$3649</f>
        <v>-4.95377019814354</v>
      </c>
      <c r="J3651" s="38" t="n">
        <f aca="false">Sens!$J$3648-Sens!$J$3649</f>
        <v>37.468256246219</v>
      </c>
      <c r="K3651" s="38" t="n">
        <f aca="false">Sens!$K$3648-Sens!$K$3649</f>
        <v>77.9394934577607</v>
      </c>
      <c r="L3651" s="38" t="n">
        <f aca="false">Sens!$L$3648-Sens!$L$3649</f>
        <v>87.5617945307979</v>
      </c>
      <c r="M3651" s="38" t="n">
        <f aca="false">Sens!$M$3648-Sens!$M$3649</f>
        <v>75.0679327759262</v>
      </c>
    </row>
    <row r="3652" customFormat="false" ht="17.15" hidden="false" customHeight="false" outlineLevel="0" collapsed="false">
      <c r="A3652" s="5" t="s">
        <v>745</v>
      </c>
      <c r="B3652" s="0" t="s">
        <v>73</v>
      </c>
      <c r="E3652" s="38" t="n">
        <f aca="false">Q!$P$53</f>
        <v>39.767</v>
      </c>
      <c r="F3652" s="38" t="n">
        <f aca="false">inv_2h26</f>
        <v>21.3</v>
      </c>
      <c r="G3652" s="38" t="n">
        <f aca="false">Sens!$E$3652+Sens!$F$3652</f>
        <v>61.067</v>
      </c>
      <c r="H3652" s="41" t="n">
        <v>0</v>
      </c>
      <c r="I3652" s="41" t="n">
        <v>0</v>
      </c>
      <c r="J3652" s="41" t="n">
        <v>0</v>
      </c>
      <c r="K3652" s="41" t="n">
        <v>0</v>
      </c>
      <c r="L3652" s="41" t="n">
        <v>0</v>
      </c>
      <c r="M3652" s="41" t="n">
        <v>0</v>
      </c>
    </row>
    <row r="3653" customFormat="false" ht="17.15" hidden="false" customHeight="false" outlineLevel="0" collapsed="false">
      <c r="A3653" s="5" t="s">
        <v>746</v>
      </c>
      <c r="B3653" s="0" t="s">
        <v>73</v>
      </c>
      <c r="F3653" s="38" t="n">
        <f aca="false">iss_2h26</f>
        <v>29.25</v>
      </c>
      <c r="G3653" s="38" t="n">
        <f aca="false">Sens!$F$3653</f>
        <v>29.25</v>
      </c>
      <c r="H3653" s="41" t="n">
        <v>0</v>
      </c>
      <c r="I3653" s="41" t="n">
        <v>0</v>
      </c>
      <c r="J3653" s="41" t="n">
        <v>0</v>
      </c>
      <c r="K3653" s="41" t="n">
        <v>0</v>
      </c>
      <c r="L3653" s="41" t="n">
        <v>0</v>
      </c>
      <c r="M3653" s="41" t="n">
        <v>0</v>
      </c>
    </row>
    <row r="3654" customFormat="false" ht="17.15" hidden="false" customHeight="false" outlineLevel="0" collapsed="false">
      <c r="A3654" s="5" t="s">
        <v>747</v>
      </c>
      <c r="B3654" s="0" t="s">
        <v>73</v>
      </c>
      <c r="F3654" s="38" t="n">
        <f aca="false">cash_q2</f>
        <v>122.988</v>
      </c>
      <c r="G3654" s="38" t="n">
        <f aca="false">cash_q2</f>
        <v>122.988</v>
      </c>
      <c r="H3654" s="38" t="n">
        <f aca="false">Sens!$G$3657</f>
        <v>95.2021149126269</v>
      </c>
      <c r="I3654" s="38" t="n">
        <f aca="false">Sens!$H$3657</f>
        <v>50</v>
      </c>
      <c r="J3654" s="38" t="n">
        <f aca="false">Sens!$I$3657</f>
        <v>50</v>
      </c>
      <c r="K3654" s="38" t="n">
        <f aca="false">Sens!$J$3657</f>
        <v>87.468256246219</v>
      </c>
      <c r="L3654" s="38" t="n">
        <f aca="false">Sens!$K$3657</f>
        <v>165.40774970398</v>
      </c>
      <c r="M3654" s="38" t="n">
        <f aca="false">Sens!$L$3657</f>
        <v>252.969544234778</v>
      </c>
    </row>
    <row r="3655" customFormat="false" ht="15" hidden="false" customHeight="false" outlineLevel="0" collapsed="false">
      <c r="A3655" s="5" t="s">
        <v>748</v>
      </c>
      <c r="B3655" s="0" t="s">
        <v>73</v>
      </c>
      <c r="F3655" s="38" t="n">
        <f aca="false">Sens!$F$3654+Sens!$F$3651-Sens!$F$3650-Sens!$F$3652+Sens!$F$3653</f>
        <v>95.2021149126269</v>
      </c>
      <c r="H3655" s="38" t="n">
        <f aca="false">Sens!$H$3654+Sens!$H$3651-Sens!$H$3650-Sens!$H$3652+Sens!$H$3653</f>
        <v>48.2321461294904</v>
      </c>
      <c r="I3655" s="38" t="n">
        <f aca="false">Sens!$I$3654+Sens!$I$3651-Sens!$I$3650-Sens!$I$3652+Sens!$I$3653</f>
        <v>45.0462298018565</v>
      </c>
      <c r="J3655" s="38" t="n">
        <f aca="false">Sens!$J$3654+Sens!$J$3651-Sens!$J$3650-Sens!$J$3652+Sens!$J$3653</f>
        <v>87.468256246219</v>
      </c>
      <c r="K3655" s="38" t="n">
        <f aca="false">Sens!$K$3654+Sens!$K$3651-Sens!$K$3650-Sens!$K$3652+Sens!$K$3653</f>
        <v>165.40774970398</v>
      </c>
      <c r="L3655" s="38" t="n">
        <f aca="false">Sens!$L$3654+Sens!$L$3651-Sens!$L$3650-Sens!$L$3652+Sens!$L$3653</f>
        <v>252.969544234778</v>
      </c>
      <c r="M3655" s="38" t="n">
        <f aca="false">Sens!$M$3654+Sens!$M$3651-Sens!$M$3650-Sens!$M$3652+Sens!$M$3653</f>
        <v>328.037477010704</v>
      </c>
    </row>
    <row r="3656" customFormat="false" ht="17.15" hidden="false" customHeight="false" outlineLevel="0" collapsed="false">
      <c r="A3656" s="5" t="s">
        <v>749</v>
      </c>
      <c r="B3656" s="0" t="s">
        <v>73</v>
      </c>
      <c r="F3656" s="38" t="n">
        <f aca="false">MAX(0,min_cash-Sens!$F$3655)</f>
        <v>0</v>
      </c>
      <c r="G3656" s="38" t="n">
        <f aca="false">Sens!$F$3656</f>
        <v>0</v>
      </c>
      <c r="H3656" s="38" t="n">
        <f aca="false">MAX(0,min_cash-Sens!$H$3655)</f>
        <v>1.76785387050956</v>
      </c>
      <c r="I3656" s="38" t="n">
        <f aca="false">MAX(0,min_cash-Sens!$I$3655)</f>
        <v>4.95377019814354</v>
      </c>
      <c r="J3656" s="38" t="n">
        <f aca="false">MAX(0,min_cash-Sens!$J$3655)</f>
        <v>0</v>
      </c>
      <c r="K3656" s="38" t="n">
        <f aca="false">MAX(0,min_cash-Sens!$K$3655)</f>
        <v>0</v>
      </c>
      <c r="L3656" s="38" t="n">
        <f aca="false">MAX(0,min_cash-Sens!$L$3655)</f>
        <v>0</v>
      </c>
      <c r="M3656" s="38" t="n">
        <f aca="false">MAX(0,min_cash-Sens!$M$3655)</f>
        <v>0</v>
      </c>
      <c r="P3656" s="5" t="s">
        <v>750</v>
      </c>
    </row>
    <row r="3657" customFormat="false" ht="15" hidden="false" customHeight="false" outlineLevel="0" collapsed="false">
      <c r="A3657" s="5" t="s">
        <v>751</v>
      </c>
      <c r="B3657" s="0" t="s">
        <v>73</v>
      </c>
      <c r="D3657" s="38" t="n">
        <f aca="false">Q!$E$61</f>
        <v>123.029</v>
      </c>
      <c r="E3657" s="38" t="n">
        <f aca="false">Q!$M$61</f>
        <v>122.988</v>
      </c>
      <c r="F3657" s="38" t="n">
        <f aca="false">Sens!$F$3655+Sens!$F$3656</f>
        <v>95.2021149126269</v>
      </c>
      <c r="G3657" s="38" t="n">
        <f aca="false">Sens!$F$3657</f>
        <v>95.2021149126269</v>
      </c>
      <c r="H3657" s="38" t="n">
        <f aca="false">Sens!$H$3655+Sens!$H$3656</f>
        <v>50</v>
      </c>
      <c r="I3657" s="38" t="n">
        <f aca="false">Sens!$I$3655+Sens!$I$3656</f>
        <v>50</v>
      </c>
      <c r="J3657" s="38" t="n">
        <f aca="false">Sens!$J$3655+Sens!$J$3656</f>
        <v>87.468256246219</v>
      </c>
      <c r="K3657" s="38" t="n">
        <f aca="false">Sens!$K$3655+Sens!$K$3656</f>
        <v>165.40774970398</v>
      </c>
      <c r="L3657" s="38" t="n">
        <f aca="false">Sens!$L$3655+Sens!$L$3656</f>
        <v>252.969544234778</v>
      </c>
      <c r="M3657" s="38" t="n">
        <f aca="false">Sens!$M$3655+Sens!$M$3656</f>
        <v>328.037477010704</v>
      </c>
    </row>
    <row r="3658" customFormat="false" ht="15" hidden="false" customHeight="false" outlineLevel="0" collapsed="false">
      <c r="A3658" s="5" t="s">
        <v>752</v>
      </c>
      <c r="B3658" s="0" t="s">
        <v>73</v>
      </c>
      <c r="D3658" s="38" t="n">
        <f aca="false">Q!$E$62</f>
        <v>68.836</v>
      </c>
      <c r="E3658" s="38" t="n">
        <f aca="false">Q!$M$62</f>
        <v>132.995</v>
      </c>
      <c r="F3658" s="38" t="n">
        <f aca="false">debt_q2+Sens!$F$3653+Sens!$F$3656</f>
        <v>162.245</v>
      </c>
      <c r="G3658" s="38" t="n">
        <f aca="false">Sens!$F$3658</f>
        <v>162.245</v>
      </c>
      <c r="H3658" s="38" t="n">
        <f aca="false">Sens!$G$3658+Sens!$H$3656</f>
        <v>164.01285387051</v>
      </c>
      <c r="I3658" s="38" t="n">
        <f aca="false">Sens!$H$3658+Sens!$I$3656</f>
        <v>168.966624068653</v>
      </c>
      <c r="J3658" s="38" t="n">
        <f aca="false">Sens!$I$3658+Sens!$J$3656</f>
        <v>168.966624068653</v>
      </c>
      <c r="K3658" s="38" t="n">
        <f aca="false">Sens!$J$3658+Sens!$K$3656</f>
        <v>168.966624068653</v>
      </c>
      <c r="L3658" s="38" t="n">
        <f aca="false">Sens!$K$3658+Sens!$L$3656</f>
        <v>168.966624068653</v>
      </c>
      <c r="M3658" s="38" t="n">
        <f aca="false">Sens!$L$3658+Sens!$M$3656</f>
        <v>168.966624068653</v>
      </c>
    </row>
    <row r="3659" customFormat="false" ht="15" hidden="false" customHeight="false" outlineLevel="0" collapsed="false">
      <c r="A3659" s="5" t="s">
        <v>753</v>
      </c>
      <c r="B3659" s="0" t="s">
        <v>73</v>
      </c>
      <c r="D3659" s="38" t="n">
        <f aca="false">Sens!$D$3658-Sens!$D$3657</f>
        <v>-54.193</v>
      </c>
      <c r="E3659" s="38" t="n">
        <f aca="false">Sens!$E$3658-Sens!$E$3657</f>
        <v>10.007</v>
      </c>
      <c r="F3659" s="38" t="n">
        <f aca="false">Sens!$F$3658-Sens!$F$3657</f>
        <v>67.0428850873731</v>
      </c>
      <c r="G3659" s="38" t="n">
        <f aca="false">Sens!$G$3658-Sens!$G$3657</f>
        <v>67.0428850873731</v>
      </c>
      <c r="H3659" s="38" t="n">
        <f aca="false">Sens!$H$3658-Sens!$H$3657</f>
        <v>114.01285387051</v>
      </c>
      <c r="I3659" s="38" t="n">
        <f aca="false">Sens!$I$3658-Sens!$I$3657</f>
        <v>118.966624068653</v>
      </c>
      <c r="J3659" s="38" t="n">
        <f aca="false">Sens!$J$3658-Sens!$J$3657</f>
        <v>81.4983678224341</v>
      </c>
      <c r="K3659" s="38" t="n">
        <f aca="false">Sens!$K$3658-Sens!$K$3657</f>
        <v>3.55887436467336</v>
      </c>
      <c r="L3659" s="38" t="n">
        <f aca="false">Sens!$L$3658-Sens!$L$3657</f>
        <v>-84.0029201661246</v>
      </c>
      <c r="M3659" s="38" t="n">
        <f aca="false">Sens!$M$3658-Sens!$M$3657</f>
        <v>-159.070852942051</v>
      </c>
    </row>
    <row r="3660" customFormat="false" ht="17.15" hidden="false" customHeight="false" outlineLevel="0" collapsed="false">
      <c r="A3660" s="5" t="s">
        <v>754</v>
      </c>
      <c r="B3660" s="0" t="s">
        <v>73</v>
      </c>
      <c r="F3660" s="38" t="n">
        <f aca="false">debt_q2*kd_book*0.5+iss_2h26*kd_new*0.25</f>
        <v>3.24888964316061</v>
      </c>
      <c r="H3660" s="38" t="n">
        <f aca="false">debt_q2*kd_book+(Sens!$G$3658-debt_q2)*kd_new</f>
        <v>7.42354178632123</v>
      </c>
      <c r="I3660" s="38" t="n">
        <f aca="false">debt_q2*kd_book+(Sens!$H$3658-debt_q2)*kd_new</f>
        <v>7.53544693632448</v>
      </c>
      <c r="J3660" s="38" t="n">
        <f aca="false">debt_q2*kd_book+(Sens!$I$3658-debt_q2)*kd_new</f>
        <v>7.84902058986697</v>
      </c>
      <c r="K3660" s="38" t="n">
        <f aca="false">debt_q2*kd_book+(Sens!$J$3658-debt_q2)*kd_new</f>
        <v>7.84902058986697</v>
      </c>
      <c r="L3660" s="38" t="n">
        <f aca="false">debt_q2*kd_book+(Sens!$K$3658-debt_q2)*kd_new</f>
        <v>7.84902058986697</v>
      </c>
      <c r="M3660" s="38" t="n">
        <f aca="false">debt_q2*kd_book+(Sens!$L$3658-debt_q2)*kd_new</f>
        <v>7.84902058986697</v>
      </c>
    </row>
    <row r="3661" customFormat="false" ht="17.15" hidden="false" customHeight="false" outlineLevel="0" collapsed="false">
      <c r="A3661" s="5" t="s">
        <v>755</v>
      </c>
      <c r="B3661" s="0" t="s">
        <v>73</v>
      </c>
      <c r="F3661" s="38" t="n">
        <f aca="false">cash_q2*y_cash*0.5</f>
        <v>2.59</v>
      </c>
      <c r="H3661" s="38" t="n">
        <f aca="false">Sens!$G$3657*y_cash</f>
        <v>4.00971603121774</v>
      </c>
      <c r="I3661" s="38" t="n">
        <f aca="false">Sens!$H$3657*y_cash</f>
        <v>2.10589651022864</v>
      </c>
      <c r="J3661" s="38" t="n">
        <f aca="false">Sens!$I$3657*y_cash</f>
        <v>2.10589651022864</v>
      </c>
      <c r="K3661" s="38" t="n">
        <f aca="false">Sens!$J$3657*y_cash</f>
        <v>3.68398191169394</v>
      </c>
      <c r="L3661" s="38" t="n">
        <f aca="false">Sens!$K$3657*y_cash</f>
        <v>6.96663205732767</v>
      </c>
      <c r="M3661" s="38" t="n">
        <f aca="false">Sens!$L$3657*y_cash</f>
        <v>10.654553607963</v>
      </c>
    </row>
    <row r="3662" customFormat="false" ht="17.15" hidden="false" customHeight="false" outlineLevel="0" collapsed="false">
      <c r="A3662" s="46" t="s">
        <v>756</v>
      </c>
      <c r="B3662" s="13" t="s">
        <v>73</v>
      </c>
      <c r="C3662" s="13"/>
      <c r="D3662" s="13"/>
      <c r="E3662" s="13"/>
      <c r="F3662" s="13"/>
      <c r="G3662" s="47" t="n">
        <f aca="false">SUM(Sens!$G$3651:$K$3651)</f>
        <v>2.0571256353266</v>
      </c>
      <c r="H3662" s="13"/>
      <c r="I3662" s="13"/>
      <c r="J3662" s="13"/>
      <c r="K3662" s="13"/>
      <c r="L3662" s="13"/>
      <c r="M3662" s="13"/>
      <c r="N3662" s="13"/>
      <c r="O3662" s="13"/>
    </row>
    <row r="3663" customFormat="false" ht="17.15" hidden="false" customHeight="false" outlineLevel="0" collapsed="false">
      <c r="A3663" s="0" t="s">
        <v>723</v>
      </c>
      <c r="B3663" s="0" t="s">
        <v>73</v>
      </c>
      <c r="G3663" s="38" t="n">
        <f aca="false">SUM(Sens!$G$3656:$K$3656)</f>
        <v>6.7216240686531</v>
      </c>
    </row>
    <row r="3666" customFormat="false" ht="19.4" hidden="false" customHeight="false" outlineLevel="0" collapsed="false">
      <c r="A3666" s="31" t="s">
        <v>1122</v>
      </c>
    </row>
    <row r="3667" customFormat="false" ht="17.15" hidden="false" customHeight="false" outlineLevel="0" collapsed="false">
      <c r="A3667" s="6" t="s">
        <v>16</v>
      </c>
      <c r="B3667" s="6" t="s">
        <v>17</v>
      </c>
      <c r="C3667" s="20" t="s">
        <v>457</v>
      </c>
      <c r="D3667" s="20" t="s">
        <v>458</v>
      </c>
      <c r="E3667" s="20" t="s">
        <v>540</v>
      </c>
      <c r="F3667" s="20" t="s">
        <v>541</v>
      </c>
      <c r="G3667" s="20" t="s">
        <v>542</v>
      </c>
      <c r="H3667" s="20" t="s">
        <v>543</v>
      </c>
      <c r="I3667" s="20" t="s">
        <v>544</v>
      </c>
      <c r="J3667" s="20" t="s">
        <v>545</v>
      </c>
      <c r="K3667" s="20" t="s">
        <v>546</v>
      </c>
      <c r="L3667" s="20" t="s">
        <v>547</v>
      </c>
      <c r="M3667" s="20" t="s">
        <v>548</v>
      </c>
      <c r="N3667" s="20" t="s">
        <v>549</v>
      </c>
      <c r="O3667" s="20" t="s">
        <v>550</v>
      </c>
      <c r="P3667" s="6" t="s">
        <v>23</v>
      </c>
      <c r="R3667" s="20" t="n">
        <v>2023</v>
      </c>
      <c r="S3667" s="20" t="n">
        <v>2024</v>
      </c>
      <c r="T3667" s="20" t="n">
        <v>2025</v>
      </c>
      <c r="U3667" s="20" t="n">
        <v>2026</v>
      </c>
      <c r="V3667" s="20" t="n">
        <v>2027</v>
      </c>
      <c r="W3667" s="20" t="n">
        <v>2028</v>
      </c>
      <c r="X3667" s="20" t="n">
        <v>2029</v>
      </c>
      <c r="Y3667" s="20" t="n">
        <v>2030</v>
      </c>
      <c r="Z3667" s="20" t="n">
        <v>2031</v>
      </c>
      <c r="AA3667" s="20" t="n">
        <v>2032</v>
      </c>
    </row>
    <row r="3668" customFormat="false" ht="17.15" hidden="false" customHeight="false" outlineLevel="0" collapsed="false">
      <c r="A3668" s="1" t="s">
        <v>851</v>
      </c>
    </row>
    <row r="3669" customFormat="false" ht="17.15" hidden="false" customHeight="false" outlineLevel="0" collapsed="false">
      <c r="A3669" s="0" t="s">
        <v>852</v>
      </c>
      <c r="B3669" s="0" t="s">
        <v>73</v>
      </c>
      <c r="H3669" s="38" t="n">
        <f aca="false">Sens!$H$3605*(1-tax)</f>
        <v>111.829865043475</v>
      </c>
      <c r="I3669" s="38" t="n">
        <f aca="false">Sens!$I$3605*(1-tax)</f>
        <v>131.840817535985</v>
      </c>
      <c r="J3669" s="38" t="n">
        <f aca="false">Sens!$J$3605*(1-tax)</f>
        <v>149.029273106151</v>
      </c>
      <c r="K3669" s="38" t="n">
        <f aca="false">Sens!$K$3605*(1-tax)</f>
        <v>162.056080095971</v>
      </c>
      <c r="L3669" s="38" t="n">
        <f aca="false">Sens!$L$3605*(1-tax)</f>
        <v>176.244470910061</v>
      </c>
      <c r="M3669" s="38" t="n">
        <f aca="false">Sens!$M$3605*(1-tax)</f>
        <v>190.682679880673</v>
      </c>
    </row>
    <row r="3670" customFormat="false" ht="15" hidden="false" customHeight="false" outlineLevel="0" collapsed="false">
      <c r="A3670" s="5" t="s">
        <v>853</v>
      </c>
      <c r="B3670" s="0" t="s">
        <v>73</v>
      </c>
      <c r="H3670" s="38" t="n">
        <f aca="false">Sens!$H$3617</f>
        <v>87.6631347909074</v>
      </c>
      <c r="I3670" s="38" t="n">
        <f aca="false">Sens!$I$3617</f>
        <v>122.218778682539</v>
      </c>
      <c r="J3670" s="38" t="n">
        <f aca="false">Sens!$J$3617</f>
        <v>156.95964017765</v>
      </c>
      <c r="K3670" s="38" t="n">
        <f aca="false">Sens!$K$3617</f>
        <v>191.028244931135</v>
      </c>
      <c r="L3670" s="38" t="n">
        <f aca="false">Sens!$L$3617</f>
        <v>223.414832918194</v>
      </c>
      <c r="M3670" s="38" t="n">
        <f aca="false">Sens!$M$3617</f>
        <v>256.882911285279</v>
      </c>
    </row>
    <row r="3671" customFormat="false" ht="15" hidden="false" customHeight="false" outlineLevel="0" collapsed="false">
      <c r="A3671" s="5" t="s">
        <v>854</v>
      </c>
      <c r="B3671" s="0" t="s">
        <v>73</v>
      </c>
      <c r="H3671" s="38" t="n">
        <f aca="false">Sens!$H$3646</f>
        <v>277.832370008148</v>
      </c>
      <c r="I3671" s="38" t="n">
        <f aca="false">Sens!$I$3646</f>
        <v>293.800331939616</v>
      </c>
      <c r="J3671" s="38" t="n">
        <f aca="false">Sens!$J$3646</f>
        <v>307.761349621625</v>
      </c>
      <c r="K3671" s="38" t="n">
        <f aca="false">Sens!$K$3646</f>
        <v>319.816683756661</v>
      </c>
      <c r="L3671" s="38" t="n">
        <f aca="false">Sens!$L$3646</f>
        <v>363.78373845473</v>
      </c>
      <c r="M3671" s="38" t="n">
        <f aca="false">Sens!$M$3646</f>
        <v>431.719229455833</v>
      </c>
    </row>
    <row r="3672" customFormat="false" ht="15" hidden="false" customHeight="false" outlineLevel="0" collapsed="false">
      <c r="A3672" s="5" t="s">
        <v>855</v>
      </c>
      <c r="B3672" s="0" t="s">
        <v>73</v>
      </c>
      <c r="H3672" s="38" t="n">
        <f aca="false">Sens!$H$3647</f>
        <v>1.6</v>
      </c>
      <c r="I3672" s="38" t="n">
        <f aca="false">Sens!$I$3647</f>
        <v>1.6</v>
      </c>
      <c r="J3672" s="38" t="n">
        <f aca="false">Sens!$J$3647</f>
        <v>1.6</v>
      </c>
      <c r="K3672" s="38" t="n">
        <f aca="false">Sens!$K$3647</f>
        <v>1.6</v>
      </c>
      <c r="L3672" s="38" t="n">
        <f aca="false">Sens!$L$3647</f>
        <v>1.6</v>
      </c>
      <c r="M3672" s="38" t="n">
        <f aca="false">Sens!$M$3647</f>
        <v>1.6</v>
      </c>
    </row>
    <row r="3673" customFormat="false" ht="15" hidden="false" customHeight="false" outlineLevel="0" collapsed="false">
      <c r="A3673" s="5" t="s">
        <v>856</v>
      </c>
      <c r="B3673" s="0" t="s">
        <v>73</v>
      </c>
      <c r="H3673" s="38" t="n">
        <f aca="false">Sens!$H$3641</f>
        <v>11.6293121265182</v>
      </c>
      <c r="I3673" s="38" t="n">
        <f aca="false">Sens!$I$3641</f>
        <v>13.2810381500457</v>
      </c>
      <c r="J3673" s="38" t="n">
        <f aca="false">Sens!$J$3641</f>
        <v>14.8123722359748</v>
      </c>
      <c r="K3673" s="38" t="n">
        <f aca="false">Sens!$K$3641</f>
        <v>16.1533439060887</v>
      </c>
      <c r="L3673" s="38" t="n">
        <f aca="false">Sens!$L$3641</f>
        <v>17.551027746659</v>
      </c>
      <c r="M3673" s="38" t="n">
        <f aca="false">Sens!$M$3641</f>
        <v>19.0091616071255</v>
      </c>
    </row>
    <row r="3674" customFormat="false" ht="17.15" hidden="false" customHeight="false" outlineLevel="0" collapsed="false">
      <c r="A3674" s="1" t="s">
        <v>857</v>
      </c>
      <c r="B3674" s="8" t="s">
        <v>73</v>
      </c>
      <c r="H3674" s="38" t="n">
        <f aca="false">Sens!$H$3669+Sens!$H$3670-Sens!$H$3671-Sens!$H$3672+Sens!$H$3673</f>
        <v>-68.3100580472475</v>
      </c>
      <c r="I3674" s="38" t="n">
        <f aca="false">Sens!$I$3669+Sens!$I$3670-Sens!$I$3671-Sens!$I$3672+Sens!$I$3673</f>
        <v>-28.0596975710468</v>
      </c>
      <c r="J3674" s="38" t="n">
        <f aca="false">Sens!$J$3669+Sens!$J$3670-Sens!$J$3671-Sens!$J$3672+Sens!$J$3673</f>
        <v>11.4399358981508</v>
      </c>
      <c r="K3674" s="38" t="n">
        <f aca="false">Sens!$K$3669+Sens!$K$3670-Sens!$K$3671-Sens!$K$3672+Sens!$K$3673</f>
        <v>47.8209851765339</v>
      </c>
      <c r="L3674" s="38" t="n">
        <f aca="false">Sens!$L$3669+Sens!$L$3670-Sens!$L$3671-Sens!$L$3672+Sens!$L$3673</f>
        <v>51.8265931201845</v>
      </c>
      <c r="M3674" s="38" t="n">
        <f aca="false">Sens!$M$3669+Sens!$M$3670-Sens!$M$3671-Sens!$M$3672+Sens!$M$3673</f>
        <v>33.2555233172453</v>
      </c>
    </row>
    <row r="3675" customFormat="false" ht="15" hidden="false" customHeight="false" outlineLevel="0" collapsed="false">
      <c r="A3675" s="5" t="s">
        <v>858</v>
      </c>
      <c r="B3675" s="0" t="s">
        <v>57</v>
      </c>
      <c r="H3675" s="51" t="n">
        <f aca="false">1/(1+wacc)^(2027-2026-0.5)</f>
        <v>0.942858177653364</v>
      </c>
      <c r="I3675" s="51" t="n">
        <f aca="false">1/(1+wacc)^(2028-2026-0.5)</f>
        <v>0.838183517758688</v>
      </c>
      <c r="J3675" s="51" t="n">
        <f aca="false">1/(1+wacc)^(2029-2026-0.5)</f>
        <v>0.745129677074952</v>
      </c>
      <c r="K3675" s="51" t="n">
        <f aca="false">1/(1+wacc)^(2030-2026-0.5)</f>
        <v>0.662406530186232</v>
      </c>
      <c r="L3675" s="51" t="n">
        <f aca="false">1/(1+wacc)^(2031-2026-0.5)</f>
        <v>0.588867179409399</v>
      </c>
      <c r="M3675" s="51" t="n">
        <f aca="false">1/(1+wacc)^(2032-2026-0.5)</f>
        <v>0.52349205387225</v>
      </c>
    </row>
    <row r="3676" customFormat="false" ht="15" hidden="false" customHeight="false" outlineLevel="0" collapsed="false">
      <c r="A3676" s="5" t="s">
        <v>859</v>
      </c>
      <c r="B3676" s="0" t="s">
        <v>73</v>
      </c>
      <c r="H3676" s="38" t="n">
        <f aca="false">Sens!$H$3674*Sens!$H$3675</f>
        <v>-64.4066968458233</v>
      </c>
      <c r="I3676" s="38" t="n">
        <f aca="false">Sens!$I$3674*Sens!$I$3675</f>
        <v>-23.5191760173449</v>
      </c>
      <c r="J3676" s="38" t="n">
        <f aca="false">Sens!$J$3674*Sens!$J$3675</f>
        <v>8.52423574154728</v>
      </c>
      <c r="K3676" s="38" t="n">
        <f aca="false">Sens!$K$3674*Sens!$K$3675</f>
        <v>31.6769328608751</v>
      </c>
      <c r="L3676" s="38" t="n">
        <f aca="false">Sens!$L$3674*Sens!$L$3675</f>
        <v>30.5189797090816</v>
      </c>
      <c r="M3676" s="38" t="n">
        <f aca="false">Sens!$M$3674*Sens!$M$3675</f>
        <v>17.4090022039413</v>
      </c>
    </row>
    <row r="3677" customFormat="false" ht="15" hidden="false" customHeight="false" outlineLevel="0" collapsed="false">
      <c r="A3677" s="5" t="s">
        <v>860</v>
      </c>
      <c r="B3677" s="0" t="s">
        <v>73</v>
      </c>
      <c r="C3677" s="38" t="n">
        <f aca="false">SUM(Sens!$H$3676:$M$3676)</f>
        <v>0.203277652277016</v>
      </c>
    </row>
    <row r="3678" customFormat="false" ht="17.15" hidden="false" customHeight="false" outlineLevel="0" collapsed="false">
      <c r="A3678" s="5" t="s">
        <v>861</v>
      </c>
      <c r="B3678" s="0" t="s">
        <v>73</v>
      </c>
      <c r="C3678" s="38" t="n">
        <f aca="false">Sens!$M$3669*(1+tg)*(1-tg/ronic)/(wacc-tg)</f>
        <v>1572.70051744731</v>
      </c>
    </row>
    <row r="3679" customFormat="false" ht="15" hidden="false" customHeight="false" outlineLevel="0" collapsed="false">
      <c r="A3679" s="5" t="s">
        <v>862</v>
      </c>
      <c r="B3679" s="0" t="s">
        <v>73</v>
      </c>
      <c r="C3679" s="38" t="n">
        <f aca="false">Sens!$C$3678/(1+wacc)^6</f>
        <v>776.251577433725</v>
      </c>
    </row>
    <row r="3680" customFormat="false" ht="17.15" hidden="false" customHeight="false" outlineLevel="0" collapsed="false">
      <c r="A3680" s="5" t="s">
        <v>863</v>
      </c>
      <c r="B3680" s="0" t="s">
        <v>73</v>
      </c>
      <c r="C3680" s="38" t="n">
        <f aca="false">Sens!$C$3677+Sens!$C$3679</f>
        <v>776.454855086002</v>
      </c>
    </row>
    <row r="3681" customFormat="false" ht="17.15" hidden="false" customHeight="false" outlineLevel="0" collapsed="false">
      <c r="A3681" s="5" t="s">
        <v>864</v>
      </c>
      <c r="B3681" s="0" t="s">
        <v>52</v>
      </c>
      <c r="C3681" s="12" t="n">
        <f aca="false">Sens!$C$3679/Sens!$C$3680</f>
        <v>0.999738197718843</v>
      </c>
    </row>
    <row r="3682" customFormat="false" ht="17.15" hidden="false" customHeight="false" outlineLevel="0" collapsed="false">
      <c r="A3682" s="5" t="s">
        <v>865</v>
      </c>
      <c r="B3682" s="0" t="s">
        <v>73</v>
      </c>
      <c r="C3682" s="38" t="n">
        <f aca="false">Sens!$G$3659</f>
        <v>67.0428850873731</v>
      </c>
    </row>
    <row r="3683" customFormat="false" ht="17.15" hidden="false" customHeight="false" outlineLevel="0" collapsed="false">
      <c r="A3683" s="5" t="s">
        <v>866</v>
      </c>
      <c r="B3683" s="0" t="s">
        <v>73</v>
      </c>
      <c r="C3683" s="38" t="n">
        <f aca="false">(ant_val*ant_sh+oai_val*oai_sh)*(1-liq_disc)</f>
        <v>178.944</v>
      </c>
    </row>
    <row r="3684" customFormat="false" ht="15" hidden="false" customHeight="false" outlineLevel="0" collapsed="false">
      <c r="A3684" s="5" t="s">
        <v>867</v>
      </c>
      <c r="B3684" s="0" t="s">
        <v>73</v>
      </c>
      <c r="C3684" s="38" t="n">
        <f aca="false">Sens!$C$3680-Sens!$C$3682+Sens!$C$3683</f>
        <v>888.355969998629</v>
      </c>
    </row>
    <row r="3685" customFormat="false" ht="17.15" hidden="false" customHeight="false" outlineLevel="0" collapsed="false">
      <c r="A3685" s="5" t="s">
        <v>868</v>
      </c>
      <c r="B3685" s="0" t="s">
        <v>27</v>
      </c>
      <c r="C3685" s="30" t="n">
        <f aca="false">Sens!$C$3684/sh_val</f>
        <v>80.537686415693</v>
      </c>
    </row>
    <row r="3686" customFormat="false" ht="17.15" hidden="false" customHeight="false" outlineLevel="0" collapsed="false">
      <c r="A3686" s="1" t="s">
        <v>869</v>
      </c>
      <c r="B3686" s="8" t="s">
        <v>27</v>
      </c>
      <c r="C3686" s="30" t="n">
        <f aca="false">Sens!$C$3685*(1+ke)^tp_yf</f>
        <v>88.9494386643723</v>
      </c>
    </row>
    <row r="3687" customFormat="false" ht="17.15" hidden="false" customHeight="false" outlineLevel="0" collapsed="false">
      <c r="A3687" s="3" t="s">
        <v>870</v>
      </c>
    </row>
    <row r="3688" customFormat="false" ht="17.15" hidden="false" customHeight="false" outlineLevel="0" collapsed="false">
      <c r="A3688" s="5" t="s">
        <v>871</v>
      </c>
      <c r="B3688" s="0" t="s">
        <v>73</v>
      </c>
      <c r="C3688" s="38" t="n">
        <f aca="false">0.25*Sens!$H$3618+0.75*Sens!$I$3618</f>
        <v>56.6227557035482</v>
      </c>
    </row>
    <row r="3689" customFormat="false" ht="15" hidden="false" customHeight="false" outlineLevel="0" collapsed="false">
      <c r="A3689" s="5" t="s">
        <v>872</v>
      </c>
      <c r="B3689" s="0" t="s">
        <v>57</v>
      </c>
      <c r="C3689" s="30" t="n">
        <f aca="false">m_ads*m_x</f>
        <v>9.11</v>
      </c>
    </row>
    <row r="3690" customFormat="false" ht="17.15" hidden="false" customHeight="false" outlineLevel="0" collapsed="false">
      <c r="A3690" s="5" t="s">
        <v>873</v>
      </c>
      <c r="B3690" s="0" t="s">
        <v>73</v>
      </c>
      <c r="C3690" s="38" t="n">
        <f aca="false">Sens!$C$3688*Sens!$C$3689</f>
        <v>515.833304459324</v>
      </c>
    </row>
    <row r="3691" customFormat="false" ht="17.15" hidden="false" customHeight="false" outlineLevel="0" collapsed="false">
      <c r="A3691" s="5" t="s">
        <v>874</v>
      </c>
      <c r="B3691" s="0" t="s">
        <v>73</v>
      </c>
      <c r="C3691" s="38" t="n">
        <f aca="false">0.25*Sens!$H$3619+0.75*Sens!$I$3619</f>
        <v>30.566740326615</v>
      </c>
    </row>
    <row r="3692" customFormat="false" ht="15" hidden="false" customHeight="false" outlineLevel="0" collapsed="false">
      <c r="A3692" s="5" t="s">
        <v>875</v>
      </c>
      <c r="B3692" s="0" t="s">
        <v>57</v>
      </c>
      <c r="C3692" s="30" t="n">
        <f aca="false">m_retail*m_x</f>
        <v>17.72</v>
      </c>
    </row>
    <row r="3693" customFormat="false" ht="17.15" hidden="false" customHeight="false" outlineLevel="0" collapsed="false">
      <c r="A3693" s="5" t="s">
        <v>876</v>
      </c>
      <c r="B3693" s="0" t="s">
        <v>73</v>
      </c>
      <c r="C3693" s="38" t="n">
        <f aca="false">Sens!$C$3691*Sens!$C$3692</f>
        <v>541.642638587617</v>
      </c>
    </row>
    <row r="3694" customFormat="false" ht="17.15" hidden="false" customHeight="false" outlineLevel="0" collapsed="false">
      <c r="A3694" s="0" t="s">
        <v>877</v>
      </c>
      <c r="B3694" s="0" t="s">
        <v>73</v>
      </c>
      <c r="C3694" s="38" t="n">
        <f aca="false">0.25*Sens!$H$3620+0.75*Sens!$I$3620</f>
        <v>107.575398943098</v>
      </c>
    </row>
    <row r="3695" customFormat="false" ht="17.15" hidden="false" customHeight="false" outlineLevel="0" collapsed="false">
      <c r="A3695" s="0" t="s">
        <v>878</v>
      </c>
      <c r="B3695" s="0" t="s">
        <v>57</v>
      </c>
      <c r="C3695" s="30" t="n">
        <f aca="false">m_cloud*m_x</f>
        <v>13.82</v>
      </c>
    </row>
    <row r="3696" customFormat="false" ht="17.15" hidden="false" customHeight="false" outlineLevel="0" collapsed="false">
      <c r="A3696" s="0" t="s">
        <v>879</v>
      </c>
      <c r="B3696" s="0" t="s">
        <v>73</v>
      </c>
      <c r="C3696" s="38" t="n">
        <f aca="false">Sens!$C$3694*Sens!$C$3695</f>
        <v>1486.69201339361</v>
      </c>
    </row>
    <row r="3697" customFormat="false" ht="17.15" hidden="false" customHeight="false" outlineLevel="0" collapsed="false">
      <c r="A3697" s="0" t="s">
        <v>880</v>
      </c>
      <c r="B3697" s="0" t="s">
        <v>73</v>
      </c>
      <c r="C3697" s="38" t="n">
        <f aca="false">0.25*Sens!$H$3621+0.75*Sens!$I$3621</f>
        <v>72.2947701247864</v>
      </c>
    </row>
    <row r="3698" customFormat="false" ht="17.15" hidden="false" customHeight="false" outlineLevel="0" collapsed="false">
      <c r="A3698" s="0" t="s">
        <v>881</v>
      </c>
      <c r="B3698" s="0" t="s">
        <v>57</v>
      </c>
      <c r="C3698" s="30" t="n">
        <f aca="false">m_ai</f>
        <v>6</v>
      </c>
    </row>
    <row r="3699" customFormat="false" ht="17.15" hidden="false" customHeight="false" outlineLevel="0" collapsed="false">
      <c r="A3699" s="0" t="s">
        <v>882</v>
      </c>
      <c r="B3699" s="0" t="s">
        <v>73</v>
      </c>
      <c r="C3699" s="38" t="n">
        <f aca="false">Sens!$C$3697*Sens!$C$3698</f>
        <v>433.768620748718</v>
      </c>
    </row>
    <row r="3700" customFormat="false" ht="17.15" hidden="false" customHeight="false" outlineLevel="0" collapsed="false">
      <c r="A3700" s="5" t="s">
        <v>883</v>
      </c>
      <c r="B3700" s="0" t="s">
        <v>73</v>
      </c>
      <c r="C3700" s="38" t="n">
        <f aca="false">Sens!$C$3690+Sens!$C$3693+Sens!$C$3696+Sens!$C$3699</f>
        <v>2977.93657718927</v>
      </c>
    </row>
    <row r="3701" customFormat="false" ht="17.15" hidden="false" customHeight="false" outlineLevel="0" collapsed="false">
      <c r="A3701" s="5" t="s">
        <v>884</v>
      </c>
      <c r="B3701" s="0" t="s">
        <v>73</v>
      </c>
      <c r="C3701" s="38" t="n">
        <f aca="false">Sens!$H$3659</f>
        <v>114.01285387051</v>
      </c>
    </row>
    <row r="3702" customFormat="false" ht="15" hidden="false" customHeight="false" outlineLevel="0" collapsed="false">
      <c r="A3702" s="5" t="s">
        <v>885</v>
      </c>
      <c r="B3702" s="0" t="s">
        <v>73</v>
      </c>
      <c r="C3702" s="38" t="n">
        <f aca="false">Sens!$C$3700-Sens!$C$3701+Sens!$C$3683</f>
        <v>3042.86772331876</v>
      </c>
    </row>
    <row r="3703" customFormat="false" ht="15" hidden="false" customHeight="false" outlineLevel="0" collapsed="false">
      <c r="A3703" s="3" t="s">
        <v>886</v>
      </c>
      <c r="B3703" s="8" t="s">
        <v>27</v>
      </c>
      <c r="C3703" s="30" t="n">
        <f aca="false">Sens!$C$3702/sh_val</f>
        <v>275.864107161297</v>
      </c>
    </row>
    <row r="3704" customFormat="false" ht="17.15" hidden="false" customHeight="false" outlineLevel="0" collapsed="false">
      <c r="A3704" s="46" t="s">
        <v>887</v>
      </c>
      <c r="B3704" s="13" t="s">
        <v>27</v>
      </c>
      <c r="C3704" s="43" t="n">
        <f aca="false">w_dcf*Sens!$C$3686+(1-w_dcf)*Sens!$C$3703</f>
        <v>182.406772912835</v>
      </c>
      <c r="D3704" s="13"/>
      <c r="E3704" s="13"/>
      <c r="F3704" s="13"/>
      <c r="G3704" s="13"/>
      <c r="H3704" s="13"/>
      <c r="I3704" s="13"/>
      <c r="J3704" s="13"/>
      <c r="K3704" s="13"/>
      <c r="L3704" s="13"/>
      <c r="M3704" s="13"/>
      <c r="N3704" s="13"/>
      <c r="O3704" s="13"/>
    </row>
    <row r="3705" customFormat="false" ht="17.15" hidden="false" customHeight="false" outlineLevel="0" collapsed="false">
      <c r="A3705" s="5" t="s">
        <v>888</v>
      </c>
      <c r="B3705" s="0" t="s">
        <v>27</v>
      </c>
      <c r="C3705" s="30" t="n">
        <f aca="false">0.45*Sens!$C$3686+0.55*Sens!$C$3703</f>
        <v>191.752506337681</v>
      </c>
    </row>
    <row r="3708" customFormat="false" ht="19.4" hidden="false" customHeight="false" outlineLevel="0" collapsed="false">
      <c r="A3708" s="31" t="s">
        <v>1123</v>
      </c>
    </row>
    <row r="3709" customFormat="false" ht="17.15" hidden="false" customHeight="false" outlineLevel="0" collapsed="false">
      <c r="A3709" s="6" t="s">
        <v>16</v>
      </c>
      <c r="B3709" s="6" t="s">
        <v>17</v>
      </c>
      <c r="C3709" s="20" t="s">
        <v>457</v>
      </c>
      <c r="D3709" s="20" t="s">
        <v>458</v>
      </c>
      <c r="E3709" s="20" t="s">
        <v>540</v>
      </c>
      <c r="F3709" s="20" t="s">
        <v>541</v>
      </c>
      <c r="G3709" s="20" t="s">
        <v>542</v>
      </c>
      <c r="H3709" s="20" t="s">
        <v>543</v>
      </c>
      <c r="I3709" s="20" t="s">
        <v>544</v>
      </c>
      <c r="J3709" s="20" t="s">
        <v>545</v>
      </c>
      <c r="K3709" s="20" t="s">
        <v>546</v>
      </c>
      <c r="L3709" s="20" t="s">
        <v>547</v>
      </c>
      <c r="M3709" s="20" t="s">
        <v>548</v>
      </c>
      <c r="N3709" s="20" t="s">
        <v>549</v>
      </c>
      <c r="O3709" s="20" t="s">
        <v>550</v>
      </c>
      <c r="P3709" s="6" t="s">
        <v>23</v>
      </c>
      <c r="R3709" s="20" t="n">
        <v>2023</v>
      </c>
      <c r="S3709" s="20" t="n">
        <v>2024</v>
      </c>
      <c r="T3709" s="20" t="n">
        <v>2025</v>
      </c>
      <c r="U3709" s="20" t="n">
        <v>2026</v>
      </c>
      <c r="V3709" s="20" t="n">
        <v>2027</v>
      </c>
      <c r="W3709" s="20" t="n">
        <v>2028</v>
      </c>
      <c r="X3709" s="20" t="n">
        <v>2029</v>
      </c>
      <c r="Y3709" s="20" t="n">
        <v>2030</v>
      </c>
      <c r="Z3709" s="20" t="n">
        <v>2031</v>
      </c>
      <c r="AA3709" s="20" t="n">
        <v>2032</v>
      </c>
    </row>
    <row r="3710" customFormat="false" ht="17.15" hidden="false" customHeight="false" outlineLevel="0" collapsed="false">
      <c r="A3710" s="1" t="s">
        <v>620</v>
      </c>
    </row>
    <row r="3711" customFormat="false" ht="17.15" hidden="false" customHeight="false" outlineLevel="0" collapsed="false">
      <c r="A3711" s="0" t="s">
        <v>479</v>
      </c>
      <c r="B3711" s="0" t="s">
        <v>73</v>
      </c>
      <c r="C3711" s="38" t="n">
        <f aca="false">Q!$D$10</f>
        <v>247.029</v>
      </c>
      <c r="D3711" s="38" t="n">
        <f aca="false">Q!$E$10</f>
        <v>269.287</v>
      </c>
      <c r="E3711" s="38" t="n">
        <f aca="false">Q!$P$10</f>
        <v>134.686</v>
      </c>
      <c r="F3711" s="38" t="n">
        <f aca="false">Sens!$O$3711*(1+Sens!$F$3712)-pd_amt*Q!$O$10/(Q!$O$10+Q!$O$12)</f>
        <v>160.728085930082</v>
      </c>
      <c r="G3711" s="38" t="n">
        <f aca="false">Sens!$E$3711+Sens!$F$3711</f>
        <v>295.414085930082</v>
      </c>
      <c r="H3711" s="38" t="n">
        <f aca="false">Sens!$G$3711*(1+Sens!$H$3712)</f>
        <v>320.828163943375</v>
      </c>
      <c r="I3711" s="38" t="n">
        <f aca="false">Sens!$H$3711*(1+Sens!$I$3712)</f>
        <v>344.575578072228</v>
      </c>
      <c r="J3711" s="38" t="n">
        <f aca="false">Sens!$I$3711*(1+Sens!$J$3712)</f>
        <v>365.942555779681</v>
      </c>
      <c r="K3711" s="38" t="n">
        <f aca="false">Sens!$J$3711*(1+Sens!$K$3712)</f>
        <v>384.239683568665</v>
      </c>
      <c r="L3711" s="38" t="n">
        <f aca="false">Sens!$K$3711*(1+Sens!$L$3712)</f>
        <v>403.451667747098</v>
      </c>
      <c r="M3711" s="38" t="n">
        <f aca="false">Sens!$L$3711*(1+Sens!$M$3712)</f>
        <v>423.624251134453</v>
      </c>
      <c r="N3711" s="38" t="n">
        <f aca="false">Q!$N$10</f>
        <v>118.892</v>
      </c>
      <c r="O3711" s="38" t="n">
        <f aca="false">Q!$O$10</f>
        <v>150.395</v>
      </c>
      <c r="P3711" s="8" t="s">
        <v>621</v>
      </c>
    </row>
    <row r="3712" customFormat="false" ht="17.15" hidden="false" customHeight="false" outlineLevel="0" collapsed="false">
      <c r="A3712" s="0" t="s">
        <v>622</v>
      </c>
      <c r="B3712" s="0" t="s">
        <v>52</v>
      </c>
      <c r="E3712" s="12" t="n">
        <f aca="false">Sens!$E$3711/Sens!$N$3711-1</f>
        <v>0.132843252699929</v>
      </c>
      <c r="F3712" s="12" t="n">
        <f aca="false">Sens!$O$3711/(Q!$F$10+Q!$G$10)-1</f>
        <v>0.0980382135842941</v>
      </c>
      <c r="G3712" s="12" t="n">
        <f aca="false">Sens!$G$3711/Sens!$D$3711-1</f>
        <v>0.0970231980380869</v>
      </c>
      <c r="H3712" s="12" t="n">
        <f aca="false">Sens!$F$3712+(g_os-Sens!$F$3712)*1/4</f>
        <v>0.0860286601882206</v>
      </c>
      <c r="I3712" s="12" t="n">
        <f aca="false">Sens!$F$3712+(g_os-Sens!$F$3712)*2/4</f>
        <v>0.074019106792147</v>
      </c>
      <c r="J3712" s="12" t="n">
        <f aca="false">Sens!$F$3712+(g_os-Sens!$F$3712)*3/4</f>
        <v>0.0620095533960735</v>
      </c>
      <c r="K3712" s="12" t="n">
        <f aca="false">Sens!$F$3712+(g_os-Sens!$F$3712)*4/4</f>
        <v>0.05</v>
      </c>
      <c r="L3712" s="12" t="n">
        <f aca="false">g_os</f>
        <v>0.05</v>
      </c>
      <c r="M3712" s="12" t="n">
        <f aca="false">g_os</f>
        <v>0.05</v>
      </c>
      <c r="P3712" s="8" t="s">
        <v>623</v>
      </c>
    </row>
    <row r="3713" customFormat="false" ht="17.15" hidden="false" customHeight="false" outlineLevel="0" collapsed="false">
      <c r="A3713" s="0" t="s">
        <v>480</v>
      </c>
      <c r="B3713" s="0" t="s">
        <v>73</v>
      </c>
      <c r="C3713" s="38" t="n">
        <f aca="false">Q!$D$11</f>
        <v>21.215</v>
      </c>
      <c r="D3713" s="38" t="n">
        <f aca="false">Q!$E$11</f>
        <v>22.561</v>
      </c>
      <c r="E3713" s="38" t="n">
        <f aca="false">Q!$P$11</f>
        <v>11.579</v>
      </c>
      <c r="F3713" s="38" t="n">
        <f aca="false">Sens!$O$3713*(1+Sens!$F$3714)</f>
        <v>12.0952613121125</v>
      </c>
      <c r="G3713" s="38" t="n">
        <f aca="false">Sens!$E$3713+Sens!$F$3713</f>
        <v>23.6742613121125</v>
      </c>
      <c r="H3713" s="38" t="n">
        <f aca="false">Sens!$G$3713*(1+Sens!$H$3714)</f>
        <v>24.8803243963206</v>
      </c>
      <c r="I3713" s="38" t="n">
        <f aca="false">Sens!$H$3713*(1+Sens!$I$3714)</f>
        <v>25.9741308664154</v>
      </c>
      <c r="J3713" s="38" t="n">
        <f aca="false">Sens!$I$3713*(1+Sens!$J$3714)</f>
        <v>26.9346894124267</v>
      </c>
      <c r="K3713" s="38" t="n">
        <f aca="false">Sens!$J$3713*(1+Sens!$K$3714)</f>
        <v>27.7427300947995</v>
      </c>
      <c r="L3713" s="38" t="n">
        <f aca="false">Sens!$K$3713*(1+Sens!$L$3714)</f>
        <v>28.5750119976435</v>
      </c>
      <c r="M3713" s="38" t="n">
        <f aca="false">Sens!$L$3713*(1+Sens!$M$3714)</f>
        <v>29.4322623575728</v>
      </c>
      <c r="N3713" s="38" t="n">
        <f aca="false">Q!$N$11</f>
        <v>11.128</v>
      </c>
      <c r="O3713" s="38" t="n">
        <f aca="false">Q!$O$11</f>
        <v>11.433</v>
      </c>
      <c r="P3713" s="8" t="s">
        <v>621</v>
      </c>
    </row>
    <row r="3714" customFormat="false" ht="17.15" hidden="false" customHeight="false" outlineLevel="0" collapsed="false">
      <c r="A3714" s="0" t="s">
        <v>624</v>
      </c>
      <c r="B3714" s="0" t="s">
        <v>52</v>
      </c>
      <c r="E3714" s="12" t="n">
        <f aca="false">Sens!$E$3713/Sens!$N$3713-1</f>
        <v>0.0405283968368082</v>
      </c>
      <c r="F3714" s="12" t="n">
        <f aca="false">Sens!$O$3713/(Q!$F$11+Q!$G$11)-1</f>
        <v>0.0579254187100955</v>
      </c>
      <c r="G3714" s="12" t="n">
        <f aca="false">Sens!$G$3713/Sens!$D$3713-1</f>
        <v>0.0493445021103904</v>
      </c>
      <c r="H3714" s="12" t="n">
        <f aca="false">Sens!$F$3714+(g_ps-Sens!$F$3714)*1/4</f>
        <v>0.0509440640325716</v>
      </c>
      <c r="I3714" s="12" t="n">
        <f aca="false">Sens!$F$3714+(g_ps-Sens!$F$3714)*2/4</f>
        <v>0.0439627093550477</v>
      </c>
      <c r="J3714" s="12" t="n">
        <f aca="false">Sens!$F$3714+(g_ps-Sens!$F$3714)*3/4</f>
        <v>0.0369813546775239</v>
      </c>
      <c r="K3714" s="12" t="n">
        <f aca="false">Sens!$F$3714+(g_ps-Sens!$F$3714)*4/4</f>
        <v>0.03</v>
      </c>
      <c r="L3714" s="12" t="n">
        <f aca="false">g_ps</f>
        <v>0.03</v>
      </c>
      <c r="M3714" s="12" t="n">
        <f aca="false">g_ps</f>
        <v>0.03</v>
      </c>
      <c r="P3714" s="8" t="s">
        <v>625</v>
      </c>
    </row>
    <row r="3715" customFormat="false" ht="17.15" hidden="false" customHeight="false" outlineLevel="0" collapsed="false">
      <c r="A3715" s="0" t="s">
        <v>481</v>
      </c>
      <c r="B3715" s="0" t="s">
        <v>73</v>
      </c>
      <c r="C3715" s="38" t="n">
        <f aca="false">Q!$D$12</f>
        <v>156.146</v>
      </c>
      <c r="D3715" s="38" t="n">
        <f aca="false">Q!$E$12</f>
        <v>172.162</v>
      </c>
      <c r="E3715" s="38" t="n">
        <f aca="false">Q!$P$12</f>
        <v>88.358</v>
      </c>
      <c r="F3715" s="38" t="n">
        <f aca="false">Sens!$O$3715*(1+Sens!$F$3716)-pd_amt*Q!$O$12/(Q!$O$10+Q!$O$12)</f>
        <v>103.62028337149</v>
      </c>
      <c r="G3715" s="38" t="n">
        <f aca="false">Sens!$E$3715+Sens!$F$3715</f>
        <v>191.97828337149</v>
      </c>
      <c r="H3715" s="38" t="n">
        <f aca="false">Sens!$G$3715*(1+Sens!$H$3716)</f>
        <v>212.128608444755</v>
      </c>
      <c r="I3715" s="38" t="n">
        <f aca="false">Sens!$H$3715*(1+Sens!$I$3716)</f>
        <v>231.92183134134</v>
      </c>
      <c r="J3715" s="38" t="n">
        <f aca="false">Sens!$I$3715*(1+Sens!$J$3716)</f>
        <v>250.859136487863</v>
      </c>
      <c r="K3715" s="38" t="n">
        <f aca="false">Sens!$J$3715*(1+Sens!$K$3716)</f>
        <v>268.419276042014</v>
      </c>
      <c r="L3715" s="38" t="n">
        <f aca="false">Sens!$K$3715*(1+Sens!$L$3716)</f>
        <v>287.208625364954</v>
      </c>
      <c r="M3715" s="38" t="n">
        <f aca="false">Sens!$L$3715*(1+Sens!$M$3716)</f>
        <v>307.313229140501</v>
      </c>
      <c r="N3715" s="38" t="n">
        <f aca="false">Q!$N$12</f>
        <v>76.86</v>
      </c>
      <c r="O3715" s="38" t="n">
        <f aca="false">Q!$O$12</f>
        <v>95.302</v>
      </c>
      <c r="P3715" s="8" t="s">
        <v>621</v>
      </c>
    </row>
    <row r="3716" customFormat="false" ht="17.15" hidden="false" customHeight="false" outlineLevel="0" collapsed="false">
      <c r="A3716" s="0" t="s">
        <v>626</v>
      </c>
      <c r="B3716" s="0" t="s">
        <v>52</v>
      </c>
      <c r="E3716" s="12" t="n">
        <f aca="false">Sens!$E$3715/Sens!$N$3715-1</f>
        <v>0.1495966692688</v>
      </c>
      <c r="F3716" s="12" t="n">
        <f aca="false">Sens!$O$3715/(Q!$F$12+Q!$G$12)-1</f>
        <v>0.11661530890813</v>
      </c>
      <c r="G3716" s="12" t="n">
        <f aca="false">Sens!$G$3715/Sens!$D$3715-1</f>
        <v>0.115102539303041</v>
      </c>
      <c r="H3716" s="12" t="n">
        <f aca="false">Sens!$F$3716+(g_sp-Sens!$F$3716)*1/4</f>
        <v>0.104961481681098</v>
      </c>
      <c r="I3716" s="12" t="n">
        <f aca="false">Sens!$F$3716+(g_sp-Sens!$F$3716)*2/4</f>
        <v>0.0933076544540651</v>
      </c>
      <c r="J3716" s="12" t="n">
        <f aca="false">Sens!$F$3716+(g_sp-Sens!$F$3716)*3/4</f>
        <v>0.0816538272270325</v>
      </c>
      <c r="K3716" s="12" t="n">
        <f aca="false">Sens!$F$3716+(g_sp-Sens!$F$3716)*4/4</f>
        <v>0.07</v>
      </c>
      <c r="L3716" s="12" t="n">
        <f aca="false">g_sp</f>
        <v>0.07</v>
      </c>
      <c r="M3716" s="12" t="n">
        <f aca="false">g_sp</f>
        <v>0.07</v>
      </c>
      <c r="P3716" s="8" t="s">
        <v>627</v>
      </c>
    </row>
    <row r="3717" customFormat="false" ht="17.15" hidden="false" customHeight="false" outlineLevel="0" collapsed="false">
      <c r="A3717" s="0" t="s">
        <v>482</v>
      </c>
      <c r="B3717" s="0" t="s">
        <v>73</v>
      </c>
      <c r="C3717" s="38" t="n">
        <f aca="false">Q!$D$13</f>
        <v>56.214</v>
      </c>
      <c r="D3717" s="38" t="n">
        <f aca="false">Q!$E$13</f>
        <v>68.635</v>
      </c>
      <c r="E3717" s="38" t="n">
        <f aca="false">Q!$P$13</f>
        <v>37.052</v>
      </c>
      <c r="F3717" s="38" t="n">
        <f aca="false">Sens!$O$3717*(1+Sens!$F$3718)</f>
        <v>48.1533381827382</v>
      </c>
      <c r="G3717" s="38" t="n">
        <f aca="false">Sens!$E$3717+Sens!$F$3717</f>
        <v>85.2053381827382</v>
      </c>
      <c r="H3717" s="38" t="n">
        <f aca="false">Sens!$G$3717*(1+Sens!$H$3718)</f>
        <v>102.932401895311</v>
      </c>
      <c r="I3717" s="38" t="n">
        <f aca="false">Sens!$H$3717*(1+Sens!$I$3718)</f>
        <v>121.669605102968</v>
      </c>
      <c r="J3717" s="38" t="n">
        <f aca="false">Sens!$I$3717*(1+Sens!$J$3718)</f>
        <v>140.652135641804</v>
      </c>
      <c r="K3717" s="38" t="n">
        <f aca="false">Sens!$J$3717*(1+Sens!$K$3718)</f>
        <v>158.936913275239</v>
      </c>
      <c r="L3717" s="38" t="n">
        <f aca="false">Sens!$K$3717*(1+Sens!$L$3718)</f>
        <v>179.59871200102</v>
      </c>
      <c r="M3717" s="38" t="n">
        <f aca="false">Sens!$L$3717*(1+Sens!$M$3718)</f>
        <v>202.946544561152</v>
      </c>
      <c r="N3717" s="38" t="n">
        <f aca="false">Q!$N$13</f>
        <v>29.615</v>
      </c>
      <c r="O3717" s="38" t="n">
        <f aca="false">Q!$O$13</f>
        <v>39.02</v>
      </c>
      <c r="P3717" s="8" t="s">
        <v>621</v>
      </c>
    </row>
    <row r="3718" customFormat="false" ht="17.15" hidden="false" customHeight="false" outlineLevel="0" collapsed="false">
      <c r="A3718" s="0" t="s">
        <v>628</v>
      </c>
      <c r="B3718" s="0" t="s">
        <v>52</v>
      </c>
      <c r="E3718" s="12" t="n">
        <f aca="false">Sens!$E$3717/Sens!$N$3717-1</f>
        <v>0.25112274185379</v>
      </c>
      <c r="F3718" s="12" t="n">
        <f aca="false">Sens!$O$3717/(Q!$F$13+Q!$G$13)-1</f>
        <v>0.234068123596572</v>
      </c>
      <c r="G3718" s="12" t="n">
        <f aca="false">Sens!$G$3717/Sens!$D$3717-1</f>
        <v>0.241426942270536</v>
      </c>
      <c r="H3718" s="12" t="n">
        <f aca="false">Sens!$F$3718+(g_ad_hi-Sens!$F$3718)*1/4</f>
        <v>0.208051092697429</v>
      </c>
      <c r="I3718" s="12" t="n">
        <f aca="false">Sens!$F$3718+(g_ad_hi-Sens!$F$3718)*2/4</f>
        <v>0.182034061798286</v>
      </c>
      <c r="J3718" s="12" t="n">
        <f aca="false">Sens!$F$3718+(g_ad_hi-Sens!$F$3718)*3/4</f>
        <v>0.156017030899143</v>
      </c>
      <c r="K3718" s="12" t="n">
        <f aca="false">Sens!$F$3718+(g_ad_hi-Sens!$F$3718)*4/4</f>
        <v>0.13</v>
      </c>
      <c r="L3718" s="12" t="n">
        <f aca="false">g_ad_hi</f>
        <v>0.13</v>
      </c>
      <c r="M3718" s="12" t="n">
        <f aca="false">g_ad_hi</f>
        <v>0.13</v>
      </c>
      <c r="P3718" s="8" t="s">
        <v>629</v>
      </c>
    </row>
    <row r="3719" customFormat="false" ht="17.15" hidden="false" customHeight="false" outlineLevel="0" collapsed="false">
      <c r="A3719" s="0" t="s">
        <v>483</v>
      </c>
      <c r="B3719" s="0" t="s">
        <v>73</v>
      </c>
      <c r="C3719" s="38" t="n">
        <f aca="false">Q!$D$14</f>
        <v>44.374</v>
      </c>
      <c r="D3719" s="38" t="n">
        <f aca="false">Q!$E$14</f>
        <v>49.619</v>
      </c>
      <c r="E3719" s="38" t="n">
        <f aca="false">Q!$P$14</f>
        <v>27.157</v>
      </c>
      <c r="F3719" s="38" t="n">
        <f aca="false">Sens!$O$3719*(1+Sens!$F$3720)</f>
        <v>28.9776360923374</v>
      </c>
      <c r="G3719" s="38" t="n">
        <f aca="false">Sens!$E$3719+Sens!$F$3719</f>
        <v>56.1346360923374</v>
      </c>
      <c r="H3719" s="38" t="n">
        <f aca="false">Sens!$G$3719*(1+Sens!$H$3720)</f>
        <v>62.4937078946075</v>
      </c>
      <c r="I3719" s="38" t="n">
        <f aca="false">Sens!$H$3719*(1+Sens!$I$3720)</f>
        <v>68.6715233062498</v>
      </c>
      <c r="J3719" s="38" t="n">
        <f aca="false">Sens!$I$3719*(1+Sens!$J$3720)</f>
        <v>74.4692882949818</v>
      </c>
      <c r="K3719" s="38" t="n">
        <f aca="false">Sens!$J$3719*(1+Sens!$K$3720)</f>
        <v>79.6821384756306</v>
      </c>
      <c r="L3719" s="38" t="n">
        <f aca="false">Sens!$K$3719*(1+Sens!$L$3720)</f>
        <v>85.2598881689247</v>
      </c>
      <c r="M3719" s="38" t="n">
        <f aca="false">Sens!$L$3719*(1+Sens!$M$3720)</f>
        <v>91.2280803407494</v>
      </c>
      <c r="N3719" s="38" t="n">
        <f aca="false">Q!$N$14</f>
        <v>23.923</v>
      </c>
      <c r="O3719" s="38" t="n">
        <f aca="false">Q!$O$14</f>
        <v>25.696</v>
      </c>
      <c r="P3719" s="8" t="s">
        <v>621</v>
      </c>
    </row>
    <row r="3720" customFormat="false" ht="17.15" hidden="false" customHeight="false" outlineLevel="0" collapsed="false">
      <c r="A3720" s="0" t="s">
        <v>630</v>
      </c>
      <c r="B3720" s="0" t="s">
        <v>52</v>
      </c>
      <c r="E3720" s="12" t="n">
        <f aca="false">Sens!$E$3719/Sens!$N$3719-1</f>
        <v>0.135183714417088</v>
      </c>
      <c r="F3720" s="12" t="n">
        <f aca="false">Sens!$O$3719/(Q!$F$14+Q!$G$14)-1</f>
        <v>0.127709997366804</v>
      </c>
      <c r="G3720" s="12" t="n">
        <f aca="false">Sens!$G$3719/Sens!$D$3719-1</f>
        <v>0.131313329416905</v>
      </c>
      <c r="H3720" s="12" t="n">
        <f aca="false">Sens!$F$3720+(g_sub-Sens!$F$3720)*1/4</f>
        <v>0.113282498025103</v>
      </c>
      <c r="I3720" s="12" t="n">
        <f aca="false">Sens!$F$3720+(g_sub-Sens!$F$3720)*2/4</f>
        <v>0.0988549986834021</v>
      </c>
      <c r="J3720" s="12" t="n">
        <f aca="false">Sens!$F$3720+(g_sub-Sens!$F$3720)*3/4</f>
        <v>0.084427499341701</v>
      </c>
      <c r="K3720" s="12" t="n">
        <f aca="false">Sens!$F$3720+(g_sub-Sens!$F$3720)*4/4</f>
        <v>0.07</v>
      </c>
      <c r="L3720" s="12" t="n">
        <f aca="false">g_sub</f>
        <v>0.07</v>
      </c>
      <c r="M3720" s="12" t="n">
        <f aca="false">g_sub</f>
        <v>0.07</v>
      </c>
      <c r="P3720" s="8" t="s">
        <v>631</v>
      </c>
    </row>
    <row r="3721" customFormat="false" ht="17.15" hidden="false" customHeight="false" outlineLevel="0" collapsed="false">
      <c r="A3721" s="0" t="s">
        <v>484</v>
      </c>
      <c r="B3721" s="0" t="s">
        <v>73</v>
      </c>
      <c r="C3721" s="38" t="n">
        <f aca="false">Q!$D$15</f>
        <v>5.425</v>
      </c>
      <c r="D3721" s="38" t="n">
        <f aca="false">Q!$E$15</f>
        <v>5.935</v>
      </c>
      <c r="E3721" s="38" t="n">
        <f aca="false">Q!$P$15</f>
        <v>3.474</v>
      </c>
      <c r="F3721" s="38" t="n">
        <f aca="false">Sens!$O$3721*(1+Sens!$F$3722)</f>
        <v>3.36182431966931</v>
      </c>
      <c r="G3721" s="38" t="n">
        <f aca="false">Sens!$E$3721+Sens!$F$3721</f>
        <v>6.83582431966931</v>
      </c>
      <c r="H3721" s="38" t="n">
        <f aca="false">Sens!$G$3721*(1+Sens!$H$3722)</f>
        <v>7.31157108370141</v>
      </c>
      <c r="I3721" s="38" t="n">
        <f aca="false">Sens!$H$3721*(1+Sens!$I$3722)</f>
        <v>7.77266852639815</v>
      </c>
      <c r="J3721" s="38" t="n">
        <f aca="false">Sens!$I$3721*(1+Sens!$J$3722)</f>
        <v>8.2120733019884</v>
      </c>
      <c r="K3721" s="38" t="n">
        <f aca="false">Sens!$J$3721*(1+Sens!$K$3722)</f>
        <v>8.62267696708783</v>
      </c>
      <c r="L3721" s="38" t="n">
        <f aca="false">Sens!$K$3721*(1+Sens!$L$3722)</f>
        <v>9.05381081544222</v>
      </c>
      <c r="M3721" s="38" t="n">
        <f aca="false">Sens!$L$3721*(1+Sens!$M$3722)</f>
        <v>9.50650135621433</v>
      </c>
      <c r="N3721" s="38" t="n">
        <f aca="false">Q!$N$15</f>
        <v>2.811</v>
      </c>
      <c r="O3721" s="38" t="n">
        <f aca="false">Q!$O$15</f>
        <v>3.124</v>
      </c>
      <c r="P3721" s="8" t="s">
        <v>621</v>
      </c>
    </row>
    <row r="3722" customFormat="false" ht="17.15" hidden="false" customHeight="false" outlineLevel="0" collapsed="false">
      <c r="A3722" s="0" t="s">
        <v>632</v>
      </c>
      <c r="B3722" s="0" t="s">
        <v>52</v>
      </c>
      <c r="E3722" s="12" t="n">
        <f aca="false">Sens!$E$3721/Sens!$N$3721-1</f>
        <v>0.235859124866596</v>
      </c>
      <c r="F3722" s="12" t="n">
        <f aca="false">Sens!$O$3721/(Q!$F$15+Q!$G$15)-1</f>
        <v>0.0761281433000345</v>
      </c>
      <c r="G3722" s="12" t="n">
        <f aca="false">Sens!$G$3721/Sens!$D$3721-1</f>
        <v>0.151781688234087</v>
      </c>
      <c r="H3722" s="12" t="n">
        <f aca="false">Sens!$F$3722+(g_ot-Sens!$F$3722)*1/4</f>
        <v>0.0695961074750259</v>
      </c>
      <c r="I3722" s="12" t="n">
        <f aca="false">Sens!$F$3722+(g_ot-Sens!$F$3722)*2/4</f>
        <v>0.0630640716500172</v>
      </c>
      <c r="J3722" s="12" t="n">
        <f aca="false">Sens!$F$3722+(g_ot-Sens!$F$3722)*3/4</f>
        <v>0.0565320358250086</v>
      </c>
      <c r="K3722" s="12" t="n">
        <f aca="false">Sens!$F$3722+(g_ot-Sens!$F$3722)*4/4</f>
        <v>0.05</v>
      </c>
      <c r="L3722" s="12" t="n">
        <f aca="false">g_ot</f>
        <v>0.05</v>
      </c>
      <c r="M3722" s="12" t="n">
        <f aca="false">g_ot</f>
        <v>0.05</v>
      </c>
      <c r="P3722" s="8" t="s">
        <v>633</v>
      </c>
    </row>
    <row r="3723" customFormat="false" ht="17.15" hidden="false" customHeight="false" outlineLevel="0" collapsed="false">
      <c r="A3723" s="3" t="s">
        <v>634</v>
      </c>
      <c r="B3723" s="8" t="s">
        <v>73</v>
      </c>
      <c r="C3723" s="38" t="n">
        <f aca="false">Sens!$C$3711+Sens!$C$3713+Sens!$C$3715+Sens!$C$3717+Sens!$C$3719+Sens!$C$3721</f>
        <v>530.403</v>
      </c>
      <c r="D3723" s="38" t="n">
        <f aca="false">Sens!$D$3711+Sens!$D$3713+Sens!$D$3715+Sens!$D$3717+Sens!$D$3719+Sens!$D$3721</f>
        <v>588.199</v>
      </c>
      <c r="E3723" s="38" t="n">
        <f aca="false">Sens!$E$3711+Sens!$E$3713+Sens!$E$3715+Sens!$E$3717+Sens!$E$3719+Sens!$E$3721</f>
        <v>302.306</v>
      </c>
      <c r="F3723" s="38" t="n">
        <f aca="false">Sens!$F$3711+Sens!$F$3713+Sens!$F$3715+Sens!$F$3717+Sens!$F$3719+Sens!$F$3721</f>
        <v>356.93642920843</v>
      </c>
      <c r="G3723" s="38" t="n">
        <f aca="false">Sens!$G$3711+Sens!$G$3713+Sens!$G$3715+Sens!$G$3717+Sens!$G$3719+Sens!$G$3721</f>
        <v>659.24242920843</v>
      </c>
      <c r="H3723" s="38" t="n">
        <f aca="false">Sens!$H$3711+Sens!$H$3713+Sens!$H$3715+Sens!$H$3717+Sens!$H$3719+Sens!$H$3721</f>
        <v>730.574777658071</v>
      </c>
      <c r="I3723" s="38" t="n">
        <f aca="false">Sens!$I$3711+Sens!$I$3713+Sens!$I$3715+Sens!$I$3717+Sens!$I$3719+Sens!$I$3721</f>
        <v>800.5853372156</v>
      </c>
      <c r="J3723" s="38" t="n">
        <f aca="false">Sens!$J$3711+Sens!$J$3713+Sens!$J$3715+Sens!$J$3717+Sens!$J$3719+Sens!$J$3721</f>
        <v>867.069878918745</v>
      </c>
      <c r="K3723" s="38" t="n">
        <f aca="false">Sens!$K$3711+Sens!$K$3713+Sens!$K$3715+Sens!$K$3717+Sens!$K$3719+Sens!$K$3721</f>
        <v>927.643418423435</v>
      </c>
      <c r="L3723" s="38" t="n">
        <f aca="false">Sens!$L$3711+Sens!$L$3713+Sens!$L$3715+Sens!$L$3717+Sens!$L$3719+Sens!$L$3721</f>
        <v>993.147716095083</v>
      </c>
      <c r="M3723" s="38" t="n">
        <f aca="false">Sens!$M$3711+Sens!$M$3713+Sens!$M$3715+Sens!$M$3717+Sens!$M$3719+Sens!$M$3721</f>
        <v>1064.05086889064</v>
      </c>
      <c r="N3723" s="38" t="n">
        <f aca="false">Sens!$N$3711+Sens!$N$3713+Sens!$N$3715+Sens!$N$3717+Sens!$N$3719+Sens!$N$3721</f>
        <v>263.229</v>
      </c>
      <c r="O3723" s="38" t="n">
        <f aca="false">Sens!$O$3711+Sens!$O$3713+Sens!$O$3715+Sens!$O$3717+Sens!$O$3719+Sens!$O$3721</f>
        <v>324.97</v>
      </c>
    </row>
    <row r="3724" customFormat="false" ht="17.15" hidden="false" customHeight="false" outlineLevel="0" collapsed="false">
      <c r="A3724" s="5" t="s">
        <v>635</v>
      </c>
      <c r="B3724" s="0" t="s">
        <v>52</v>
      </c>
      <c r="C3724" s="12" t="n">
        <f aca="false">Q!$D$5/(Q!$D$5+Q!$D$6)</f>
        <v>0.730570905519011</v>
      </c>
      <c r="D3724" s="12" t="n">
        <f aca="false">Q!$E$5/(Q!$E$5+Q!$E$6)</f>
        <v>0.724763217890544</v>
      </c>
      <c r="E3724" s="12" t="n">
        <f aca="false">Q!$P$5/(Q!$P$5+Q!$P$6)</f>
        <v>0.728797972914861</v>
      </c>
      <c r="F3724" s="12" t="n">
        <f aca="false">Sens!$O$3724</f>
        <v>0.718066283041511</v>
      </c>
      <c r="G3724" s="12" t="n">
        <f aca="false">Sens!$G$3725/Sens!$G$3723</f>
        <v>0.722987468473627</v>
      </c>
      <c r="H3724" s="12" t="n">
        <f aca="false">Sens!$G$3724</f>
        <v>0.722987468473627</v>
      </c>
      <c r="I3724" s="12" t="n">
        <f aca="false">Sens!$G$3724</f>
        <v>0.722987468473627</v>
      </c>
      <c r="J3724" s="12" t="n">
        <f aca="false">Sens!$G$3724</f>
        <v>0.722987468473627</v>
      </c>
      <c r="K3724" s="12" t="n">
        <f aca="false">Sens!$G$3724</f>
        <v>0.722987468473627</v>
      </c>
      <c r="L3724" s="12" t="n">
        <f aca="false">Sens!$G$3724</f>
        <v>0.722987468473627</v>
      </c>
      <c r="M3724" s="12" t="n">
        <f aca="false">Sens!$G$3724</f>
        <v>0.722987468473627</v>
      </c>
      <c r="N3724" s="12" t="n">
        <f aca="false">Q!$N$5/(Q!$N$5+Q!$N$6)</f>
        <v>0.733030935041352</v>
      </c>
      <c r="O3724" s="12" t="n">
        <f aca="false">Q!$O$5/(Q!$O$5+Q!$O$6)</f>
        <v>0.718066283041511</v>
      </c>
      <c r="P3724" s="8" t="s">
        <v>636</v>
      </c>
    </row>
    <row r="3725" customFormat="false" ht="17.15" hidden="false" customHeight="false" outlineLevel="0" collapsed="false">
      <c r="A3725" s="1" t="s">
        <v>472</v>
      </c>
      <c r="B3725" s="8" t="s">
        <v>73</v>
      </c>
      <c r="C3725" s="38" t="n">
        <f aca="false">Q!$D$5</f>
        <v>387.497</v>
      </c>
      <c r="D3725" s="38" t="n">
        <f aca="false">Q!$E$5</f>
        <v>426.305</v>
      </c>
      <c r="E3725" s="38" t="n">
        <f aca="false">Q!$P$5</f>
        <v>220.32</v>
      </c>
      <c r="F3725" s="38" t="n">
        <f aca="false">Sens!$F$3723*Sens!$F$3724</f>
        <v>256.304015003807</v>
      </c>
      <c r="G3725" s="38" t="n">
        <f aca="false">Sens!$E$3725+Sens!$F$3725</f>
        <v>476.624015003807</v>
      </c>
      <c r="H3725" s="38" t="n">
        <f aca="false">Sens!$H$3723*Sens!$H$3724</f>
        <v>528.196409029692</v>
      </c>
      <c r="I3725" s="38" t="n">
        <f aca="false">Sens!$I$3723*Sens!$I$3724</f>
        <v>578.813166250611</v>
      </c>
      <c r="J3725" s="38" t="n">
        <f aca="false">Sens!$J$3723*Sens!$J$3724</f>
        <v>626.880656749198</v>
      </c>
      <c r="K3725" s="38" t="n">
        <f aca="false">Sens!$K$3723*Sens!$K$3724</f>
        <v>670.674566732181</v>
      </c>
      <c r="L3725" s="38" t="n">
        <f aca="false">Sens!$L$3723*Sens!$L$3724</f>
        <v>718.033353079948</v>
      </c>
      <c r="M3725" s="38" t="n">
        <f aca="false">Sens!$M$3723*Sens!$M$3724</f>
        <v>769.295444026409</v>
      </c>
      <c r="N3725" s="38" t="n">
        <f aca="false">Q!$N$5</f>
        <v>192.955</v>
      </c>
      <c r="O3725" s="38" t="n">
        <f aca="false">Q!$O$5</f>
        <v>233.35</v>
      </c>
      <c r="P3725" s="5" t="s">
        <v>637</v>
      </c>
    </row>
    <row r="3726" customFormat="false" ht="17.15" hidden="false" customHeight="false" outlineLevel="0" collapsed="false">
      <c r="A3726" s="1" t="s">
        <v>475</v>
      </c>
      <c r="B3726" s="8" t="s">
        <v>73</v>
      </c>
      <c r="C3726" s="38" t="n">
        <f aca="false">Q!$D$6</f>
        <v>142.906</v>
      </c>
      <c r="D3726" s="38" t="n">
        <f aca="false">Q!$E$6</f>
        <v>161.894</v>
      </c>
      <c r="E3726" s="38" t="n">
        <f aca="false">Q!$P$6</f>
        <v>81.986</v>
      </c>
      <c r="F3726" s="38" t="n">
        <f aca="false">Sens!$F$3723*(1-Sens!$F$3724)</f>
        <v>100.632414204623</v>
      </c>
      <c r="G3726" s="38" t="n">
        <f aca="false">Sens!$E$3726+Sens!$F$3726</f>
        <v>182.618414204623</v>
      </c>
      <c r="H3726" s="38" t="n">
        <f aca="false">Sens!$H$3723*(1-Sens!$H$3724)</f>
        <v>202.378368628379</v>
      </c>
      <c r="I3726" s="38" t="n">
        <f aca="false">Sens!$I$3723*(1-Sens!$I$3724)</f>
        <v>221.772170964988</v>
      </c>
      <c r="J3726" s="38" t="n">
        <f aca="false">Sens!$J$3723*(1-Sens!$J$3724)</f>
        <v>240.189222169547</v>
      </c>
      <c r="K3726" s="38" t="n">
        <f aca="false">Sens!$K$3723*(1-Sens!$K$3724)</f>
        <v>256.968851691254</v>
      </c>
      <c r="L3726" s="38" t="n">
        <f aca="false">Sens!$L$3723*(1-Sens!$L$3724)</f>
        <v>275.114363015135</v>
      </c>
      <c r="M3726" s="38" t="n">
        <f aca="false">Sens!$M$3723*(1-Sens!$M$3724)</f>
        <v>294.755424864234</v>
      </c>
      <c r="N3726" s="38" t="n">
        <f aca="false">Q!$N$6</f>
        <v>70.274</v>
      </c>
      <c r="O3726" s="38" t="n">
        <f aca="false">Q!$O$6</f>
        <v>91.62</v>
      </c>
      <c r="P3726" s="5" t="s">
        <v>638</v>
      </c>
    </row>
    <row r="3727" customFormat="false" ht="17.15" hidden="false" customHeight="false" outlineLevel="0" collapsed="false">
      <c r="A3727" s="5" t="s">
        <v>639</v>
      </c>
      <c r="B3727" s="0" t="s">
        <v>73</v>
      </c>
      <c r="C3727" s="38" t="n">
        <f aca="false">Sens!$C$3717*Sens!$C$3724</f>
        <v>41.0683128828457</v>
      </c>
      <c r="D3727" s="38" t="n">
        <f aca="false">Sens!$D$3717*Sens!$D$3724</f>
        <v>49.7441234599175</v>
      </c>
      <c r="E3727" s="38" t="n">
        <f aca="false">Sens!$E$3717*Sens!$E$3724</f>
        <v>27.0034224924414</v>
      </c>
      <c r="F3727" s="38" t="n">
        <f aca="false">Sens!$F$3717*Sens!$F$3724</f>
        <v>34.5772885649197</v>
      </c>
      <c r="G3727" s="38" t="n">
        <f aca="false">Sens!$G$3717*Sens!$G$3724</f>
        <v>61.6023917531772</v>
      </c>
      <c r="H3727" s="38" t="n">
        <f aca="false">Sens!$H$3717*Sens!$H$3724</f>
        <v>74.4188366702007</v>
      </c>
      <c r="I3727" s="38" t="n">
        <f aca="false">Sens!$I$3717*Sens!$I$3724</f>
        <v>87.9655997835806</v>
      </c>
      <c r="J3727" s="38" t="n">
        <f aca="false">Sens!$J$3717*Sens!$J$3724</f>
        <v>101.689731483077</v>
      </c>
      <c r="K3727" s="38" t="n">
        <f aca="false">Sens!$K$3717*Sens!$K$3724</f>
        <v>114.909396575877</v>
      </c>
      <c r="L3727" s="38" t="n">
        <f aca="false">Sens!$L$3717*Sens!$L$3724</f>
        <v>129.847618130741</v>
      </c>
      <c r="M3727" s="38" t="n">
        <f aca="false">Sens!$M$3717*Sens!$M$3724</f>
        <v>146.727808487738</v>
      </c>
      <c r="N3727" s="38" t="n">
        <f aca="false">Sens!$N$3717*Sens!$N$3724</f>
        <v>21.7087111412496</v>
      </c>
      <c r="O3727" s="38" t="n">
        <f aca="false">Sens!$O$3717*Sens!$O$3724</f>
        <v>28.0189463642798</v>
      </c>
      <c r="P3727" s="5" t="s">
        <v>640</v>
      </c>
    </row>
    <row r="3728" customFormat="false" ht="15" hidden="false" customHeight="false" outlineLevel="0" collapsed="false">
      <c r="A3728" s="5" t="s">
        <v>641</v>
      </c>
      <c r="B3728" s="0" t="s">
        <v>73</v>
      </c>
      <c r="C3728" s="38" t="n">
        <f aca="false">Sens!$C$3717-Sens!$C$3727</f>
        <v>15.1456871171543</v>
      </c>
      <c r="D3728" s="38" t="n">
        <f aca="false">Sens!$D$3717-Sens!$D$3727</f>
        <v>18.8908765400825</v>
      </c>
      <c r="E3728" s="38" t="n">
        <f aca="false">Sens!$E$3717-Sens!$E$3727</f>
        <v>10.0485775075586</v>
      </c>
      <c r="F3728" s="38" t="n">
        <f aca="false">Sens!$F$3717-Sens!$F$3727</f>
        <v>13.5760496178185</v>
      </c>
      <c r="G3728" s="38" t="n">
        <f aca="false">Sens!$G$3717-Sens!$G$3727</f>
        <v>23.6029464295611</v>
      </c>
      <c r="H3728" s="38" t="n">
        <f aca="false">Sens!$H$3717-Sens!$H$3727</f>
        <v>28.5135652251101</v>
      </c>
      <c r="I3728" s="38" t="n">
        <f aca="false">Sens!$I$3717-Sens!$I$3727</f>
        <v>33.7040053193873</v>
      </c>
      <c r="J3728" s="38" t="n">
        <f aca="false">Sens!$J$3717-Sens!$J$3727</f>
        <v>38.962404158727</v>
      </c>
      <c r="K3728" s="38" t="n">
        <f aca="false">Sens!$K$3717-Sens!$K$3727</f>
        <v>44.0275166993615</v>
      </c>
      <c r="L3728" s="38" t="n">
        <f aca="false">Sens!$L$3717-Sens!$L$3727</f>
        <v>49.7510938702785</v>
      </c>
      <c r="M3728" s="38" t="n">
        <f aca="false">Sens!$M$3717-Sens!$M$3727</f>
        <v>56.2187360734147</v>
      </c>
      <c r="N3728" s="38" t="n">
        <f aca="false">Sens!$N$3717-Sens!$N$3727</f>
        <v>7.90628885875037</v>
      </c>
      <c r="O3728" s="38" t="n">
        <f aca="false">Sens!$O$3717-Sens!$O$3727</f>
        <v>11.0010536357202</v>
      </c>
    </row>
    <row r="3729" customFormat="false" ht="19.4" hidden="false" customHeight="false" outlineLevel="0" collapsed="false">
      <c r="A3729" s="31" t="s">
        <v>1124</v>
      </c>
    </row>
    <row r="3730" customFormat="false" ht="17.15" hidden="false" customHeight="false" outlineLevel="0" collapsed="false">
      <c r="A3730" s="6" t="s">
        <v>16</v>
      </c>
      <c r="B3730" s="6" t="s">
        <v>17</v>
      </c>
      <c r="C3730" s="20" t="s">
        <v>457</v>
      </c>
      <c r="D3730" s="20" t="s">
        <v>458</v>
      </c>
      <c r="E3730" s="20" t="s">
        <v>540</v>
      </c>
      <c r="F3730" s="20" t="s">
        <v>541</v>
      </c>
      <c r="G3730" s="20" t="s">
        <v>542</v>
      </c>
      <c r="H3730" s="20" t="s">
        <v>543</v>
      </c>
      <c r="I3730" s="20" t="s">
        <v>544</v>
      </c>
      <c r="J3730" s="20" t="s">
        <v>545</v>
      </c>
      <c r="K3730" s="20" t="s">
        <v>546</v>
      </c>
      <c r="L3730" s="20" t="s">
        <v>547</v>
      </c>
      <c r="M3730" s="20" t="s">
        <v>548</v>
      </c>
      <c r="N3730" s="20" t="s">
        <v>549</v>
      </c>
      <c r="O3730" s="20" t="s">
        <v>550</v>
      </c>
      <c r="P3730" s="6" t="s">
        <v>23</v>
      </c>
      <c r="R3730" s="20" t="n">
        <v>2023</v>
      </c>
      <c r="S3730" s="20" t="n">
        <v>2024</v>
      </c>
      <c r="T3730" s="20" t="n">
        <v>2025</v>
      </c>
      <c r="U3730" s="20" t="n">
        <v>2026</v>
      </c>
      <c r="V3730" s="20" t="n">
        <v>2027</v>
      </c>
      <c r="W3730" s="20" t="n">
        <v>2028</v>
      </c>
      <c r="X3730" s="20" t="n">
        <v>2029</v>
      </c>
      <c r="Y3730" s="20" t="n">
        <v>2030</v>
      </c>
      <c r="Z3730" s="20" t="n">
        <v>2031</v>
      </c>
      <c r="AA3730" s="20" t="n">
        <v>2032</v>
      </c>
    </row>
    <row r="3731" customFormat="false" ht="17.15" hidden="false" customHeight="false" outlineLevel="0" collapsed="false">
      <c r="A3731" s="1" t="s">
        <v>551</v>
      </c>
    </row>
    <row r="3732" customFormat="false" ht="17.15" hidden="false" customHeight="false" outlineLevel="0" collapsed="false">
      <c r="A3732" s="14" t="s">
        <v>552</v>
      </c>
      <c r="B3732" s="13" t="s">
        <v>108</v>
      </c>
      <c r="C3732" s="32" t="n">
        <f aca="false">mw_ye24</f>
        <v>360</v>
      </c>
      <c r="D3732" s="32" t="n">
        <f aca="false">mw_ye25</f>
        <v>1440</v>
      </c>
      <c r="E3732" s="32" t="n">
        <f aca="false">mw_open</f>
        <v>2080</v>
      </c>
      <c r="F3732" s="32" t="n">
        <f aca="false">Sens!$E$3732+pace_B*0.5</f>
        <v>3897.15</v>
      </c>
      <c r="G3732" s="32" t="n">
        <f aca="false">Sens!$F$3732</f>
        <v>3897.15</v>
      </c>
      <c r="H3732" s="32" t="n">
        <f aca="false">Sens!$G$3732+pace_B</f>
        <v>7531.45</v>
      </c>
      <c r="I3732" s="32" t="n">
        <f aca="false">Sens!$H$3732+pace_B</f>
        <v>11165.75</v>
      </c>
      <c r="J3732" s="32" t="n">
        <f aca="false">Sens!$I$3732+pace_B</f>
        <v>14800.05</v>
      </c>
      <c r="K3732" s="32" t="n">
        <f aca="false">Sens!$J$3732+pace_B</f>
        <v>18434.35</v>
      </c>
      <c r="L3732" s="32" t="n">
        <f aca="false">Sens!$K$3732+pace_B</f>
        <v>22068.65</v>
      </c>
      <c r="M3732" s="32" t="n">
        <f aca="false">Sens!$L$3732+pace_B</f>
        <v>25702.95</v>
      </c>
      <c r="N3732" s="32" t="n">
        <f aca="false">(mw_ye24+mw_ye25)/2</f>
        <v>900</v>
      </c>
      <c r="O3732" s="32" t="n">
        <f aca="false">mw_ye25</f>
        <v>1440</v>
      </c>
      <c r="P3732" s="5" t="s">
        <v>553</v>
      </c>
    </row>
    <row r="3733" customFormat="false" ht="17.15" hidden="false" customHeight="false" outlineLevel="0" collapsed="false">
      <c r="A3733" s="5" t="s">
        <v>554</v>
      </c>
      <c r="B3733" s="0" t="s">
        <v>108</v>
      </c>
      <c r="C3733" s="33" t="n">
        <f aca="false">(mw_ye23+mw_ye24)/2</f>
        <v>240</v>
      </c>
      <c r="D3733" s="33" t="n">
        <f aca="false">(Sens!$C$3732+Sens!$D$3732)/2</f>
        <v>900</v>
      </c>
      <c r="E3733" s="33" t="n">
        <f aca="false">(Sens!$D$3732+Sens!$E$3732)/2</f>
        <v>1760</v>
      </c>
      <c r="F3733" s="33" t="n">
        <f aca="false">(Sens!$E$3732+Sens!$F$3732)/2</f>
        <v>2988.575</v>
      </c>
      <c r="G3733" s="33" t="n">
        <f aca="false">(Sens!$E$3733+Sens!$F$3733)/2</f>
        <v>2374.2875</v>
      </c>
      <c r="H3733" s="33" t="n">
        <f aca="false">(Sens!$G$3732+Sens!$H$3732)/2</f>
        <v>5714.3</v>
      </c>
      <c r="I3733" s="33" t="n">
        <f aca="false">(Sens!$H$3732+Sens!$I$3732)/2</f>
        <v>9348.6</v>
      </c>
      <c r="J3733" s="33" t="n">
        <f aca="false">(Sens!$I$3732+Sens!$J$3732)/2</f>
        <v>12982.9</v>
      </c>
      <c r="K3733" s="33" t="n">
        <f aca="false">(Sens!$J$3732+Sens!$K$3732)/2</f>
        <v>16617.2</v>
      </c>
      <c r="L3733" s="33" t="n">
        <f aca="false">(Sens!$K$3732+Sens!$L$3732)/2</f>
        <v>20251.5</v>
      </c>
      <c r="M3733" s="33" t="n">
        <f aca="false">(Sens!$L$3732+Sens!$M$3732)/2</f>
        <v>23885.8</v>
      </c>
      <c r="N3733" s="33" t="n">
        <f aca="false">(Sens!$C$3732+Sens!$N$3732)/2</f>
        <v>630</v>
      </c>
      <c r="O3733" s="33" t="n">
        <f aca="false">(Sens!$N$3732+Sens!$O$3732)/2</f>
        <v>1170</v>
      </c>
    </row>
    <row r="3734" customFormat="false" ht="15" hidden="false" customHeight="false" outlineLevel="0" collapsed="false">
      <c r="A3734" s="5" t="s">
        <v>555</v>
      </c>
      <c r="B3734" s="5" t="s">
        <v>102</v>
      </c>
      <c r="C3734" s="34" t="n">
        <v>1</v>
      </c>
      <c r="D3734" s="34" t="n">
        <v>1</v>
      </c>
      <c r="E3734" s="34" t="n">
        <v>0.5</v>
      </c>
      <c r="F3734" s="34" t="n">
        <v>0.5</v>
      </c>
      <c r="G3734" s="34" t="n">
        <v>1</v>
      </c>
      <c r="H3734" s="34" t="n">
        <v>1</v>
      </c>
      <c r="I3734" s="34" t="n">
        <v>1</v>
      </c>
      <c r="J3734" s="34" t="n">
        <v>1</v>
      </c>
      <c r="K3734" s="34" t="n">
        <v>1</v>
      </c>
      <c r="L3734" s="34" t="n">
        <v>1</v>
      </c>
      <c r="M3734" s="34" t="n">
        <v>1</v>
      </c>
      <c r="N3734" s="34" t="n">
        <v>0.5</v>
      </c>
      <c r="O3734" s="34" t="n">
        <v>0.5</v>
      </c>
    </row>
    <row r="3735" customFormat="false" ht="17.15" hidden="false" customHeight="false" outlineLevel="0" collapsed="false">
      <c r="A3735" s="5" t="s">
        <v>556</v>
      </c>
      <c r="B3735" s="0" t="s">
        <v>108</v>
      </c>
      <c r="C3735" s="33" t="n">
        <f aca="false">Sens!$C$3732-mw_ye23</f>
        <v>240</v>
      </c>
      <c r="D3735" s="33" t="n">
        <f aca="false">Sens!$D$3732-Sens!$C$3732</f>
        <v>1080</v>
      </c>
      <c r="E3735" s="33" t="n">
        <f aca="false">Sens!$E$3732-Sens!$D$3732</f>
        <v>640</v>
      </c>
      <c r="F3735" s="33" t="n">
        <f aca="false">Sens!$F$3732-Sens!$E$3732</f>
        <v>1817.15</v>
      </c>
      <c r="G3735" s="33" t="n">
        <f aca="false">Sens!$E$3735+Sens!$F$3735</f>
        <v>2457.15</v>
      </c>
      <c r="H3735" s="33" t="n">
        <f aca="false">Sens!$H$3732-Sens!$G$3732</f>
        <v>3634.3</v>
      </c>
      <c r="I3735" s="33" t="n">
        <f aca="false">Sens!$I$3732-Sens!$H$3732</f>
        <v>3634.3</v>
      </c>
      <c r="J3735" s="33" t="n">
        <f aca="false">Sens!$J$3732-Sens!$I$3732</f>
        <v>3634.3</v>
      </c>
      <c r="K3735" s="33" t="n">
        <f aca="false">Sens!$K$3732-Sens!$J$3732</f>
        <v>3634.3</v>
      </c>
      <c r="L3735" s="33" t="n">
        <f aca="false">Sens!$L$3732-Sens!$K$3732</f>
        <v>3634.3</v>
      </c>
      <c r="M3735" s="33" t="n">
        <f aca="false">Sens!$M$3732-Sens!$L$3732</f>
        <v>3634.3</v>
      </c>
      <c r="N3735" s="33" t="n">
        <f aca="false">Sens!$N$3732-Sens!$C$3732</f>
        <v>540</v>
      </c>
      <c r="O3735" s="33" t="n">
        <f aca="false">Sens!$O$3732-Sens!$N$3732</f>
        <v>540</v>
      </c>
    </row>
    <row r="3736" customFormat="false" ht="17.15" hidden="false" customHeight="false" outlineLevel="0" collapsed="false">
      <c r="A3736" s="5" t="s">
        <v>557</v>
      </c>
      <c r="B3736" s="0" t="s">
        <v>108</v>
      </c>
      <c r="C3736" s="33" t="n">
        <f aca="false">Sens!$C$3735/ext_sh</f>
        <v>300</v>
      </c>
      <c r="D3736" s="33" t="n">
        <f aca="false">Sens!$D$3735/ext_sh</f>
        <v>1350</v>
      </c>
      <c r="E3736" s="33" t="n">
        <f aca="false">Sens!$E$3735/ext_sh</f>
        <v>800</v>
      </c>
      <c r="F3736" s="33" t="n">
        <f aca="false">Sens!$F$3735/ext_sh</f>
        <v>2271.4375</v>
      </c>
      <c r="G3736" s="33" t="n">
        <f aca="false">Sens!$G$3735/ext_sh</f>
        <v>3071.4375</v>
      </c>
      <c r="H3736" s="33" t="n">
        <f aca="false">Sens!$H$3735/ext_sh</f>
        <v>4542.875</v>
      </c>
      <c r="I3736" s="33" t="n">
        <f aca="false">Sens!$I$3735/ext_sh</f>
        <v>4542.875</v>
      </c>
      <c r="J3736" s="33" t="n">
        <f aca="false">Sens!$J$3735/ext_sh</f>
        <v>4542.875</v>
      </c>
      <c r="K3736" s="33" t="n">
        <f aca="false">Sens!$K$3735/ext_sh</f>
        <v>4542.875</v>
      </c>
      <c r="L3736" s="33" t="n">
        <f aca="false">Sens!$L$3735/ext_sh</f>
        <v>4542.875</v>
      </c>
      <c r="M3736" s="33" t="n">
        <f aca="false">Sens!$M$3735/ext_sh</f>
        <v>4542.875</v>
      </c>
      <c r="N3736" s="33" t="n">
        <f aca="false">Sens!$N$3735/ext_sh</f>
        <v>675</v>
      </c>
      <c r="O3736" s="33" t="n">
        <f aca="false">Sens!$O$3735/ext_sh</f>
        <v>675</v>
      </c>
      <c r="P3736" s="8" t="s">
        <v>558</v>
      </c>
      <c r="R3736" s="33" t="n">
        <f aca="false">mw_ye23/ext_sh</f>
        <v>150</v>
      </c>
      <c r="S3736" s="33" t="n">
        <f aca="false">Sens!$C$3736</f>
        <v>300</v>
      </c>
      <c r="T3736" s="33" t="n">
        <f aca="false">Sens!$D$3736</f>
        <v>1350</v>
      </c>
      <c r="U3736" s="33" t="n">
        <f aca="false">Sens!$G$3736</f>
        <v>3071.4375</v>
      </c>
      <c r="V3736" s="33" t="n">
        <f aca="false">Sens!$H$3736</f>
        <v>4542.875</v>
      </c>
      <c r="W3736" s="33" t="n">
        <f aca="false">Sens!$I$3736</f>
        <v>4542.875</v>
      </c>
      <c r="X3736" s="33" t="n">
        <f aca="false">Sens!$J$3736</f>
        <v>4542.875</v>
      </c>
      <c r="Y3736" s="33" t="n">
        <f aca="false">Sens!$K$3736</f>
        <v>4542.875</v>
      </c>
      <c r="Z3736" s="33" t="n">
        <f aca="false">Sens!$L$3736</f>
        <v>4542.875</v>
      </c>
      <c r="AA3736" s="33" t="n">
        <f aca="false">Sens!$M$3736</f>
        <v>4542.875</v>
      </c>
    </row>
    <row r="3737" customFormat="false" ht="17.15" hidden="false" customHeight="false" outlineLevel="0" collapsed="false">
      <c r="A3737" s="1" t="s">
        <v>559</v>
      </c>
    </row>
    <row r="3738" customFormat="false" ht="17.15" hidden="false" customHeight="false" outlineLevel="0" collapsed="false">
      <c r="A3738" s="0" t="s">
        <v>560</v>
      </c>
      <c r="B3738" s="0" t="s">
        <v>52</v>
      </c>
      <c r="F3738" s="35" t="n">
        <f aca="false">na_vr26</f>
        <v>0</v>
      </c>
      <c r="G3738" s="35" t="n">
        <f aca="false">na_vr26</f>
        <v>0</v>
      </c>
      <c r="H3738" s="35" t="n">
        <f aca="false">na_vr27</f>
        <v>0.5</v>
      </c>
      <c r="I3738" s="35" t="n">
        <f aca="false">na_vr28</f>
        <v>1</v>
      </c>
      <c r="J3738" s="35" t="n">
        <f aca="false">na_vr28</f>
        <v>1</v>
      </c>
      <c r="K3738" s="35" t="n">
        <f aca="false">na_vr28</f>
        <v>1</v>
      </c>
      <c r="L3738" s="35" t="n">
        <f aca="false">na_vr28</f>
        <v>1</v>
      </c>
      <c r="M3738" s="35" t="n">
        <f aca="false">na_vr28</f>
        <v>1</v>
      </c>
    </row>
    <row r="3739" customFormat="false" ht="17.15" hidden="false" customHeight="false" outlineLevel="0" collapsed="false">
      <c r="A3739" s="5" t="s">
        <v>561</v>
      </c>
      <c r="B3739" s="0" t="s">
        <v>151</v>
      </c>
      <c r="F3739" s="36" t="n">
        <f aca="false">cust_sh*tk_he_gb300*cf_chip+(1-cust_sh)*((1-Sens!$F$3738)*tk_he_gb300+Sens!$F$3738*tk_he_vr200)</f>
        <v>10.8864110021101</v>
      </c>
      <c r="G3739" s="36" t="n">
        <f aca="false">cust_sh*tk_he_gb300*cf_chip+(1-cust_sh)*((1-Sens!$G$3738)*tk_he_gb300+Sens!$G$3738*tk_he_vr200)</f>
        <v>10.8864110021101</v>
      </c>
      <c r="H3739" s="36" t="n">
        <f aca="false">cust_sh*tk_he_gb300*cf_chip+(1-cust_sh)*((1-Sens!$H$3738)*tk_he_gb300+Sens!$H$3738*tk_he_vr200)</f>
        <v>11.2211760027286</v>
      </c>
      <c r="I3739" s="36" t="n">
        <f aca="false">cust_sh*tk_he_gb300*cf_chip+(1-cust_sh)*((1-Sens!$I$3738)*tk_he_gb300+Sens!$I$3738*tk_he_vr200)</f>
        <v>11.5559410033471</v>
      </c>
      <c r="J3739" s="36" t="n">
        <f aca="false">cust_sh*tk_he_gb300*cf_chip+(1-cust_sh)*((1-Sens!$J$3738)*tk_he_gb300+Sens!$J$3738*tk_he_vr200)</f>
        <v>11.5559410033471</v>
      </c>
      <c r="K3739" s="36" t="n">
        <f aca="false">cust_sh*tk_he_gb300*cf_chip+(1-cust_sh)*((1-Sens!$K$3738)*tk_he_gb300+Sens!$K$3738*tk_he_vr200)</f>
        <v>11.5559410033471</v>
      </c>
      <c r="L3739" s="36" t="n">
        <f aca="false">cust_sh*tk_he_gb300*cf_chip+(1-cust_sh)*((1-Sens!$L$3738)*tk_he_gb300+Sens!$L$3738*tk_he_vr200)</f>
        <v>11.5559410033471</v>
      </c>
      <c r="M3739" s="36" t="n">
        <f aca="false">cust_sh*tk_he_gb300*cf_chip+(1-cust_sh)*((1-Sens!$M$3738)*tk_he_gb300+Sens!$M$3738*tk_he_vr200)</f>
        <v>11.5559410033471</v>
      </c>
    </row>
    <row r="3740" customFormat="false" ht="17.15" hidden="false" customHeight="false" outlineLevel="0" collapsed="false">
      <c r="A3740" s="5" t="s">
        <v>562</v>
      </c>
      <c r="B3740" s="0" t="s">
        <v>151</v>
      </c>
      <c r="F3740" s="36" t="n">
        <f aca="false">cust_sh*tk_ox_gb300+(1-cust_sh)*((1-Sens!$F$3738)*tk_ox_gb300+Sens!$F$3738*tk_ox_vr200)</f>
        <v>1.98263481314457</v>
      </c>
      <c r="G3740" s="36" t="n">
        <f aca="false">cust_sh*tk_ox_gb300+(1-cust_sh)*((1-Sens!$G$3738)*tk_ox_gb300+Sens!$G$3738*tk_ox_vr200)</f>
        <v>1.98263481314457</v>
      </c>
      <c r="H3740" s="36" t="n">
        <f aca="false">cust_sh*tk_ox_gb300+(1-cust_sh)*((1-Sens!$H$3738)*tk_ox_gb300+Sens!$H$3738*tk_ox_vr200)</f>
        <v>2.01034999693694</v>
      </c>
      <c r="I3740" s="36" t="n">
        <f aca="false">cust_sh*tk_ox_gb300+(1-cust_sh)*((1-Sens!$I$3738)*tk_ox_gb300+Sens!$I$3738*tk_ox_vr200)</f>
        <v>2.0380651807293</v>
      </c>
      <c r="J3740" s="36" t="n">
        <f aca="false">cust_sh*tk_ox_gb300+(1-cust_sh)*((1-Sens!$J$3738)*tk_ox_gb300+Sens!$J$3738*tk_ox_vr200)</f>
        <v>2.0380651807293</v>
      </c>
      <c r="K3740" s="36" t="n">
        <f aca="false">cust_sh*tk_ox_gb300+(1-cust_sh)*((1-Sens!$K$3738)*tk_ox_gb300+Sens!$K$3738*tk_ox_vr200)</f>
        <v>2.0380651807293</v>
      </c>
      <c r="L3740" s="36" t="n">
        <f aca="false">cust_sh*tk_ox_gb300+(1-cust_sh)*((1-Sens!$L$3738)*tk_ox_gb300+Sens!$L$3738*tk_ox_vr200)</f>
        <v>2.0380651807293</v>
      </c>
      <c r="M3740" s="36" t="n">
        <f aca="false">cust_sh*tk_ox_gb300+(1-cust_sh)*((1-Sens!$M$3738)*tk_ox_gb300+Sens!$M$3738*tk_ox_vr200)</f>
        <v>2.0380651807293</v>
      </c>
    </row>
    <row r="3741" customFormat="false" ht="17.15" hidden="false" customHeight="false" outlineLevel="0" collapsed="false">
      <c r="A3741" s="5" t="s">
        <v>563</v>
      </c>
      <c r="B3741" s="0" t="s">
        <v>170</v>
      </c>
      <c r="F3741" s="36" t="n">
        <f aca="false">cust_sh*tk_cx_gb300*cf_cx+(1-cust_sh)*((1-Sens!$F$3738)*tk_cx_gb300+Sens!$F$3738*tk_cx_vr200)</f>
        <v>32.237224</v>
      </c>
      <c r="G3741" s="36" t="n">
        <f aca="false">cust_sh*tk_cx_gb300*cf_cx+(1-cust_sh)*((1-Sens!$G$3738)*tk_cx_gb300+Sens!$G$3738*tk_cx_vr200)</f>
        <v>32.237224</v>
      </c>
      <c r="H3741" s="36" t="n">
        <f aca="false">cust_sh*tk_cx_gb300*cf_cx+(1-cust_sh)*((1-Sens!$H$3738)*tk_cx_gb300+Sens!$H$3738*tk_cx_vr200)</f>
        <v>33.574506</v>
      </c>
      <c r="I3741" s="36" t="n">
        <f aca="false">cust_sh*tk_cx_gb300*cf_cx+(1-cust_sh)*((1-Sens!$I$3738)*tk_cx_gb300+Sens!$I$3738*tk_cx_vr200)</f>
        <v>34.911788</v>
      </c>
      <c r="J3741" s="36" t="n">
        <f aca="false">cust_sh*tk_cx_gb300*cf_cx+(1-cust_sh)*((1-Sens!$J$3738)*tk_cx_gb300+Sens!$J$3738*tk_cx_vr200)</f>
        <v>34.911788</v>
      </c>
      <c r="K3741" s="36" t="n">
        <f aca="false">cust_sh*tk_cx_gb300*cf_cx+(1-cust_sh)*((1-Sens!$K$3738)*tk_cx_gb300+Sens!$K$3738*tk_cx_vr200)</f>
        <v>34.911788</v>
      </c>
      <c r="L3741" s="36" t="n">
        <f aca="false">cust_sh*tk_cx_gb300*cf_cx+(1-cust_sh)*((1-Sens!$L$3738)*tk_cx_gb300+Sens!$L$3738*tk_cx_vr200)</f>
        <v>34.911788</v>
      </c>
      <c r="M3741" s="36" t="n">
        <f aca="false">cust_sh*tk_cx_gb300*cf_cx+(1-cust_sh)*((1-Sens!$M$3738)*tk_cx_gb300+Sens!$M$3738*tk_cx_vr200)</f>
        <v>34.911788</v>
      </c>
    </row>
    <row r="3742" customFormat="false" ht="17.15" hidden="false" customHeight="false" outlineLevel="0" collapsed="false">
      <c r="A3742" s="5" t="s">
        <v>564</v>
      </c>
      <c r="B3742" s="0" t="s">
        <v>108</v>
      </c>
      <c r="F3742" s="33" t="n">
        <f aca="false">Sens!$F$3732-mw_open</f>
        <v>1817.15</v>
      </c>
      <c r="G3742" s="33" t="n">
        <f aca="false">Sens!$F$3742</f>
        <v>1817.15</v>
      </c>
      <c r="H3742" s="33" t="n">
        <f aca="false">Sens!$H$3732-mw_open</f>
        <v>5451.45</v>
      </c>
      <c r="I3742" s="33" t="n">
        <f aca="false">Sens!$I$3732-mw_open</f>
        <v>9085.75</v>
      </c>
      <c r="J3742" s="33" t="n">
        <f aca="false">Sens!$J$3732-mw_open</f>
        <v>12720.05</v>
      </c>
      <c r="K3742" s="33" t="n">
        <f aca="false">Sens!$K$3732-mw_open</f>
        <v>16354.35</v>
      </c>
      <c r="L3742" s="33" t="n">
        <f aca="false">Sens!$L$3732-mw_open</f>
        <v>19988.65</v>
      </c>
      <c r="M3742" s="33" t="n">
        <f aca="false">Sens!$M$3732-mw_open</f>
        <v>23622.95</v>
      </c>
    </row>
    <row r="3743" customFormat="false" ht="17.15" hidden="false" customHeight="false" outlineLevel="0" collapsed="false">
      <c r="A3743" s="0" t="s">
        <v>565</v>
      </c>
      <c r="B3743" s="0" t="s">
        <v>566</v>
      </c>
      <c r="F3743" s="33" t="n">
        <f aca="false">Sens!$F$3735*Sens!$F$3739</f>
        <v>19782.2417524844</v>
      </c>
      <c r="G3743" s="33" t="n">
        <f aca="false">Sens!$F$3743</f>
        <v>19782.2417524844</v>
      </c>
      <c r="H3743" s="33" t="n">
        <f aca="false">Sens!$G$3743+Sens!$H$3735*Sens!$H$3739</f>
        <v>60563.3616992009</v>
      </c>
      <c r="I3743" s="33" t="n">
        <f aca="false">Sens!$H$3743+Sens!$I$3735*Sens!$I$3739</f>
        <v>102561.118087665</v>
      </c>
      <c r="J3743" s="33" t="n">
        <f aca="false">Sens!$I$3743+Sens!$J$3735*Sens!$J$3739</f>
        <v>144558.87447613</v>
      </c>
      <c r="K3743" s="33" t="n">
        <f aca="false">Sens!$J$3743+Sens!$K$3735*Sens!$K$3739</f>
        <v>186556.630864594</v>
      </c>
      <c r="L3743" s="33" t="n">
        <f aca="false">Sens!$K$3743+Sens!$L$3735*Sens!$L$3739</f>
        <v>228554.387253058</v>
      </c>
      <c r="M3743" s="33" t="n">
        <f aca="false">Sens!$L$3743+Sens!$M$3735*Sens!$M$3739</f>
        <v>270552.143641523</v>
      </c>
    </row>
    <row r="3744" customFormat="false" ht="17.15" hidden="false" customHeight="false" outlineLevel="0" collapsed="false">
      <c r="A3744" s="0" t="s">
        <v>567</v>
      </c>
      <c r="B3744" s="0" t="s">
        <v>566</v>
      </c>
      <c r="F3744" s="33" t="n">
        <f aca="false">Sens!$F$3735*Sens!$F$3740</f>
        <v>3602.74485070566</v>
      </c>
      <c r="G3744" s="33" t="n">
        <f aca="false">Sens!$F$3744</f>
        <v>3602.74485070566</v>
      </c>
      <c r="H3744" s="33" t="n">
        <f aca="false">Sens!$G$3744+Sens!$H$3735*Sens!$H$3740</f>
        <v>10908.9598445736</v>
      </c>
      <c r="I3744" s="33" t="n">
        <f aca="false">Sens!$H$3744+Sens!$I$3735*Sens!$I$3740</f>
        <v>18315.9001308981</v>
      </c>
      <c r="J3744" s="33" t="n">
        <f aca="false">Sens!$I$3744+Sens!$J$3735*Sens!$J$3740</f>
        <v>25722.8404172225</v>
      </c>
      <c r="K3744" s="33" t="n">
        <f aca="false">Sens!$J$3744+Sens!$K$3735*Sens!$K$3740</f>
        <v>33129.780703547</v>
      </c>
      <c r="L3744" s="33" t="n">
        <f aca="false">Sens!$K$3744+Sens!$L$3735*Sens!$L$3740</f>
        <v>40536.7209898715</v>
      </c>
      <c r="M3744" s="33" t="n">
        <f aca="false">Sens!$L$3744+Sens!$M$3735*Sens!$M$3740</f>
        <v>47943.661276196</v>
      </c>
    </row>
    <row r="3745" customFormat="false" ht="17.15" hidden="false" customHeight="false" outlineLevel="0" collapsed="false">
      <c r="A3745" s="5" t="s">
        <v>568</v>
      </c>
      <c r="B3745" s="0" t="s">
        <v>151</v>
      </c>
      <c r="F3745" s="36" t="n">
        <f aca="false">IF(Sens!$F$3742&gt;0,Sens!$F$3743/Sens!$F$3742,Sens!$F$3739)</f>
        <v>10.8864110021101</v>
      </c>
      <c r="G3745" s="36" t="n">
        <f aca="false">IF(Sens!$G$3742&gt;0,Sens!$G$3743/Sens!$G$3742,Sens!$G$3739)</f>
        <v>10.8864110021101</v>
      </c>
      <c r="H3745" s="36" t="n">
        <f aca="false">IF(Sens!$H$3742&gt;0,Sens!$H$3743/Sens!$H$3742,Sens!$H$3739)</f>
        <v>11.1095876691891</v>
      </c>
      <c r="I3745" s="36" t="n">
        <f aca="false">IF(Sens!$I$3742&gt;0,Sens!$I$3743/Sens!$I$3742,Sens!$I$3739)</f>
        <v>11.2881290028523</v>
      </c>
      <c r="J3745" s="36" t="n">
        <f aca="false">IF(Sens!$J$3742&gt;0,Sens!$J$3743/Sens!$J$3742,Sens!$J$3739)</f>
        <v>11.3646467172794</v>
      </c>
      <c r="K3745" s="36" t="n">
        <f aca="false">IF(Sens!$K$3742&gt;0,Sens!$K$3743/Sens!$K$3742,Sens!$K$3739)</f>
        <v>11.4071565586278</v>
      </c>
      <c r="L3745" s="36" t="n">
        <f aca="false">IF(Sens!$L$3742&gt;0,Sens!$L$3743/Sens!$L$3742,Sens!$L$3739)</f>
        <v>11.4342082758495</v>
      </c>
      <c r="M3745" s="36" t="n">
        <f aca="false">IF(Sens!$M$3742&gt;0,Sens!$M$3743/Sens!$M$3742,Sens!$M$3739)</f>
        <v>11.4529363877722</v>
      </c>
    </row>
    <row r="3746" customFormat="false" ht="17.15" hidden="false" customHeight="false" outlineLevel="0" collapsed="false">
      <c r="A3746" s="5" t="s">
        <v>569</v>
      </c>
      <c r="B3746" s="0" t="s">
        <v>151</v>
      </c>
      <c r="F3746" s="36" t="n">
        <f aca="false">IF(Sens!$F$3742&gt;0,Sens!$F$3744/Sens!$F$3742,Sens!$F$3740)</f>
        <v>1.98263481314457</v>
      </c>
      <c r="G3746" s="36" t="n">
        <f aca="false">IF(Sens!$G$3742&gt;0,Sens!$G$3744/Sens!$G$3742,Sens!$G$3740)</f>
        <v>1.98263481314457</v>
      </c>
      <c r="H3746" s="36" t="n">
        <f aca="false">IF(Sens!$H$3742&gt;0,Sens!$H$3744/Sens!$H$3742,Sens!$H$3740)</f>
        <v>2.00111160233948</v>
      </c>
      <c r="I3746" s="36" t="n">
        <f aca="false">IF(Sens!$I$3742&gt;0,Sens!$I$3744/Sens!$I$3742,Sens!$I$3740)</f>
        <v>2.01589303369541</v>
      </c>
      <c r="J3746" s="36" t="n">
        <f aca="false">IF(Sens!$J$3742&gt;0,Sens!$J$3744/Sens!$J$3742,Sens!$J$3740)</f>
        <v>2.02222793284795</v>
      </c>
      <c r="K3746" s="36" t="n">
        <f aca="false">IF(Sens!$K$3742&gt;0,Sens!$K$3744/Sens!$K$3742,Sens!$K$3740)</f>
        <v>2.02574732126603</v>
      </c>
      <c r="L3746" s="36" t="n">
        <f aca="false">IF(Sens!$L$3742&gt;0,Sens!$L$3744/Sens!$L$3742,Sens!$L$3740)</f>
        <v>2.02798693207753</v>
      </c>
      <c r="M3746" s="36" t="n">
        <f aca="false">IF(Sens!$M$3742&gt;0,Sens!$M$3744/Sens!$M$3742,Sens!$M$3740)</f>
        <v>2.02953743187011</v>
      </c>
    </row>
    <row r="3747" customFormat="false" ht="17.15" hidden="false" customHeight="false" outlineLevel="0" collapsed="false">
      <c r="A3747" s="14" t="s">
        <v>570</v>
      </c>
      <c r="B3747" s="13" t="s">
        <v>151</v>
      </c>
      <c r="C3747" s="13"/>
      <c r="D3747" s="13"/>
      <c r="E3747" s="13"/>
      <c r="F3747" s="37" t="n">
        <f aca="false">Sens!$F$3745*k_B</f>
        <v>10.7987645808025</v>
      </c>
      <c r="G3747" s="37" t="n">
        <f aca="false">Sens!$G$3745*k_B</f>
        <v>10.7987645808025</v>
      </c>
      <c r="H3747" s="37" t="n">
        <f aca="false">Sens!$H$3745*k_B</f>
        <v>11.0201444540452</v>
      </c>
      <c r="I3747" s="37" t="n">
        <f aca="false">Sens!$I$3745*k_B</f>
        <v>11.1972483526393</v>
      </c>
      <c r="J3747" s="37" t="n">
        <f aca="false">Sens!$J$3745*k_B</f>
        <v>11.2731500234653</v>
      </c>
      <c r="K3747" s="37" t="n">
        <f aca="false">Sens!$K$3745*k_B</f>
        <v>11.3153176183687</v>
      </c>
      <c r="L3747" s="37" t="n">
        <f aca="false">Sens!$L$3745*k_B</f>
        <v>11.3421515423981</v>
      </c>
      <c r="M3747" s="37" t="n">
        <f aca="false">Sens!$M$3745*k_B</f>
        <v>11.3607288744184</v>
      </c>
      <c r="N3747" s="13"/>
      <c r="O3747" s="13"/>
      <c r="P3747" s="5" t="s">
        <v>571</v>
      </c>
    </row>
    <row r="3748" customFormat="false" ht="17.15" hidden="false" customHeight="false" outlineLevel="0" collapsed="false">
      <c r="A3748" s="5" t="s">
        <v>572</v>
      </c>
      <c r="B3748" s="0" t="s">
        <v>108</v>
      </c>
      <c r="F3748" s="33" t="n">
        <f aca="false">Sens!$F$3742/2</f>
        <v>908.575</v>
      </c>
      <c r="H3748" s="33" t="n">
        <f aca="false">(Sens!$G$3742+Sens!$H$3742)/2</f>
        <v>3634.3</v>
      </c>
      <c r="I3748" s="33" t="n">
        <f aca="false">(Sens!$H$3742+Sens!$I$3742)/2</f>
        <v>7268.6</v>
      </c>
      <c r="J3748" s="33" t="n">
        <f aca="false">(Sens!$I$3742+Sens!$J$3742)/2</f>
        <v>10902.9</v>
      </c>
      <c r="K3748" s="33" t="n">
        <f aca="false">(Sens!$J$3742+Sens!$K$3742)/2</f>
        <v>14537.2</v>
      </c>
      <c r="L3748" s="33" t="n">
        <f aca="false">(Sens!$K$3742+Sens!$L$3742)/2</f>
        <v>18171.5</v>
      </c>
      <c r="M3748" s="33" t="n">
        <f aca="false">(Sens!$L$3742+Sens!$M$3742)/2</f>
        <v>21805.8</v>
      </c>
    </row>
    <row r="3749" customFormat="false" ht="17.15" hidden="false" customHeight="false" outlineLevel="0" collapsed="false">
      <c r="A3749" s="1" t="s">
        <v>573</v>
      </c>
    </row>
    <row r="3750" customFormat="false" ht="17.15" hidden="false" customHeight="false" outlineLevel="0" collapsed="false">
      <c r="A3750" s="1" t="s">
        <v>574</v>
      </c>
      <c r="B3750" s="8" t="s">
        <v>73</v>
      </c>
      <c r="C3750" s="38" t="n">
        <f aca="false">Sens!$C$3733*rpm_open*Sens!$C$3734/1000</f>
        <v>2.32100535697364</v>
      </c>
      <c r="D3750" s="38" t="n">
        <f aca="false">Sens!$D$3733*rpm_open*Sens!$D$3734/1000</f>
        <v>8.70377008865116</v>
      </c>
      <c r="E3750" s="38" t="n">
        <f aca="false">Sens!$E$3733*rpm_open*Sens!$E$3734/1000</f>
        <v>8.51035297557002</v>
      </c>
      <c r="F3750" s="38" t="n">
        <f aca="false">(mw_open*rpm_open+Sens!$F$3748*Sens!$F$3747)*Sens!$F$3734/1000</f>
        <v>14.9634336447205</v>
      </c>
      <c r="G3750" s="38" t="n">
        <f aca="false">Sens!$E$3750+Sens!$F$3750</f>
        <v>23.4737866202905</v>
      </c>
      <c r="H3750" s="38" t="n">
        <f aca="false">(mw_open*rpm_open+Sens!$H$3748*Sens!$H$3747)/1000</f>
        <v>60.1658907497746</v>
      </c>
      <c r="I3750" s="38" t="n">
        <f aca="false">(mw_open*rpm_open+Sens!$I$3748*Sens!$I$3747)/1000</f>
        <v>101.503699136432</v>
      </c>
      <c r="J3750" s="38" t="n">
        <f aca="false">(mw_open*rpm_open+Sens!$J$3748*Sens!$J$3747)/1000</f>
        <v>143.025407151278</v>
      </c>
      <c r="K3750" s="38" t="n">
        <f aca="false">(mw_open*rpm_open+Sens!$K$3748*Sens!$K$3747)/1000</f>
        <v>184.608415042187</v>
      </c>
      <c r="L3750" s="38" t="n">
        <f aca="false">(mw_open*rpm_open+Sens!$L$3748*Sens!$L$3747)/1000</f>
        <v>226.219286513125</v>
      </c>
      <c r="M3750" s="38" t="n">
        <f aca="false">(mw_open*rpm_open+Sens!$M$3748*Sens!$M$3747)/1000</f>
        <v>267.845161450232</v>
      </c>
      <c r="N3750" s="38" t="n">
        <f aca="false">Sens!$N$3733*rpm_open*Sens!$N$3734/1000</f>
        <v>3.04631953102791</v>
      </c>
      <c r="O3750" s="38" t="n">
        <f aca="false">Sens!$O$3733*rpm_open*Sens!$O$3734/1000</f>
        <v>5.65745055762326</v>
      </c>
      <c r="P3750" s="5" t="s">
        <v>575</v>
      </c>
    </row>
    <row r="3751" customFormat="false" ht="17.15" hidden="false" customHeight="false" outlineLevel="0" collapsed="false">
      <c r="A3751" s="5" t="s">
        <v>576</v>
      </c>
      <c r="B3751" s="0" t="s">
        <v>151</v>
      </c>
      <c r="C3751" s="36" t="n">
        <f aca="false">Sens!$C$3750*1000/(Sens!$C$3733*Sens!$C$3734)</f>
        <v>9.67085565405685</v>
      </c>
      <c r="D3751" s="36" t="n">
        <f aca="false">Sens!$D$3750*1000/(Sens!$D$3733*Sens!$D$3734)</f>
        <v>9.67085565405685</v>
      </c>
      <c r="E3751" s="36" t="n">
        <f aca="false">Sens!$E$3750*1000/(Sens!$E$3733*Sens!$E$3734)</f>
        <v>9.67085565405685</v>
      </c>
      <c r="F3751" s="36" t="n">
        <f aca="false">Sens!$F$3750*1000/(Sens!$F$3733*Sens!$F$3734)</f>
        <v>10.0137581588017</v>
      </c>
      <c r="G3751" s="36" t="n">
        <f aca="false">Sens!$G$3750*1000/(Sens!$G$3733*Sens!$G$3734)</f>
        <v>9.88666562928478</v>
      </c>
      <c r="H3751" s="36" t="n">
        <f aca="false">Sens!$H$3750*1000/(Sens!$H$3733*Sens!$H$3734)</f>
        <v>10.5290045586992</v>
      </c>
      <c r="I3751" s="36" t="n">
        <f aca="false">Sens!$I$3750*1000/(Sens!$I$3733*Sens!$I$3734)</f>
        <v>10.8576363451674</v>
      </c>
      <c r="J3751" s="36" t="n">
        <f aca="false">Sens!$J$3750*1000/(Sens!$J$3733*Sens!$J$3734)</f>
        <v>11.0164452588619</v>
      </c>
      <c r="K3751" s="36" t="n">
        <f aca="false">Sens!$K$3750*1000/(Sens!$K$3733*Sens!$K$3734)</f>
        <v>11.1094778327388</v>
      </c>
      <c r="L3751" s="36" t="n">
        <f aca="false">Sens!$L$3750*1000/(Sens!$L$3733*Sens!$L$3734)</f>
        <v>11.1704953466718</v>
      </c>
      <c r="M3751" s="36" t="n">
        <f aca="false">Sens!$M$3750*1000/(Sens!$M$3733*Sens!$M$3734)</f>
        <v>11.2135729785158</v>
      </c>
      <c r="N3751" s="36" t="n">
        <f aca="false">Sens!$N$3750*1000/(Sens!$N$3733*Sens!$N$3734)</f>
        <v>9.67085565405685</v>
      </c>
      <c r="O3751" s="36" t="n">
        <f aca="false">Sens!$O$3750*1000/(Sens!$O$3733*Sens!$O$3734)</f>
        <v>9.67085565405685</v>
      </c>
    </row>
    <row r="3752" customFormat="false" ht="17.15" hidden="false" customHeight="false" outlineLevel="0" collapsed="false">
      <c r="A3752" s="0" t="s">
        <v>577</v>
      </c>
      <c r="B3752" s="0" t="s">
        <v>73</v>
      </c>
      <c r="C3752" s="38" t="n">
        <f aca="false">Sens!$C$3733/ext_sh*(ox_open+rent_mw)*Sens!$C$3734/1000</f>
        <v>0.642569210675032</v>
      </c>
      <c r="D3752" s="38" t="n">
        <f aca="false">Sens!$D$3733/ext_sh*(ox_open+rent_mw)*Sens!$D$3734/1000</f>
        <v>2.40963454003137</v>
      </c>
      <c r="E3752" s="38" t="n">
        <f aca="false">Sens!$E$3733/ext_sh*(ox_open+rent_mw)*Sens!$E$3734/1000</f>
        <v>2.35608710580845</v>
      </c>
      <c r="F3752" s="38" t="n">
        <f aca="false">((mw_open*ox_open+Sens!$F$3748*Sens!$F$3746)/ext_sh+Sens!$F$3733/ext_sh*rent_mw)*Sens!$F$3734/1000</f>
        <v>4.05421991106232</v>
      </c>
      <c r="G3752" s="38" t="n">
        <f aca="false">Sens!$E$3752+Sens!$F$3752</f>
        <v>6.41030701687077</v>
      </c>
      <c r="H3752" s="38" t="n">
        <f aca="false">((mw_open*ox_open+Sens!$H$3748*Sens!$H$3746)/ext_sh+Sens!$H$3733/ext_sh*rent_mw)*Sens!$H$3734/1000</f>
        <v>15.8108975546616</v>
      </c>
      <c r="I3752" s="38" t="n">
        <f aca="false">((mw_open*ox_open+Sens!$I$3748*Sens!$I$3746)/ext_sh+Sens!$I$3733/ext_sh*rent_mw)*Sens!$I$3734/1000</f>
        <v>26.1871623400817</v>
      </c>
      <c r="J3752" s="38" t="n">
        <f aca="false">((mw_open*ox_open+Sens!$J$3748*Sens!$J$3746)/ext_sh+Sens!$J$3733/ext_sh*rent_mw)*Sens!$J$3734/1000</f>
        <v>36.5826128954935</v>
      </c>
      <c r="K3752" s="38" t="n">
        <f aca="false">((mw_open*ox_open+Sens!$K$3748*Sens!$K$3746)/ext_sh+Sens!$K$3733/ext_sh*rent_mw)*Sens!$K$3734/1000</f>
        <v>46.9844587075692</v>
      </c>
      <c r="L3752" s="38" t="n">
        <f aca="false">((mw_open*ox_open+Sens!$L$3748*Sens!$L$3746)/ext_sh+Sens!$L$3733/ext_sh*rent_mw)*Sens!$L$3734/1000</f>
        <v>57.3892114544922</v>
      </c>
      <c r="M3752" s="38" t="n">
        <f aca="false">((mw_open*ox_open+Sens!$M$3748*Sens!$M$3746)/ext_sh+Sens!$M$3733/ext_sh*rent_mw)*Sens!$M$3734/1000</f>
        <v>67.7955294740252</v>
      </c>
      <c r="N3752" s="38" t="n">
        <f aca="false">Sens!$N$3733/ext_sh*(ox_open+rent_mw)*Sens!$N$3734/1000</f>
        <v>0.84337208901098</v>
      </c>
      <c r="O3752" s="38" t="n">
        <f aca="false">Sens!$O$3733/ext_sh*(ox_open+rent_mw)*Sens!$O$3734/1000</f>
        <v>1.56626245102039</v>
      </c>
    </row>
    <row r="3753" customFormat="false" ht="17.15" hidden="false" customHeight="false" outlineLevel="0" collapsed="false">
      <c r="A3753" s="0" t="s">
        <v>578</v>
      </c>
      <c r="B3753" s="0" t="s">
        <v>73</v>
      </c>
      <c r="C3753" s="38" t="n">
        <f aca="false">Q!$D$7</f>
        <v>107.556</v>
      </c>
      <c r="D3753" s="38" t="n">
        <f aca="false">Q!$E$7</f>
        <v>128.725</v>
      </c>
      <c r="E3753" s="38" t="n">
        <f aca="false">Q!$P$7</f>
        <v>79.819</v>
      </c>
      <c r="N3753" s="38" t="n">
        <f aca="false">Q!$N$7</f>
        <v>60.14</v>
      </c>
      <c r="O3753" s="38" t="n">
        <f aca="false">Q!$O$7</f>
        <v>68.585</v>
      </c>
    </row>
    <row r="3754" customFormat="false" ht="17.15" hidden="false" customHeight="false" outlineLevel="0" collapsed="false">
      <c r="A3754" s="1" t="s">
        <v>579</v>
      </c>
      <c r="B3754" s="8" t="s">
        <v>73</v>
      </c>
      <c r="C3754" s="38" t="n">
        <f aca="false">Sens!$C$3753-Sens!$C$3750</f>
        <v>105.234994643026</v>
      </c>
      <c r="D3754" s="38" t="n">
        <f aca="false">Sens!$D$3753-Sens!$D$3750</f>
        <v>120.021229911349</v>
      </c>
      <c r="E3754" s="38" t="n">
        <f aca="false">Sens!$E$3753-Sens!$E$3750</f>
        <v>71.30864702443</v>
      </c>
      <c r="F3754" s="38" t="n">
        <f aca="false">Sens!$O$3754*(1+Sens!$F$3755)</f>
        <v>78.5950104186653</v>
      </c>
      <c r="G3754" s="38" t="n">
        <f aca="false">Sens!$E$3754+Sens!$F$3754</f>
        <v>149.903657443095</v>
      </c>
      <c r="H3754" s="38" t="n">
        <f aca="false">Sens!$G$3754*(1+Sens!$H$3755)</f>
        <v>180.893560768142</v>
      </c>
      <c r="I3754" s="38" t="n">
        <f aca="false">Sens!$H$3754*(1+Sens!$I$3755)</f>
        <v>210.64839721501</v>
      </c>
      <c r="J3754" s="38" t="n">
        <f aca="false">Sens!$I$3754*(1+Sens!$J$3755)</f>
        <v>236.398909446495</v>
      </c>
      <c r="K3754" s="38" t="n">
        <f aca="false">Sens!$J$3754*(1+Sens!$K$3755)</f>
        <v>255.310822202215</v>
      </c>
      <c r="L3754" s="38" t="n">
        <f aca="false">Sens!$K$3754*(1+Sens!$L$3755)</f>
        <v>275.735687978392</v>
      </c>
      <c r="M3754" s="38" t="n">
        <f aca="false">Sens!$L$3754*(1+Sens!$M$3755)</f>
        <v>297.794543016663</v>
      </c>
      <c r="N3754" s="38" t="n">
        <f aca="false">Sens!$N$3753-Sens!$N$3750</f>
        <v>57.0936804689721</v>
      </c>
      <c r="O3754" s="38" t="n">
        <f aca="false">Sens!$O$3753-Sens!$O$3750</f>
        <v>62.9275494423768</v>
      </c>
      <c r="P3754" s="5" t="s">
        <v>580</v>
      </c>
    </row>
    <row r="3755" customFormat="false" ht="17.15" hidden="false" customHeight="false" outlineLevel="0" collapsed="false">
      <c r="A3755" s="0" t="s">
        <v>581</v>
      </c>
      <c r="B3755" s="0" t="s">
        <v>52</v>
      </c>
      <c r="E3755" s="12" t="n">
        <f aca="false">Sens!$E$3754/Sens!$N$3754-1</f>
        <v>0.248976181579029</v>
      </c>
      <c r="F3755" s="12" t="n">
        <f aca="false">Sens!$E$3755</f>
        <v>0.248976181579029</v>
      </c>
      <c r="G3755" s="12" t="n">
        <f aca="false">Sens!$G$3754/Sens!$D$3754-1</f>
        <v>0.248976181579029</v>
      </c>
      <c r="H3755" s="12" t="n">
        <f aca="false">Sens!$E$3755+(g_awso_lt-Sens!$E$3755)*1/4</f>
        <v>0.206732136184272</v>
      </c>
      <c r="I3755" s="12" t="n">
        <f aca="false">Sens!$E$3755+(g_awso_lt-Sens!$E$3755)*2/4</f>
        <v>0.164488090789515</v>
      </c>
      <c r="J3755" s="12" t="n">
        <f aca="false">Sens!$E$3755+(g_awso_lt-Sens!$E$3755)*3/4</f>
        <v>0.122244045394757</v>
      </c>
      <c r="K3755" s="12" t="n">
        <f aca="false">Sens!$E$3755+(g_awso_lt-Sens!$E$3755)*4/4</f>
        <v>0.08</v>
      </c>
      <c r="L3755" s="12" t="n">
        <f aca="false">g_awso_lt</f>
        <v>0.08</v>
      </c>
      <c r="M3755" s="12" t="n">
        <f aca="false">g_awso_lt</f>
        <v>0.08</v>
      </c>
      <c r="P3755" s="8" t="s">
        <v>582</v>
      </c>
    </row>
    <row r="3756" customFormat="false" ht="17.15" hidden="false" customHeight="false" outlineLevel="0" collapsed="false">
      <c r="A3756" s="1" t="s">
        <v>583</v>
      </c>
    </row>
    <row r="3757" customFormat="false" ht="17.15" hidden="false" customHeight="false" outlineLevel="0" collapsed="false">
      <c r="A3757" s="0" t="s">
        <v>584</v>
      </c>
      <c r="B3757" s="0" t="s">
        <v>73</v>
      </c>
      <c r="F3757" s="38" t="n">
        <f aca="false">cx_rt*Sens!$F$3723+cx_awso*Sens!$F$3754</f>
        <v>36.8045765066526</v>
      </c>
    </row>
    <row r="3758" customFormat="false" ht="17.15" hidden="false" customHeight="false" outlineLevel="0" collapsed="false">
      <c r="A3758" s="0" t="s">
        <v>585</v>
      </c>
      <c r="B3758" s="0" t="s">
        <v>52</v>
      </c>
      <c r="C3758" s="12" t="n">
        <f aca="false">tk_cx_h100/(tk_cx_h100+tk_fac*(1-colo_sh))</f>
        <v>0.730756458006641</v>
      </c>
      <c r="D3758" s="12" t="n">
        <f aca="false">tk_cx_h100/(tk_cx_h100+tk_fac*(1-colo_sh))</f>
        <v>0.730756458006641</v>
      </c>
      <c r="E3758" s="12" t="n">
        <f aca="false">Sens!$F$3758</f>
        <v>0.760792334328868</v>
      </c>
      <c r="F3758" s="12" t="n">
        <f aca="false">Sens!$F$3741/(Sens!$F$3741+tk_fac*(1-colo_sh))</f>
        <v>0.760792334328868</v>
      </c>
      <c r="G3758" s="12" t="n">
        <f aca="false">Sens!$G$3741/(Sens!$G$3741+tk_fac*(1-colo_sh))</f>
        <v>0.760792334328868</v>
      </c>
      <c r="H3758" s="12" t="n">
        <f aca="false">Sens!$H$3741/(Sens!$H$3741+tk_fac*(1-colo_sh))</f>
        <v>0.768110668862996</v>
      </c>
      <c r="I3758" s="12" t="n">
        <f aca="false">Sens!$I$3741/(Sens!$I$3741+tk_fac*(1-colo_sh))</f>
        <v>0.77499450139483</v>
      </c>
      <c r="J3758" s="12" t="n">
        <f aca="false">Sens!$J$3741/(Sens!$J$3741+tk_fac*(1-colo_sh))</f>
        <v>0.77499450139483</v>
      </c>
      <c r="K3758" s="12" t="n">
        <f aca="false">Sens!$K$3741/(Sens!$K$3741+tk_fac*(1-colo_sh))</f>
        <v>0.77499450139483</v>
      </c>
      <c r="L3758" s="12" t="n">
        <f aca="false">Sens!$L$3741/(Sens!$L$3741+tk_fac*(1-colo_sh))</f>
        <v>0.77499450139483</v>
      </c>
      <c r="M3758" s="12" t="n">
        <f aca="false">Sens!$M$3741/(Sens!$M$3741+tk_fac*(1-colo_sh))</f>
        <v>0.77499450139483</v>
      </c>
    </row>
    <row r="3759" customFormat="false" ht="17.15" hidden="false" customHeight="false" outlineLevel="0" collapsed="false">
      <c r="A3759" s="1" t="s">
        <v>586</v>
      </c>
      <c r="B3759" s="8" t="s">
        <v>73</v>
      </c>
      <c r="C3759" s="38" t="n">
        <f aca="false">Q!$D$46-cx_rt*Q!$D$16-cx_awso*Sens!$C$3754</f>
        <v>25.2781053077374</v>
      </c>
      <c r="D3759" s="38" t="n">
        <f aca="false">Q!$E$46-cx_rt*Q!$E$16-cx_awso*Sens!$D$3754</f>
        <v>69.5686316310026</v>
      </c>
      <c r="E3759" s="38" t="n">
        <f aca="false">Q!$P$46-cx_rt*Q!$P$16-cx_awso*Sens!$E$3754</f>
        <v>64.1899206485108</v>
      </c>
      <c r="F3759" s="38" t="n">
        <f aca="false">MAX(Sens!$F$3736*(Sens!$F$3741+tk_fac*(1-colo_sh))/1000,capex_g26-Q!$P$46-Sens!$F$3757)</f>
        <v>96.2481299895</v>
      </c>
      <c r="G3759" s="38" t="n">
        <f aca="false">Sens!$E$3759+Sens!$F$3759</f>
        <v>160.438050638011</v>
      </c>
      <c r="H3759" s="38" t="n">
        <f aca="false">Sens!$H$3736*(Sens!$H$3741+tk_fac*(1-colo_sh))/1000+Sens!$H$3760</f>
        <v>198.57136494475</v>
      </c>
      <c r="I3759" s="38" t="n">
        <f aca="false">Sens!$I$3736*(Sens!$I$3741+tk_fac*(1-colo_sh))/1000+Sens!$I$3760</f>
        <v>204.6464699105</v>
      </c>
      <c r="J3759" s="38" t="n">
        <f aca="false">Sens!$J$3736*(Sens!$J$3741+tk_fac*(1-colo_sh))/1000+Sens!$J$3760</f>
        <v>209.8832381105</v>
      </c>
      <c r="K3759" s="38" t="n">
        <f aca="false">Sens!$K$3736*(Sens!$K$3741+tk_fac*(1-colo_sh))/1000+Sens!$K$3760</f>
        <v>215.1200063105</v>
      </c>
      <c r="L3759" s="38" t="n">
        <f aca="false">Sens!$L$3736*(Sens!$L$3741+tk_fac*(1-colo_sh))/1000+Sens!$L$3760</f>
        <v>251.7773837105</v>
      </c>
      <c r="M3759" s="38" t="n">
        <f aca="false">Sens!$M$3736*(Sens!$M$3741+tk_fac*(1-colo_sh))/1000+Sens!$M$3760</f>
        <v>311.87584476575</v>
      </c>
      <c r="P3759" s="5" t="s">
        <v>587</v>
      </c>
      <c r="R3759" s="38" t="n">
        <f aca="false">Q!$C$46-cx_rt*Q!$C$16-cx_awso*(Q!$C$7-mw_ye23/2*rpm_open/1000)</f>
        <v>1.50429979529945</v>
      </c>
      <c r="S3759" s="38" t="n">
        <f aca="false">Sens!$C$3759</f>
        <v>25.2781053077374</v>
      </c>
      <c r="T3759" s="38" t="n">
        <f aca="false">Sens!$D$3759</f>
        <v>69.5686316310026</v>
      </c>
      <c r="U3759" s="38" t="n">
        <f aca="false">Sens!$G$3759</f>
        <v>160.438050638011</v>
      </c>
      <c r="V3759" s="38" t="n">
        <f aca="false">Sens!$H$3759</f>
        <v>198.57136494475</v>
      </c>
      <c r="W3759" s="38" t="n">
        <f aca="false">Sens!$I$3759</f>
        <v>204.6464699105</v>
      </c>
      <c r="X3759" s="38" t="n">
        <f aca="false">Sens!$J$3759</f>
        <v>209.8832381105</v>
      </c>
      <c r="Y3759" s="38" t="n">
        <f aca="false">Sens!$K$3759</f>
        <v>215.1200063105</v>
      </c>
      <c r="Z3759" s="38" t="n">
        <f aca="false">Sens!$L$3759</f>
        <v>251.7773837105</v>
      </c>
      <c r="AA3759" s="38" t="n">
        <f aca="false">Sens!$M$3759</f>
        <v>311.87584476575</v>
      </c>
    </row>
    <row r="3760" customFormat="false" ht="17.15" hidden="false" customHeight="false" outlineLevel="0" collapsed="false">
      <c r="A3760" s="0" t="s">
        <v>588</v>
      </c>
      <c r="B3760" s="0" t="s">
        <v>73</v>
      </c>
      <c r="H3760" s="38" t="n">
        <f aca="false">SUMPRODUCT(--(Sens!$R$3730:$AA$3730=2027-tk_life),Sens!$R$3736:$AA$3736)*Sens!$H$3741/1000</f>
        <v>0</v>
      </c>
      <c r="I3760" s="38" t="n">
        <f aca="false">SUMPRODUCT(--(Sens!$R$3730:$AA$3730=2028-tk_life),Sens!$R$3736:$AA$3736)*Sens!$I$3741/1000</f>
        <v>0</v>
      </c>
      <c r="J3760" s="38" t="n">
        <f aca="false">SUMPRODUCT(--(Sens!$R$3730:$AA$3730=2029-tk_life),Sens!$R$3736:$AA$3736)*Sens!$J$3741/1000</f>
        <v>5.2367682</v>
      </c>
      <c r="K3760" s="38" t="n">
        <f aca="false">SUMPRODUCT(--(Sens!$R$3730:$AA$3730=2030-tk_life),Sens!$R$3736:$AA$3736)*Sens!$K$3741/1000</f>
        <v>10.4735364</v>
      </c>
      <c r="L3760" s="38" t="n">
        <f aca="false">SUMPRODUCT(--(Sens!$R$3730:$AA$3730=2031-tk_life),Sens!$R$3736:$AA$3736)*Sens!$L$3741/1000</f>
        <v>47.1309138</v>
      </c>
      <c r="M3760" s="38" t="n">
        <f aca="false">SUMPRODUCT(--(Sens!$R$3730:$AA$3730=2032-tk_life),Sens!$R$3736:$AA$3736)*Sens!$M$3741/1000</f>
        <v>107.22937485525</v>
      </c>
    </row>
    <row r="3761" customFormat="false" ht="17.15" hidden="false" customHeight="false" outlineLevel="0" collapsed="false">
      <c r="A3761" s="5" t="s">
        <v>589</v>
      </c>
      <c r="B3761" s="0" t="s">
        <v>73</v>
      </c>
      <c r="C3761" s="38" t="n">
        <f aca="false">Sens!$C$3759*Sens!$C$3758</f>
        <v>18.472138699801</v>
      </c>
      <c r="D3761" s="38" t="n">
        <f aca="false">Sens!$D$3759*Sens!$D$3758</f>
        <v>50.8377268390402</v>
      </c>
      <c r="E3761" s="38" t="n">
        <f aca="false">Sens!$E$3759*Sens!$E$3758</f>
        <v>48.8351995705653</v>
      </c>
      <c r="F3761" s="38" t="n">
        <f aca="false">Sens!$F$3759*Sens!$F$3758</f>
        <v>73.2248394895</v>
      </c>
      <c r="G3761" s="38" t="n">
        <f aca="false">Sens!$E$3761+Sens!$F$3761</f>
        <v>122.060039060065</v>
      </c>
      <c r="H3761" s="38" t="n">
        <f aca="false">(Sens!$H$3759-Sens!$H$3760)*Sens!$H$3758+Sens!$H$3760</f>
        <v>152.52478394475</v>
      </c>
      <c r="I3761" s="38" t="n">
        <f aca="false">(Sens!$I$3759-Sens!$I$3760)*Sens!$I$3758+Sens!$I$3760</f>
        <v>158.5998889105</v>
      </c>
      <c r="J3761" s="38" t="n">
        <f aca="false">(Sens!$J$3759-Sens!$J$3760)*Sens!$J$3758+Sens!$J$3760</f>
        <v>163.8366571105</v>
      </c>
      <c r="K3761" s="38" t="n">
        <f aca="false">(Sens!$K$3759-Sens!$K$3760)*Sens!$K$3758+Sens!$K$3760</f>
        <v>169.0734253105</v>
      </c>
      <c r="L3761" s="38" t="n">
        <f aca="false">(Sens!$L$3759-Sens!$L$3760)*Sens!$L$3758+Sens!$L$3760</f>
        <v>205.7308027105</v>
      </c>
      <c r="M3761" s="38" t="n">
        <f aca="false">(Sens!$M$3759-Sens!$M$3760)*Sens!$M$3758+Sens!$M$3760</f>
        <v>265.82926376575</v>
      </c>
      <c r="R3761" s="38" t="n">
        <f aca="false">Sens!$R$3759*Sens!$C$3758</f>
        <v>1.09927679019314</v>
      </c>
      <c r="S3761" s="38" t="n">
        <f aca="false">Sens!$C$3761</f>
        <v>18.472138699801</v>
      </c>
      <c r="T3761" s="38" t="n">
        <f aca="false">Sens!$D$3761</f>
        <v>50.8377268390402</v>
      </c>
      <c r="U3761" s="38" t="n">
        <f aca="false">Sens!$G$3761</f>
        <v>122.060039060065</v>
      </c>
      <c r="V3761" s="38" t="n">
        <f aca="false">Sens!$H$3761</f>
        <v>152.52478394475</v>
      </c>
      <c r="W3761" s="38" t="n">
        <f aca="false">Sens!$I$3761</f>
        <v>158.5998889105</v>
      </c>
      <c r="X3761" s="38" t="n">
        <f aca="false">Sens!$J$3761</f>
        <v>163.8366571105</v>
      </c>
      <c r="Y3761" s="38" t="n">
        <f aca="false">Sens!$K$3761</f>
        <v>169.0734253105</v>
      </c>
      <c r="Z3761" s="38" t="n">
        <f aca="false">Sens!$L$3761</f>
        <v>205.7308027105</v>
      </c>
      <c r="AA3761" s="38" t="n">
        <f aca="false">Sens!$M$3761</f>
        <v>265.82926376575</v>
      </c>
    </row>
    <row r="3762" customFormat="false" ht="15" hidden="false" customHeight="false" outlineLevel="0" collapsed="false">
      <c r="A3762" s="5" t="s">
        <v>590</v>
      </c>
      <c r="B3762" s="0" t="s">
        <v>73</v>
      </c>
      <c r="R3762" s="38" t="n">
        <f aca="false">Sens!$R$3759-Sens!$R$3761</f>
        <v>0.405023005106309</v>
      </c>
      <c r="S3762" s="38" t="n">
        <f aca="false">Sens!$S$3759-Sens!$S$3761</f>
        <v>6.80596660793636</v>
      </c>
      <c r="T3762" s="38" t="n">
        <f aca="false">Sens!$T$3759-Sens!$T$3761</f>
        <v>18.7309047919624</v>
      </c>
      <c r="U3762" s="38" t="n">
        <f aca="false">Sens!$U$3759-Sens!$U$3761</f>
        <v>38.3780115779455</v>
      </c>
      <c r="V3762" s="38" t="n">
        <f aca="false">Sens!$V$3759-Sens!$V$3761</f>
        <v>46.046581</v>
      </c>
      <c r="W3762" s="38" t="n">
        <f aca="false">Sens!$W$3759-Sens!$W$3761</f>
        <v>46.046581</v>
      </c>
      <c r="X3762" s="38" t="n">
        <f aca="false">Sens!$X$3759-Sens!$X$3761</f>
        <v>46.046581</v>
      </c>
      <c r="Y3762" s="38" t="n">
        <f aca="false">Sens!$Y$3759-Sens!$Y$3761</f>
        <v>46.046581</v>
      </c>
      <c r="Z3762" s="38" t="n">
        <f aca="false">Sens!$Z$3759-Sens!$Z$3761</f>
        <v>46.046581</v>
      </c>
      <c r="AA3762" s="38" t="n">
        <f aca="false">Sens!$AA$3759-Sens!$AA$3761</f>
        <v>46.046581</v>
      </c>
    </row>
    <row r="3763" customFormat="false" ht="17.15" hidden="false" customHeight="false" outlineLevel="0" collapsed="false">
      <c r="A3763" s="0" t="s">
        <v>591</v>
      </c>
      <c r="B3763" s="0" t="s">
        <v>73</v>
      </c>
      <c r="C3763" s="38" t="n">
        <f aca="false">Sens!$S$3763</f>
        <v>0.183212798365523</v>
      </c>
      <c r="D3763" s="38" t="n">
        <f aca="false">Sens!$T$3763</f>
        <v>3.2619025816657</v>
      </c>
      <c r="E3763" s="38" t="n">
        <f aca="false">Sens!$G$3763/2</f>
        <v>5.86742852741953</v>
      </c>
      <c r="F3763" s="38" t="n">
        <f aca="false">Sens!$G$3763/2</f>
        <v>5.86742852741953</v>
      </c>
      <c r="G3763" s="38" t="n">
        <f aca="false">Sens!$U$3763</f>
        <v>11.7348570548391</v>
      </c>
      <c r="H3763" s="38" t="n">
        <f aca="false">Sens!$V$3763</f>
        <v>32.0781968981833</v>
      </c>
      <c r="I3763" s="38" t="n">
        <f aca="false">Sens!$W$3763</f>
        <v>57.4989942223083</v>
      </c>
      <c r="J3763" s="38" t="n">
        <f aca="false">Sens!$X$3763</f>
        <v>83.932309040725</v>
      </c>
      <c r="K3763" s="38" t="n">
        <f aca="false">Sens!$Y$3763</f>
        <v>111.055205760776</v>
      </c>
      <c r="L3763" s="38" t="n">
        <f aca="false">Sens!$Z$3763</f>
        <v>136.155420195893</v>
      </c>
      <c r="M3763" s="38" t="n">
        <f aca="false">Sens!$AA$3763</f>
        <v>161.970932841136</v>
      </c>
      <c r="N3763" s="38" t="n">
        <f aca="false">Sens!$D$3763/2</f>
        <v>1.63095129083285</v>
      </c>
      <c r="O3763" s="38" t="n">
        <f aca="false">Sens!$D$3763/2</f>
        <v>1.63095129083285</v>
      </c>
      <c r="R3763" s="38" t="n">
        <f aca="false">SUMPRODUCT(--(Sens!$R$3730:$AA$3730&lt;Sens!R$3730),--(Sens!$R$3730:$AA$3730&gt;=Sens!R$3730-tk_life),Sens!$R$3761:$AA$3761)/tk_life</f>
        <v>0</v>
      </c>
      <c r="S3763" s="38" t="n">
        <f aca="false">SUMPRODUCT(--(Sens!$R$3730:$AA$3730&lt;Sens!S$3730),--(Sens!$R$3730:$AA$3730&gt;=Sens!S$3730-tk_life),Sens!$R$3761:$AA$3761)/tk_life</f>
        <v>0.183212798365523</v>
      </c>
      <c r="T3763" s="38" t="n">
        <f aca="false">SUMPRODUCT(--(Sens!$R$3730:$AA$3730&lt;Sens!T$3730),--(Sens!$R$3730:$AA$3730&gt;=Sens!T$3730-tk_life),Sens!$R$3761:$AA$3761)/tk_life</f>
        <v>3.2619025816657</v>
      </c>
      <c r="U3763" s="38" t="n">
        <f aca="false">SUMPRODUCT(--(Sens!$R$3730:$AA$3730&lt;Sens!U$3730),--(Sens!$R$3730:$AA$3730&gt;=Sens!U$3730-tk_life),Sens!$R$3761:$AA$3761)/tk_life</f>
        <v>11.7348570548391</v>
      </c>
      <c r="V3763" s="38" t="n">
        <f aca="false">SUMPRODUCT(--(Sens!$R$3730:$AA$3730&lt;Sens!V$3730),--(Sens!$R$3730:$AA$3730&gt;=Sens!V$3730-tk_life),Sens!$R$3761:$AA$3761)/tk_life</f>
        <v>32.0781968981833</v>
      </c>
      <c r="W3763" s="38" t="n">
        <f aca="false">SUMPRODUCT(--(Sens!$R$3730:$AA$3730&lt;Sens!W$3730),--(Sens!$R$3730:$AA$3730&gt;=Sens!W$3730-tk_life),Sens!$R$3761:$AA$3761)/tk_life</f>
        <v>57.4989942223083</v>
      </c>
      <c r="X3763" s="38" t="n">
        <f aca="false">SUMPRODUCT(--(Sens!$R$3730:$AA$3730&lt;Sens!X$3730),--(Sens!$R$3730:$AA$3730&gt;=Sens!X$3730-tk_life),Sens!$R$3761:$AA$3761)/tk_life</f>
        <v>83.932309040725</v>
      </c>
      <c r="Y3763" s="38" t="n">
        <f aca="false">SUMPRODUCT(--(Sens!$R$3730:$AA$3730&lt;Sens!Y$3730),--(Sens!$R$3730:$AA$3730&gt;=Sens!Y$3730-tk_life),Sens!$R$3761:$AA$3761)/tk_life</f>
        <v>111.055205760776</v>
      </c>
      <c r="Z3763" s="38" t="n">
        <f aca="false">SUMPRODUCT(--(Sens!$R$3730:$AA$3730&lt;Sens!Z$3730),--(Sens!$R$3730:$AA$3730&gt;=Sens!Z$3730-tk_life),Sens!$R$3761:$AA$3761)/tk_life</f>
        <v>136.155420195893</v>
      </c>
      <c r="AA3763" s="38" t="n">
        <f aca="false">SUMPRODUCT(--(Sens!$R$3730:$AA$3730&lt;Sens!AA$3730),--(Sens!$R$3730:$AA$3730&gt;=Sens!AA$3730-tk_life),Sens!$R$3761:$AA$3761)/tk_life</f>
        <v>161.970932841136</v>
      </c>
    </row>
    <row r="3764" customFormat="false" ht="17.15" hidden="false" customHeight="false" outlineLevel="0" collapsed="false">
      <c r="A3764" s="0" t="s">
        <v>592</v>
      </c>
      <c r="B3764" s="0" t="s">
        <v>73</v>
      </c>
      <c r="C3764" s="38" t="n">
        <f aca="false">Sens!$S$3764</f>
        <v>0.0202511502553155</v>
      </c>
      <c r="D3764" s="38" t="n">
        <f aca="false">Sens!$T$3764</f>
        <v>0.360549480652134</v>
      </c>
      <c r="E3764" s="38" t="n">
        <f aca="false">Sens!$G$3764/2</f>
        <v>0.648547360125127</v>
      </c>
      <c r="F3764" s="38" t="n">
        <f aca="false">Sens!$G$3764/2</f>
        <v>0.648547360125127</v>
      </c>
      <c r="G3764" s="38" t="n">
        <f aca="false">Sens!$U$3764</f>
        <v>1.29709472025025</v>
      </c>
      <c r="H3764" s="38" t="n">
        <f aca="false">Sens!$V$3764</f>
        <v>3.21599529914753</v>
      </c>
      <c r="I3764" s="38" t="n">
        <f aca="false">Sens!$W$3764</f>
        <v>5.51832434914753</v>
      </c>
      <c r="J3764" s="38" t="n">
        <f aca="false">Sens!$X$3764</f>
        <v>7.82065339914753</v>
      </c>
      <c r="K3764" s="38" t="n">
        <f aca="false">Sens!$Y$3764</f>
        <v>10.1229824491475</v>
      </c>
      <c r="L3764" s="38" t="n">
        <f aca="false">Sens!$Z$3764</f>
        <v>12.4253114991475</v>
      </c>
      <c r="M3764" s="38" t="n">
        <f aca="false">Sens!$AA$3764</f>
        <v>14.7276405491475</v>
      </c>
      <c r="N3764" s="38" t="n">
        <f aca="false">Sens!$D$3764/2</f>
        <v>0.180274740326067</v>
      </c>
      <c r="O3764" s="38" t="n">
        <f aca="false">Sens!$D$3764/2</f>
        <v>0.180274740326067</v>
      </c>
      <c r="R3764" s="38" t="n">
        <f aca="false">SUMPRODUCT(--(Sens!$R$3730:$AA$3730&lt;Sens!R$3730),Sens!$R$3762:$AA$3762)/fac_life</f>
        <v>0</v>
      </c>
      <c r="S3764" s="38" t="n">
        <f aca="false">SUMPRODUCT(--(Sens!$R$3730:$AA$3730&lt;Sens!S$3730),Sens!$R$3762:$AA$3762)/fac_life</f>
        <v>0.0202511502553155</v>
      </c>
      <c r="T3764" s="38" t="n">
        <f aca="false">SUMPRODUCT(--(Sens!$R$3730:$AA$3730&lt;Sens!T$3730),Sens!$R$3762:$AA$3762)/fac_life</f>
        <v>0.360549480652134</v>
      </c>
      <c r="U3764" s="38" t="n">
        <f aca="false">SUMPRODUCT(--(Sens!$R$3730:$AA$3730&lt;Sens!U$3730),Sens!$R$3762:$AA$3762)/fac_life</f>
        <v>1.29709472025025</v>
      </c>
      <c r="V3764" s="38" t="n">
        <f aca="false">SUMPRODUCT(--(Sens!$R$3730:$AA$3730&lt;Sens!V$3730),Sens!$R$3762:$AA$3762)/fac_life</f>
        <v>3.21599529914753</v>
      </c>
      <c r="W3764" s="38" t="n">
        <f aca="false">SUMPRODUCT(--(Sens!$R$3730:$AA$3730&lt;Sens!W$3730),Sens!$R$3762:$AA$3762)/fac_life</f>
        <v>5.51832434914753</v>
      </c>
      <c r="X3764" s="38" t="n">
        <f aca="false">SUMPRODUCT(--(Sens!$R$3730:$AA$3730&lt;Sens!X$3730),Sens!$R$3762:$AA$3762)/fac_life</f>
        <v>7.82065339914753</v>
      </c>
      <c r="Y3764" s="38" t="n">
        <f aca="false">SUMPRODUCT(--(Sens!$R$3730:$AA$3730&lt;Sens!Y$3730),Sens!$R$3762:$AA$3762)/fac_life</f>
        <v>10.1229824491475</v>
      </c>
      <c r="Z3764" s="38" t="n">
        <f aca="false">SUMPRODUCT(--(Sens!$R$3730:$AA$3730&lt;Sens!Z$3730),Sens!$R$3762:$AA$3762)/fac_life</f>
        <v>12.4253114991475</v>
      </c>
      <c r="AA3764" s="38" t="n">
        <f aca="false">SUMPRODUCT(--(Sens!$R$3730:$AA$3730&lt;Sens!AA$3730),Sens!$R$3762:$AA$3762)/fac_life</f>
        <v>14.7276405491475</v>
      </c>
    </row>
    <row r="3765" customFormat="false" ht="17.15" hidden="false" customHeight="false" outlineLevel="0" collapsed="false">
      <c r="A3765" s="1" t="s">
        <v>593</v>
      </c>
      <c r="B3765" s="8" t="s">
        <v>73</v>
      </c>
      <c r="C3765" s="38" t="n">
        <f aca="false">Sens!$C$3763+Sens!$C$3764</f>
        <v>0.203463948620839</v>
      </c>
      <c r="D3765" s="38" t="n">
        <f aca="false">Sens!$D$3763+Sens!$D$3764</f>
        <v>3.62245206231783</v>
      </c>
      <c r="E3765" s="38" t="n">
        <f aca="false">Sens!$E$3763+Sens!$E$3764</f>
        <v>6.51597588754466</v>
      </c>
      <c r="F3765" s="38" t="n">
        <f aca="false">Sens!$F$3763+Sens!$F$3764</f>
        <v>6.51597588754466</v>
      </c>
      <c r="G3765" s="38" t="n">
        <f aca="false">Sens!$G$3763+Sens!$G$3764</f>
        <v>13.0319517750893</v>
      </c>
      <c r="H3765" s="38" t="n">
        <f aca="false">Sens!$H$3763+Sens!$H$3764</f>
        <v>35.2941921973308</v>
      </c>
      <c r="I3765" s="38" t="n">
        <f aca="false">Sens!$I$3763+Sens!$I$3764</f>
        <v>63.0173185714558</v>
      </c>
      <c r="J3765" s="38" t="n">
        <f aca="false">Sens!$J$3763+Sens!$J$3764</f>
        <v>91.7529624398725</v>
      </c>
      <c r="K3765" s="38" t="n">
        <f aca="false">Sens!$K$3763+Sens!$K$3764</f>
        <v>121.178188209924</v>
      </c>
      <c r="L3765" s="38" t="n">
        <f aca="false">Sens!$L$3763+Sens!$L$3764</f>
        <v>148.58073169504</v>
      </c>
      <c r="M3765" s="38" t="n">
        <f aca="false">Sens!$M$3763+Sens!$M$3764</f>
        <v>176.698573390283</v>
      </c>
      <c r="N3765" s="38" t="n">
        <f aca="false">Sens!$N$3763+Sens!$N$3764</f>
        <v>1.81122603115892</v>
      </c>
      <c r="O3765" s="38" t="n">
        <f aca="false">Sens!$O$3763+Sens!$O$3764</f>
        <v>1.81122603115892</v>
      </c>
      <c r="R3765" s="38" t="n">
        <f aca="false">Sens!$R$3763+Sens!$R$3764</f>
        <v>0</v>
      </c>
      <c r="S3765" s="38" t="n">
        <f aca="false">Sens!$S$3763+Sens!$S$3764</f>
        <v>0.203463948620839</v>
      </c>
      <c r="T3765" s="38" t="n">
        <f aca="false">Sens!$T$3763+Sens!$T$3764</f>
        <v>3.62245206231783</v>
      </c>
      <c r="U3765" s="38" t="n">
        <f aca="false">Sens!$U$3763+Sens!$U$3764</f>
        <v>13.0319517750893</v>
      </c>
      <c r="V3765" s="38" t="n">
        <f aca="false">Sens!$V$3763+Sens!$V$3764</f>
        <v>35.2941921973308</v>
      </c>
      <c r="W3765" s="38" t="n">
        <f aca="false">Sens!$W$3763+Sens!$W$3764</f>
        <v>63.0173185714558</v>
      </c>
      <c r="X3765" s="38" t="n">
        <f aca="false">Sens!$X$3763+Sens!$X$3764</f>
        <v>91.7529624398725</v>
      </c>
      <c r="Y3765" s="38" t="n">
        <f aca="false">Sens!$Y$3763+Sens!$Y$3764</f>
        <v>121.178188209924</v>
      </c>
      <c r="Z3765" s="38" t="n">
        <f aca="false">Sens!$Z$3763+Sens!$Z$3764</f>
        <v>148.58073169504</v>
      </c>
      <c r="AA3765" s="38" t="n">
        <f aca="false">Sens!$AA$3763+Sens!$AA$3764</f>
        <v>176.698573390283</v>
      </c>
    </row>
    <row r="3766" customFormat="false" ht="17.15" hidden="false" customHeight="false" outlineLevel="0" collapsed="false">
      <c r="A3766" s="0" t="s">
        <v>594</v>
      </c>
      <c r="B3766" s="0" t="s">
        <v>73</v>
      </c>
      <c r="C3766" s="38" t="n">
        <f aca="false">Sens!$S$3766</f>
        <v>26.578941154416</v>
      </c>
      <c r="D3766" s="38" t="n">
        <f aca="false">Sens!$T$3766</f>
        <v>92.5251207231008</v>
      </c>
      <c r="G3766" s="38" t="n">
        <f aca="false">Sens!$U$3766</f>
        <v>239.931219586022</v>
      </c>
      <c r="H3766" s="38" t="n">
        <f aca="false">Sens!$V$3766</f>
        <v>403.208392333442</v>
      </c>
      <c r="I3766" s="38" t="n">
        <f aca="false">Sens!$W$3766</f>
        <v>544.837543672486</v>
      </c>
      <c r="J3766" s="38" t="n">
        <f aca="false">Sens!$X$3766</f>
        <v>662.967819343113</v>
      </c>
      <c r="K3766" s="38" t="n">
        <f aca="false">Sens!$Y$3766</f>
        <v>756.90963744369</v>
      </c>
      <c r="L3766" s="38" t="n">
        <f aca="false">Sens!$Z$3766</f>
        <v>860.10628945915</v>
      </c>
      <c r="M3766" s="38" t="n">
        <f aca="false">Sens!$AA$3766</f>
        <v>995.283560834616</v>
      </c>
      <c r="R3766" s="38" t="n">
        <f aca="false">SUM(Sens!$R$3759:$R$3759)-SUM(Sens!$R$3765:$R$3765)</f>
        <v>1.50429979529945</v>
      </c>
      <c r="S3766" s="38" t="n">
        <f aca="false">SUM(Sens!$R$3759:$S$3759)-SUM(Sens!$R$3765:$S$3765)</f>
        <v>26.578941154416</v>
      </c>
      <c r="T3766" s="38" t="n">
        <f aca="false">SUM(Sens!$R$3759:$T$3759)-SUM(Sens!$R$3765:$T$3765)</f>
        <v>92.5251207231008</v>
      </c>
      <c r="U3766" s="38" t="n">
        <f aca="false">SUM(Sens!$R$3759:$U$3759)-SUM(Sens!$R$3765:$U$3765)</f>
        <v>239.931219586022</v>
      </c>
      <c r="V3766" s="38" t="n">
        <f aca="false">SUM(Sens!$R$3759:$V$3759)-SUM(Sens!$R$3765:$V$3765)</f>
        <v>403.208392333442</v>
      </c>
      <c r="W3766" s="38" t="n">
        <f aca="false">SUM(Sens!$R$3759:$W$3759)-SUM(Sens!$R$3765:$W$3765)</f>
        <v>544.837543672486</v>
      </c>
      <c r="X3766" s="38" t="n">
        <f aca="false">SUM(Sens!$R$3759:$X$3759)-SUM(Sens!$R$3765:$X$3765)</f>
        <v>662.967819343113</v>
      </c>
      <c r="Y3766" s="38" t="n">
        <f aca="false">SUM(Sens!$R$3759:$Y$3759)-SUM(Sens!$R$3765:$Y$3765)</f>
        <v>756.90963744369</v>
      </c>
      <c r="Z3766" s="38" t="n">
        <f aca="false">SUM(Sens!$R$3759:$Z$3759)-SUM(Sens!$R$3765:$Z$3765)</f>
        <v>860.10628945915</v>
      </c>
      <c r="AA3766" s="38" t="n">
        <f aca="false">SUM(Sens!$R$3759:$AA$3759)-SUM(Sens!$R$3765:$AA$3765)</f>
        <v>995.283560834616</v>
      </c>
    </row>
    <row r="3767" customFormat="false" ht="17.15" hidden="false" customHeight="false" outlineLevel="0" collapsed="false">
      <c r="A3767" s="1" t="s">
        <v>595</v>
      </c>
    </row>
    <row r="3768" customFormat="false" ht="17.15" hidden="false" customHeight="false" outlineLevel="0" collapsed="false">
      <c r="A3768" s="0" t="s">
        <v>596</v>
      </c>
      <c r="B3768" s="0" t="s">
        <v>73</v>
      </c>
      <c r="C3768" s="38" t="n">
        <f aca="false">Sens!$C$3750-ext_sh*Sens!$C$3752</f>
        <v>1.80694998843362</v>
      </c>
      <c r="D3768" s="38" t="n">
        <f aca="false">Sens!$D$3750-ext_sh*Sens!$D$3752</f>
        <v>6.77606245662607</v>
      </c>
      <c r="E3768" s="38" t="n">
        <f aca="false">Sens!$E$3750-ext_sh*Sens!$E$3752</f>
        <v>6.62548329092326</v>
      </c>
      <c r="F3768" s="38" t="n">
        <f aca="false">Sens!$F$3750-ext_sh*Sens!$F$3752</f>
        <v>11.7200577158706</v>
      </c>
      <c r="G3768" s="38" t="n">
        <f aca="false">Sens!$G$3750-ext_sh*Sens!$G$3752</f>
        <v>18.3455410067939</v>
      </c>
      <c r="H3768" s="38" t="n">
        <f aca="false">Sens!$H$3750-ext_sh*Sens!$H$3752</f>
        <v>47.5171727060453</v>
      </c>
      <c r="I3768" s="38" t="n">
        <f aca="false">Sens!$I$3750-ext_sh*Sens!$I$3752</f>
        <v>80.5539692643667</v>
      </c>
      <c r="J3768" s="38" t="n">
        <f aca="false">Sens!$J$3750-ext_sh*Sens!$J$3752</f>
        <v>113.759316834883</v>
      </c>
      <c r="K3768" s="38" t="n">
        <f aca="false">Sens!$K$3750-ext_sh*Sens!$K$3752</f>
        <v>147.020848076132</v>
      </c>
      <c r="L3768" s="38" t="n">
        <f aca="false">Sens!$L$3750-ext_sh*Sens!$L$3752</f>
        <v>180.307917349531</v>
      </c>
      <c r="M3768" s="38" t="n">
        <f aca="false">Sens!$M$3750-ext_sh*Sens!$M$3752</f>
        <v>213.608737871012</v>
      </c>
      <c r="N3768" s="38" t="n">
        <f aca="false">Sens!$N$3750-ext_sh*Sens!$N$3752</f>
        <v>2.37162185981912</v>
      </c>
      <c r="O3768" s="38" t="n">
        <f aca="false">Sens!$O$3750-ext_sh*Sens!$O$3752</f>
        <v>4.40444059680694</v>
      </c>
    </row>
    <row r="3769" customFormat="false" ht="17.15" hidden="false" customHeight="false" outlineLevel="0" collapsed="false">
      <c r="A3769" s="1" t="s">
        <v>597</v>
      </c>
      <c r="B3769" s="8" t="s">
        <v>73</v>
      </c>
      <c r="C3769" s="38" t="n">
        <f aca="false">Sens!$C$3768-ext_sh*Sens!$C$3765</f>
        <v>1.64417882953695</v>
      </c>
      <c r="D3769" s="38" t="n">
        <f aca="false">Sens!$D$3768-ext_sh*Sens!$D$3765</f>
        <v>3.8781008067718</v>
      </c>
      <c r="E3769" s="38" t="n">
        <f aca="false">Sens!$E$3768-ext_sh*Sens!$E$3765</f>
        <v>1.41270258088753</v>
      </c>
      <c r="F3769" s="38" t="n">
        <f aca="false">Sens!$F$3768-ext_sh*Sens!$F$3765</f>
        <v>6.50727700583486</v>
      </c>
      <c r="G3769" s="38" t="n">
        <f aca="false">Sens!$G$3768-ext_sh*Sens!$G$3765</f>
        <v>7.9199795867224</v>
      </c>
      <c r="H3769" s="38" t="n">
        <f aca="false">Sens!$H$3768-ext_sh*Sens!$H$3765</f>
        <v>19.2818189481807</v>
      </c>
      <c r="I3769" s="38" t="n">
        <f aca="false">Sens!$I$3768-ext_sh*Sens!$I$3765</f>
        <v>30.140114407202</v>
      </c>
      <c r="J3769" s="38" t="n">
        <f aca="false">Sens!$J$3768-ext_sh*Sens!$J$3765</f>
        <v>40.3569468829854</v>
      </c>
      <c r="K3769" s="38" t="n">
        <f aca="false">Sens!$K$3768-ext_sh*Sens!$K$3765</f>
        <v>50.0782975081929</v>
      </c>
      <c r="L3769" s="38" t="n">
        <f aca="false">Sens!$L$3768-ext_sh*Sens!$L$3765</f>
        <v>61.443331993499</v>
      </c>
      <c r="M3769" s="38" t="n">
        <f aca="false">Sens!$M$3768-ext_sh*Sens!$M$3765</f>
        <v>72.2498791587849</v>
      </c>
      <c r="N3769" s="38" t="n">
        <f aca="false">Sens!$N$3768-ext_sh*Sens!$N$3765</f>
        <v>0.92264103489199</v>
      </c>
      <c r="O3769" s="38" t="n">
        <f aca="false">Sens!$O$3768-ext_sh*Sens!$O$3765</f>
        <v>2.95545977187981</v>
      </c>
    </row>
    <row r="3770" customFormat="false" ht="17.15" hidden="false" customHeight="false" outlineLevel="0" collapsed="false">
      <c r="A3770" s="0" t="s">
        <v>598</v>
      </c>
      <c r="B3770" s="0" t="s">
        <v>52</v>
      </c>
      <c r="C3770" s="12" t="n">
        <f aca="false">Sens!$C$3769/Sens!$C$3750</f>
        <v>0.708390794789371</v>
      </c>
      <c r="D3770" s="12" t="n">
        <f aca="false">Sens!$D$3769/Sens!$D$3750</f>
        <v>0.445565630441968</v>
      </c>
      <c r="E3770" s="12" t="n">
        <f aca="false">Sens!$E$3769/Sens!$E$3750</f>
        <v>0.165998118402711</v>
      </c>
      <c r="F3770" s="12" t="n">
        <f aca="false">Sens!$F$3769/Sens!$F$3750</f>
        <v>0.434878595403858</v>
      </c>
      <c r="G3770" s="12" t="n">
        <f aca="false">Sens!$G$3769/Sens!$G$3750</f>
        <v>0.3373967615381</v>
      </c>
      <c r="H3770" s="12" t="n">
        <f aca="false">Sens!$H$3769/Sens!$H$3750</f>
        <v>0.320477578041224</v>
      </c>
      <c r="I3770" s="12" t="n">
        <f aca="false">Sens!$I$3769/Sens!$I$3750</f>
        <v>0.296936118226494</v>
      </c>
      <c r="J3770" s="12" t="n">
        <f aca="false">Sens!$J$3769/Sens!$J$3750</f>
        <v>0.282166278613001</v>
      </c>
      <c r="K3770" s="12" t="n">
        <f aca="false">Sens!$K$3769/Sens!$K$3750</f>
        <v>0.271267685694333</v>
      </c>
      <c r="L3770" s="12" t="n">
        <f aca="false">Sens!$L$3769/Sens!$L$3750</f>
        <v>0.27160960915653</v>
      </c>
      <c r="M3770" s="12" t="n">
        <f aca="false">Sens!$M$3769/Sens!$M$3750</f>
        <v>0.26974494804234</v>
      </c>
      <c r="N3770" s="12" t="n">
        <f aca="false">Sens!$N$3769/Sens!$N$3750</f>
        <v>0.302870734830849</v>
      </c>
      <c r="O3770" s="12" t="n">
        <f aca="false">Sens!$O$3769/Sens!$O$3750</f>
        <v>0.52240134346334</v>
      </c>
    </row>
    <row r="3771" customFormat="false" ht="17.15" hidden="false" customHeight="false" outlineLevel="0" collapsed="false">
      <c r="A3771" s="5" t="s">
        <v>599</v>
      </c>
      <c r="B3771" s="0" t="s">
        <v>73</v>
      </c>
      <c r="C3771" s="38" t="n">
        <f aca="false">rd2*(1-ext_sh)/ext_sh*Sens!$C$3733*he_open*Sens!$C$3734/1000</f>
        <v>0</v>
      </c>
      <c r="D3771" s="38" t="n">
        <f aca="false">rd2*(1-ext_sh)/ext_sh*Sens!$D$3733*he_open*Sens!$D$3734/1000</f>
        <v>0</v>
      </c>
      <c r="E3771" s="38" t="n">
        <f aca="false">rd2*(1-ext_sh)/ext_sh*Sens!$E$3733*he_open*Sens!$E$3734/1000</f>
        <v>0</v>
      </c>
      <c r="F3771" s="38" t="n">
        <f aca="false">rd2*(1-ext_sh)/ext_sh*(mw_open*he_open+Sens!$F$3748*Sens!$F$3745)*Sens!$F$3734/1000</f>
        <v>0</v>
      </c>
      <c r="G3771" s="38" t="n">
        <f aca="false">Sens!$E$3771+Sens!$F$3771</f>
        <v>0</v>
      </c>
      <c r="H3771" s="38" t="n">
        <f aca="false">rd2*(1-ext_sh)/ext_sh*(mw_open*he_open+Sens!$H$3748*Sens!$H$3745)*Sens!$H$3734/1000</f>
        <v>0</v>
      </c>
      <c r="I3771" s="38" t="n">
        <f aca="false">rd2*(1-ext_sh)/ext_sh*(mw_open*he_open+Sens!$I$3748*Sens!$I$3745)*Sens!$I$3734/1000</f>
        <v>0</v>
      </c>
      <c r="J3771" s="38" t="n">
        <f aca="false">rd2*(1-ext_sh)/ext_sh*(mw_open*he_open+Sens!$J$3748*Sens!$J$3745)*Sens!$J$3734/1000</f>
        <v>0</v>
      </c>
      <c r="K3771" s="38" t="n">
        <f aca="false">rd2*(1-ext_sh)/ext_sh*(mw_open*he_open+Sens!$K$3748*Sens!$K$3745)*Sens!$K$3734/1000</f>
        <v>0</v>
      </c>
      <c r="L3771" s="38" t="n">
        <f aca="false">rd2*(1-ext_sh)/ext_sh*(mw_open*he_open+Sens!$L$3748*Sens!$L$3745)*Sens!$L$3734/1000</f>
        <v>0</v>
      </c>
      <c r="M3771" s="38" t="n">
        <f aca="false">rd2*(1-ext_sh)/ext_sh*(mw_open*he_open+Sens!$M$3748*Sens!$M$3745)*Sens!$M$3734/1000</f>
        <v>0</v>
      </c>
      <c r="N3771" s="38" t="n">
        <f aca="false">rd2*(1-ext_sh)/ext_sh*Sens!$N$3733*he_open*Sens!$N$3734/1000</f>
        <v>0</v>
      </c>
      <c r="O3771" s="38" t="n">
        <f aca="false">rd2*(1-ext_sh)/ext_sh*Sens!$O$3733*he_open*Sens!$O$3734/1000</f>
        <v>0</v>
      </c>
      <c r="P3771" s="8" t="s">
        <v>600</v>
      </c>
    </row>
    <row r="3772" customFormat="false" ht="17.15" hidden="false" customHeight="false" outlineLevel="0" collapsed="false">
      <c r="A3772" s="5" t="s">
        <v>601</v>
      </c>
      <c r="B3772" s="0" t="s">
        <v>73</v>
      </c>
      <c r="C3772" s="38" t="n">
        <f aca="false">(1-ext_sh)*(Sens!$C$3752+Sens!$C$3765)-Sens!$C$3771</f>
        <v>0.169206631859174</v>
      </c>
      <c r="D3772" s="38" t="n">
        <f aca="false">(1-ext_sh)*(Sens!$D$3752+Sens!$D$3765)-Sens!$D$3771</f>
        <v>1.20641732046984</v>
      </c>
      <c r="E3772" s="38" t="n">
        <f aca="false">(1-ext_sh)*(Sens!$E$3752+Sens!$E$3765)-Sens!$E$3771</f>
        <v>1.77441259867062</v>
      </c>
      <c r="F3772" s="38" t="n">
        <f aca="false">(1-ext_sh)*(Sens!$F$3752+Sens!$F$3765)-Sens!$F$3771</f>
        <v>2.1140391597214</v>
      </c>
      <c r="G3772" s="38" t="n">
        <f aca="false">(1-ext_sh)*(Sens!$G$3752+Sens!$G$3765)-Sens!$G$3771</f>
        <v>3.88845175839202</v>
      </c>
      <c r="H3772" s="38" t="n">
        <f aca="false">(1-ext_sh)*(Sens!$H$3752+Sens!$H$3765)-Sens!$H$3771</f>
        <v>10.2210179503985</v>
      </c>
      <c r="I3772" s="38" t="n">
        <f aca="false">(1-ext_sh)*(Sens!$I$3752+Sens!$I$3765)-Sens!$I$3771</f>
        <v>17.8408961823075</v>
      </c>
      <c r="J3772" s="38" t="n">
        <f aca="false">(1-ext_sh)*(Sens!$J$3752+Sens!$J$3765)-Sens!$J$3771</f>
        <v>25.6671150670732</v>
      </c>
      <c r="K3772" s="38" t="n">
        <f aca="false">(1-ext_sh)*(Sens!$K$3752+Sens!$K$3765)-Sens!$K$3771</f>
        <v>33.6325293834986</v>
      </c>
      <c r="L3772" s="38" t="n">
        <f aca="false">(1-ext_sh)*(Sens!$L$3752+Sens!$L$3765)-Sens!$L$3771</f>
        <v>41.1939886299065</v>
      </c>
      <c r="M3772" s="38" t="n">
        <f aca="false">(1-ext_sh)*(Sens!$M$3752+Sens!$M$3765)-Sens!$M$3771</f>
        <v>48.8988205728617</v>
      </c>
      <c r="N3772" s="38" t="n">
        <f aca="false">(1-ext_sh)*(Sens!$N$3752+Sens!$N$3765)-Sens!$N$3771</f>
        <v>0.530919624033979</v>
      </c>
      <c r="O3772" s="38" t="n">
        <f aca="false">(1-ext_sh)*(Sens!$O$3752+Sens!$O$3765)-Sens!$O$3771</f>
        <v>0.675497696435861</v>
      </c>
    </row>
    <row r="3773" customFormat="false" ht="17.15" hidden="false" customHeight="false" outlineLevel="0" collapsed="false">
      <c r="A3773" s="0" t="s">
        <v>602</v>
      </c>
      <c r="B3773" s="0" t="s">
        <v>73</v>
      </c>
      <c r="C3773" s="38" t="n">
        <f aca="false">Q!$D$24</f>
        <v>39.834</v>
      </c>
      <c r="D3773" s="38" t="n">
        <f aca="false">Q!$E$24</f>
        <v>45.606</v>
      </c>
      <c r="E3773" s="38" t="n">
        <f aca="false">Q!$P$24</f>
        <v>30.782</v>
      </c>
      <c r="N3773" s="38" t="n">
        <f aca="false">Q!$N$24</f>
        <v>21.707</v>
      </c>
      <c r="O3773" s="38" t="n">
        <f aca="false">Q!$O$24</f>
        <v>23.899</v>
      </c>
    </row>
    <row r="3774" customFormat="false" ht="17.15" hidden="false" customHeight="false" outlineLevel="0" collapsed="false">
      <c r="A3774" s="0" t="s">
        <v>603</v>
      </c>
      <c r="B3774" s="0" t="s">
        <v>73</v>
      </c>
      <c r="C3774" s="38" t="n">
        <f aca="false">Sens!$C$3773-Sens!$C$3769</f>
        <v>38.1898211704631</v>
      </c>
      <c r="D3774" s="38" t="n">
        <f aca="false">Sens!$D$3773-Sens!$D$3769</f>
        <v>41.7278991932282</v>
      </c>
      <c r="E3774" s="38" t="n">
        <f aca="false">Sens!$E$3773-Sens!$E$3769</f>
        <v>29.3692974191125</v>
      </c>
      <c r="F3774" s="38" t="n">
        <f aca="false">Sens!$F$3754*Sens!$F$3775</f>
        <v>29.458060516894</v>
      </c>
      <c r="G3774" s="38" t="n">
        <f aca="false">Sens!$E$3774+Sens!$F$3774</f>
        <v>58.8273579360065</v>
      </c>
      <c r="H3774" s="38" t="n">
        <f aca="false">Sens!$H$3754*Sens!$H$3775</f>
        <v>67.8004040185081</v>
      </c>
      <c r="I3774" s="38" t="n">
        <f aca="false">Sens!$I$3754*Sens!$I$3775</f>
        <v>78.9527630302702</v>
      </c>
      <c r="J3774" s="38" t="n">
        <f aca="false">Sens!$J$3754*Sens!$J$3775</f>
        <v>88.6042681781841</v>
      </c>
      <c r="K3774" s="38" t="n">
        <f aca="false">Sens!$K$3754*Sens!$K$3775</f>
        <v>95.6926096324389</v>
      </c>
      <c r="L3774" s="38" t="n">
        <f aca="false">Sens!$L$3754*Sens!$L$3775</f>
        <v>103.348018403034</v>
      </c>
      <c r="M3774" s="38" t="n">
        <f aca="false">Sens!$M$3754*Sens!$M$3775</f>
        <v>111.615859875277</v>
      </c>
      <c r="N3774" s="38" t="n">
        <f aca="false">Sens!$N$3773-Sens!$N$3769</f>
        <v>20.784358965108</v>
      </c>
      <c r="O3774" s="38" t="n">
        <f aca="false">Sens!$O$3773-Sens!$O$3769</f>
        <v>20.9435402281202</v>
      </c>
      <c r="P3774" s="5" t="s">
        <v>604</v>
      </c>
    </row>
    <row r="3775" customFormat="false" ht="17.15" hidden="false" customHeight="false" outlineLevel="0" collapsed="false">
      <c r="A3775" s="0" t="s">
        <v>605</v>
      </c>
      <c r="B3775" s="0" t="s">
        <v>52</v>
      </c>
      <c r="C3775" s="12" t="n">
        <f aca="false">Sens!$C$3774/Sens!$C$3754</f>
        <v>0.362900395443635</v>
      </c>
      <c r="D3775" s="12" t="n">
        <f aca="false">Sens!$D$3774/Sens!$D$3754</f>
        <v>0.34767098474203</v>
      </c>
      <c r="E3775" s="12" t="n">
        <f aca="false">Sens!$E$3774/Sens!$E$3754</f>
        <v>0.411861655558416</v>
      </c>
      <c r="F3775" s="12" t="n">
        <f aca="false">(Sens!$O$3774+Sens!$E$3774)/(Sens!$O$3754+Sens!$E$3754)</f>
        <v>0.37480827803158</v>
      </c>
      <c r="G3775" s="12" t="n">
        <f aca="false">Sens!$G$3774/Sens!$G$3754</f>
        <v>0.392434440489471</v>
      </c>
      <c r="H3775" s="12" t="n">
        <f aca="false">Sens!$F$3775</f>
        <v>0.37480827803158</v>
      </c>
      <c r="I3775" s="12" t="n">
        <f aca="false">Sens!$F$3775</f>
        <v>0.37480827803158</v>
      </c>
      <c r="J3775" s="12" t="n">
        <f aca="false">Sens!$F$3775</f>
        <v>0.37480827803158</v>
      </c>
      <c r="K3775" s="12" t="n">
        <f aca="false">Sens!$F$3775</f>
        <v>0.37480827803158</v>
      </c>
      <c r="L3775" s="12" t="n">
        <f aca="false">Sens!$F$3775</f>
        <v>0.37480827803158</v>
      </c>
      <c r="M3775" s="12" t="n">
        <f aca="false">Sens!$F$3775</f>
        <v>0.37480827803158</v>
      </c>
      <c r="N3775" s="12" t="n">
        <f aca="false">Sens!$N$3774/Sens!$N$3754</f>
        <v>0.364039571356823</v>
      </c>
      <c r="O3775" s="12" t="n">
        <f aca="false">Sens!$O$3774/Sens!$O$3754</f>
        <v>0.332819892300086</v>
      </c>
      <c r="P3775" s="8" t="s">
        <v>606</v>
      </c>
    </row>
    <row r="3776" customFormat="false" ht="17.15" hidden="false" customHeight="false" outlineLevel="0" collapsed="false">
      <c r="A3776" s="0" t="s">
        <v>607</v>
      </c>
      <c r="B3776" s="0" t="s">
        <v>52</v>
      </c>
      <c r="D3776" s="12" t="n">
        <f aca="false">(Q!$E$31-ext_sh*Sens!$D$3765)/Sens!$D$3754</f>
        <v>0.154572973163571</v>
      </c>
    </row>
    <row r="3777" customFormat="false" ht="17.15" hidden="false" customHeight="false" outlineLevel="0" collapsed="false">
      <c r="A3777" s="0" t="s">
        <v>608</v>
      </c>
      <c r="B3777" s="0" t="s">
        <v>73</v>
      </c>
      <c r="C3777" s="38" t="n">
        <f aca="false">Q!$D$31</f>
        <v>13.32</v>
      </c>
      <c r="D3777" s="38" t="n">
        <f aca="false">Q!$E$31</f>
        <v>21.45</v>
      </c>
      <c r="E3777" s="38" t="n">
        <f aca="false">Q!$P$31</f>
        <v>15.353</v>
      </c>
      <c r="F3777" s="38" t="n">
        <f aca="false">ext_sh*Sens!$F$3765+Sens!$D$3776*Sens!$F$3754</f>
        <v>17.3614451462707</v>
      </c>
      <c r="G3777" s="38" t="n">
        <f aca="false">Sens!$E$3777+Sens!$F$3777</f>
        <v>32.7144451462707</v>
      </c>
      <c r="H3777" s="38" t="n">
        <f aca="false">ext_sh*Sens!$H$3765+Sens!$D$3776*Sens!$H$3754</f>
        <v>56.1966092719415</v>
      </c>
      <c r="I3777" s="38" t="n">
        <f aca="false">ext_sh*Sens!$I$3765+Sens!$D$3776*Sens!$I$3754</f>
        <v>82.9744039068297</v>
      </c>
      <c r="J3777" s="38" t="n">
        <f aca="false">ext_sh*Sens!$J$3765+Sens!$D$3776*Sens!$J$3754</f>
        <v>109.943252237669</v>
      </c>
      <c r="K3777" s="38" t="n">
        <f aca="false">ext_sh*Sens!$K$3765+Sens!$D$3776*Sens!$K$3754</f>
        <v>136.406703436571</v>
      </c>
      <c r="L3777" s="38" t="n">
        <f aca="false">ext_sh*Sens!$L$3765+Sens!$D$3776*Sens!$L$3754</f>
        <v>161.485870454155</v>
      </c>
      <c r="M3777" s="38" t="n">
        <f aca="false">ext_sh*Sens!$M$3765+Sens!$D$3776*Sens!$M$3754</f>
        <v>187.389846618199</v>
      </c>
      <c r="N3777" s="38" t="n">
        <f aca="false">Q!$N$31</f>
        <v>9.234</v>
      </c>
      <c r="O3777" s="38" t="n">
        <f aca="false">Q!$O$31</f>
        <v>12.216</v>
      </c>
    </row>
    <row r="3778" customFormat="false" ht="17.15" hidden="false" customHeight="false" outlineLevel="0" collapsed="false">
      <c r="A3778" s="1" t="s">
        <v>609</v>
      </c>
    </row>
    <row r="3779" customFormat="false" ht="17.15" hidden="false" customHeight="false" outlineLevel="0" collapsed="false">
      <c r="A3779" s="14" t="s">
        <v>610</v>
      </c>
      <c r="B3779" s="13" t="s">
        <v>52</v>
      </c>
      <c r="C3779" s="13"/>
      <c r="D3779" s="13"/>
      <c r="E3779" s="13"/>
      <c r="F3779" s="13"/>
      <c r="G3779" s="16" t="n">
        <f aca="false">Sens!$G$3769*(1-tax)/(ext_sh*(Sens!$D$3766+Sens!$G$3766)/2)</f>
        <v>0.0492184452944045</v>
      </c>
      <c r="H3779" s="16" t="n">
        <f aca="false">Sens!$H$3769*(1-tax)/(ext_sh*(Sens!$G$3766+Sens!$H$3766)/2)</f>
        <v>0.0619414246858107</v>
      </c>
      <c r="I3779" s="16" t="n">
        <f aca="false">Sens!$I$3769*(1-tax)/(ext_sh*(Sens!$H$3766+Sens!$I$3766)/2)</f>
        <v>0.0656831488051666</v>
      </c>
      <c r="J3779" s="16" t="n">
        <f aca="false">Sens!$J$3769*(1-tax)/(ext_sh*(Sens!$I$3766+Sens!$J$3766)/2)</f>
        <v>0.0690334849962116</v>
      </c>
      <c r="K3779" s="16" t="n">
        <f aca="false">Sens!$K$3769*(1-tax)/(ext_sh*(Sens!$J$3766+Sens!$K$3766)/2)</f>
        <v>0.0728680488295485</v>
      </c>
      <c r="L3779" s="16" t="n">
        <f aca="false">Sens!$L$3769*(1-tax)/(ext_sh*(Sens!$K$3766+Sens!$L$3766)/2)</f>
        <v>0.0785052878122331</v>
      </c>
      <c r="M3779" s="16" t="n">
        <f aca="false">Sens!$M$3769*(1-tax)/(ext_sh*(Sens!$L$3766+Sens!$M$3766)/2)</f>
        <v>0.0804526580722741</v>
      </c>
      <c r="N3779" s="13"/>
      <c r="O3779" s="13"/>
      <c r="P3779" s="8" t="s">
        <v>611</v>
      </c>
    </row>
    <row r="3780" customFormat="false" ht="17.15" hidden="false" customHeight="false" outlineLevel="0" collapsed="false">
      <c r="A3780" s="5" t="s">
        <v>612</v>
      </c>
      <c r="B3780" s="0" t="s">
        <v>57</v>
      </c>
      <c r="H3780" s="36" t="n">
        <f aca="false">Sens!$H$3750*1000/(mw_open*he_open+Sens!$H$3748*Sens!$H$3745)</f>
        <v>0.991949006767191</v>
      </c>
      <c r="I3780" s="36" t="n">
        <f aca="false">Sens!$I$3750*1000/(mw_open*he_open+Sens!$I$3748*Sens!$I$3745)</f>
        <v>0.991949006767191</v>
      </c>
      <c r="J3780" s="36" t="n">
        <f aca="false">Sens!$J$3750*1000/(mw_open*he_open+Sens!$J$3748*Sens!$J$3745)</f>
        <v>0.991949006767191</v>
      </c>
      <c r="K3780" s="36" t="n">
        <f aca="false">Sens!$K$3750*1000/(mw_open*he_open+Sens!$K$3748*Sens!$K$3745)</f>
        <v>0.991949006767191</v>
      </c>
      <c r="L3780" s="36" t="n">
        <f aca="false">Sens!$L$3750*1000/(mw_open*he_open+Sens!$L$3748*Sens!$L$3745)</f>
        <v>0.991949006767191</v>
      </c>
      <c r="M3780" s="36" t="n">
        <f aca="false">Sens!$M$3750*1000/(mw_open*he_open+Sens!$M$3748*Sens!$M$3745)</f>
        <v>0.991949006767192</v>
      </c>
    </row>
    <row r="3781" customFormat="false" ht="17.15" hidden="false" customHeight="false" outlineLevel="0" collapsed="false">
      <c r="A3781" s="5" t="s">
        <v>613</v>
      </c>
      <c r="B3781" s="0" t="s">
        <v>57</v>
      </c>
      <c r="H3781" s="36" t="n">
        <f aca="false">Sens!$H$3780*(Sens!$H$3750+wacc*ext_sh*(Sens!$G$3766+Sens!$H$3766)/2/(1-tax)-Sens!$H$3769)/Sens!$H$3750</f>
        <v>1.3149781212103</v>
      </c>
      <c r="I3781" s="36" t="n">
        <f aca="false">Sens!$I$3780*(Sens!$I$3750+wacc*ext_sh*(Sens!$H$3766+Sens!$I$3766)/2/(1-tax)-Sens!$I$3769)/Sens!$I$3750</f>
        <v>1.25742005569107</v>
      </c>
      <c r="J3781" s="36" t="n">
        <f aca="false">Sens!$J$3780*(Sens!$J$3750+wacc*ext_sh*(Sens!$I$3766+Sens!$J$3766)/2/(1-tax)-Sens!$J$3769)/Sens!$J$3750</f>
        <v>1.21838845868559</v>
      </c>
      <c r="K3781" s="36" t="n">
        <f aca="false">Sens!$K$3780*(Sens!$K$3750+wacc*ext_sh*(Sens!$J$3766+Sens!$K$3766)/2/(1-tax)-Sens!$K$3769)/Sens!$K$3750</f>
        <v>1.18402644209548</v>
      </c>
      <c r="L3781" s="36" t="n">
        <f aca="false">Sens!$L$3780*(Sens!$L$3750+wacc*ext_sh*(Sens!$K$3766+Sens!$L$3766)/2/(1-tax)-Sens!$L$3769)/Sens!$L$3750</f>
        <v>1.15111215322059</v>
      </c>
      <c r="M3781" s="36" t="n">
        <f aca="false">Sens!$M$3780*(Sens!$M$3750+wacc*ext_sh*(Sens!$L$3766+Sens!$M$3766)/2/(1-tax)-Sens!$M$3769)/Sens!$M$3750</f>
        <v>1.1397166845677</v>
      </c>
    </row>
    <row r="3782" customFormat="false" ht="17.15" hidden="false" customHeight="false" outlineLevel="0" collapsed="false">
      <c r="A3782" s="5" t="s">
        <v>614</v>
      </c>
      <c r="B3782" s="0" t="s">
        <v>52</v>
      </c>
      <c r="C3782" s="12" t="n">
        <f aca="false">Sens!$C$3751/tk_pq</f>
        <v>0.195316432429398</v>
      </c>
      <c r="D3782" s="12" t="n">
        <f aca="false">Sens!$D$3751/tk_pq</f>
        <v>0.195316432429398</v>
      </c>
      <c r="E3782" s="12" t="n">
        <f aca="false">Sens!$E$3751/tk_pq</f>
        <v>0.195316432429398</v>
      </c>
      <c r="F3782" s="12" t="n">
        <f aca="false">Sens!$F$3751/tk_pq</f>
        <v>0.202241827274866</v>
      </c>
      <c r="G3782" s="12" t="n">
        <f aca="false">Sens!$G$3751/tk_pq</f>
        <v>0.199675016194063</v>
      </c>
      <c r="H3782" s="12" t="n">
        <f aca="false">Sens!$H$3751/tk_pq</f>
        <v>0.212647947710325</v>
      </c>
      <c r="I3782" s="12" t="n">
        <f aca="false">Sens!$I$3751/tk_pq</f>
        <v>0.219285125475351</v>
      </c>
      <c r="J3782" s="12" t="n">
        <f aca="false">Sens!$J$3751/tk_pq</f>
        <v>0.222492493217189</v>
      </c>
      <c r="K3782" s="12" t="n">
        <f aca="false">Sens!$K$3751/tk_pq</f>
        <v>0.224371415939166</v>
      </c>
      <c r="L3782" s="12" t="n">
        <f aca="false">Sens!$L$3751/tk_pq</f>
        <v>0.225603749825993</v>
      </c>
      <c r="M3782" s="12" t="n">
        <f aca="false">Sens!$M$3751/tk_pq</f>
        <v>0.22647376274628</v>
      </c>
      <c r="N3782" s="12" t="n">
        <f aca="false">Sens!$N$3751/tk_pq</f>
        <v>0.195316432429398</v>
      </c>
      <c r="O3782" s="12" t="n">
        <f aca="false">Sens!$O$3751/tk_pq</f>
        <v>0.195316432429398</v>
      </c>
      <c r="P3782" s="5" t="s">
        <v>615</v>
      </c>
    </row>
    <row r="3785" customFormat="false" ht="17.15" hidden="false" customHeight="false" outlineLevel="0" collapsed="false">
      <c r="A3785" s="1" t="s">
        <v>642</v>
      </c>
    </row>
    <row r="3786" customFormat="false" ht="17.15" hidden="false" customHeight="false" outlineLevel="0" collapsed="false">
      <c r="A3786" s="0" t="s">
        <v>643</v>
      </c>
      <c r="B3786" s="0" t="s">
        <v>73</v>
      </c>
      <c r="C3786" s="38" t="n">
        <f aca="false">Sens!$C$3750</f>
        <v>2.32100535697364</v>
      </c>
      <c r="D3786" s="38" t="n">
        <f aca="false">Sens!$D$3750</f>
        <v>8.70377008865116</v>
      </c>
      <c r="E3786" s="38" t="n">
        <f aca="false">Sens!$E$3750</f>
        <v>8.51035297557002</v>
      </c>
      <c r="F3786" s="38" t="n">
        <f aca="false">Sens!$F$3750</f>
        <v>14.9634336447205</v>
      </c>
      <c r="G3786" s="38" t="n">
        <f aca="false">Sens!$G$3750</f>
        <v>23.4737866202905</v>
      </c>
      <c r="H3786" s="38" t="n">
        <f aca="false">Sens!$H$3750</f>
        <v>60.1658907497746</v>
      </c>
      <c r="I3786" s="38" t="n">
        <f aca="false">Sens!$I$3750</f>
        <v>101.503699136432</v>
      </c>
      <c r="J3786" s="38" t="n">
        <f aca="false">Sens!$J$3750</f>
        <v>143.025407151278</v>
      </c>
      <c r="K3786" s="38" t="n">
        <f aca="false">Sens!$K$3750</f>
        <v>184.608415042187</v>
      </c>
      <c r="L3786" s="38" t="n">
        <f aca="false">Sens!$L$3750</f>
        <v>226.219286513125</v>
      </c>
      <c r="M3786" s="38" t="n">
        <f aca="false">Sens!$M$3750</f>
        <v>267.845161450232</v>
      </c>
      <c r="N3786" s="38" t="n">
        <f aca="false">Sens!$N$3750</f>
        <v>3.04631953102791</v>
      </c>
      <c r="O3786" s="38" t="n">
        <f aca="false">Sens!$O$3750</f>
        <v>5.65745055762326</v>
      </c>
      <c r="P3786" s="8" t="s">
        <v>644</v>
      </c>
    </row>
    <row r="3787" customFormat="false" ht="17.15" hidden="false" customHeight="false" outlineLevel="0" collapsed="false">
      <c r="A3787" s="0" t="s">
        <v>645</v>
      </c>
      <c r="B3787" s="0" t="s">
        <v>73</v>
      </c>
      <c r="C3787" s="38" t="n">
        <f aca="false">Sens!$C$3754</f>
        <v>105.234994643026</v>
      </c>
      <c r="D3787" s="38" t="n">
        <f aca="false">Sens!$D$3754</f>
        <v>120.021229911349</v>
      </c>
      <c r="E3787" s="38" t="n">
        <f aca="false">Sens!$E$3754</f>
        <v>71.30864702443</v>
      </c>
      <c r="F3787" s="38" t="n">
        <f aca="false">Sens!$F$3754</f>
        <v>78.5950104186653</v>
      </c>
      <c r="G3787" s="38" t="n">
        <f aca="false">Sens!$G$3754</f>
        <v>149.903657443095</v>
      </c>
      <c r="H3787" s="38" t="n">
        <f aca="false">Sens!$H$3754</f>
        <v>180.893560768142</v>
      </c>
      <c r="I3787" s="38" t="n">
        <f aca="false">Sens!$I$3754</f>
        <v>210.64839721501</v>
      </c>
      <c r="J3787" s="38" t="n">
        <f aca="false">Sens!$J$3754</f>
        <v>236.398909446495</v>
      </c>
      <c r="K3787" s="38" t="n">
        <f aca="false">Sens!$K$3754</f>
        <v>255.310822202215</v>
      </c>
      <c r="L3787" s="38" t="n">
        <f aca="false">Sens!$L$3754</f>
        <v>275.735687978392</v>
      </c>
      <c r="M3787" s="38" t="n">
        <f aca="false">Sens!$M$3754</f>
        <v>297.794543016663</v>
      </c>
      <c r="N3787" s="38" t="n">
        <f aca="false">Sens!$N$3754</f>
        <v>57.0936804689721</v>
      </c>
      <c r="O3787" s="38" t="n">
        <f aca="false">Sens!$O$3754</f>
        <v>62.9275494423768</v>
      </c>
      <c r="P3787" s="8" t="s">
        <v>644</v>
      </c>
    </row>
    <row r="3788" customFormat="false" ht="17.15" hidden="false" customHeight="false" outlineLevel="0" collapsed="false">
      <c r="A3788" s="1" t="s">
        <v>476</v>
      </c>
      <c r="B3788" s="8" t="s">
        <v>73</v>
      </c>
      <c r="C3788" s="38" t="n">
        <f aca="false">Q!$D$7</f>
        <v>107.556</v>
      </c>
      <c r="D3788" s="38" t="n">
        <f aca="false">Q!$E$7</f>
        <v>128.725</v>
      </c>
      <c r="E3788" s="38" t="n">
        <f aca="false">Q!$P$7</f>
        <v>79.819</v>
      </c>
      <c r="F3788" s="38" t="n">
        <f aca="false">Sens!$F$3786+Sens!$F$3787</f>
        <v>93.5584440633857</v>
      </c>
      <c r="G3788" s="38" t="n">
        <f aca="false">Sens!$G$3786+Sens!$G$3787</f>
        <v>173.377444063386</v>
      </c>
      <c r="H3788" s="38" t="n">
        <f aca="false">Sens!$H$3786+Sens!$H$3787</f>
        <v>241.059451517916</v>
      </c>
      <c r="I3788" s="38" t="n">
        <f aca="false">Sens!$I$3786+Sens!$I$3787</f>
        <v>312.152096351442</v>
      </c>
      <c r="J3788" s="38" t="n">
        <f aca="false">Sens!$J$3786+Sens!$J$3787</f>
        <v>379.424316597773</v>
      </c>
      <c r="K3788" s="38" t="n">
        <f aca="false">Sens!$K$3786+Sens!$K$3787</f>
        <v>439.919237244402</v>
      </c>
      <c r="L3788" s="38" t="n">
        <f aca="false">Sens!$L$3786+Sens!$L$3787</f>
        <v>501.954974491517</v>
      </c>
      <c r="M3788" s="38" t="n">
        <f aca="false">Sens!$M$3786+Sens!$M$3787</f>
        <v>565.639704466895</v>
      </c>
      <c r="N3788" s="38" t="n">
        <f aca="false">Q!$N$7</f>
        <v>60.14</v>
      </c>
      <c r="O3788" s="38" t="n">
        <f aca="false">Q!$O$7</f>
        <v>68.585</v>
      </c>
      <c r="P3788" s="5" t="s">
        <v>646</v>
      </c>
    </row>
    <row r="3789" customFormat="false" ht="15" hidden="false" customHeight="false" outlineLevel="0" collapsed="false">
      <c r="A3789" s="3" t="s">
        <v>647</v>
      </c>
      <c r="B3789" s="8" t="s">
        <v>73</v>
      </c>
      <c r="C3789" s="38" t="n">
        <f aca="false">Q!$D$8</f>
        <v>637.959</v>
      </c>
      <c r="D3789" s="38" t="n">
        <f aca="false">Q!$E$8</f>
        <v>716.924</v>
      </c>
      <c r="E3789" s="38" t="n">
        <f aca="false">Q!$P$8</f>
        <v>382.125</v>
      </c>
      <c r="F3789" s="38" t="n">
        <f aca="false">Sens!$F$3723+Sens!$F$3788</f>
        <v>450.494873271816</v>
      </c>
      <c r="G3789" s="38" t="n">
        <f aca="false">Sens!$G$3723+Sens!$G$3788</f>
        <v>832.619873271816</v>
      </c>
      <c r="H3789" s="38" t="n">
        <f aca="false">Sens!$H$3723+Sens!$H$3788</f>
        <v>971.634229175987</v>
      </c>
      <c r="I3789" s="38" t="n">
        <f aca="false">Sens!$I$3723+Sens!$I$3788</f>
        <v>1112.73743356704</v>
      </c>
      <c r="J3789" s="38" t="n">
        <f aca="false">Sens!$J$3723+Sens!$J$3788</f>
        <v>1246.49419551652</v>
      </c>
      <c r="K3789" s="38" t="n">
        <f aca="false">Sens!$K$3723+Sens!$K$3788</f>
        <v>1367.56265566784</v>
      </c>
      <c r="L3789" s="38" t="n">
        <f aca="false">Sens!$L$3723+Sens!$L$3788</f>
        <v>1495.1026905866</v>
      </c>
      <c r="M3789" s="38" t="n">
        <f aca="false">Sens!$M$3723+Sens!$M$3788</f>
        <v>1629.69057335754</v>
      </c>
      <c r="N3789" s="38" t="n">
        <f aca="false">Q!$N$8</f>
        <v>323.369</v>
      </c>
      <c r="O3789" s="38" t="n">
        <f aca="false">Q!$O$8</f>
        <v>393.555</v>
      </c>
    </row>
    <row r="3790" customFormat="false" ht="17.15" hidden="false" customHeight="false" outlineLevel="0" collapsed="false">
      <c r="A3790" s="24" t="s">
        <v>655</v>
      </c>
      <c r="B3790" s="25" t="s">
        <v>73</v>
      </c>
      <c r="C3790" s="39" t="n">
        <f aca="false">Sens!$C$3723-(Sens!$C$3725+Sens!$C$3726)</f>
        <v>0</v>
      </c>
      <c r="D3790" s="39" t="n">
        <f aca="false">Sens!$D$3723-(Sens!$D$3725+Sens!$D$3726)</f>
        <v>0</v>
      </c>
      <c r="E3790" s="39" t="n">
        <f aca="false">Sens!$E$3723-(Sens!$E$3725+Sens!$E$3726)</f>
        <v>0</v>
      </c>
      <c r="F3790" s="39" t="n">
        <f aca="false">Sens!$F$3723-(Sens!$F$3725+Sens!$F$3726)</f>
        <v>0</v>
      </c>
      <c r="G3790" s="39" t="n">
        <f aca="false">Sens!$G$3723-(Sens!$G$3725+Sens!$G$3726)</f>
        <v>0</v>
      </c>
      <c r="H3790" s="39" t="n">
        <f aca="false">Sens!$H$3723-(Sens!$H$3725+Sens!$H$3726)</f>
        <v>0</v>
      </c>
      <c r="I3790" s="39" t="n">
        <f aca="false">Sens!$I$3723-(Sens!$I$3725+Sens!$I$3726)</f>
        <v>0</v>
      </c>
      <c r="J3790" s="39" t="n">
        <f aca="false">Sens!$J$3723-(Sens!$J$3725+Sens!$J$3726)</f>
        <v>0</v>
      </c>
      <c r="K3790" s="39" t="n">
        <f aca="false">Sens!$K$3723-(Sens!$K$3725+Sens!$K$3726)</f>
        <v>0</v>
      </c>
      <c r="L3790" s="39" t="n">
        <f aca="false">Sens!$L$3723-(Sens!$L$3725+Sens!$L$3726)</f>
        <v>0</v>
      </c>
      <c r="M3790" s="39" t="n">
        <f aca="false">Sens!$M$3723-(Sens!$M$3725+Sens!$M$3726)</f>
        <v>0</v>
      </c>
      <c r="N3790" s="39" t="n">
        <f aca="false">Sens!$N$3723-(Sens!$N$3725+Sens!$N$3726)</f>
        <v>0</v>
      </c>
      <c r="O3790" s="39" t="n">
        <f aca="false">Sens!$O$3723-(Sens!$O$3725+Sens!$O$3726)</f>
        <v>0</v>
      </c>
    </row>
    <row r="3791" customFormat="false" ht="17.15" hidden="false" customHeight="false" outlineLevel="0" collapsed="false">
      <c r="A3791" s="24" t="s">
        <v>656</v>
      </c>
      <c r="B3791" s="25" t="s">
        <v>73</v>
      </c>
      <c r="C3791" s="39" t="n">
        <f aca="false">Sens!$C$3786+Sens!$C$3787-Sens!$C$3788</f>
        <v>0</v>
      </c>
      <c r="D3791" s="39" t="n">
        <f aca="false">Sens!$D$3786+Sens!$D$3787-Sens!$D$3788</f>
        <v>0</v>
      </c>
      <c r="E3791" s="39" t="n">
        <f aca="false">Sens!$E$3786+Sens!$E$3787-Sens!$E$3788</f>
        <v>0</v>
      </c>
      <c r="F3791" s="39" t="n">
        <f aca="false">Sens!$F$3786+Sens!$F$3787-Sens!$F$3788</f>
        <v>0</v>
      </c>
      <c r="G3791" s="39" t="n">
        <f aca="false">Sens!$G$3786+Sens!$G$3787-Sens!$G$3788</f>
        <v>0</v>
      </c>
      <c r="H3791" s="39" t="n">
        <f aca="false">Sens!$H$3786+Sens!$H$3787-Sens!$H$3788</f>
        <v>0</v>
      </c>
      <c r="I3791" s="39" t="n">
        <f aca="false">Sens!$I$3786+Sens!$I$3787-Sens!$I$3788</f>
        <v>0</v>
      </c>
      <c r="J3791" s="39" t="n">
        <f aca="false">Sens!$J$3786+Sens!$J$3787-Sens!$J$3788</f>
        <v>0</v>
      </c>
      <c r="K3791" s="39" t="n">
        <f aca="false">Sens!$K$3786+Sens!$K$3787-Sens!$K$3788</f>
        <v>0</v>
      </c>
      <c r="L3791" s="39" t="n">
        <f aca="false">Sens!$L$3786+Sens!$L$3787-Sens!$L$3788</f>
        <v>0</v>
      </c>
      <c r="M3791" s="39" t="n">
        <f aca="false">Sens!$M$3786+Sens!$M$3787-Sens!$M$3788</f>
        <v>0</v>
      </c>
      <c r="N3791" s="39" t="n">
        <f aca="false">Sens!$N$3786+Sens!$N$3787-Sens!$N$3788</f>
        <v>0</v>
      </c>
      <c r="O3791" s="39" t="n">
        <f aca="false">Sens!$O$3786+Sens!$O$3787-Sens!$O$3788</f>
        <v>0</v>
      </c>
    </row>
    <row r="3792" customFormat="false" ht="17.15" hidden="false" customHeight="false" outlineLevel="0" collapsed="false">
      <c r="A3792" s="24" t="s">
        <v>657</v>
      </c>
      <c r="B3792" s="25" t="s">
        <v>73</v>
      </c>
      <c r="C3792" s="39" t="n">
        <f aca="false">Sens!$C$3725+Sens!$C$3726+Sens!$C$3788-Sens!$C$3789</f>
        <v>0</v>
      </c>
      <c r="D3792" s="39" t="n">
        <f aca="false">Sens!$D$3725+Sens!$D$3726+Sens!$D$3788-Sens!$D$3789</f>
        <v>0</v>
      </c>
      <c r="E3792" s="39" t="n">
        <f aca="false">Sens!$E$3725+Sens!$E$3726+Sens!$E$3788-Sens!$E$3789</f>
        <v>0</v>
      </c>
      <c r="F3792" s="39" t="n">
        <f aca="false">Sens!$F$3725+Sens!$F$3726+Sens!$F$3788-Sens!$F$3789</f>
        <v>0</v>
      </c>
      <c r="G3792" s="39" t="n">
        <f aca="false">Sens!$G$3725+Sens!$G$3726+Sens!$G$3788-Sens!$G$3789</f>
        <v>0</v>
      </c>
      <c r="H3792" s="39" t="n">
        <f aca="false">Sens!$H$3725+Sens!$H$3726+Sens!$H$3788-Sens!$H$3789</f>
        <v>0</v>
      </c>
      <c r="I3792" s="39" t="n">
        <f aca="false">Sens!$I$3725+Sens!$I$3726+Sens!$I$3788-Sens!$I$3789</f>
        <v>0</v>
      </c>
      <c r="J3792" s="39" t="n">
        <f aca="false">Sens!$J$3725+Sens!$J$3726+Sens!$J$3788-Sens!$J$3789</f>
        <v>0</v>
      </c>
      <c r="K3792" s="39" t="n">
        <f aca="false">Sens!$K$3725+Sens!$K$3726+Sens!$K$3788-Sens!$K$3789</f>
        <v>0</v>
      </c>
      <c r="L3792" s="39" t="n">
        <f aca="false">Sens!$L$3725+Sens!$L$3726+Sens!$L$3788-Sens!$L$3789</f>
        <v>0</v>
      </c>
      <c r="M3792" s="39" t="n">
        <f aca="false">Sens!$M$3725+Sens!$M$3726+Sens!$M$3788-Sens!$M$3789</f>
        <v>0</v>
      </c>
      <c r="N3792" s="39" t="n">
        <f aca="false">Sens!$N$3725+Sens!$N$3726+Sens!$N$3788-Sens!$N$3789</f>
        <v>0</v>
      </c>
      <c r="O3792" s="39" t="n">
        <f aca="false">Sens!$O$3725+Sens!$O$3726+Sens!$O$3788-Sens!$O$3789</f>
        <v>0</v>
      </c>
    </row>
    <row r="3793" customFormat="false" ht="15" hidden="false" customHeight="false" outlineLevel="0" collapsed="false">
      <c r="A3793" s="5" t="s">
        <v>651</v>
      </c>
      <c r="B3793" s="0" t="s">
        <v>52</v>
      </c>
      <c r="G3793" s="12" t="n">
        <f aca="false">Sens!$G$3789/Sens!$D$3789-1</f>
        <v>0.161378156222718</v>
      </c>
      <c r="H3793" s="12" t="n">
        <f aca="false">Sens!$H$3789/Sens!$G$3789-1</f>
        <v>0.166960170381123</v>
      </c>
      <c r="I3793" s="12" t="n">
        <f aca="false">Sens!$I$3789/Sens!$H$3789-1</f>
        <v>0.145222554078524</v>
      </c>
      <c r="J3793" s="12" t="n">
        <f aca="false">Sens!$J$3789/Sens!$I$3789-1</f>
        <v>0.120205142663979</v>
      </c>
      <c r="K3793" s="12" t="n">
        <f aca="false">Sens!$K$3789/Sens!$J$3789-1</f>
        <v>0.0971271752301668</v>
      </c>
      <c r="L3793" s="12" t="n">
        <f aca="false">Sens!$L$3789/Sens!$K$3789-1</f>
        <v>0.0932608348072213</v>
      </c>
      <c r="M3793" s="12" t="n">
        <f aca="false">Sens!$M$3789/Sens!$L$3789-1</f>
        <v>0.0900191562882771</v>
      </c>
    </row>
    <row r="3794" customFormat="false" ht="17.15" hidden="false" customHeight="false" outlineLevel="0" collapsed="false">
      <c r="A3794" s="0" t="s">
        <v>652</v>
      </c>
      <c r="B3794" s="0" t="s">
        <v>52</v>
      </c>
      <c r="C3794" s="12" t="n">
        <f aca="false">Sens!$C$3788/Sens!$C$3789</f>
        <v>0.168593906504964</v>
      </c>
      <c r="D3794" s="12" t="n">
        <f aca="false">Sens!$D$3788/Sens!$D$3789</f>
        <v>0.179551807444025</v>
      </c>
      <c r="E3794" s="12" t="n">
        <f aca="false">Sens!$E$3788/Sens!$E$3789</f>
        <v>0.208881910369643</v>
      </c>
      <c r="F3794" s="12" t="n">
        <f aca="false">Sens!$F$3788/Sens!$F$3789</f>
        <v>0.207679264769203</v>
      </c>
      <c r="G3794" s="12" t="n">
        <f aca="false">Sens!$G$3788/Sens!$G$3789</f>
        <v>0.208231210458731</v>
      </c>
      <c r="H3794" s="12" t="n">
        <f aca="false">Sens!$H$3788/Sens!$H$3789</f>
        <v>0.248096911656098</v>
      </c>
      <c r="I3794" s="12" t="n">
        <f aca="false">Sens!$I$3788/Sens!$I$3789</f>
        <v>0.280526283141921</v>
      </c>
      <c r="J3794" s="12" t="n">
        <f aca="false">Sens!$J$3788/Sens!$J$3789</f>
        <v>0.304393167623656</v>
      </c>
      <c r="K3794" s="12" t="n">
        <f aca="false">Sens!$K$3788/Sens!$K$3789</f>
        <v>0.321681230049069</v>
      </c>
      <c r="L3794" s="12" t="n">
        <f aca="false">Sens!$L$3788/Sens!$L$3789</f>
        <v>0.335732774512349</v>
      </c>
      <c r="M3794" s="12" t="n">
        <f aca="false">Sens!$M$3788/Sens!$M$3789</f>
        <v>0.347084111373085</v>
      </c>
      <c r="N3794" s="12" t="n">
        <f aca="false">Sens!$N$3788/Sens!$N$3789</f>
        <v>0.185979484737251</v>
      </c>
      <c r="O3794" s="12" t="n">
        <f aca="false">Sens!$O$3788/Sens!$O$3789</f>
        <v>0.174270432341096</v>
      </c>
    </row>
    <row r="3795" customFormat="false" ht="17.15" hidden="false" customHeight="false" outlineLevel="0" collapsed="false">
      <c r="A3795" s="0" t="s">
        <v>653</v>
      </c>
      <c r="B3795" s="0" t="s">
        <v>52</v>
      </c>
      <c r="C3795" s="12" t="n">
        <f aca="false">Sens!$C$3786/Sens!$C$3788</f>
        <v>0.0215795060896058</v>
      </c>
      <c r="D3795" s="12" t="n">
        <f aca="false">Sens!$D$3786/Sens!$D$3788</f>
        <v>0.0676152269462122</v>
      </c>
      <c r="E3795" s="12" t="n">
        <f aca="false">Sens!$E$3786/Sens!$E$3788</f>
        <v>0.106620641395783</v>
      </c>
      <c r="F3795" s="12" t="n">
        <f aca="false">Sens!$F$3786/Sens!$F$3788</f>
        <v>0.159936751776064</v>
      </c>
      <c r="G3795" s="12" t="n">
        <f aca="false">Sens!$G$3786/Sens!$G$3788</f>
        <v>0.135391237003751</v>
      </c>
      <c r="H3795" s="12" t="n">
        <f aca="false">Sens!$H$3786/Sens!$H$3788</f>
        <v>0.249589428545194</v>
      </c>
      <c r="I3795" s="12" t="n">
        <f aca="false">Sens!$I$3786/Sens!$I$3788</f>
        <v>0.325173850577483</v>
      </c>
      <c r="J3795" s="12" t="n">
        <f aca="false">Sens!$J$3786/Sens!$J$3788</f>
        <v>0.376953718817392</v>
      </c>
      <c r="K3795" s="12" t="n">
        <f aca="false">Sens!$K$3786/Sens!$K$3788</f>
        <v>0.419641605578676</v>
      </c>
      <c r="L3795" s="12" t="n">
        <f aca="false">Sens!$L$3786/Sens!$L$3788</f>
        <v>0.450676451094615</v>
      </c>
      <c r="M3795" s="12" t="n">
        <f aca="false">Sens!$M$3786/Sens!$M$3788</f>
        <v>0.473526096798086</v>
      </c>
      <c r="N3795" s="12" t="n">
        <f aca="false">Sens!$N$3786/Sens!$N$3788</f>
        <v>0.0506537999838362</v>
      </c>
      <c r="O3795" s="12" t="n">
        <f aca="false">Sens!$O$3786/Sens!$O$3788</f>
        <v>0.0824881615167056</v>
      </c>
    </row>
    <row r="3798" customFormat="false" ht="19.4" hidden="false" customHeight="false" outlineLevel="0" collapsed="false">
      <c r="A3798" s="31" t="s">
        <v>1125</v>
      </c>
    </row>
    <row r="3799" customFormat="false" ht="17.15" hidden="false" customHeight="false" outlineLevel="0" collapsed="false">
      <c r="A3799" s="6" t="s">
        <v>16</v>
      </c>
      <c r="B3799" s="6" t="s">
        <v>17</v>
      </c>
      <c r="C3799" s="20" t="s">
        <v>457</v>
      </c>
      <c r="D3799" s="20" t="s">
        <v>458</v>
      </c>
      <c r="E3799" s="20" t="s">
        <v>540</v>
      </c>
      <c r="F3799" s="20" t="s">
        <v>541</v>
      </c>
      <c r="G3799" s="20" t="s">
        <v>542</v>
      </c>
      <c r="H3799" s="20" t="s">
        <v>543</v>
      </c>
      <c r="I3799" s="20" t="s">
        <v>544</v>
      </c>
      <c r="J3799" s="20" t="s">
        <v>545</v>
      </c>
      <c r="K3799" s="20" t="s">
        <v>546</v>
      </c>
      <c r="L3799" s="20" t="s">
        <v>547</v>
      </c>
      <c r="M3799" s="20" t="s">
        <v>548</v>
      </c>
      <c r="N3799" s="20" t="s">
        <v>549</v>
      </c>
      <c r="O3799" s="20" t="s">
        <v>550</v>
      </c>
      <c r="P3799" s="6" t="s">
        <v>23</v>
      </c>
      <c r="R3799" s="20" t="n">
        <v>2023</v>
      </c>
      <c r="S3799" s="20" t="n">
        <v>2024</v>
      </c>
      <c r="T3799" s="20" t="n">
        <v>2025</v>
      </c>
      <c r="U3799" s="20" t="n">
        <v>2026</v>
      </c>
      <c r="V3799" s="20" t="n">
        <v>2027</v>
      </c>
      <c r="W3799" s="20" t="n">
        <v>2028</v>
      </c>
      <c r="X3799" s="20" t="n">
        <v>2029</v>
      </c>
      <c r="Y3799" s="20" t="n">
        <v>2030</v>
      </c>
      <c r="Z3799" s="20" t="n">
        <v>2031</v>
      </c>
      <c r="AA3799" s="20" t="n">
        <v>2032</v>
      </c>
    </row>
    <row r="3800" customFormat="false" ht="17.15" hidden="false" customHeight="false" outlineLevel="0" collapsed="false">
      <c r="A3800" s="1" t="s">
        <v>668</v>
      </c>
    </row>
    <row r="3801" customFormat="false" ht="15" hidden="false" customHeight="false" outlineLevel="0" collapsed="false">
      <c r="A3801" s="0" t="s">
        <v>479</v>
      </c>
      <c r="B3801" s="0" t="s">
        <v>73</v>
      </c>
      <c r="C3801" s="38" t="n">
        <f aca="false">Sens!$C$3711</f>
        <v>247.029</v>
      </c>
      <c r="D3801" s="38" t="n">
        <f aca="false">Sens!$D$3711</f>
        <v>269.287</v>
      </c>
      <c r="E3801" s="38" t="n">
        <f aca="false">Sens!$E$3711</f>
        <v>134.686</v>
      </c>
      <c r="F3801" s="38" t="n">
        <f aca="false">Sens!$F$3711</f>
        <v>160.728085930082</v>
      </c>
      <c r="G3801" s="38" t="n">
        <f aca="false">Sens!$G$3711</f>
        <v>295.414085930082</v>
      </c>
      <c r="H3801" s="38" t="n">
        <f aca="false">Sens!$H$3711</f>
        <v>320.828163943375</v>
      </c>
      <c r="I3801" s="38" t="n">
        <f aca="false">Sens!$I$3711</f>
        <v>344.575578072228</v>
      </c>
      <c r="J3801" s="38" t="n">
        <f aca="false">Sens!$J$3711</f>
        <v>365.942555779681</v>
      </c>
      <c r="K3801" s="38" t="n">
        <f aca="false">Sens!$K$3711</f>
        <v>384.239683568665</v>
      </c>
      <c r="L3801" s="38" t="n">
        <f aca="false">Sens!$L$3711</f>
        <v>403.451667747098</v>
      </c>
      <c r="M3801" s="38" t="n">
        <f aca="false">Sens!$M$3711</f>
        <v>423.624251134453</v>
      </c>
      <c r="N3801" s="38" t="n">
        <f aca="false">Sens!$N$3711</f>
        <v>118.892</v>
      </c>
      <c r="O3801" s="38" t="n">
        <f aca="false">Sens!$O$3711</f>
        <v>150.395</v>
      </c>
    </row>
    <row r="3802" customFormat="false" ht="15" hidden="false" customHeight="false" outlineLevel="0" collapsed="false">
      <c r="A3802" s="0" t="s">
        <v>480</v>
      </c>
      <c r="B3802" s="0" t="s">
        <v>73</v>
      </c>
      <c r="C3802" s="38" t="n">
        <f aca="false">Sens!$C$3713</f>
        <v>21.215</v>
      </c>
      <c r="D3802" s="38" t="n">
        <f aca="false">Sens!$D$3713</f>
        <v>22.561</v>
      </c>
      <c r="E3802" s="38" t="n">
        <f aca="false">Sens!$E$3713</f>
        <v>11.579</v>
      </c>
      <c r="F3802" s="38" t="n">
        <f aca="false">Sens!$F$3713</f>
        <v>12.0952613121125</v>
      </c>
      <c r="G3802" s="38" t="n">
        <f aca="false">Sens!$G$3713</f>
        <v>23.6742613121125</v>
      </c>
      <c r="H3802" s="38" t="n">
        <f aca="false">Sens!$H$3713</f>
        <v>24.8803243963206</v>
      </c>
      <c r="I3802" s="38" t="n">
        <f aca="false">Sens!$I$3713</f>
        <v>25.9741308664154</v>
      </c>
      <c r="J3802" s="38" t="n">
        <f aca="false">Sens!$J$3713</f>
        <v>26.9346894124267</v>
      </c>
      <c r="K3802" s="38" t="n">
        <f aca="false">Sens!$K$3713</f>
        <v>27.7427300947995</v>
      </c>
      <c r="L3802" s="38" t="n">
        <f aca="false">Sens!$L$3713</f>
        <v>28.5750119976435</v>
      </c>
      <c r="M3802" s="38" t="n">
        <f aca="false">Sens!$M$3713</f>
        <v>29.4322623575728</v>
      </c>
      <c r="N3802" s="38" t="n">
        <f aca="false">Sens!$N$3713</f>
        <v>11.128</v>
      </c>
      <c r="O3802" s="38" t="n">
        <f aca="false">Sens!$O$3713</f>
        <v>11.433</v>
      </c>
    </row>
    <row r="3803" customFormat="false" ht="15" hidden="false" customHeight="false" outlineLevel="0" collapsed="false">
      <c r="A3803" s="0" t="s">
        <v>481</v>
      </c>
      <c r="B3803" s="0" t="s">
        <v>73</v>
      </c>
      <c r="C3803" s="38" t="n">
        <f aca="false">Sens!$C$3715</f>
        <v>156.146</v>
      </c>
      <c r="D3803" s="38" t="n">
        <f aca="false">Sens!$D$3715</f>
        <v>172.162</v>
      </c>
      <c r="E3803" s="38" t="n">
        <f aca="false">Sens!$E$3715</f>
        <v>88.358</v>
      </c>
      <c r="F3803" s="38" t="n">
        <f aca="false">Sens!$F$3715</f>
        <v>103.62028337149</v>
      </c>
      <c r="G3803" s="38" t="n">
        <f aca="false">Sens!$G$3715</f>
        <v>191.97828337149</v>
      </c>
      <c r="H3803" s="38" t="n">
        <f aca="false">Sens!$H$3715</f>
        <v>212.128608444755</v>
      </c>
      <c r="I3803" s="38" t="n">
        <f aca="false">Sens!$I$3715</f>
        <v>231.92183134134</v>
      </c>
      <c r="J3803" s="38" t="n">
        <f aca="false">Sens!$J$3715</f>
        <v>250.859136487863</v>
      </c>
      <c r="K3803" s="38" t="n">
        <f aca="false">Sens!$K$3715</f>
        <v>268.419276042014</v>
      </c>
      <c r="L3803" s="38" t="n">
        <f aca="false">Sens!$L$3715</f>
        <v>287.208625364954</v>
      </c>
      <c r="M3803" s="38" t="n">
        <f aca="false">Sens!$M$3715</f>
        <v>307.313229140501</v>
      </c>
      <c r="N3803" s="38" t="n">
        <f aca="false">Sens!$N$3715</f>
        <v>76.86</v>
      </c>
      <c r="O3803" s="38" t="n">
        <f aca="false">Sens!$O$3715</f>
        <v>95.302</v>
      </c>
    </row>
    <row r="3804" customFormat="false" ht="15" hidden="false" customHeight="false" outlineLevel="0" collapsed="false">
      <c r="A3804" s="0" t="s">
        <v>482</v>
      </c>
      <c r="B3804" s="0" t="s">
        <v>73</v>
      </c>
      <c r="C3804" s="38" t="n">
        <f aca="false">Sens!$C$3717</f>
        <v>56.214</v>
      </c>
      <c r="D3804" s="38" t="n">
        <f aca="false">Sens!$D$3717</f>
        <v>68.635</v>
      </c>
      <c r="E3804" s="38" t="n">
        <f aca="false">Sens!$E$3717</f>
        <v>37.052</v>
      </c>
      <c r="F3804" s="38" t="n">
        <f aca="false">Sens!$F$3717</f>
        <v>48.1533381827382</v>
      </c>
      <c r="G3804" s="38" t="n">
        <f aca="false">Sens!$G$3717</f>
        <v>85.2053381827382</v>
      </c>
      <c r="H3804" s="38" t="n">
        <f aca="false">Sens!$H$3717</f>
        <v>102.932401895311</v>
      </c>
      <c r="I3804" s="38" t="n">
        <f aca="false">Sens!$I$3717</f>
        <v>121.669605102968</v>
      </c>
      <c r="J3804" s="38" t="n">
        <f aca="false">Sens!$J$3717</f>
        <v>140.652135641804</v>
      </c>
      <c r="K3804" s="38" t="n">
        <f aca="false">Sens!$K$3717</f>
        <v>158.936913275239</v>
      </c>
      <c r="L3804" s="38" t="n">
        <f aca="false">Sens!$L$3717</f>
        <v>179.59871200102</v>
      </c>
      <c r="M3804" s="38" t="n">
        <f aca="false">Sens!$M$3717</f>
        <v>202.946544561152</v>
      </c>
      <c r="N3804" s="38" t="n">
        <f aca="false">Sens!$N$3717</f>
        <v>29.615</v>
      </c>
      <c r="O3804" s="38" t="n">
        <f aca="false">Sens!$O$3717</f>
        <v>39.02</v>
      </c>
    </row>
    <row r="3805" customFormat="false" ht="15" hidden="false" customHeight="false" outlineLevel="0" collapsed="false">
      <c r="A3805" s="0" t="s">
        <v>483</v>
      </c>
      <c r="B3805" s="0" t="s">
        <v>73</v>
      </c>
      <c r="C3805" s="38" t="n">
        <f aca="false">Sens!$C$3719</f>
        <v>44.374</v>
      </c>
      <c r="D3805" s="38" t="n">
        <f aca="false">Sens!$D$3719</f>
        <v>49.619</v>
      </c>
      <c r="E3805" s="38" t="n">
        <f aca="false">Sens!$E$3719</f>
        <v>27.157</v>
      </c>
      <c r="F3805" s="38" t="n">
        <f aca="false">Sens!$F$3719</f>
        <v>28.9776360923374</v>
      </c>
      <c r="G3805" s="38" t="n">
        <f aca="false">Sens!$G$3719</f>
        <v>56.1346360923374</v>
      </c>
      <c r="H3805" s="38" t="n">
        <f aca="false">Sens!$H$3719</f>
        <v>62.4937078946075</v>
      </c>
      <c r="I3805" s="38" t="n">
        <f aca="false">Sens!$I$3719</f>
        <v>68.6715233062498</v>
      </c>
      <c r="J3805" s="38" t="n">
        <f aca="false">Sens!$J$3719</f>
        <v>74.4692882949818</v>
      </c>
      <c r="K3805" s="38" t="n">
        <f aca="false">Sens!$K$3719</f>
        <v>79.6821384756306</v>
      </c>
      <c r="L3805" s="38" t="n">
        <f aca="false">Sens!$L$3719</f>
        <v>85.2598881689247</v>
      </c>
      <c r="M3805" s="38" t="n">
        <f aca="false">Sens!$M$3719</f>
        <v>91.2280803407494</v>
      </c>
      <c r="N3805" s="38" t="n">
        <f aca="false">Sens!$N$3719</f>
        <v>23.923</v>
      </c>
      <c r="O3805" s="38" t="n">
        <f aca="false">Sens!$O$3719</f>
        <v>25.696</v>
      </c>
    </row>
    <row r="3806" customFormat="false" ht="15" hidden="false" customHeight="false" outlineLevel="0" collapsed="false">
      <c r="A3806" s="0" t="s">
        <v>484</v>
      </c>
      <c r="B3806" s="0" t="s">
        <v>73</v>
      </c>
      <c r="C3806" s="38" t="n">
        <f aca="false">Sens!$C$3721</f>
        <v>5.425</v>
      </c>
      <c r="D3806" s="38" t="n">
        <f aca="false">Sens!$D$3721</f>
        <v>5.935</v>
      </c>
      <c r="E3806" s="38" t="n">
        <f aca="false">Sens!$E$3721</f>
        <v>3.474</v>
      </c>
      <c r="F3806" s="38" t="n">
        <f aca="false">Sens!$F$3721</f>
        <v>3.36182431966931</v>
      </c>
      <c r="G3806" s="38" t="n">
        <f aca="false">Sens!$G$3721</f>
        <v>6.83582431966931</v>
      </c>
      <c r="H3806" s="38" t="n">
        <f aca="false">Sens!$H$3721</f>
        <v>7.31157108370141</v>
      </c>
      <c r="I3806" s="38" t="n">
        <f aca="false">Sens!$I$3721</f>
        <v>7.77266852639815</v>
      </c>
      <c r="J3806" s="38" t="n">
        <f aca="false">Sens!$J$3721</f>
        <v>8.2120733019884</v>
      </c>
      <c r="K3806" s="38" t="n">
        <f aca="false">Sens!$K$3721</f>
        <v>8.62267696708783</v>
      </c>
      <c r="L3806" s="38" t="n">
        <f aca="false">Sens!$L$3721</f>
        <v>9.05381081544222</v>
      </c>
      <c r="M3806" s="38" t="n">
        <f aca="false">Sens!$M$3721</f>
        <v>9.50650135621433</v>
      </c>
      <c r="N3806" s="38" t="n">
        <f aca="false">Sens!$N$3721</f>
        <v>2.811</v>
      </c>
      <c r="O3806" s="38" t="n">
        <f aca="false">Sens!$O$3721</f>
        <v>3.124</v>
      </c>
    </row>
    <row r="3807" customFormat="false" ht="17.15" hidden="false" customHeight="false" outlineLevel="0" collapsed="false">
      <c r="A3807" s="0" t="s">
        <v>669</v>
      </c>
      <c r="B3807" s="0" t="s">
        <v>73</v>
      </c>
      <c r="C3807" s="38" t="n">
        <f aca="false">Sens!$C$3788</f>
        <v>107.556</v>
      </c>
      <c r="D3807" s="38" t="n">
        <f aca="false">Sens!$D$3788</f>
        <v>128.725</v>
      </c>
      <c r="E3807" s="38" t="n">
        <f aca="false">Sens!$E$3788</f>
        <v>79.819</v>
      </c>
      <c r="F3807" s="38" t="n">
        <f aca="false">Sens!$F$3788</f>
        <v>93.5584440633857</v>
      </c>
      <c r="G3807" s="38" t="n">
        <f aca="false">Sens!$G$3788</f>
        <v>173.377444063386</v>
      </c>
      <c r="H3807" s="38" t="n">
        <f aca="false">Sens!$H$3788</f>
        <v>241.059451517916</v>
      </c>
      <c r="I3807" s="38" t="n">
        <f aca="false">Sens!$I$3788</f>
        <v>312.152096351442</v>
      </c>
      <c r="J3807" s="38" t="n">
        <f aca="false">Sens!$J$3788</f>
        <v>379.424316597773</v>
      </c>
      <c r="K3807" s="38" t="n">
        <f aca="false">Sens!$K$3788</f>
        <v>439.919237244402</v>
      </c>
      <c r="L3807" s="38" t="n">
        <f aca="false">Sens!$L$3788</f>
        <v>501.954974491517</v>
      </c>
      <c r="M3807" s="38" t="n">
        <f aca="false">Sens!$M$3788</f>
        <v>565.639704466895</v>
      </c>
      <c r="N3807" s="38" t="n">
        <f aca="false">Sens!$N$3788</f>
        <v>60.14</v>
      </c>
      <c r="O3807" s="38" t="n">
        <f aca="false">Sens!$O$3788</f>
        <v>68.585</v>
      </c>
    </row>
    <row r="3808" customFormat="false" ht="15" hidden="false" customHeight="false" outlineLevel="0" collapsed="false">
      <c r="A3808" s="1" t="s">
        <v>472</v>
      </c>
      <c r="B3808" s="8" t="s">
        <v>73</v>
      </c>
      <c r="C3808" s="38" t="n">
        <f aca="false">Sens!$C$3725</f>
        <v>387.497</v>
      </c>
      <c r="D3808" s="38" t="n">
        <f aca="false">Sens!$D$3725</f>
        <v>426.305</v>
      </c>
      <c r="E3808" s="38" t="n">
        <f aca="false">Sens!$E$3725</f>
        <v>220.32</v>
      </c>
      <c r="F3808" s="38" t="n">
        <f aca="false">Sens!$F$3725</f>
        <v>256.304015003807</v>
      </c>
      <c r="G3808" s="38" t="n">
        <f aca="false">Sens!$G$3725</f>
        <v>476.624015003807</v>
      </c>
      <c r="H3808" s="38" t="n">
        <f aca="false">Sens!$H$3725</f>
        <v>528.196409029692</v>
      </c>
      <c r="I3808" s="38" t="n">
        <f aca="false">Sens!$I$3725</f>
        <v>578.813166250611</v>
      </c>
      <c r="J3808" s="38" t="n">
        <f aca="false">Sens!$J$3725</f>
        <v>626.880656749198</v>
      </c>
      <c r="K3808" s="38" t="n">
        <f aca="false">Sens!$K$3725</f>
        <v>670.674566732181</v>
      </c>
      <c r="L3808" s="38" t="n">
        <f aca="false">Sens!$L$3725</f>
        <v>718.033353079948</v>
      </c>
      <c r="M3808" s="38" t="n">
        <f aca="false">Sens!$M$3725</f>
        <v>769.295444026409</v>
      </c>
      <c r="N3808" s="38" t="n">
        <f aca="false">Sens!$N$3725</f>
        <v>192.955</v>
      </c>
      <c r="O3808" s="38" t="n">
        <f aca="false">Sens!$O$3725</f>
        <v>233.35</v>
      </c>
    </row>
    <row r="3809" customFormat="false" ht="15" hidden="false" customHeight="false" outlineLevel="0" collapsed="false">
      <c r="A3809" s="1" t="s">
        <v>475</v>
      </c>
      <c r="B3809" s="8" t="s">
        <v>73</v>
      </c>
      <c r="C3809" s="38" t="n">
        <f aca="false">Sens!$C$3726</f>
        <v>142.906</v>
      </c>
      <c r="D3809" s="38" t="n">
        <f aca="false">Sens!$D$3726</f>
        <v>161.894</v>
      </c>
      <c r="E3809" s="38" t="n">
        <f aca="false">Sens!$E$3726</f>
        <v>81.986</v>
      </c>
      <c r="F3809" s="38" t="n">
        <f aca="false">Sens!$F$3726</f>
        <v>100.632414204623</v>
      </c>
      <c r="G3809" s="38" t="n">
        <f aca="false">Sens!$G$3726</f>
        <v>182.618414204623</v>
      </c>
      <c r="H3809" s="38" t="n">
        <f aca="false">Sens!$H$3726</f>
        <v>202.378368628379</v>
      </c>
      <c r="I3809" s="38" t="n">
        <f aca="false">Sens!$I$3726</f>
        <v>221.772170964988</v>
      </c>
      <c r="J3809" s="38" t="n">
        <f aca="false">Sens!$J$3726</f>
        <v>240.189222169547</v>
      </c>
      <c r="K3809" s="38" t="n">
        <f aca="false">Sens!$K$3726</f>
        <v>256.968851691254</v>
      </c>
      <c r="L3809" s="38" t="n">
        <f aca="false">Sens!$L$3726</f>
        <v>275.114363015135</v>
      </c>
      <c r="M3809" s="38" t="n">
        <f aca="false">Sens!$M$3726</f>
        <v>294.755424864234</v>
      </c>
      <c r="N3809" s="38" t="n">
        <f aca="false">Sens!$N$3726</f>
        <v>70.274</v>
      </c>
      <c r="O3809" s="38" t="n">
        <f aca="false">Sens!$O$3726</f>
        <v>91.62</v>
      </c>
    </row>
    <row r="3810" customFormat="false" ht="15" hidden="false" customHeight="false" outlineLevel="0" collapsed="false">
      <c r="A3810" s="1" t="s">
        <v>476</v>
      </c>
      <c r="B3810" s="8" t="s">
        <v>73</v>
      </c>
      <c r="C3810" s="38" t="n">
        <f aca="false">Sens!$C$3788</f>
        <v>107.556</v>
      </c>
      <c r="D3810" s="38" t="n">
        <f aca="false">Sens!$D$3788</f>
        <v>128.725</v>
      </c>
      <c r="E3810" s="38" t="n">
        <f aca="false">Sens!$E$3788</f>
        <v>79.819</v>
      </c>
      <c r="F3810" s="38" t="n">
        <f aca="false">Sens!$F$3788</f>
        <v>93.5584440633857</v>
      </c>
      <c r="G3810" s="38" t="n">
        <f aca="false">Sens!$G$3788</f>
        <v>173.377444063386</v>
      </c>
      <c r="H3810" s="38" t="n">
        <f aca="false">Sens!$H$3788</f>
        <v>241.059451517916</v>
      </c>
      <c r="I3810" s="38" t="n">
        <f aca="false">Sens!$I$3788</f>
        <v>312.152096351442</v>
      </c>
      <c r="J3810" s="38" t="n">
        <f aca="false">Sens!$J$3788</f>
        <v>379.424316597773</v>
      </c>
      <c r="K3810" s="38" t="n">
        <f aca="false">Sens!$K$3788</f>
        <v>439.919237244402</v>
      </c>
      <c r="L3810" s="38" t="n">
        <f aca="false">Sens!$L$3788</f>
        <v>501.954974491517</v>
      </c>
      <c r="M3810" s="38" t="n">
        <f aca="false">Sens!$M$3788</f>
        <v>565.639704466895</v>
      </c>
      <c r="N3810" s="38" t="n">
        <f aca="false">Sens!$N$3788</f>
        <v>60.14</v>
      </c>
      <c r="O3810" s="38" t="n">
        <f aca="false">Sens!$O$3788</f>
        <v>68.585</v>
      </c>
    </row>
    <row r="3811" customFormat="false" ht="17.15" hidden="false" customHeight="false" outlineLevel="0" collapsed="false">
      <c r="A3811" s="0" t="s">
        <v>643</v>
      </c>
      <c r="B3811" s="0" t="s">
        <v>73</v>
      </c>
      <c r="C3811" s="38" t="n">
        <f aca="false">Sens!$C$3786</f>
        <v>2.32100535697364</v>
      </c>
      <c r="D3811" s="38" t="n">
        <f aca="false">Sens!$D$3786</f>
        <v>8.70377008865116</v>
      </c>
      <c r="E3811" s="38" t="n">
        <f aca="false">Sens!$E$3786</f>
        <v>8.51035297557002</v>
      </c>
      <c r="F3811" s="38" t="n">
        <f aca="false">Sens!$F$3786</f>
        <v>14.9634336447205</v>
      </c>
      <c r="G3811" s="38" t="n">
        <f aca="false">Sens!$G$3786</f>
        <v>23.4737866202905</v>
      </c>
      <c r="H3811" s="38" t="n">
        <f aca="false">Sens!$H$3786</f>
        <v>60.1658907497746</v>
      </c>
      <c r="I3811" s="38" t="n">
        <f aca="false">Sens!$I$3786</f>
        <v>101.503699136432</v>
      </c>
      <c r="J3811" s="38" t="n">
        <f aca="false">Sens!$J$3786</f>
        <v>143.025407151278</v>
      </c>
      <c r="K3811" s="38" t="n">
        <f aca="false">Sens!$K$3786</f>
        <v>184.608415042187</v>
      </c>
      <c r="L3811" s="38" t="n">
        <f aca="false">Sens!$L$3786</f>
        <v>226.219286513125</v>
      </c>
      <c r="M3811" s="38" t="n">
        <f aca="false">Sens!$M$3786</f>
        <v>267.845161450232</v>
      </c>
      <c r="N3811" s="38" t="n">
        <f aca="false">Sens!$N$3786</f>
        <v>3.04631953102791</v>
      </c>
      <c r="O3811" s="38" t="n">
        <f aca="false">Sens!$O$3786</f>
        <v>5.65745055762326</v>
      </c>
    </row>
    <row r="3812" customFormat="false" ht="17.15" hidden="false" customHeight="false" outlineLevel="0" collapsed="false">
      <c r="A3812" s="0" t="s">
        <v>645</v>
      </c>
      <c r="B3812" s="0" t="s">
        <v>73</v>
      </c>
      <c r="C3812" s="38" t="n">
        <f aca="false">Sens!$C$3787</f>
        <v>105.234994643026</v>
      </c>
      <c r="D3812" s="38" t="n">
        <f aca="false">Sens!$D$3787</f>
        <v>120.021229911349</v>
      </c>
      <c r="E3812" s="38" t="n">
        <f aca="false">Sens!$E$3787</f>
        <v>71.30864702443</v>
      </c>
      <c r="F3812" s="38" t="n">
        <f aca="false">Sens!$F$3787</f>
        <v>78.5950104186653</v>
      </c>
      <c r="G3812" s="38" t="n">
        <f aca="false">Sens!$G$3787</f>
        <v>149.903657443095</v>
      </c>
      <c r="H3812" s="38" t="n">
        <f aca="false">Sens!$H$3787</f>
        <v>180.893560768142</v>
      </c>
      <c r="I3812" s="38" t="n">
        <f aca="false">Sens!$I$3787</f>
        <v>210.64839721501</v>
      </c>
      <c r="J3812" s="38" t="n">
        <f aca="false">Sens!$J$3787</f>
        <v>236.398909446495</v>
      </c>
      <c r="K3812" s="38" t="n">
        <f aca="false">Sens!$K$3787</f>
        <v>255.310822202215</v>
      </c>
      <c r="L3812" s="38" t="n">
        <f aca="false">Sens!$L$3787</f>
        <v>275.735687978392</v>
      </c>
      <c r="M3812" s="38" t="n">
        <f aca="false">Sens!$M$3787</f>
        <v>297.794543016663</v>
      </c>
      <c r="N3812" s="38" t="n">
        <f aca="false">Sens!$N$3787</f>
        <v>57.0936804689721</v>
      </c>
      <c r="O3812" s="38" t="n">
        <f aca="false">Sens!$O$3787</f>
        <v>62.9275494423768</v>
      </c>
    </row>
    <row r="3813" customFormat="false" ht="15" hidden="false" customHeight="false" outlineLevel="0" collapsed="false">
      <c r="A3813" s="3" t="s">
        <v>477</v>
      </c>
      <c r="B3813" s="8" t="s">
        <v>73</v>
      </c>
      <c r="C3813" s="38" t="n">
        <f aca="false">Sens!$C$3789</f>
        <v>637.959</v>
      </c>
      <c r="D3813" s="38" t="n">
        <f aca="false">Sens!$D$3789</f>
        <v>716.924</v>
      </c>
      <c r="E3813" s="38" t="n">
        <f aca="false">Sens!$E$3789</f>
        <v>382.125</v>
      </c>
      <c r="F3813" s="38" t="n">
        <f aca="false">Sens!$F$3789</f>
        <v>450.494873271816</v>
      </c>
      <c r="G3813" s="38" t="n">
        <f aca="false">Sens!$G$3789</f>
        <v>832.619873271816</v>
      </c>
      <c r="H3813" s="38" t="n">
        <f aca="false">Sens!$H$3789</f>
        <v>971.634229175987</v>
      </c>
      <c r="I3813" s="38" t="n">
        <f aca="false">Sens!$I$3789</f>
        <v>1112.73743356704</v>
      </c>
      <c r="J3813" s="38" t="n">
        <f aca="false">Sens!$J$3789</f>
        <v>1246.49419551652</v>
      </c>
      <c r="K3813" s="38" t="n">
        <f aca="false">Sens!$K$3789</f>
        <v>1367.56265566784</v>
      </c>
      <c r="L3813" s="38" t="n">
        <f aca="false">Sens!$L$3789</f>
        <v>1495.1026905866</v>
      </c>
      <c r="M3813" s="38" t="n">
        <f aca="false">Sens!$M$3789</f>
        <v>1629.69057335754</v>
      </c>
      <c r="N3813" s="38" t="n">
        <f aca="false">Sens!$N$3789</f>
        <v>323.369</v>
      </c>
      <c r="O3813" s="38" t="n">
        <f aca="false">Sens!$O$3789</f>
        <v>393.555</v>
      </c>
    </row>
    <row r="3814" customFormat="false" ht="17.15" hidden="false" customHeight="false" outlineLevel="0" collapsed="false">
      <c r="A3814" s="24" t="s">
        <v>655</v>
      </c>
      <c r="B3814" s="25" t="s">
        <v>73</v>
      </c>
      <c r="C3814" s="39" t="n">
        <f aca="false">Sens!$C$3801+Sens!$C$3802+Sens!$C$3803+Sens!$C$3804+Sens!$C$3805+Sens!$C$3806-(Sens!$C$3808+Sens!$C$3809)</f>
        <v>0</v>
      </c>
      <c r="D3814" s="39" t="n">
        <f aca="false">Sens!$D$3801+Sens!$D$3802+Sens!$D$3803+Sens!$D$3804+Sens!$D$3805+Sens!$D$3806-(Sens!$D$3808+Sens!$D$3809)</f>
        <v>0</v>
      </c>
      <c r="E3814" s="39" t="n">
        <f aca="false">Sens!$E$3801+Sens!$E$3802+Sens!$E$3803+Sens!$E$3804+Sens!$E$3805+Sens!$E$3806-(Sens!$E$3808+Sens!$E$3809)</f>
        <v>0</v>
      </c>
      <c r="F3814" s="39" t="n">
        <f aca="false">Sens!$F$3801+Sens!$F$3802+Sens!$F$3803+Sens!$F$3804+Sens!$F$3805+Sens!$F$3806-(Sens!$F$3808+Sens!$F$3809)</f>
        <v>0</v>
      </c>
      <c r="G3814" s="39" t="n">
        <f aca="false">Sens!$G$3801+Sens!$G$3802+Sens!$G$3803+Sens!$G$3804+Sens!$G$3805+Sens!$G$3806-(Sens!$G$3808+Sens!$G$3809)</f>
        <v>0</v>
      </c>
      <c r="H3814" s="39" t="n">
        <f aca="false">Sens!$H$3801+Sens!$H$3802+Sens!$H$3803+Sens!$H$3804+Sens!$H$3805+Sens!$H$3806-(Sens!$H$3808+Sens!$H$3809)</f>
        <v>0</v>
      </c>
      <c r="I3814" s="39" t="n">
        <f aca="false">Sens!$I$3801+Sens!$I$3802+Sens!$I$3803+Sens!$I$3804+Sens!$I$3805+Sens!$I$3806-(Sens!$I$3808+Sens!$I$3809)</f>
        <v>0</v>
      </c>
      <c r="J3814" s="39" t="n">
        <f aca="false">Sens!$J$3801+Sens!$J$3802+Sens!$J$3803+Sens!$J$3804+Sens!$J$3805+Sens!$J$3806-(Sens!$J$3808+Sens!$J$3809)</f>
        <v>0</v>
      </c>
      <c r="K3814" s="39" t="n">
        <f aca="false">Sens!$K$3801+Sens!$K$3802+Sens!$K$3803+Sens!$K$3804+Sens!$K$3805+Sens!$K$3806-(Sens!$K$3808+Sens!$K$3809)</f>
        <v>0</v>
      </c>
      <c r="L3814" s="39" t="n">
        <f aca="false">Sens!$L$3801+Sens!$L$3802+Sens!$L$3803+Sens!$L$3804+Sens!$L$3805+Sens!$L$3806-(Sens!$L$3808+Sens!$L$3809)</f>
        <v>0</v>
      </c>
      <c r="M3814" s="39" t="n">
        <f aca="false">Sens!$M$3801+Sens!$M$3802+Sens!$M$3803+Sens!$M$3804+Sens!$M$3805+Sens!$M$3806-(Sens!$M$3808+Sens!$M$3809)</f>
        <v>0</v>
      </c>
      <c r="N3814" s="39" t="n">
        <f aca="false">Sens!$N$3801+Sens!$N$3802+Sens!$N$3803+Sens!$N$3804+Sens!$N$3805+Sens!$N$3806-(Sens!$N$3808+Sens!$N$3809)</f>
        <v>0</v>
      </c>
      <c r="O3814" s="39" t="n">
        <f aca="false">Sens!$O$3801+Sens!$O$3802+Sens!$O$3803+Sens!$O$3804+Sens!$O$3805+Sens!$O$3806-(Sens!$O$3808+Sens!$O$3809)</f>
        <v>0</v>
      </c>
    </row>
    <row r="3815" customFormat="false" ht="17.15" hidden="false" customHeight="false" outlineLevel="0" collapsed="false">
      <c r="A3815" s="24" t="s">
        <v>656</v>
      </c>
      <c r="B3815" s="25" t="s">
        <v>73</v>
      </c>
      <c r="C3815" s="39" t="n">
        <f aca="false">Sens!$C$3811+Sens!$C$3812-Sens!$C$3810</f>
        <v>0</v>
      </c>
      <c r="D3815" s="39" t="n">
        <f aca="false">Sens!$D$3811+Sens!$D$3812-Sens!$D$3810</f>
        <v>0</v>
      </c>
      <c r="E3815" s="39" t="n">
        <f aca="false">Sens!$E$3811+Sens!$E$3812-Sens!$E$3810</f>
        <v>0</v>
      </c>
      <c r="F3815" s="39" t="n">
        <f aca="false">Sens!$F$3811+Sens!$F$3812-Sens!$F$3810</f>
        <v>0</v>
      </c>
      <c r="G3815" s="39" t="n">
        <f aca="false">Sens!$G$3811+Sens!$G$3812-Sens!$G$3810</f>
        <v>0</v>
      </c>
      <c r="H3815" s="39" t="n">
        <f aca="false">Sens!$H$3811+Sens!$H$3812-Sens!$H$3810</f>
        <v>0</v>
      </c>
      <c r="I3815" s="39" t="n">
        <f aca="false">Sens!$I$3811+Sens!$I$3812-Sens!$I$3810</f>
        <v>0</v>
      </c>
      <c r="J3815" s="39" t="n">
        <f aca="false">Sens!$J$3811+Sens!$J$3812-Sens!$J$3810</f>
        <v>0</v>
      </c>
      <c r="K3815" s="39" t="n">
        <f aca="false">Sens!$K$3811+Sens!$K$3812-Sens!$K$3810</f>
        <v>0</v>
      </c>
      <c r="L3815" s="39" t="n">
        <f aca="false">Sens!$L$3811+Sens!$L$3812-Sens!$L$3810</f>
        <v>0</v>
      </c>
      <c r="M3815" s="39" t="n">
        <f aca="false">Sens!$M$3811+Sens!$M$3812-Sens!$M$3810</f>
        <v>0</v>
      </c>
      <c r="N3815" s="39" t="n">
        <f aca="false">Sens!$N$3811+Sens!$N$3812-Sens!$N$3810</f>
        <v>0</v>
      </c>
      <c r="O3815" s="39" t="n">
        <f aca="false">Sens!$O$3811+Sens!$O$3812-Sens!$O$3810</f>
        <v>0</v>
      </c>
    </row>
    <row r="3816" customFormat="false" ht="17.15" hidden="false" customHeight="false" outlineLevel="0" collapsed="false">
      <c r="A3816" s="24" t="s">
        <v>710</v>
      </c>
      <c r="B3816" s="25" t="s">
        <v>73</v>
      </c>
      <c r="C3816" s="39" t="n">
        <f aca="false">Sens!$C$3801+Sens!$C$3802+Sens!$C$3803+Sens!$C$3804+Sens!$C$3805+Sens!$C$3806+Sens!$C$3807-Sens!$C$3813</f>
        <v>0</v>
      </c>
      <c r="D3816" s="39" t="n">
        <f aca="false">Sens!$D$3801+Sens!$D$3802+Sens!$D$3803+Sens!$D$3804+Sens!$D$3805+Sens!$D$3806+Sens!$D$3807-Sens!$D$3813</f>
        <v>0</v>
      </c>
      <c r="E3816" s="39" t="n">
        <f aca="false">Sens!$E$3801+Sens!$E$3802+Sens!$E$3803+Sens!$E$3804+Sens!$E$3805+Sens!$E$3806+Sens!$E$3807-Sens!$E$3813</f>
        <v>0</v>
      </c>
      <c r="F3816" s="39" t="n">
        <f aca="false">Sens!$F$3801+Sens!$F$3802+Sens!$F$3803+Sens!$F$3804+Sens!$F$3805+Sens!$F$3806+Sens!$F$3807-Sens!$F$3813</f>
        <v>0</v>
      </c>
      <c r="G3816" s="39" t="n">
        <f aca="false">Sens!$G$3801+Sens!$G$3802+Sens!$G$3803+Sens!$G$3804+Sens!$G$3805+Sens!$G$3806+Sens!$G$3807-Sens!$G$3813</f>
        <v>0</v>
      </c>
      <c r="H3816" s="39" t="n">
        <f aca="false">Sens!$H$3801+Sens!$H$3802+Sens!$H$3803+Sens!$H$3804+Sens!$H$3805+Sens!$H$3806+Sens!$H$3807-Sens!$H$3813</f>
        <v>0</v>
      </c>
      <c r="I3816" s="39" t="n">
        <f aca="false">Sens!$I$3801+Sens!$I$3802+Sens!$I$3803+Sens!$I$3804+Sens!$I$3805+Sens!$I$3806+Sens!$I$3807-Sens!$I$3813</f>
        <v>0</v>
      </c>
      <c r="J3816" s="39" t="n">
        <f aca="false">Sens!$J$3801+Sens!$J$3802+Sens!$J$3803+Sens!$J$3804+Sens!$J$3805+Sens!$J$3806+Sens!$J$3807-Sens!$J$3813</f>
        <v>0</v>
      </c>
      <c r="K3816" s="39" t="n">
        <f aca="false">Sens!$K$3801+Sens!$K$3802+Sens!$K$3803+Sens!$K$3804+Sens!$K$3805+Sens!$K$3806+Sens!$K$3807-Sens!$K$3813</f>
        <v>0</v>
      </c>
      <c r="L3816" s="39" t="n">
        <f aca="false">Sens!$L$3801+Sens!$L$3802+Sens!$L$3803+Sens!$L$3804+Sens!$L$3805+Sens!$L$3806+Sens!$L$3807-Sens!$L$3813</f>
        <v>0</v>
      </c>
      <c r="M3816" s="39" t="n">
        <f aca="false">Sens!$M$3801+Sens!$M$3802+Sens!$M$3803+Sens!$M$3804+Sens!$M$3805+Sens!$M$3806+Sens!$M$3807-Sens!$M$3813</f>
        <v>0</v>
      </c>
      <c r="N3816" s="39" t="n">
        <f aca="false">Sens!$N$3801+Sens!$N$3802+Sens!$N$3803+Sens!$N$3804+Sens!$N$3805+Sens!$N$3806+Sens!$N$3807-Sens!$N$3813</f>
        <v>0</v>
      </c>
      <c r="O3816" s="39" t="n">
        <f aca="false">Sens!$O$3801+Sens!$O$3802+Sens!$O$3803+Sens!$O$3804+Sens!$O$3805+Sens!$O$3806+Sens!$O$3807-Sens!$O$3813</f>
        <v>0</v>
      </c>
    </row>
    <row r="3817" customFormat="false" ht="17.15" hidden="false" customHeight="false" outlineLevel="0" collapsed="false">
      <c r="A3817" s="24" t="s">
        <v>657</v>
      </c>
      <c r="B3817" s="25" t="s">
        <v>73</v>
      </c>
      <c r="C3817" s="39" t="n">
        <f aca="false">Sens!$C$3808+Sens!$C$3809+Sens!$C$3810-Sens!$C$3813</f>
        <v>0</v>
      </c>
      <c r="D3817" s="39" t="n">
        <f aca="false">Sens!$D$3808+Sens!$D$3809+Sens!$D$3810-Sens!$D$3813</f>
        <v>0</v>
      </c>
      <c r="E3817" s="39" t="n">
        <f aca="false">Sens!$E$3808+Sens!$E$3809+Sens!$E$3810-Sens!$E$3813</f>
        <v>0</v>
      </c>
      <c r="F3817" s="39" t="n">
        <f aca="false">Sens!$F$3808+Sens!$F$3809+Sens!$F$3810-Sens!$F$3813</f>
        <v>0</v>
      </c>
      <c r="G3817" s="39" t="n">
        <f aca="false">Sens!$G$3808+Sens!$G$3809+Sens!$G$3810-Sens!$G$3813</f>
        <v>0</v>
      </c>
      <c r="H3817" s="39" t="n">
        <f aca="false">Sens!$H$3808+Sens!$H$3809+Sens!$H$3810-Sens!$H$3813</f>
        <v>0</v>
      </c>
      <c r="I3817" s="39" t="n">
        <f aca="false">Sens!$I$3808+Sens!$I$3809+Sens!$I$3810-Sens!$I$3813</f>
        <v>0</v>
      </c>
      <c r="J3817" s="39" t="n">
        <f aca="false">Sens!$J$3808+Sens!$J$3809+Sens!$J$3810-Sens!$J$3813</f>
        <v>0</v>
      </c>
      <c r="K3817" s="39" t="n">
        <f aca="false">Sens!$K$3808+Sens!$K$3809+Sens!$K$3810-Sens!$K$3813</f>
        <v>0</v>
      </c>
      <c r="L3817" s="39" t="n">
        <f aca="false">Sens!$L$3808+Sens!$L$3809+Sens!$L$3810-Sens!$L$3813</f>
        <v>0</v>
      </c>
      <c r="M3817" s="39" t="n">
        <f aca="false">Sens!$M$3808+Sens!$M$3809+Sens!$M$3810-Sens!$M$3813</f>
        <v>0</v>
      </c>
      <c r="N3817" s="39" t="n">
        <f aca="false">Sens!$N$3808+Sens!$N$3809+Sens!$N$3810-Sens!$N$3813</f>
        <v>0</v>
      </c>
      <c r="O3817" s="39" t="n">
        <f aca="false">Sens!$O$3808+Sens!$O$3809+Sens!$O$3810-Sens!$O$3813</f>
        <v>0</v>
      </c>
    </row>
    <row r="3818" customFormat="false" ht="17.15" hidden="false" customHeight="false" outlineLevel="0" collapsed="false">
      <c r="A3818" s="1" t="s">
        <v>671</v>
      </c>
    </row>
    <row r="3819" customFormat="false" ht="17.15" hidden="false" customHeight="false" outlineLevel="0" collapsed="false">
      <c r="A3819" s="0" t="s">
        <v>672</v>
      </c>
      <c r="B3819" s="0" t="s">
        <v>73</v>
      </c>
      <c r="C3819" s="38" t="n">
        <f aca="false">Sens!$C$3727*m_ad</f>
        <v>20.5341564414228</v>
      </c>
      <c r="D3819" s="38" t="n">
        <f aca="false">Sens!$D$3727*m_ad</f>
        <v>24.8720617299587</v>
      </c>
      <c r="E3819" s="38" t="n">
        <f aca="false">Sens!$E$3727*m_ad</f>
        <v>13.5017112462207</v>
      </c>
      <c r="F3819" s="38" t="n">
        <f aca="false">Sens!$F$3727*m_ad</f>
        <v>17.2886442824599</v>
      </c>
      <c r="G3819" s="38" t="n">
        <f aca="false">Sens!$G$3727*m_ad</f>
        <v>30.8011958765886</v>
      </c>
      <c r="H3819" s="38" t="n">
        <f aca="false">Sens!$H$3727*m_ad</f>
        <v>37.2094183351004</v>
      </c>
      <c r="I3819" s="38" t="n">
        <f aca="false">Sens!$I$3727*m_ad</f>
        <v>43.9827998917903</v>
      </c>
      <c r="J3819" s="38" t="n">
        <f aca="false">Sens!$J$3727*m_ad</f>
        <v>50.8448657415386</v>
      </c>
      <c r="K3819" s="38" t="n">
        <f aca="false">Sens!$K$3727*m_ad</f>
        <v>57.4546982879386</v>
      </c>
      <c r="L3819" s="38" t="n">
        <f aca="false">Sens!$L$3727*m_ad</f>
        <v>64.9238090653706</v>
      </c>
      <c r="M3819" s="38" t="n">
        <f aca="false">Sens!$M$3727*m_ad</f>
        <v>73.3639042438688</v>
      </c>
      <c r="N3819" s="38" t="n">
        <f aca="false">Sens!$N$3727*m_ad</f>
        <v>10.8543555706248</v>
      </c>
      <c r="O3819" s="38" t="n">
        <f aca="false">Sens!$O$3727*m_ad</f>
        <v>14.0094731821399</v>
      </c>
    </row>
    <row r="3820" customFormat="false" ht="17.15" hidden="false" customHeight="false" outlineLevel="0" collapsed="false">
      <c r="A3820" s="0" t="s">
        <v>673</v>
      </c>
      <c r="B3820" s="0" t="s">
        <v>73</v>
      </c>
      <c r="C3820" s="38" t="n">
        <f aca="false">Sens!$C$3725-Sens!$C$3727</f>
        <v>346.428687117154</v>
      </c>
      <c r="D3820" s="38" t="n">
        <f aca="false">Sens!$D$3725-Sens!$D$3727</f>
        <v>376.560876540083</v>
      </c>
      <c r="E3820" s="38" t="n">
        <f aca="false">Sens!$E$3725-Sens!$E$3727</f>
        <v>193.316577507559</v>
      </c>
      <c r="F3820" s="38" t="n">
        <f aca="false">Sens!$F$3725-Sens!$F$3727</f>
        <v>221.726726438887</v>
      </c>
      <c r="G3820" s="38" t="n">
        <f aca="false">Sens!$G$3725-Sens!$G$3727</f>
        <v>415.02162325063</v>
      </c>
      <c r="H3820" s="38" t="n">
        <f aca="false">Sens!$H$3725-Sens!$H$3727</f>
        <v>453.777572359491</v>
      </c>
      <c r="I3820" s="38" t="n">
        <f aca="false">Sens!$I$3725-Sens!$I$3727</f>
        <v>490.847566467031</v>
      </c>
      <c r="J3820" s="38" t="n">
        <f aca="false">Sens!$J$3725-Sens!$J$3727</f>
        <v>525.190925266121</v>
      </c>
      <c r="K3820" s="38" t="n">
        <f aca="false">Sens!$K$3725-Sens!$K$3727</f>
        <v>555.765170156304</v>
      </c>
      <c r="L3820" s="38" t="n">
        <f aca="false">Sens!$L$3725-Sens!$L$3727</f>
        <v>588.185734949207</v>
      </c>
      <c r="M3820" s="38" t="n">
        <f aca="false">Sens!$M$3725-Sens!$M$3727</f>
        <v>622.567635538672</v>
      </c>
      <c r="N3820" s="38" t="n">
        <f aca="false">Sens!$N$3725-Sens!$N$3727</f>
        <v>171.24628885875</v>
      </c>
      <c r="O3820" s="38" t="n">
        <f aca="false">Sens!$O$3725-Sens!$O$3727</f>
        <v>205.33105363572</v>
      </c>
    </row>
    <row r="3821" customFormat="false" ht="17.15" hidden="false" customHeight="false" outlineLevel="0" collapsed="false">
      <c r="A3821" s="0" t="s">
        <v>674</v>
      </c>
      <c r="B3821" s="0" t="s">
        <v>73</v>
      </c>
      <c r="C3821" s="38" t="n">
        <f aca="false">Sens!$C$3772*Sens!$C$3724</f>
        <v>0.123617442257179</v>
      </c>
      <c r="D3821" s="38" t="n">
        <f aca="false">Sens!$D$3772*Sens!$D$3724</f>
        <v>0.874366899302609</v>
      </c>
      <c r="E3821" s="38" t="n">
        <f aca="false">Sens!$E$3772*Sens!$E$3724</f>
        <v>1.29318830502574</v>
      </c>
      <c r="F3821" s="38" t="n">
        <f aca="false">Sens!$F$3772*Sens!$F$3724</f>
        <v>1.51802024162534</v>
      </c>
      <c r="G3821" s="38" t="n">
        <f aca="false">Sens!$G$3772*Sens!$G$3724</f>
        <v>2.81130189308167</v>
      </c>
      <c r="H3821" s="38" t="n">
        <f aca="false">Sens!$H$3772*Sens!$H$3724</f>
        <v>7.38966789318209</v>
      </c>
      <c r="I3821" s="38" t="n">
        <f aca="false">Sens!$I$3772*Sens!$I$3724</f>
        <v>12.8987443661473</v>
      </c>
      <c r="J3821" s="38" t="n">
        <f aca="false">Sens!$J$3772*Sens!$J$3724</f>
        <v>18.5570025453645</v>
      </c>
      <c r="K3821" s="38" t="n">
        <f aca="false">Sens!$K$3772*Sens!$K$3724</f>
        <v>24.3158972773405</v>
      </c>
      <c r="L3821" s="38" t="n">
        <f aca="false">Sens!$L$3772*Sens!$L$3724</f>
        <v>29.7827375558674</v>
      </c>
      <c r="M3821" s="38" t="n">
        <f aca="false">Sens!$M$3772*Sens!$M$3724</f>
        <v>35.3532344973194</v>
      </c>
      <c r="N3821" s="38" t="n">
        <f aca="false">Sens!$N$3772*Sens!$N$3724</f>
        <v>0.389180508437431</v>
      </c>
      <c r="O3821" s="38" t="n">
        <f aca="false">Sens!$O$3772*Sens!$O$3724</f>
        <v>0.485052120082802</v>
      </c>
    </row>
    <row r="3822" customFormat="false" ht="17.15" hidden="false" customHeight="false" outlineLevel="0" collapsed="false">
      <c r="A3822" s="0" t="s">
        <v>675</v>
      </c>
      <c r="B3822" s="0" t="s">
        <v>52</v>
      </c>
      <c r="C3822" s="28" t="n">
        <f aca="false">(Sens!$C$3823-Sens!$C$3819+Sens!$C$3821)/Sens!$C$3820</f>
        <v>0.0131526665379575</v>
      </c>
      <c r="D3822" s="28" t="n">
        <f aca="false">(Sens!$D$3823-Sens!$D$3819+Sens!$D$3821)/Sens!$D$3820</f>
        <v>0.0149280116962589</v>
      </c>
      <c r="E3822" s="28" t="n">
        <f aca="false">(Sens!$E$3823-Sens!$E$3819+Sens!$E$3821)/Sens!$E$3820</f>
        <v>0.0268030663774938</v>
      </c>
      <c r="F3822" s="28" t="n">
        <f aca="false">Sens!$O$3822+(Sens!$E$3822-Sens!$N$3822)</f>
        <v>0.0232379346966962</v>
      </c>
      <c r="G3822" s="28" t="n">
        <f aca="false">(Sens!$G$3823-Sens!$G$3819+Sens!$G$3821)/Sens!$G$3820</f>
        <v>0.0248738876928168</v>
      </c>
      <c r="H3822" s="28" t="n">
        <f aca="false">Sens!$G$3822+step_na</f>
        <v>0.0278738876928168</v>
      </c>
      <c r="I3822" s="28" t="n">
        <f aca="false">Sens!$H$3822+step_na</f>
        <v>0.0308738876928168</v>
      </c>
      <c r="J3822" s="28" t="n">
        <f aca="false">Sens!$I$3822+step_na</f>
        <v>0.0338738876928168</v>
      </c>
      <c r="K3822" s="28" t="n">
        <f aca="false">Sens!$J$3822+step_na</f>
        <v>0.0368738876928168</v>
      </c>
      <c r="L3822" s="28" t="n">
        <f aca="false">Sens!$K$3822</f>
        <v>0.0368738876928168</v>
      </c>
      <c r="M3822" s="28" t="n">
        <f aca="false">Sens!$L$3822</f>
        <v>0.0368738876928168</v>
      </c>
      <c r="N3822" s="28" t="n">
        <f aca="false">(Sens!$N$3823-Sens!$N$3819+Sens!$N$3821)/Sens!$N$3820</f>
        <v>0.0168927744775755</v>
      </c>
      <c r="O3822" s="28" t="n">
        <f aca="false">(Sens!$O$3823-Sens!$O$3819+Sens!$O$3821)/Sens!$O$3820</f>
        <v>0.0133276427967779</v>
      </c>
      <c r="P3822" s="8" t="s">
        <v>676</v>
      </c>
    </row>
    <row r="3823" customFormat="false" ht="17.15" hidden="false" customHeight="false" outlineLevel="0" collapsed="false">
      <c r="A3823" s="1" t="s">
        <v>677</v>
      </c>
      <c r="B3823" s="8" t="s">
        <v>73</v>
      </c>
      <c r="C3823" s="38" t="n">
        <f aca="false">Q!$D$22</f>
        <v>24.967</v>
      </c>
      <c r="D3823" s="38" t="n">
        <f aca="false">Q!$E$22</f>
        <v>29.619</v>
      </c>
      <c r="E3823" s="38" t="n">
        <f aca="false">Q!$P$22</f>
        <v>17.39</v>
      </c>
      <c r="F3823" s="38" t="n">
        <f aca="false">Sens!$F$3819+Sens!$F$3820*Sens!$F$3822-Sens!$F$3821</f>
        <v>20.9230952303336</v>
      </c>
      <c r="G3823" s="38" t="n">
        <f aca="false">Sens!$E$3823+Sens!$F$3823</f>
        <v>38.3130952303336</v>
      </c>
      <c r="H3823" s="38" t="n">
        <f aca="false">Sens!$H$3819+Sens!$H$3820*Sens!$H$3822-Sens!$H$3821</f>
        <v>42.4682955313858</v>
      </c>
      <c r="I3823" s="38" t="n">
        <f aca="false">Sens!$I$3819+Sens!$I$3820*Sens!$I$3822-Sens!$I$3821</f>
        <v>46.2384281670386</v>
      </c>
      <c r="J3823" s="38" t="n">
        <f aca="false">Sens!$J$3819+Sens!$J$3820*Sens!$J$3822-Sens!$J$3821</f>
        <v>50.0781216159251</v>
      </c>
      <c r="K3823" s="38" t="n">
        <f aca="false">Sens!$K$3819+Sens!$K$3820*Sens!$K$3822-Sens!$K$3821</f>
        <v>53.6320234785208</v>
      </c>
      <c r="L3823" s="38" t="n">
        <f aca="false">Sens!$L$3819+Sens!$L$3820*Sens!$L$3822-Sens!$L$3821</f>
        <v>56.8297662425371</v>
      </c>
      <c r="M3823" s="38" t="n">
        <f aca="false">Sens!$M$3819+Sens!$M$3820*Sens!$M$3822-Sens!$M$3821</f>
        <v>60.9671588205848</v>
      </c>
      <c r="N3823" s="38" t="n">
        <f aca="false">Q!$N$22</f>
        <v>13.358</v>
      </c>
      <c r="O3823" s="38" t="n">
        <f aca="false">Q!$O$22</f>
        <v>16.261</v>
      </c>
    </row>
    <row r="3824" customFormat="false" ht="17.15" hidden="false" customHeight="false" outlineLevel="0" collapsed="false">
      <c r="A3824" s="0" t="s">
        <v>678</v>
      </c>
      <c r="B3824" s="0" t="s">
        <v>73</v>
      </c>
      <c r="C3824" s="38" t="n">
        <f aca="false">Sens!$C$3728*m_ad</f>
        <v>7.57284355857716</v>
      </c>
      <c r="D3824" s="38" t="n">
        <f aca="false">Sens!$D$3728*m_ad</f>
        <v>9.44543827004127</v>
      </c>
      <c r="E3824" s="38" t="n">
        <f aca="false">Sens!$E$3728*m_ad</f>
        <v>5.02428875377928</v>
      </c>
      <c r="F3824" s="38" t="n">
        <f aca="false">Sens!$F$3728*m_ad</f>
        <v>6.78802480890925</v>
      </c>
      <c r="G3824" s="38" t="n">
        <f aca="false">Sens!$G$3728*m_ad</f>
        <v>11.8014732147805</v>
      </c>
      <c r="H3824" s="38" t="n">
        <f aca="false">Sens!$H$3728*m_ad</f>
        <v>14.2567826125551</v>
      </c>
      <c r="I3824" s="38" t="n">
        <f aca="false">Sens!$I$3728*m_ad</f>
        <v>16.8520026596936</v>
      </c>
      <c r="J3824" s="38" t="n">
        <f aca="false">Sens!$J$3728*m_ad</f>
        <v>19.4812020793635</v>
      </c>
      <c r="K3824" s="38" t="n">
        <f aca="false">Sens!$K$3728*m_ad</f>
        <v>22.0137583496807</v>
      </c>
      <c r="L3824" s="38" t="n">
        <f aca="false">Sens!$L$3728*m_ad</f>
        <v>24.8755469351392</v>
      </c>
      <c r="M3824" s="38" t="n">
        <f aca="false">Sens!$M$3728*m_ad</f>
        <v>28.1093680367073</v>
      </c>
      <c r="N3824" s="38" t="n">
        <f aca="false">Sens!$N$3728*m_ad</f>
        <v>3.95314442937518</v>
      </c>
      <c r="O3824" s="38" t="n">
        <f aca="false">Sens!$O$3728*m_ad</f>
        <v>5.50052681786011</v>
      </c>
    </row>
    <row r="3825" customFormat="false" ht="17.15" hidden="false" customHeight="false" outlineLevel="0" collapsed="false">
      <c r="A3825" s="0" t="s">
        <v>679</v>
      </c>
      <c r="B3825" s="0" t="s">
        <v>73</v>
      </c>
      <c r="C3825" s="38" t="n">
        <f aca="false">Sens!$C$3726-Sens!$C$3728</f>
        <v>127.760312882846</v>
      </c>
      <c r="D3825" s="38" t="n">
        <f aca="false">Sens!$D$3726-Sens!$D$3728</f>
        <v>143.003123459917</v>
      </c>
      <c r="E3825" s="38" t="n">
        <f aca="false">Sens!$E$3726-Sens!$E$3728</f>
        <v>71.9374224924414</v>
      </c>
      <c r="F3825" s="38" t="n">
        <f aca="false">Sens!$F$3726-Sens!$F$3728</f>
        <v>87.0563645868046</v>
      </c>
      <c r="G3825" s="38" t="n">
        <f aca="false">Sens!$G$3726-Sens!$G$3728</f>
        <v>159.015467775062</v>
      </c>
      <c r="H3825" s="38" t="n">
        <f aca="false">Sens!$H$3726-Sens!$H$3728</f>
        <v>173.864803403269</v>
      </c>
      <c r="I3825" s="38" t="n">
        <f aca="false">Sens!$I$3726-Sens!$I$3728</f>
        <v>188.068165645601</v>
      </c>
      <c r="J3825" s="38" t="n">
        <f aca="false">Sens!$J$3726-Sens!$J$3728</f>
        <v>201.22681801082</v>
      </c>
      <c r="K3825" s="38" t="n">
        <f aca="false">Sens!$K$3726-Sens!$K$3728</f>
        <v>212.941334991893</v>
      </c>
      <c r="L3825" s="38" t="n">
        <f aca="false">Sens!$L$3726-Sens!$L$3728</f>
        <v>225.363269144856</v>
      </c>
      <c r="M3825" s="38" t="n">
        <f aca="false">Sens!$M$3726-Sens!$M$3728</f>
        <v>238.536688790819</v>
      </c>
      <c r="N3825" s="38" t="n">
        <f aca="false">Sens!$N$3726-Sens!$N$3728</f>
        <v>62.3677111412496</v>
      </c>
      <c r="O3825" s="38" t="n">
        <f aca="false">Sens!$O$3726-Sens!$O$3728</f>
        <v>80.6189463642798</v>
      </c>
    </row>
    <row r="3826" customFormat="false" ht="17.15" hidden="false" customHeight="false" outlineLevel="0" collapsed="false">
      <c r="A3826" s="0" t="s">
        <v>680</v>
      </c>
      <c r="B3826" s="0" t="s">
        <v>73</v>
      </c>
      <c r="C3826" s="38" t="n">
        <f aca="false">Sens!$C$3772*(1-Sens!$C$3724)</f>
        <v>0.0455891896019953</v>
      </c>
      <c r="D3826" s="38" t="n">
        <f aca="false">Sens!$D$3772*(1-Sens!$D$3724)</f>
        <v>0.332050421167231</v>
      </c>
      <c r="E3826" s="38" t="n">
        <f aca="false">Sens!$E$3772*(1-Sens!$E$3724)</f>
        <v>0.481224293644882</v>
      </c>
      <c r="F3826" s="38" t="n">
        <f aca="false">Sens!$F$3772*(1-Sens!$F$3724)</f>
        <v>0.596018918096053</v>
      </c>
      <c r="G3826" s="38" t="n">
        <f aca="false">Sens!$G$3772*(1-Sens!$G$3724)</f>
        <v>1.07714986531035</v>
      </c>
      <c r="H3826" s="38" t="n">
        <f aca="false">Sens!$H$3772*(1-Sens!$H$3724)</f>
        <v>2.83135005721638</v>
      </c>
      <c r="I3826" s="38" t="n">
        <f aca="false">Sens!$I$3772*(1-Sens!$I$3724)</f>
        <v>4.9421518161602</v>
      </c>
      <c r="J3826" s="38" t="n">
        <f aca="false">Sens!$J$3772*(1-Sens!$J$3724)</f>
        <v>7.11011252170866</v>
      </c>
      <c r="K3826" s="38" t="n">
        <f aca="false">Sens!$K$3772*(1-Sens!$K$3724)</f>
        <v>9.31663210615807</v>
      </c>
      <c r="L3826" s="38" t="n">
        <f aca="false">Sens!$L$3772*(1-Sens!$L$3724)</f>
        <v>11.411251074039</v>
      </c>
      <c r="M3826" s="38" t="n">
        <f aca="false">Sens!$M$3772*(1-Sens!$M$3724)</f>
        <v>13.5455860755423</v>
      </c>
      <c r="N3826" s="38" t="n">
        <f aca="false">Sens!$N$3772*(1-Sens!$N$3724)</f>
        <v>0.141739115596548</v>
      </c>
      <c r="O3826" s="38" t="n">
        <f aca="false">Sens!$O$3772*(1-Sens!$O$3724)</f>
        <v>0.190445576353059</v>
      </c>
    </row>
    <row r="3827" customFormat="false" ht="17.15" hidden="false" customHeight="false" outlineLevel="0" collapsed="false">
      <c r="A3827" s="0" t="s">
        <v>681</v>
      </c>
      <c r="B3827" s="0" t="s">
        <v>52</v>
      </c>
      <c r="C3827" s="28" t="n">
        <f aca="false">(Sens!$C$3828-Sens!$C$3824+Sens!$C$3826)/Sens!$C$3825</f>
        <v>-0.0292364215826579</v>
      </c>
      <c r="D3827" s="28" t="n">
        <f aca="false">(Sens!$D$3828-Sens!$D$3824+Sens!$D$3826)/Sens!$D$3825</f>
        <v>-0.0305125352740778</v>
      </c>
      <c r="E3827" s="28" t="n">
        <f aca="false">(Sens!$E$3828-Sens!$E$3824+Sens!$E$3826)/Sens!$E$3825</f>
        <v>-0.019490056934994</v>
      </c>
      <c r="F3827" s="28" t="n">
        <f aca="false">Sens!$O$3827+(Sens!$E$3827-Sens!$N$3827)</f>
        <v>-0.0367332293992226</v>
      </c>
      <c r="G3827" s="28" t="n">
        <f aca="false">(Sens!$G$3828-Sens!$G$3824+Sens!$G$3826)/Sens!$G$3825</f>
        <v>-0.0288599526442178</v>
      </c>
      <c r="H3827" s="28" t="n">
        <f aca="false">Sens!$G$3827+step_in</f>
        <v>-0.0288599526442178</v>
      </c>
      <c r="I3827" s="28" t="n">
        <f aca="false">Sens!$H$3827+step_in</f>
        <v>-0.0288599526442178</v>
      </c>
      <c r="J3827" s="28" t="n">
        <f aca="false">Sens!$I$3827+step_in</f>
        <v>-0.0288599526442178</v>
      </c>
      <c r="K3827" s="28" t="n">
        <f aca="false">Sens!$J$3827+step_in</f>
        <v>-0.0288599526442178</v>
      </c>
      <c r="L3827" s="28" t="n">
        <f aca="false">Sens!$K$3827</f>
        <v>-0.0288599526442178</v>
      </c>
      <c r="M3827" s="28" t="n">
        <f aca="false">Sens!$L$3827</f>
        <v>-0.0288599526442178</v>
      </c>
      <c r="N3827" s="28" t="n">
        <f aca="false">(Sens!$N$3828-Sens!$N$3824+Sens!$N$3826)/Sens!$N$3825</f>
        <v>-0.02085061789158</v>
      </c>
      <c r="O3827" s="28" t="n">
        <f aca="false">(Sens!$O$3828-Sens!$O$3824+Sens!$O$3826)/Sens!$O$3825</f>
        <v>-0.0380937903558086</v>
      </c>
      <c r="P3827" s="8" t="s">
        <v>676</v>
      </c>
    </row>
    <row r="3828" customFormat="false" ht="17.15" hidden="false" customHeight="false" outlineLevel="0" collapsed="false">
      <c r="A3828" s="1" t="s">
        <v>682</v>
      </c>
      <c r="B3828" s="8" t="s">
        <v>73</v>
      </c>
      <c r="C3828" s="38" t="n">
        <f aca="false">Q!$D$23</f>
        <v>3.792</v>
      </c>
      <c r="D3828" s="38" t="n">
        <f aca="false">Q!$E$23</f>
        <v>4.75</v>
      </c>
      <c r="E3828" s="38" t="n">
        <f aca="false">Q!$P$23</f>
        <v>3.141</v>
      </c>
      <c r="F3828" s="38" t="n">
        <f aca="false">Sens!$F$3824+Sens!$F$3825*Sens!$F$3827-Sens!$F$3826</f>
        <v>2.99414447978375</v>
      </c>
      <c r="G3828" s="38" t="n">
        <f aca="false">Sens!$E$3828+Sens!$F$3828</f>
        <v>6.13514447978375</v>
      </c>
      <c r="H3828" s="38" t="n">
        <f aca="false">Sens!$H$3824+Sens!$H$3825*Sens!$H$3827-Sens!$H$3826</f>
        <v>6.40770256262407</v>
      </c>
      <c r="I3828" s="38" t="n">
        <f aca="false">Sens!$I$3824+Sens!$I$3825*Sens!$I$3827-Sens!$I$3826</f>
        <v>6.48221248911646</v>
      </c>
      <c r="J3828" s="38" t="n">
        <f aca="false">Sens!$J$3824+Sens!$J$3825*Sens!$J$3827-Sens!$J$3826</f>
        <v>6.56369311911591</v>
      </c>
      <c r="K3828" s="38" t="n">
        <f aca="false">Sens!$K$3824+Sens!$K$3825*Sens!$K$3827-Sens!$K$3826</f>
        <v>6.55164939966012</v>
      </c>
      <c r="L3828" s="38" t="n">
        <f aca="false">Sens!$L$3824+Sens!$L$3825*Sens!$L$3827-Sens!$L$3826</f>
        <v>6.96032258583355</v>
      </c>
      <c r="M3828" s="38" t="n">
        <f aca="false">Sens!$M$3824+Sens!$M$3825*Sens!$M$3827-Sens!$M$3826</f>
        <v>7.67962441875344</v>
      </c>
      <c r="N3828" s="38" t="n">
        <f aca="false">Q!$N$23</f>
        <v>2.511</v>
      </c>
      <c r="O3828" s="38" t="n">
        <f aca="false">Q!$O$23</f>
        <v>2.239</v>
      </c>
    </row>
    <row r="3829" customFormat="false" ht="17.15" hidden="false" customHeight="false" outlineLevel="0" collapsed="false">
      <c r="A3829" s="0" t="s">
        <v>683</v>
      </c>
      <c r="B3829" s="0" t="s">
        <v>73</v>
      </c>
      <c r="C3829" s="38" t="n">
        <f aca="false">Sens!$C$3769</f>
        <v>1.64417882953695</v>
      </c>
      <c r="D3829" s="38" t="n">
        <f aca="false">Sens!$D$3769</f>
        <v>3.8781008067718</v>
      </c>
      <c r="E3829" s="38" t="n">
        <f aca="false">Sens!$E$3769</f>
        <v>1.41270258088753</v>
      </c>
      <c r="F3829" s="38" t="n">
        <f aca="false">Sens!$F$3769</f>
        <v>6.50727700583486</v>
      </c>
      <c r="G3829" s="38" t="n">
        <f aca="false">Sens!$G$3769</f>
        <v>7.9199795867224</v>
      </c>
      <c r="H3829" s="38" t="n">
        <f aca="false">Sens!$H$3769</f>
        <v>19.2818189481807</v>
      </c>
      <c r="I3829" s="38" t="n">
        <f aca="false">Sens!$I$3769</f>
        <v>30.140114407202</v>
      </c>
      <c r="J3829" s="38" t="n">
        <f aca="false">Sens!$J$3769</f>
        <v>40.3569468829854</v>
      </c>
      <c r="K3829" s="38" t="n">
        <f aca="false">Sens!$K$3769</f>
        <v>50.0782975081929</v>
      </c>
      <c r="L3829" s="38" t="n">
        <f aca="false">Sens!$L$3769</f>
        <v>61.443331993499</v>
      </c>
      <c r="M3829" s="38" t="n">
        <f aca="false">Sens!$M$3769</f>
        <v>72.2498791587849</v>
      </c>
      <c r="N3829" s="38" t="n">
        <f aca="false">Sens!$N$3769</f>
        <v>0.92264103489199</v>
      </c>
      <c r="O3829" s="38" t="n">
        <f aca="false">Sens!$O$3769</f>
        <v>2.95545977187981</v>
      </c>
    </row>
    <row r="3830" customFormat="false" ht="17.15" hidden="false" customHeight="false" outlineLevel="0" collapsed="false">
      <c r="A3830" s="0" t="s">
        <v>603</v>
      </c>
      <c r="B3830" s="0" t="s">
        <v>73</v>
      </c>
      <c r="C3830" s="38" t="n">
        <f aca="false">Sens!$C$3774</f>
        <v>38.1898211704631</v>
      </c>
      <c r="D3830" s="38" t="n">
        <f aca="false">Sens!$D$3774</f>
        <v>41.7278991932282</v>
      </c>
      <c r="E3830" s="38" t="n">
        <f aca="false">Sens!$E$3774</f>
        <v>29.3692974191125</v>
      </c>
      <c r="F3830" s="38" t="n">
        <f aca="false">Sens!$F$3774</f>
        <v>29.458060516894</v>
      </c>
      <c r="G3830" s="38" t="n">
        <f aca="false">Sens!$G$3774</f>
        <v>58.8273579360065</v>
      </c>
      <c r="H3830" s="38" t="n">
        <f aca="false">Sens!$H$3774</f>
        <v>67.8004040185081</v>
      </c>
      <c r="I3830" s="38" t="n">
        <f aca="false">Sens!$I$3774</f>
        <v>78.9527630302702</v>
      </c>
      <c r="J3830" s="38" t="n">
        <f aca="false">Sens!$J$3774</f>
        <v>88.6042681781841</v>
      </c>
      <c r="K3830" s="38" t="n">
        <f aca="false">Sens!$K$3774</f>
        <v>95.6926096324389</v>
      </c>
      <c r="L3830" s="38" t="n">
        <f aca="false">Sens!$L$3774</f>
        <v>103.348018403034</v>
      </c>
      <c r="M3830" s="38" t="n">
        <f aca="false">Sens!$M$3774</f>
        <v>111.615859875277</v>
      </c>
      <c r="N3830" s="38" t="n">
        <f aca="false">Sens!$N$3774</f>
        <v>20.784358965108</v>
      </c>
      <c r="O3830" s="38" t="n">
        <f aca="false">Sens!$O$3774</f>
        <v>20.9435402281202</v>
      </c>
    </row>
    <row r="3831" customFormat="false" ht="17.15" hidden="false" customHeight="false" outlineLevel="0" collapsed="false">
      <c r="A3831" s="1" t="s">
        <v>684</v>
      </c>
      <c r="B3831" s="8" t="s">
        <v>73</v>
      </c>
      <c r="C3831" s="38" t="n">
        <f aca="false">Q!$D$24</f>
        <v>39.834</v>
      </c>
      <c r="D3831" s="38" t="n">
        <f aca="false">Q!$E$24</f>
        <v>45.606</v>
      </c>
      <c r="E3831" s="38" t="n">
        <f aca="false">Q!$P$24</f>
        <v>30.782</v>
      </c>
      <c r="F3831" s="38" t="n">
        <f aca="false">Sens!$F$3829+Sens!$F$3830</f>
        <v>35.9653375227289</v>
      </c>
      <c r="G3831" s="38" t="n">
        <f aca="false">Sens!$G$3829+Sens!$G$3830</f>
        <v>66.7473375227289</v>
      </c>
      <c r="H3831" s="38" t="n">
        <f aca="false">Sens!$H$3829+Sens!$H$3830</f>
        <v>87.0822229666888</v>
      </c>
      <c r="I3831" s="38" t="n">
        <f aca="false">Sens!$I$3829+Sens!$I$3830</f>
        <v>109.092877437472</v>
      </c>
      <c r="J3831" s="38" t="n">
        <f aca="false">Sens!$J$3829+Sens!$J$3830</f>
        <v>128.96121506117</v>
      </c>
      <c r="K3831" s="38" t="n">
        <f aca="false">Sens!$K$3829+Sens!$K$3830</f>
        <v>145.770907140632</v>
      </c>
      <c r="L3831" s="38" t="n">
        <f aca="false">Sens!$L$3829+Sens!$L$3830</f>
        <v>164.791350396533</v>
      </c>
      <c r="M3831" s="38" t="n">
        <f aca="false">Sens!$M$3829+Sens!$M$3830</f>
        <v>183.865739034062</v>
      </c>
      <c r="N3831" s="38" t="n">
        <f aca="false">Q!$N$24</f>
        <v>21.707</v>
      </c>
      <c r="O3831" s="38" t="n">
        <f aca="false">Q!$O$24</f>
        <v>23.899</v>
      </c>
    </row>
    <row r="3832" customFormat="false" ht="17.15" hidden="false" customHeight="false" outlineLevel="0" collapsed="false">
      <c r="A3832" s="5" t="s">
        <v>685</v>
      </c>
      <c r="B3832" s="0" t="s">
        <v>73</v>
      </c>
      <c r="C3832" s="38" t="n">
        <f aca="false">Q!$D$26</f>
        <v>0</v>
      </c>
      <c r="D3832" s="38" t="n">
        <f aca="false">Q!$E$26</f>
        <v>0</v>
      </c>
      <c r="E3832" s="38" t="n">
        <f aca="false">Q!$P$26</f>
        <v>0</v>
      </c>
      <c r="F3832" s="41" t="n">
        <v>0</v>
      </c>
      <c r="G3832" s="38" t="n">
        <f aca="false">Sens!$E$3832+Sens!$F$3832</f>
        <v>0</v>
      </c>
      <c r="H3832" s="41" t="n">
        <v>0</v>
      </c>
      <c r="I3832" s="41" t="n">
        <v>0</v>
      </c>
      <c r="J3832" s="41" t="n">
        <v>0</v>
      </c>
      <c r="K3832" s="41" t="n">
        <v>0</v>
      </c>
      <c r="L3832" s="41" t="n">
        <v>0</v>
      </c>
      <c r="M3832" s="41" t="n">
        <v>0</v>
      </c>
      <c r="N3832" s="38" t="n">
        <f aca="false">Q!$N$26</f>
        <v>0</v>
      </c>
      <c r="O3832" s="38" t="n">
        <f aca="false">Q!$O$26</f>
        <v>0</v>
      </c>
    </row>
    <row r="3833" customFormat="false" ht="15" hidden="false" customHeight="false" outlineLevel="0" collapsed="false">
      <c r="A3833" s="3" t="s">
        <v>494</v>
      </c>
      <c r="B3833" s="8" t="s">
        <v>73</v>
      </c>
      <c r="C3833" s="38" t="n">
        <f aca="false">Q!$D$25</f>
        <v>68.593</v>
      </c>
      <c r="D3833" s="38" t="n">
        <f aca="false">Q!$E$25</f>
        <v>79.975</v>
      </c>
      <c r="E3833" s="38" t="n">
        <f aca="false">Q!$P$25</f>
        <v>51.313</v>
      </c>
      <c r="F3833" s="38" t="n">
        <f aca="false">Sens!$F$3823+Sens!$F$3828+Sens!$F$3831+Sens!$F$3832</f>
        <v>59.8825772328462</v>
      </c>
      <c r="G3833" s="38" t="n">
        <f aca="false">Sens!$G$3823+Sens!$G$3828+Sens!$G$3831+Sens!$G$3832</f>
        <v>111.195577232846</v>
      </c>
      <c r="H3833" s="38" t="n">
        <f aca="false">Sens!$H$3823+Sens!$H$3828+Sens!$H$3831+Sens!$H$3832</f>
        <v>135.958221060699</v>
      </c>
      <c r="I3833" s="38" t="n">
        <f aca="false">Sens!$I$3823+Sens!$I$3828+Sens!$I$3831+Sens!$I$3832</f>
        <v>161.813518093627</v>
      </c>
      <c r="J3833" s="38" t="n">
        <f aca="false">Sens!$J$3823+Sens!$J$3828+Sens!$J$3831+Sens!$J$3832</f>
        <v>185.603029796211</v>
      </c>
      <c r="K3833" s="38" t="n">
        <f aca="false">Sens!$K$3823+Sens!$K$3828+Sens!$K$3831+Sens!$K$3832</f>
        <v>205.954580018813</v>
      </c>
      <c r="L3833" s="38" t="n">
        <f aca="false">Sens!$L$3823+Sens!$L$3828+Sens!$L$3831+Sens!$L$3832</f>
        <v>228.581439224904</v>
      </c>
      <c r="M3833" s="38" t="n">
        <f aca="false">Sens!$M$3823+Sens!$M$3828+Sens!$M$3831+Sens!$M$3832</f>
        <v>252.5125222734</v>
      </c>
      <c r="N3833" s="38" t="n">
        <f aca="false">Q!$N$25</f>
        <v>37.576</v>
      </c>
      <c r="O3833" s="38" t="n">
        <f aca="false">Q!$O$25</f>
        <v>42.399</v>
      </c>
    </row>
    <row r="3834" customFormat="false" ht="17.15" hidden="false" customHeight="false" outlineLevel="0" collapsed="false">
      <c r="A3834" s="24" t="s">
        <v>711</v>
      </c>
      <c r="B3834" s="25" t="s">
        <v>73</v>
      </c>
      <c r="C3834" s="39" t="n">
        <f aca="false">Sens!$C$3823+Sens!$C$3828+Sens!$C$3831+Sens!$C$3832-Sens!$C$3833</f>
        <v>0</v>
      </c>
      <c r="D3834" s="39" t="n">
        <f aca="false">Sens!$D$3823+Sens!$D$3828+Sens!$D$3831+Sens!$D$3832-Sens!$D$3833</f>
        <v>0</v>
      </c>
      <c r="E3834" s="39" t="n">
        <f aca="false">Sens!$E$3823+Sens!$E$3828+Sens!$E$3831+Sens!$E$3832-Sens!$E$3833</f>
        <v>0</v>
      </c>
      <c r="F3834" s="39" t="n">
        <f aca="false">Sens!$F$3823+Sens!$F$3828+Sens!$F$3831+Sens!$F$3832-Sens!$F$3833</f>
        <v>0</v>
      </c>
      <c r="G3834" s="39" t="n">
        <f aca="false">Sens!$G$3823+Sens!$G$3828+Sens!$G$3831+Sens!$G$3832-Sens!$G$3833</f>
        <v>0</v>
      </c>
      <c r="H3834" s="39" t="n">
        <f aca="false">Sens!$H$3823+Sens!$H$3828+Sens!$H$3831+Sens!$H$3832-Sens!$H$3833</f>
        <v>0</v>
      </c>
      <c r="I3834" s="39" t="n">
        <f aca="false">Sens!$I$3823+Sens!$I$3828+Sens!$I$3831+Sens!$I$3832-Sens!$I$3833</f>
        <v>0</v>
      </c>
      <c r="J3834" s="39" t="n">
        <f aca="false">Sens!$J$3823+Sens!$J$3828+Sens!$J$3831+Sens!$J$3832-Sens!$J$3833</f>
        <v>0</v>
      </c>
      <c r="K3834" s="39" t="n">
        <f aca="false">Sens!$K$3823+Sens!$K$3828+Sens!$K$3831+Sens!$K$3832-Sens!$K$3833</f>
        <v>0</v>
      </c>
      <c r="L3834" s="39" t="n">
        <f aca="false">Sens!$L$3823+Sens!$L$3828+Sens!$L$3831+Sens!$L$3832-Sens!$L$3833</f>
        <v>0</v>
      </c>
      <c r="M3834" s="39" t="n">
        <f aca="false">Sens!$M$3823+Sens!$M$3828+Sens!$M$3831+Sens!$M$3832-Sens!$M$3833</f>
        <v>0</v>
      </c>
      <c r="N3834" s="39" t="n">
        <f aca="false">Sens!$N$3823+Sens!$N$3828+Sens!$N$3831+Sens!$N$3832-Sens!$N$3833</f>
        <v>0</v>
      </c>
      <c r="O3834" s="39" t="n">
        <f aca="false">Sens!$O$3823+Sens!$O$3828+Sens!$O$3831+Sens!$O$3832-Sens!$O$3833</f>
        <v>0</v>
      </c>
    </row>
    <row r="3835" customFormat="false" ht="17.15" hidden="false" customHeight="false" outlineLevel="0" collapsed="false">
      <c r="A3835" s="0" t="s">
        <v>687</v>
      </c>
      <c r="B3835" s="0" t="s">
        <v>52</v>
      </c>
      <c r="C3835" s="12" t="n">
        <f aca="false">Sens!$C$3823/Sens!$C$3808</f>
        <v>0.0644314665661928</v>
      </c>
      <c r="D3835" s="12" t="n">
        <f aca="false">Sens!$D$3823/Sens!$D$3808</f>
        <v>0.0694784250712518</v>
      </c>
      <c r="E3835" s="12" t="n">
        <f aca="false">Sens!$E$3823/Sens!$E$3808</f>
        <v>0.0789306463326071</v>
      </c>
      <c r="F3835" s="12" t="n">
        <f aca="false">Sens!$F$3823/Sens!$F$3808</f>
        <v>0.0816338957078875</v>
      </c>
      <c r="G3835" s="12" t="n">
        <f aca="false">Sens!$G$3823/Sens!$G$3808</f>
        <v>0.080384315570057</v>
      </c>
      <c r="H3835" s="12" t="n">
        <f aca="false">Sens!$H$3823/Sens!$H$3808</f>
        <v>0.0804024692432139</v>
      </c>
      <c r="I3835" s="12" t="n">
        <f aca="false">Sens!$I$3823/Sens!$I$3808</f>
        <v>0.079884893542692</v>
      </c>
      <c r="J3835" s="12" t="n">
        <f aca="false">Sens!$J$3823/Sens!$J$3808</f>
        <v>0.0798846177127466</v>
      </c>
      <c r="K3835" s="12" t="n">
        <f aca="false">Sens!$K$3823/Sens!$K$3808</f>
        <v>0.0799672838942432</v>
      </c>
      <c r="L3835" s="12" t="n">
        <f aca="false">Sens!$L$3823/Sens!$L$3808</f>
        <v>0.079146415690539</v>
      </c>
      <c r="M3835" s="12" t="n">
        <f aca="false">Sens!$M$3823/Sens!$M$3808</f>
        <v>0.0792506432918533</v>
      </c>
      <c r="N3835" s="12" t="n">
        <f aca="false">Sens!$N$3823/Sens!$N$3808</f>
        <v>0.069228576611127</v>
      </c>
      <c r="O3835" s="12" t="n">
        <f aca="false">Sens!$O$3823/Sens!$O$3808</f>
        <v>0.069685022498393</v>
      </c>
    </row>
    <row r="3836" customFormat="false" ht="17.15" hidden="false" customHeight="false" outlineLevel="0" collapsed="false">
      <c r="A3836" s="0" t="s">
        <v>688</v>
      </c>
      <c r="B3836" s="0" t="s">
        <v>52</v>
      </c>
      <c r="C3836" s="12" t="n">
        <f aca="false">Sens!$C$3828/Sens!$C$3809</f>
        <v>0.026534925055631</v>
      </c>
      <c r="D3836" s="12" t="n">
        <f aca="false">Sens!$D$3828/Sens!$D$3809</f>
        <v>0.0293401855535103</v>
      </c>
      <c r="E3836" s="12" t="n">
        <f aca="false">Sens!$E$3828/Sens!$E$3809</f>
        <v>0.03831141902276</v>
      </c>
      <c r="F3836" s="12" t="n">
        <f aca="false">Sens!$F$3828/Sens!$F$3809</f>
        <v>0.0297532808235678</v>
      </c>
      <c r="G3836" s="12" t="n">
        <f aca="false">Sens!$G$3828/Sens!$G$3809</f>
        <v>0.0335954317997163</v>
      </c>
      <c r="H3836" s="12" t="n">
        <f aca="false">Sens!$H$3828/Sens!$H$3809</f>
        <v>0.0316619933545878</v>
      </c>
      <c r="I3836" s="12" t="n">
        <f aca="false">Sens!$I$3828/Sens!$I$3809</f>
        <v>0.0292291519756995</v>
      </c>
      <c r="J3836" s="12" t="n">
        <f aca="false">Sens!$J$3828/Sens!$J$3809</f>
        <v>0.0273271758816999</v>
      </c>
      <c r="K3836" s="12" t="n">
        <f aca="false">Sens!$K$3828/Sens!$K$3809</f>
        <v>0.0254958893131992</v>
      </c>
      <c r="L3836" s="12" t="n">
        <f aca="false">Sens!$L$3828/Sens!$L$3809</f>
        <v>0.0252997426581128</v>
      </c>
      <c r="M3836" s="12" t="n">
        <f aca="false">Sens!$M$3828/Sens!$M$3809</f>
        <v>0.0260542258799502</v>
      </c>
      <c r="N3836" s="12" t="n">
        <f aca="false">Sens!$N$3828/Sens!$N$3809</f>
        <v>0.0357315650169337</v>
      </c>
      <c r="O3836" s="12" t="n">
        <f aca="false">Sens!$O$3828/Sens!$O$3809</f>
        <v>0.0244378956559703</v>
      </c>
    </row>
    <row r="3837" customFormat="false" ht="17.15" hidden="false" customHeight="false" outlineLevel="0" collapsed="false">
      <c r="A3837" s="13" t="s">
        <v>689</v>
      </c>
      <c r="B3837" s="13" t="s">
        <v>52</v>
      </c>
      <c r="C3837" s="16" t="n">
        <f aca="false">Sens!$C$3831/Sens!$C$3810</f>
        <v>0.370355907620217</v>
      </c>
      <c r="D3837" s="16" t="n">
        <f aca="false">Sens!$D$3831/Sens!$D$3810</f>
        <v>0.35429015342785</v>
      </c>
      <c r="E3837" s="16" t="n">
        <f aca="false">Sens!$E$3831/Sens!$E$3810</f>
        <v>0.385647527531039</v>
      </c>
      <c r="F3837" s="16" t="n">
        <f aca="false">Sens!$F$3831/Sens!$F$3810</f>
        <v>0.384415729470259</v>
      </c>
      <c r="G3837" s="16" t="n">
        <f aca="false">Sens!$G$3831/Sens!$G$3810</f>
        <v>0.38498282105443</v>
      </c>
      <c r="H3837" s="16" t="n">
        <f aca="false">Sens!$H$3831/Sens!$H$3810</f>
        <v>0.361247909668527</v>
      </c>
      <c r="I3837" s="16" t="n">
        <f aca="false">Sens!$I$3831/Sens!$I$3810</f>
        <v>0.349486287974975</v>
      </c>
      <c r="J3837" s="16" t="n">
        <f aca="false">Sens!$J$3831/Sens!$J$3810</f>
        <v>0.339886531832068</v>
      </c>
      <c r="K3837" s="16" t="n">
        <f aca="false">Sens!$K$3831/Sens!$K$3810</f>
        <v>0.33135833762061</v>
      </c>
      <c r="L3837" s="16" t="n">
        <f aca="false">Sens!$L$3831/Sens!$L$3810</f>
        <v>0.328299068185284</v>
      </c>
      <c r="M3837" s="16" t="n">
        <f aca="false">Sens!$M$3831/Sens!$M$3810</f>
        <v>0.325058049465166</v>
      </c>
      <c r="N3837" s="16" t="n">
        <f aca="false">Sens!$N$3831/Sens!$N$3810</f>
        <v>0.360941137346192</v>
      </c>
      <c r="O3837" s="16" t="n">
        <f aca="false">Sens!$O$3831/Sens!$O$3810</f>
        <v>0.348458117664212</v>
      </c>
    </row>
    <row r="3838" customFormat="false" ht="17.15" hidden="false" customHeight="false" outlineLevel="0" collapsed="false">
      <c r="A3838" s="0" t="s">
        <v>690</v>
      </c>
      <c r="B3838" s="0" t="s">
        <v>52</v>
      </c>
      <c r="C3838" s="12" t="n">
        <f aca="false">Sens!$C$3829/Sens!$C$3811</f>
        <v>0.708390794789371</v>
      </c>
      <c r="D3838" s="12" t="n">
        <f aca="false">Sens!$D$3829/Sens!$D$3811</f>
        <v>0.445565630441968</v>
      </c>
      <c r="E3838" s="12" t="n">
        <f aca="false">Sens!$E$3829/Sens!$E$3811</f>
        <v>0.165998118402711</v>
      </c>
      <c r="F3838" s="12" t="n">
        <f aca="false">Sens!$F$3829/Sens!$F$3811</f>
        <v>0.434878595403858</v>
      </c>
      <c r="G3838" s="12" t="n">
        <f aca="false">Sens!$G$3829/Sens!$G$3811</f>
        <v>0.3373967615381</v>
      </c>
      <c r="H3838" s="12" t="n">
        <f aca="false">Sens!$H$3829/Sens!$H$3811</f>
        <v>0.320477578041224</v>
      </c>
      <c r="I3838" s="12" t="n">
        <f aca="false">Sens!$I$3829/Sens!$I$3811</f>
        <v>0.296936118226494</v>
      </c>
      <c r="J3838" s="12" t="n">
        <f aca="false">Sens!$J$3829/Sens!$J$3811</f>
        <v>0.282166278613001</v>
      </c>
      <c r="K3838" s="12" t="n">
        <f aca="false">Sens!$K$3829/Sens!$K$3811</f>
        <v>0.271267685694333</v>
      </c>
      <c r="L3838" s="12" t="n">
        <f aca="false">Sens!$L$3829/Sens!$L$3811</f>
        <v>0.27160960915653</v>
      </c>
      <c r="M3838" s="12" t="n">
        <f aca="false">Sens!$M$3829/Sens!$M$3811</f>
        <v>0.26974494804234</v>
      </c>
      <c r="N3838" s="12" t="n">
        <f aca="false">Sens!$N$3829/Sens!$N$3811</f>
        <v>0.302870734830849</v>
      </c>
      <c r="O3838" s="12" t="n">
        <f aca="false">Sens!$O$3829/Sens!$O$3811</f>
        <v>0.52240134346334</v>
      </c>
    </row>
    <row r="3839" customFormat="false" ht="15" hidden="false" customHeight="false" outlineLevel="0" collapsed="false">
      <c r="A3839" s="5" t="s">
        <v>691</v>
      </c>
      <c r="B3839" s="0" t="s">
        <v>52</v>
      </c>
      <c r="C3839" s="12" t="n">
        <f aca="false">Sens!$C$3833/Sens!$C$3813</f>
        <v>0.107519448742004</v>
      </c>
      <c r="D3839" s="12" t="n">
        <f aca="false">Sens!$D$3833/Sens!$D$3813</f>
        <v>0.111552967957552</v>
      </c>
      <c r="E3839" s="12" t="n">
        <f aca="false">Sens!$E$3833/Sens!$E$3813</f>
        <v>0.13428328426562</v>
      </c>
      <c r="F3839" s="12" t="n">
        <f aca="false">Sens!$F$3833/Sens!$F$3813</f>
        <v>0.132926212451512</v>
      </c>
      <c r="G3839" s="12" t="n">
        <f aca="false">Sens!$G$3833/Sens!$G$3813</f>
        <v>0.133549030959228</v>
      </c>
      <c r="H3839" s="12" t="n">
        <f aca="false">Sens!$H$3833/Sens!$H$3813</f>
        <v>0.139927368734221</v>
      </c>
      <c r="I3839" s="12" t="n">
        <f aca="false">Sens!$I$3833/Sens!$I$3813</f>
        <v>0.145419317452915</v>
      </c>
      <c r="J3839" s="12" t="n">
        <f aca="false">Sens!$J$3833/Sens!$J$3813</f>
        <v>0.14890003536623</v>
      </c>
      <c r="K3839" s="12" t="n">
        <f aca="false">Sens!$K$3833/Sens!$K$3813</f>
        <v>0.150599739737875</v>
      </c>
      <c r="L3839" s="12" t="n">
        <f aca="false">Sens!$L$3833/Sens!$L$3813</f>
        <v>0.15288678206794</v>
      </c>
      <c r="M3839" s="12" t="n">
        <f aca="false">Sens!$M$3833/Sens!$M$3813</f>
        <v>0.154945071415101</v>
      </c>
      <c r="N3839" s="12" t="n">
        <f aca="false">Sens!$N$3833/Sens!$N$3813</f>
        <v>0.116201614873411</v>
      </c>
      <c r="O3839" s="12" t="n">
        <f aca="false">Sens!$O$3833/Sens!$O$3813</f>
        <v>0.107733353660861</v>
      </c>
    </row>
    <row r="3840" customFormat="false" ht="17.15" hidden="false" customHeight="false" outlineLevel="0" collapsed="false">
      <c r="A3840" s="1" t="s">
        <v>692</v>
      </c>
    </row>
    <row r="3841" customFormat="false" ht="17.15" hidden="false" customHeight="false" outlineLevel="0" collapsed="false">
      <c r="A3841" s="5" t="s">
        <v>693</v>
      </c>
      <c r="B3841" s="0" t="s">
        <v>52</v>
      </c>
      <c r="D3841" s="28" t="n">
        <f aca="false">(Q!$E$29+Q!$E$30-(1-ext_sh)*Sens!$D$3765)/Sens!$D$3723</f>
        <v>0.0334674312393194</v>
      </c>
    </row>
    <row r="3842" customFormat="false" ht="17.15" hidden="false" customHeight="false" outlineLevel="0" collapsed="false">
      <c r="A3842" s="0" t="s">
        <v>498</v>
      </c>
      <c r="B3842" s="0" t="s">
        <v>73</v>
      </c>
      <c r="C3842" s="38" t="n">
        <f aca="false">Q!$D$29</f>
        <v>14.285</v>
      </c>
      <c r="D3842" s="38" t="n">
        <f aca="false">Q!$E$29</f>
        <v>15.503</v>
      </c>
      <c r="E3842" s="38" t="n">
        <f aca="false">Q!$P$29</f>
        <v>8.78</v>
      </c>
      <c r="F3842" s="38" t="n">
        <f aca="false">(Sens!$D$3841*Sens!$F$3723+(1-ext_sh)*Sens!$F$3765)*Sens!$F$3724</f>
        <v>9.51361751569285</v>
      </c>
      <c r="G3842" s="38" t="n">
        <f aca="false">Sens!$E$3842+Sens!$F$3842</f>
        <v>18.2936175156929</v>
      </c>
      <c r="H3842" s="38" t="n">
        <f aca="false">(Sens!$D$3841*Sens!$H$3723+(1-ext_sh)*Sens!$H$3765)*Sens!$H$3724</f>
        <v>22.7808287337706</v>
      </c>
      <c r="I3842" s="38" t="n">
        <f aca="false">(Sens!$D$3841*Sens!$I$3723+(1-ext_sh)*Sens!$I$3765)*Sens!$I$3724</f>
        <v>28.4835361666997</v>
      </c>
      <c r="J3842" s="38" t="n">
        <f aca="false">(Sens!$D$3841*Sens!$J$3723+(1-ext_sh)*Sens!$J$3765)*Sens!$J$3724</f>
        <v>34.247333682885</v>
      </c>
      <c r="K3842" s="38" t="n">
        <f aca="false">(Sens!$D$3841*Sens!$K$3723+(1-ext_sh)*Sens!$K$3765)*Sens!$K$3724</f>
        <v>39.9678172516923</v>
      </c>
      <c r="L3842" s="38" t="n">
        <f aca="false">(Sens!$D$3841*Sens!$L$3723+(1-ext_sh)*Sens!$L$3765)*Sens!$L$3724</f>
        <v>45.5151332861724</v>
      </c>
      <c r="M3842" s="38" t="n">
        <f aca="false">(Sens!$D$3841*Sens!$M$3723+(1-ext_sh)*Sens!$M$3765)*Sens!$M$3724</f>
        <v>51.296513227344</v>
      </c>
      <c r="N3842" s="38" t="n">
        <f aca="false">Q!$N$29</f>
        <v>7.272</v>
      </c>
      <c r="O3842" s="38" t="n">
        <f aca="false">Q!$O$29</f>
        <v>8.231</v>
      </c>
    </row>
    <row r="3843" customFormat="false" ht="17.15" hidden="false" customHeight="false" outlineLevel="0" collapsed="false">
      <c r="A3843" s="0" t="s">
        <v>500</v>
      </c>
      <c r="B3843" s="0" t="s">
        <v>73</v>
      </c>
      <c r="C3843" s="38" t="n">
        <f aca="false">Q!$D$30</f>
        <v>4.462</v>
      </c>
      <c r="D3843" s="38" t="n">
        <f aca="false">Q!$E$30</f>
        <v>4.907</v>
      </c>
      <c r="E3843" s="38" t="n">
        <f aca="false">Q!$P$30</f>
        <v>2.57</v>
      </c>
      <c r="F3843" s="38" t="n">
        <f aca="false">(Sens!$D$3841*Sens!$F$3723+(1-ext_sh)*Sens!$F$3765)*(1-Sens!$F$3724)</f>
        <v>3.7353230631574</v>
      </c>
      <c r="G3843" s="38" t="n">
        <f aca="false">Sens!$E$3843+Sens!$F$3843</f>
        <v>6.3053230631574</v>
      </c>
      <c r="H3843" s="38" t="n">
        <f aca="false">(Sens!$D$3841*Sens!$H$3723+(1-ext_sh)*Sens!$H$3765)*(1-Sens!$H$3724)</f>
        <v>8.72847084214812</v>
      </c>
      <c r="I3843" s="38" t="n">
        <f aca="false">(Sens!$D$3841*Sens!$I$3723+(1-ext_sh)*Sens!$I$3765)*(1-Sens!$I$3724)</f>
        <v>10.9134622720619</v>
      </c>
      <c r="J3843" s="38" t="n">
        <f aca="false">(Sens!$D$3841*Sens!$J$3723+(1-ext_sh)*Sens!$J$3765)*(1-Sens!$J$3724)</f>
        <v>13.1218603574876</v>
      </c>
      <c r="K3843" s="38" t="n">
        <f aca="false">(Sens!$D$3841*Sens!$K$3723+(1-ext_sh)*Sens!$K$3765)*(1-Sens!$K$3724)</f>
        <v>15.313662710986</v>
      </c>
      <c r="L3843" s="38" t="n">
        <f aca="false">(Sens!$D$3841*Sens!$L$3723+(1-ext_sh)*Sens!$L$3765)*(1-Sens!$L$3724)</f>
        <v>17.439115951735</v>
      </c>
      <c r="M3843" s="38" t="n">
        <f aca="false">(Sens!$D$3841*Sens!$M$3723+(1-ext_sh)*Sens!$M$3765)*(1-Sens!$M$3724)</f>
        <v>19.6542507404483</v>
      </c>
      <c r="N3843" s="38" t="n">
        <f aca="false">Q!$N$30</f>
        <v>2.316</v>
      </c>
      <c r="O3843" s="38" t="n">
        <f aca="false">Q!$O$30</f>
        <v>2.591</v>
      </c>
    </row>
    <row r="3844" customFormat="false" ht="17.15" hidden="false" customHeight="false" outlineLevel="0" collapsed="false">
      <c r="A3844" s="0" t="s">
        <v>501</v>
      </c>
      <c r="B3844" s="0" t="s">
        <v>73</v>
      </c>
      <c r="C3844" s="38" t="n">
        <f aca="false">Sens!$C$3777</f>
        <v>13.32</v>
      </c>
      <c r="D3844" s="38" t="n">
        <f aca="false">Sens!$D$3777</f>
        <v>21.45</v>
      </c>
      <c r="E3844" s="38" t="n">
        <f aca="false">Sens!$E$3777</f>
        <v>15.353</v>
      </c>
      <c r="F3844" s="38" t="n">
        <f aca="false">Sens!$F$3777</f>
        <v>17.3614451462707</v>
      </c>
      <c r="G3844" s="38" t="n">
        <f aca="false">Sens!$G$3777</f>
        <v>32.7144451462707</v>
      </c>
      <c r="H3844" s="38" t="n">
        <f aca="false">Sens!$H$3777</f>
        <v>56.1966092719415</v>
      </c>
      <c r="I3844" s="38" t="n">
        <f aca="false">Sens!$I$3777</f>
        <v>82.9744039068297</v>
      </c>
      <c r="J3844" s="38" t="n">
        <f aca="false">Sens!$J$3777</f>
        <v>109.943252237669</v>
      </c>
      <c r="K3844" s="38" t="n">
        <f aca="false">Sens!$K$3777</f>
        <v>136.406703436571</v>
      </c>
      <c r="L3844" s="38" t="n">
        <f aca="false">Sens!$L$3777</f>
        <v>161.485870454155</v>
      </c>
      <c r="M3844" s="38" t="n">
        <f aca="false">Sens!$M$3777</f>
        <v>187.389846618199</v>
      </c>
      <c r="N3844" s="38" t="n">
        <f aca="false">Sens!$N$3777</f>
        <v>9.234</v>
      </c>
      <c r="O3844" s="38" t="n">
        <f aca="false">Sens!$O$3777</f>
        <v>12.216</v>
      </c>
    </row>
    <row r="3845" customFormat="false" ht="17.15" hidden="false" customHeight="false" outlineLevel="0" collapsed="false">
      <c r="A3845" s="5" t="s">
        <v>694</v>
      </c>
      <c r="B3845" s="0" t="s">
        <v>73</v>
      </c>
      <c r="C3845" s="38" t="n">
        <f aca="false">Sens!$C$3842+Sens!$C$3843+Sens!$C$3844</f>
        <v>32.067</v>
      </c>
      <c r="D3845" s="38" t="n">
        <f aca="false">Sens!$D$3842+Sens!$D$3843+Sens!$D$3844</f>
        <v>41.86</v>
      </c>
      <c r="E3845" s="38" t="n">
        <f aca="false">Sens!$E$3842+Sens!$E$3843+Sens!$E$3844</f>
        <v>26.703</v>
      </c>
      <c r="F3845" s="38" t="n">
        <f aca="false">Sens!$F$3842+Sens!$F$3843+Sens!$F$3844</f>
        <v>30.6103857251209</v>
      </c>
      <c r="G3845" s="38" t="n">
        <f aca="false">Sens!$G$3842+Sens!$G$3843+Sens!$G$3844</f>
        <v>57.3133857251209</v>
      </c>
      <c r="H3845" s="38" t="n">
        <f aca="false">Sens!$H$3842+Sens!$H$3843+Sens!$H$3844</f>
        <v>87.7059088478602</v>
      </c>
      <c r="I3845" s="38" t="n">
        <f aca="false">Sens!$I$3842+Sens!$I$3843+Sens!$I$3844</f>
        <v>122.371402345591</v>
      </c>
      <c r="J3845" s="38" t="n">
        <f aca="false">Sens!$J$3842+Sens!$J$3843+Sens!$J$3844</f>
        <v>157.312446278041</v>
      </c>
      <c r="K3845" s="38" t="n">
        <f aca="false">Sens!$K$3842+Sens!$K$3843+Sens!$K$3844</f>
        <v>191.688183399249</v>
      </c>
      <c r="L3845" s="38" t="n">
        <f aca="false">Sens!$L$3842+Sens!$L$3843+Sens!$L$3844</f>
        <v>224.440119692062</v>
      </c>
      <c r="M3845" s="38" t="n">
        <f aca="false">Sens!$M$3842+Sens!$M$3843+Sens!$M$3844</f>
        <v>258.340610585992</v>
      </c>
      <c r="N3845" s="38" t="n">
        <f aca="false">Sens!$N$3842+Sens!$N$3843+Sens!$N$3844</f>
        <v>18.822</v>
      </c>
      <c r="O3845" s="38" t="n">
        <f aca="false">Sens!$O$3842+Sens!$O$3843+Sens!$O$3844</f>
        <v>23.038</v>
      </c>
    </row>
    <row r="3846" customFormat="false" ht="17.15" hidden="false" customHeight="false" outlineLevel="0" collapsed="false">
      <c r="A3846" s="0" t="s">
        <v>695</v>
      </c>
      <c r="B3846" s="0" t="s">
        <v>73</v>
      </c>
      <c r="C3846" s="38" t="n">
        <f aca="false">Sens!$C$3819+Sens!$C$3824</f>
        <v>28.107</v>
      </c>
      <c r="D3846" s="38" t="n">
        <f aca="false">Sens!$D$3819+Sens!$D$3824</f>
        <v>34.3175</v>
      </c>
      <c r="E3846" s="38" t="n">
        <f aca="false">Sens!$E$3819+Sens!$E$3824</f>
        <v>18.526</v>
      </c>
      <c r="F3846" s="38" t="n">
        <f aca="false">Sens!$F$3819+Sens!$F$3824</f>
        <v>24.0766690913691</v>
      </c>
      <c r="G3846" s="38" t="n">
        <f aca="false">Sens!$G$3819+Sens!$G$3824</f>
        <v>42.6026690913691</v>
      </c>
      <c r="H3846" s="38" t="n">
        <f aca="false">Sens!$H$3819+Sens!$H$3824</f>
        <v>51.4662009476554</v>
      </c>
      <c r="I3846" s="38" t="n">
        <f aca="false">Sens!$I$3819+Sens!$I$3824</f>
        <v>60.8348025514839</v>
      </c>
      <c r="J3846" s="38" t="n">
        <f aca="false">Sens!$J$3819+Sens!$J$3824</f>
        <v>70.326067820902</v>
      </c>
      <c r="K3846" s="38" t="n">
        <f aca="false">Sens!$K$3819+Sens!$K$3824</f>
        <v>79.4684566376193</v>
      </c>
      <c r="L3846" s="38" t="n">
        <f aca="false">Sens!$L$3819+Sens!$L$3824</f>
        <v>89.7993560005098</v>
      </c>
      <c r="M3846" s="38" t="n">
        <f aca="false">Sens!$M$3819+Sens!$M$3824</f>
        <v>101.473272280576</v>
      </c>
      <c r="N3846" s="38" t="n">
        <f aca="false">Sens!$N$3819+Sens!$N$3824</f>
        <v>14.8075</v>
      </c>
      <c r="O3846" s="38" t="n">
        <f aca="false">Sens!$O$3819+Sens!$O$3824</f>
        <v>19.51</v>
      </c>
    </row>
    <row r="3847" customFormat="false" ht="17.15" hidden="false" customHeight="false" outlineLevel="0" collapsed="false">
      <c r="A3847" s="0" t="s">
        <v>696</v>
      </c>
      <c r="B3847" s="0" t="s">
        <v>73</v>
      </c>
      <c r="C3847" s="38" t="n">
        <f aca="false">Sens!$C$3823+Sens!$C$3828+Sens!$C$3842+Sens!$C$3843-Sens!$C$3846</f>
        <v>19.399</v>
      </c>
      <c r="D3847" s="38" t="n">
        <f aca="false">Sens!$D$3823+Sens!$D$3828+Sens!$D$3842+Sens!$D$3843-Sens!$D$3846</f>
        <v>20.4615</v>
      </c>
      <c r="E3847" s="38" t="n">
        <f aca="false">Sens!$E$3823+Sens!$E$3828+Sens!$E$3842+Sens!$E$3843-Sens!$E$3846</f>
        <v>13.355</v>
      </c>
      <c r="F3847" s="38" t="n">
        <f aca="false">Sens!$F$3823+Sens!$F$3828+Sens!$F$3842+Sens!$F$3843-Sens!$F$3846</f>
        <v>13.0895111975985</v>
      </c>
      <c r="G3847" s="38" t="n">
        <f aca="false">Sens!$G$3823+Sens!$G$3828+Sens!$G$3842+Sens!$G$3843-Sens!$G$3846</f>
        <v>26.4445111975985</v>
      </c>
      <c r="H3847" s="38" t="n">
        <f aca="false">Sens!$H$3823+Sens!$H$3828+Sens!$H$3842+Sens!$H$3843-Sens!$H$3846</f>
        <v>28.9190967222732</v>
      </c>
      <c r="I3847" s="38" t="n">
        <f aca="false">Sens!$I$3823+Sens!$I$3828+Sens!$I$3842+Sens!$I$3843-Sens!$I$3846</f>
        <v>31.2828365434327</v>
      </c>
      <c r="J3847" s="38" t="n">
        <f aca="false">Sens!$J$3823+Sens!$J$3828+Sens!$J$3842+Sens!$J$3843-Sens!$J$3846</f>
        <v>33.6849409545116</v>
      </c>
      <c r="K3847" s="38" t="n">
        <f aca="false">Sens!$K$3823+Sens!$K$3828+Sens!$K$3842+Sens!$K$3843-Sens!$K$3846</f>
        <v>35.9966962032399</v>
      </c>
      <c r="L3847" s="38" t="n">
        <f aca="false">Sens!$L$3823+Sens!$L$3828+Sens!$L$3842+Sens!$L$3843-Sens!$L$3846</f>
        <v>36.9449820657682</v>
      </c>
      <c r="M3847" s="38" t="n">
        <f aca="false">Sens!$M$3823+Sens!$M$3828+Sens!$M$3842+Sens!$M$3843-Sens!$M$3846</f>
        <v>38.1242749265546</v>
      </c>
      <c r="N3847" s="38" t="n">
        <f aca="false">Sens!$N$3823+Sens!$N$3828+Sens!$N$3842+Sens!$N$3843-Sens!$N$3846</f>
        <v>10.6495</v>
      </c>
      <c r="O3847" s="38" t="n">
        <f aca="false">Sens!$O$3823+Sens!$O$3828+Sens!$O$3842+Sens!$O$3843-Sens!$O$3846</f>
        <v>9.81200000000001</v>
      </c>
    </row>
    <row r="3848" customFormat="false" ht="17.15" hidden="false" customHeight="false" outlineLevel="0" collapsed="false">
      <c r="A3848" s="0" t="s">
        <v>697</v>
      </c>
      <c r="B3848" s="0" t="s">
        <v>73</v>
      </c>
      <c r="C3848" s="38" t="n">
        <f aca="false">Sens!$C$3830+Sens!$C$3844-ext_sh*Sens!$C$3765</f>
        <v>51.3470500115664</v>
      </c>
      <c r="D3848" s="38" t="n">
        <f aca="false">Sens!$D$3830+Sens!$D$3844-ext_sh*Sens!$D$3765</f>
        <v>60.2799375433739</v>
      </c>
      <c r="E3848" s="38" t="n">
        <f aca="false">Sens!$E$3830+Sens!$E$3844-ext_sh*Sens!$E$3765</f>
        <v>39.5095167090767</v>
      </c>
      <c r="F3848" s="38" t="n">
        <f aca="false">Sens!$F$3830+Sens!$F$3844-ext_sh*Sens!$F$3765</f>
        <v>41.606724953129</v>
      </c>
      <c r="G3848" s="38" t="n">
        <f aca="false">Sens!$G$3830+Sens!$G$3844-ext_sh*Sens!$G$3765</f>
        <v>81.1162416622057</v>
      </c>
      <c r="H3848" s="38" t="n">
        <f aca="false">Sens!$H$3830+Sens!$H$3844-ext_sh*Sens!$H$3765</f>
        <v>95.7616595325849</v>
      </c>
      <c r="I3848" s="38" t="n">
        <f aca="false">Sens!$I$3830+Sens!$I$3844-ext_sh*Sens!$I$3765</f>
        <v>111.513312079935</v>
      </c>
      <c r="J3848" s="38" t="n">
        <f aca="false">Sens!$J$3830+Sens!$J$3844-ext_sh*Sens!$J$3765</f>
        <v>125.145150463955</v>
      </c>
      <c r="K3848" s="38" t="n">
        <f aca="false">Sens!$K$3830+Sens!$K$3844-ext_sh*Sens!$K$3765</f>
        <v>135.156762501071</v>
      </c>
      <c r="L3848" s="38" t="n">
        <f aca="false">Sens!$L$3830+Sens!$L$3844-ext_sh*Sens!$L$3765</f>
        <v>145.969303501157</v>
      </c>
      <c r="M3848" s="38" t="n">
        <f aca="false">Sens!$M$3830+Sens!$M$3844-ext_sh*Sens!$M$3765</f>
        <v>157.646847781249</v>
      </c>
      <c r="N3848" s="38" t="n">
        <f aca="false">Sens!$N$3830+Sens!$N$3844-ext_sh*Sens!$N$3765</f>
        <v>28.5693781401809</v>
      </c>
      <c r="O3848" s="38" t="n">
        <f aca="false">Sens!$O$3830+Sens!$O$3844-ext_sh*Sens!$O$3765</f>
        <v>31.7105594031931</v>
      </c>
    </row>
    <row r="3849" customFormat="false" ht="17.15" hidden="false" customHeight="false" outlineLevel="0" collapsed="false">
      <c r="A3849" s="0" t="s">
        <v>698</v>
      </c>
      <c r="B3849" s="0" t="s">
        <v>73</v>
      </c>
      <c r="C3849" s="38" t="n">
        <f aca="false">Sens!$C$3768</f>
        <v>1.80694998843362</v>
      </c>
      <c r="D3849" s="38" t="n">
        <f aca="false">Sens!$D$3768</f>
        <v>6.77606245662607</v>
      </c>
      <c r="E3849" s="38" t="n">
        <f aca="false">Sens!$E$3768</f>
        <v>6.62548329092326</v>
      </c>
      <c r="F3849" s="38" t="n">
        <f aca="false">Sens!$F$3768</f>
        <v>11.7200577158706</v>
      </c>
      <c r="G3849" s="38" t="n">
        <f aca="false">Sens!$G$3768</f>
        <v>18.3455410067939</v>
      </c>
      <c r="H3849" s="38" t="n">
        <f aca="false">Sens!$H$3768</f>
        <v>47.5171727060453</v>
      </c>
      <c r="I3849" s="38" t="n">
        <f aca="false">Sens!$I$3768</f>
        <v>80.5539692643667</v>
      </c>
      <c r="J3849" s="38" t="n">
        <f aca="false">Sens!$J$3768</f>
        <v>113.759316834883</v>
      </c>
      <c r="K3849" s="38" t="n">
        <f aca="false">Sens!$K$3768</f>
        <v>147.020848076132</v>
      </c>
      <c r="L3849" s="38" t="n">
        <f aca="false">Sens!$L$3768</f>
        <v>180.307917349531</v>
      </c>
      <c r="M3849" s="38" t="n">
        <f aca="false">Sens!$M$3768</f>
        <v>213.608737871012</v>
      </c>
      <c r="N3849" s="38" t="n">
        <f aca="false">Sens!$N$3768</f>
        <v>2.37162185981912</v>
      </c>
      <c r="O3849" s="38" t="n">
        <f aca="false">Sens!$O$3768</f>
        <v>4.40444059680694</v>
      </c>
    </row>
    <row r="3850" customFormat="false" ht="17.15" hidden="false" customHeight="false" outlineLevel="0" collapsed="false">
      <c r="A3850" s="0" t="s">
        <v>699</v>
      </c>
      <c r="B3850" s="0" t="s">
        <v>73</v>
      </c>
      <c r="C3850" s="38" t="n">
        <f aca="false">Sens!$C$3833+Sens!$C$3845</f>
        <v>100.66</v>
      </c>
      <c r="D3850" s="38" t="n">
        <f aca="false">Sens!$D$3833+Sens!$D$3845</f>
        <v>121.835</v>
      </c>
      <c r="E3850" s="38" t="n">
        <f aca="false">Sens!$E$3833+Sens!$E$3845</f>
        <v>78.016</v>
      </c>
      <c r="F3850" s="38" t="n">
        <f aca="false">Sens!$F$3833+Sens!$F$3845</f>
        <v>90.4929629579672</v>
      </c>
      <c r="G3850" s="38" t="n">
        <f aca="false">Sens!$G$3833+Sens!$G$3845</f>
        <v>168.508962957967</v>
      </c>
      <c r="H3850" s="38" t="n">
        <f aca="false">Sens!$H$3833+Sens!$H$3845</f>
        <v>223.664129908559</v>
      </c>
      <c r="I3850" s="38" t="n">
        <f aca="false">Sens!$I$3833+Sens!$I$3845</f>
        <v>284.184920439219</v>
      </c>
      <c r="J3850" s="38" t="n">
        <f aca="false">Sens!$J$3833+Sens!$J$3845</f>
        <v>342.915476074252</v>
      </c>
      <c r="K3850" s="38" t="n">
        <f aca="false">Sens!$K$3833+Sens!$K$3845</f>
        <v>397.642763418062</v>
      </c>
      <c r="L3850" s="38" t="n">
        <f aca="false">Sens!$L$3833+Sens!$L$3845</f>
        <v>453.021558916966</v>
      </c>
      <c r="M3850" s="38" t="n">
        <f aca="false">Sens!$M$3833+Sens!$M$3845</f>
        <v>510.853132859392</v>
      </c>
      <c r="N3850" s="38" t="n">
        <f aca="false">Sens!$N$3833+Sens!$N$3845</f>
        <v>56.398</v>
      </c>
      <c r="O3850" s="38" t="n">
        <f aca="false">Sens!$O$3833+Sens!$O$3845</f>
        <v>65.437</v>
      </c>
    </row>
    <row r="3851" customFormat="false" ht="17.15" hidden="false" customHeight="false" outlineLevel="0" collapsed="false">
      <c r="A3851" s="1" t="s">
        <v>700</v>
      </c>
    </row>
    <row r="3852" customFormat="false" ht="15" hidden="false" customHeight="false" outlineLevel="0" collapsed="false">
      <c r="A3852" s="5" t="s">
        <v>504</v>
      </c>
      <c r="B3852" s="0" t="s">
        <v>73</v>
      </c>
      <c r="C3852" s="38" t="n">
        <f aca="false">Q!$D$34</f>
        <v>2.406</v>
      </c>
      <c r="D3852" s="38" t="n">
        <f aca="false">Q!$E$34</f>
        <v>2.274</v>
      </c>
      <c r="E3852" s="38" t="n">
        <f aca="false">Q!$P$34</f>
        <v>2.114</v>
      </c>
      <c r="F3852" s="38" t="n">
        <f aca="false">Sens!$F$3888</f>
        <v>3.24888964316061</v>
      </c>
      <c r="G3852" s="38" t="n">
        <f aca="false">Sens!$E$3852+Sens!$F$3852</f>
        <v>5.36288964316061</v>
      </c>
      <c r="H3852" s="38" t="n">
        <f aca="false">Sens!$H$3888</f>
        <v>7.42354178632123</v>
      </c>
      <c r="I3852" s="38" t="n">
        <f aca="false">Sens!$I$3888</f>
        <v>7.50110501639385</v>
      </c>
      <c r="J3852" s="38" t="n">
        <f aca="false">Sens!$J$3888</f>
        <v>7.69034552270242</v>
      </c>
      <c r="K3852" s="38" t="n">
        <f aca="false">Sens!$K$3888</f>
        <v>7.69034552270242</v>
      </c>
      <c r="L3852" s="38" t="n">
        <f aca="false">Sens!$L$3888</f>
        <v>7.69034552270242</v>
      </c>
      <c r="M3852" s="38" t="n">
        <f aca="false">Sens!$M$3888</f>
        <v>7.69034552270242</v>
      </c>
      <c r="N3852" s="38" t="n">
        <f aca="false">Q!$N$34</f>
        <v>1.057</v>
      </c>
      <c r="O3852" s="38" t="n">
        <f aca="false">Q!$O$34</f>
        <v>1.217</v>
      </c>
    </row>
    <row r="3853" customFormat="false" ht="15" hidden="false" customHeight="false" outlineLevel="0" collapsed="false">
      <c r="A3853" s="5" t="s">
        <v>701</v>
      </c>
      <c r="B3853" s="0" t="s">
        <v>73</v>
      </c>
      <c r="F3853" s="38" t="n">
        <f aca="false">Sens!$F$3889</f>
        <v>2.59</v>
      </c>
      <c r="H3853" s="38" t="n">
        <f aca="false">Sens!$H$3889</f>
        <v>4.00971603121774</v>
      </c>
      <c r="I3853" s="38" t="n">
        <f aca="false">Sens!$I$3889</f>
        <v>2.10589651022864</v>
      </c>
      <c r="J3853" s="38" t="n">
        <f aca="false">Sens!$J$3889</f>
        <v>2.10589651022864</v>
      </c>
      <c r="K3853" s="38" t="n">
        <f aca="false">Sens!$K$3889</f>
        <v>3.87797546186194</v>
      </c>
      <c r="L3853" s="38" t="n">
        <f aca="false">Sens!$L$3889</f>
        <v>7.52544292735915</v>
      </c>
      <c r="M3853" s="38" t="n">
        <f aca="false">Sens!$M$3889</f>
        <v>11.7860506236502</v>
      </c>
    </row>
    <row r="3854" customFormat="false" ht="17.15" hidden="false" customHeight="false" outlineLevel="0" collapsed="false">
      <c r="A3854" s="5" t="s">
        <v>702</v>
      </c>
      <c r="B3854" s="0" t="s">
        <v>73</v>
      </c>
      <c r="C3854" s="38" t="n">
        <f aca="false">Q!$D$39</f>
        <v>2.427</v>
      </c>
      <c r="D3854" s="38" t="n">
        <f aca="false">Q!$E$39</f>
        <v>19.61</v>
      </c>
      <c r="E3854" s="38" t="n">
        <f aca="false">Q!$P$39</f>
        <v>71.492</v>
      </c>
      <c r="F3854" s="41" t="n">
        <v>0</v>
      </c>
      <c r="G3854" s="38" t="n">
        <f aca="false">Sens!$E$3854+Sens!$F$3854</f>
        <v>71.492</v>
      </c>
      <c r="H3854" s="41" t="n">
        <v>0</v>
      </c>
      <c r="I3854" s="41" t="n">
        <v>0</v>
      </c>
      <c r="J3854" s="41" t="n">
        <v>0</v>
      </c>
      <c r="K3854" s="41" t="n">
        <v>0</v>
      </c>
      <c r="L3854" s="41" t="n">
        <v>0</v>
      </c>
      <c r="M3854" s="41" t="n">
        <v>0</v>
      </c>
      <c r="N3854" s="38" t="n">
        <f aca="false">Q!$N$39</f>
        <v>6.017</v>
      </c>
      <c r="O3854" s="38" t="n">
        <f aca="false">Q!$O$39</f>
        <v>13.593</v>
      </c>
      <c r="P3854" s="5" t="s">
        <v>703</v>
      </c>
    </row>
    <row r="3855" customFormat="false" ht="15" hidden="false" customHeight="false" outlineLevel="0" collapsed="false">
      <c r="A3855" s="5" t="s">
        <v>507</v>
      </c>
      <c r="B3855" s="0" t="s">
        <v>73</v>
      </c>
      <c r="C3855" s="38" t="n">
        <f aca="false">Q!$D$36</f>
        <v>68.614</v>
      </c>
      <c r="D3855" s="38" t="n">
        <f aca="false">Q!$E$36</f>
        <v>97.311</v>
      </c>
      <c r="E3855" s="38" t="n">
        <f aca="false">Q!$P$36</f>
        <v>120.691</v>
      </c>
      <c r="F3855" s="38" t="n">
        <f aca="false">Sens!$F$3833-Sens!$F$3852+Sens!$F$3853+Sens!$F$3854</f>
        <v>59.2236875896856</v>
      </c>
      <c r="G3855" s="38" t="n">
        <f aca="false">Sens!$E$3855+Sens!$F$3855</f>
        <v>179.914687589686</v>
      </c>
      <c r="H3855" s="38" t="n">
        <f aca="false">Sens!$H$3833-Sens!$H$3852+Sens!$H$3853+Sens!$H$3854</f>
        <v>132.544395305595</v>
      </c>
      <c r="I3855" s="38" t="n">
        <f aca="false">Sens!$I$3833-Sens!$I$3852+Sens!$I$3853+Sens!$I$3854</f>
        <v>156.418309587462</v>
      </c>
      <c r="J3855" s="38" t="n">
        <f aca="false">Sens!$J$3833-Sens!$J$3852+Sens!$J$3853+Sens!$J$3854</f>
        <v>180.018580783737</v>
      </c>
      <c r="K3855" s="38" t="n">
        <f aca="false">Sens!$K$3833-Sens!$K$3852+Sens!$K$3853+Sens!$K$3854</f>
        <v>202.142209957972</v>
      </c>
      <c r="L3855" s="38" t="n">
        <f aca="false">Sens!$L$3833-Sens!$L$3852+Sens!$L$3853+Sens!$L$3854</f>
        <v>228.41653662956</v>
      </c>
      <c r="M3855" s="38" t="n">
        <f aca="false">Sens!$M$3833-Sens!$M$3852+Sens!$M$3853+Sens!$M$3854</f>
        <v>256.608227374348</v>
      </c>
      <c r="N3855" s="38" t="n">
        <f aca="false">Q!$N$36</f>
        <v>42.536</v>
      </c>
      <c r="O3855" s="38" t="n">
        <f aca="false">Q!$O$36</f>
        <v>54.775</v>
      </c>
    </row>
    <row r="3856" customFormat="false" ht="15" hidden="false" customHeight="false" outlineLevel="0" collapsed="false">
      <c r="A3856" s="5" t="s">
        <v>508</v>
      </c>
      <c r="B3856" s="0" t="s">
        <v>73</v>
      </c>
      <c r="C3856" s="38" t="n">
        <f aca="false">Q!$D$37</f>
        <v>9.265</v>
      </c>
      <c r="D3856" s="38" t="n">
        <f aca="false">Q!$E$37</f>
        <v>19.087</v>
      </c>
      <c r="E3856" s="38" t="n">
        <f aca="false">Q!$P$37</f>
        <v>27.759</v>
      </c>
      <c r="F3856" s="38" t="n">
        <f aca="false">Sens!$F$3855*tax</f>
        <v>10.2803157750071</v>
      </c>
      <c r="G3856" s="38" t="n">
        <f aca="false">Sens!$E$3856+Sens!$F$3856</f>
        <v>38.0393157750071</v>
      </c>
      <c r="H3856" s="38" t="n">
        <f aca="false">Sens!$H$3855*tax</f>
        <v>23.0076561153919</v>
      </c>
      <c r="I3856" s="38" t="n">
        <f aca="false">Sens!$I$3855*tax</f>
        <v>27.1517982246007</v>
      </c>
      <c r="J3856" s="38" t="n">
        <f aca="false">Sens!$J$3855*tax</f>
        <v>31.2484401283338</v>
      </c>
      <c r="K3856" s="38" t="n">
        <f aca="false">Sens!$K$3855*tax</f>
        <v>35.0887598256826</v>
      </c>
      <c r="L3856" s="38" t="n">
        <f aca="false">Sens!$L$3855*tax</f>
        <v>39.6495763832564</v>
      </c>
      <c r="M3856" s="38" t="n">
        <f aca="false">Sens!$M$3855*tax</f>
        <v>44.5432176758367</v>
      </c>
      <c r="N3856" s="38" t="n">
        <f aca="false">Q!$N$37</f>
        <v>7.231</v>
      </c>
      <c r="O3856" s="38" t="n">
        <f aca="false">Q!$O$37</f>
        <v>11.856</v>
      </c>
    </row>
    <row r="3857" customFormat="false" ht="15" hidden="false" customHeight="false" outlineLevel="0" collapsed="false">
      <c r="A3857" s="3" t="s">
        <v>509</v>
      </c>
      <c r="B3857" s="8" t="s">
        <v>73</v>
      </c>
      <c r="C3857" s="38" t="n">
        <f aca="false">Q!$D$38</f>
        <v>59.248</v>
      </c>
      <c r="D3857" s="38" t="n">
        <f aca="false">Q!$E$38</f>
        <v>77.67</v>
      </c>
      <c r="E3857" s="38" t="n">
        <f aca="false">Q!$P$38</f>
        <v>92.902</v>
      </c>
      <c r="F3857" s="38" t="n">
        <f aca="false">Sens!$F$3855-Sens!$F$3856</f>
        <v>48.9433718146785</v>
      </c>
      <c r="G3857" s="38" t="n">
        <f aca="false">Sens!$E$3857+Sens!$F$3857</f>
        <v>141.845371814679</v>
      </c>
      <c r="H3857" s="38" t="n">
        <f aca="false">Sens!$H$3855-Sens!$H$3856</f>
        <v>109.536739190203</v>
      </c>
      <c r="I3857" s="38" t="n">
        <f aca="false">Sens!$I$3855-Sens!$I$3856</f>
        <v>129.266511362861</v>
      </c>
      <c r="J3857" s="38" t="n">
        <f aca="false">Sens!$J$3855-Sens!$J$3856</f>
        <v>148.770140655403</v>
      </c>
      <c r="K3857" s="38" t="n">
        <f aca="false">Sens!$K$3855-Sens!$K$3856</f>
        <v>167.05345013229</v>
      </c>
      <c r="L3857" s="38" t="n">
        <f aca="false">Sens!$L$3855-Sens!$L$3856</f>
        <v>188.766960246304</v>
      </c>
      <c r="M3857" s="38" t="n">
        <f aca="false">Sens!$M$3855-Sens!$M$3856</f>
        <v>212.065009698511</v>
      </c>
      <c r="N3857" s="38" t="n">
        <f aca="false">Q!$N$38</f>
        <v>35.291</v>
      </c>
      <c r="O3857" s="38" t="n">
        <f aca="false">Q!$O$38</f>
        <v>42.379</v>
      </c>
    </row>
    <row r="3858" customFormat="false" ht="17.15" hidden="false" customHeight="false" outlineLevel="0" collapsed="false">
      <c r="A3858" s="5" t="s">
        <v>512</v>
      </c>
      <c r="B3858" s="5" t="s">
        <v>33</v>
      </c>
      <c r="C3858" s="22" t="n">
        <f aca="false">Q!$D$41</f>
        <v>10.721</v>
      </c>
      <c r="D3858" s="22" t="n">
        <f aca="false">Q!$E$41</f>
        <v>10.827</v>
      </c>
      <c r="E3858" s="22" t="n">
        <f aca="false">(Q!$L$41+Q!$M$41)/2</f>
        <v>10.8885</v>
      </c>
      <c r="F3858" s="22" t="n">
        <f aca="false">Sens!$G$3858</f>
        <v>10.924806</v>
      </c>
      <c r="G3858" s="22" t="n">
        <f aca="false">Q!$M$41*(1+sh_g*0.25)</f>
        <v>10.924806</v>
      </c>
      <c r="H3858" s="22" t="n">
        <f aca="false">Sens!$G$3858*(1+sh_g)</f>
        <v>11.012204448</v>
      </c>
      <c r="I3858" s="22" t="n">
        <f aca="false">Sens!$H$3858*(1+sh_g)</f>
        <v>11.100302083584</v>
      </c>
      <c r="J3858" s="22" t="n">
        <f aca="false">Sens!$I$3858*(1+sh_g)</f>
        <v>11.1891045002527</v>
      </c>
      <c r="K3858" s="22" t="n">
        <f aca="false">Sens!$J$3858*(1+sh_g)</f>
        <v>11.2786173362547</v>
      </c>
      <c r="L3858" s="22" t="n">
        <f aca="false">Sens!$K$3858*(1+sh_g)</f>
        <v>11.3688462749447</v>
      </c>
      <c r="M3858" s="22" t="n">
        <f aca="false">Sens!$L$3858*(1+sh_g)</f>
        <v>11.4597970451443</v>
      </c>
      <c r="P3858" s="5" t="s">
        <v>704</v>
      </c>
    </row>
    <row r="3859" customFormat="false" ht="17.15" hidden="false" customHeight="false" outlineLevel="0" collapsed="false">
      <c r="A3859" s="42" t="s">
        <v>705</v>
      </c>
      <c r="B3859" s="13" t="s">
        <v>27</v>
      </c>
      <c r="C3859" s="43" t="n">
        <f aca="false">Sens!$C$3857/Sens!$C$3858</f>
        <v>5.52635015390355</v>
      </c>
      <c r="D3859" s="43" t="n">
        <f aca="false">Sens!$D$3857/Sens!$D$3858</f>
        <v>7.1737323358271</v>
      </c>
      <c r="E3859" s="43" t="n">
        <f aca="false">Sens!$E$3857/Sens!$E$3858</f>
        <v>8.53212104513937</v>
      </c>
      <c r="F3859" s="13"/>
      <c r="G3859" s="43" t="n">
        <f aca="false">Sens!$G$3857/Sens!$G$3858</f>
        <v>12.9837886196495</v>
      </c>
      <c r="H3859" s="43" t="n">
        <f aca="false">Sens!$H$3857/Sens!$H$3858</f>
        <v>9.94684939854136</v>
      </c>
      <c r="I3859" s="43" t="n">
        <f aca="false">Sens!$I$3857/Sens!$I$3858</f>
        <v>11.6453147301307</v>
      </c>
      <c r="J3859" s="43" t="n">
        <f aca="false">Sens!$J$3857/Sens!$J$3858</f>
        <v>13.295982770743</v>
      </c>
      <c r="K3859" s="43" t="n">
        <f aca="false">Sens!$K$3857/Sens!$K$3858</f>
        <v>14.811518571102</v>
      </c>
      <c r="L3859" s="43" t="n">
        <f aca="false">Sens!$L$3857/Sens!$L$3858</f>
        <v>16.6038800843247</v>
      </c>
      <c r="M3859" s="43" t="n">
        <f aca="false">Sens!$M$3857/Sens!$M$3858</f>
        <v>18.5051278712101</v>
      </c>
      <c r="N3859" s="13"/>
      <c r="O3859" s="13"/>
    </row>
    <row r="3860" customFormat="false" ht="17.15" hidden="false" customHeight="false" outlineLevel="0" collapsed="false">
      <c r="A3860" s="0" t="s">
        <v>706</v>
      </c>
      <c r="B3860" s="0" t="s">
        <v>27</v>
      </c>
      <c r="C3860" s="30" t="n">
        <f aca="false">(Sens!$C$3857-Sens!$C$3854*(1-tax))/Sens!$C$3858</f>
        <v>5.33926775917445</v>
      </c>
      <c r="D3860" s="30" t="n">
        <f aca="false">(Sens!$D$3857-Sens!$D$3854*(1-tax))/Sens!$D$3858</f>
        <v>5.67691812755503</v>
      </c>
      <c r="E3860" s="30" t="n">
        <f aca="false">(Sens!$E$3857-Sens!$E$3854*(1-tax))/Sens!$E$3858</f>
        <v>3.10602057006846</v>
      </c>
      <c r="G3860" s="30" t="n">
        <f aca="false">(Sens!$G$3857-Sens!$G$3854*(1-tax))/Sens!$G$3858</f>
        <v>7.57572050175252</v>
      </c>
      <c r="H3860" s="30" t="n">
        <f aca="false">(Sens!$H$3857-Sens!$H$3854*(1-tax))/Sens!$H$3858</f>
        <v>9.94684939854136</v>
      </c>
      <c r="I3860" s="30" t="n">
        <f aca="false">(Sens!$I$3857-Sens!$I$3854*(1-tax))/Sens!$I$3858</f>
        <v>11.6453147301307</v>
      </c>
      <c r="J3860" s="30" t="n">
        <f aca="false">(Sens!$J$3857-Sens!$J$3854*(1-tax))/Sens!$J$3858</f>
        <v>13.295982770743</v>
      </c>
      <c r="K3860" s="30" t="n">
        <f aca="false">(Sens!$K$3857-Sens!$K$3854*(1-tax))/Sens!$K$3858</f>
        <v>14.811518571102</v>
      </c>
      <c r="L3860" s="30" t="n">
        <f aca="false">(Sens!$L$3857-Sens!$L$3854*(1-tax))/Sens!$L$3858</f>
        <v>16.6038800843247</v>
      </c>
      <c r="M3860" s="30" t="n">
        <f aca="false">(Sens!$M$3857-Sens!$M$3854*(1-tax))/Sens!$M$3858</f>
        <v>18.5051278712101</v>
      </c>
      <c r="P3860" s="5" t="s">
        <v>707</v>
      </c>
    </row>
    <row r="3861" customFormat="false" ht="17.15" hidden="false" customHeight="false" outlineLevel="0" collapsed="false">
      <c r="A3861" s="0" t="s">
        <v>708</v>
      </c>
      <c r="B3861" s="0" t="s">
        <v>52</v>
      </c>
      <c r="H3861" s="12" t="n">
        <f aca="false">Sens!$H$3859/Sens!$G$3859-1</f>
        <v>-0.23390239244284</v>
      </c>
      <c r="I3861" s="12" t="n">
        <f aca="false">Sens!$I$3859/Sens!$H$3859-1</f>
        <v>0.170754101478446</v>
      </c>
      <c r="J3861" s="12" t="n">
        <f aca="false">Sens!$J$3859/Sens!$I$3859-1</f>
        <v>0.141745249386987</v>
      </c>
      <c r="K3861" s="12" t="n">
        <f aca="false">Sens!$K$3859/Sens!$J$3859-1</f>
        <v>0.113984488885908</v>
      </c>
      <c r="L3861" s="12" t="n">
        <f aca="false">Sens!$L$3859/Sens!$K$3859-1</f>
        <v>0.121011326733213</v>
      </c>
      <c r="M3861" s="12" t="n">
        <f aca="false">Sens!$M$3859/Sens!$L$3859-1</f>
        <v>0.114506234520468</v>
      </c>
    </row>
    <row r="3864" customFormat="false" ht="19.4" hidden="false" customHeight="false" outlineLevel="0" collapsed="false">
      <c r="A3864" s="31" t="s">
        <v>1126</v>
      </c>
    </row>
    <row r="3865" customFormat="false" ht="17.15" hidden="false" customHeight="false" outlineLevel="0" collapsed="false">
      <c r="A3865" s="6" t="s">
        <v>16</v>
      </c>
      <c r="B3865" s="6" t="s">
        <v>17</v>
      </c>
      <c r="C3865" s="20" t="s">
        <v>457</v>
      </c>
      <c r="D3865" s="20" t="s">
        <v>458</v>
      </c>
      <c r="E3865" s="20" t="s">
        <v>540</v>
      </c>
      <c r="F3865" s="20" t="s">
        <v>541</v>
      </c>
      <c r="G3865" s="20" t="s">
        <v>542</v>
      </c>
      <c r="H3865" s="20" t="s">
        <v>543</v>
      </c>
      <c r="I3865" s="20" t="s">
        <v>544</v>
      </c>
      <c r="J3865" s="20" t="s">
        <v>545</v>
      </c>
      <c r="K3865" s="20" t="s">
        <v>546</v>
      </c>
      <c r="L3865" s="20" t="s">
        <v>547</v>
      </c>
      <c r="M3865" s="20" t="s">
        <v>548</v>
      </c>
      <c r="N3865" s="20" t="s">
        <v>549</v>
      </c>
      <c r="O3865" s="20" t="s">
        <v>550</v>
      </c>
      <c r="P3865" s="6" t="s">
        <v>23</v>
      </c>
      <c r="R3865" s="20" t="n">
        <v>2023</v>
      </c>
      <c r="S3865" s="20" t="n">
        <v>2024</v>
      </c>
      <c r="T3865" s="20" t="n">
        <v>2025</v>
      </c>
      <c r="U3865" s="20" t="n">
        <v>2026</v>
      </c>
      <c r="V3865" s="20" t="n">
        <v>2027</v>
      </c>
      <c r="W3865" s="20" t="n">
        <v>2028</v>
      </c>
      <c r="X3865" s="20" t="n">
        <v>2029</v>
      </c>
      <c r="Y3865" s="20" t="n">
        <v>2030</v>
      </c>
      <c r="Z3865" s="20" t="n">
        <v>2031</v>
      </c>
      <c r="AA3865" s="20" t="n">
        <v>2032</v>
      </c>
    </row>
    <row r="3866" customFormat="false" ht="15" hidden="false" customHeight="false" outlineLevel="0" collapsed="false">
      <c r="A3866" s="5" t="s">
        <v>509</v>
      </c>
      <c r="B3866" s="0" t="s">
        <v>73</v>
      </c>
      <c r="C3866" s="38" t="n">
        <f aca="false">Sens!$C$3857</f>
        <v>59.248</v>
      </c>
      <c r="D3866" s="38" t="n">
        <f aca="false">Sens!$D$3857</f>
        <v>77.67</v>
      </c>
      <c r="E3866" s="38" t="n">
        <f aca="false">Sens!$E$3857</f>
        <v>92.902</v>
      </c>
      <c r="F3866" s="38" t="n">
        <f aca="false">Sens!$F$3857</f>
        <v>48.9433718146785</v>
      </c>
      <c r="G3866" s="38" t="n">
        <f aca="false">Sens!$G$3857</f>
        <v>141.845371814679</v>
      </c>
      <c r="H3866" s="38" t="n">
        <f aca="false">Sens!$H$3857</f>
        <v>109.536739190203</v>
      </c>
      <c r="I3866" s="38" t="n">
        <f aca="false">Sens!$I$3857</f>
        <v>129.266511362861</v>
      </c>
      <c r="J3866" s="38" t="n">
        <f aca="false">Sens!$J$3857</f>
        <v>148.770140655403</v>
      </c>
      <c r="K3866" s="38" t="n">
        <f aca="false">Sens!$K$3857</f>
        <v>167.05345013229</v>
      </c>
      <c r="L3866" s="38" t="n">
        <f aca="false">Sens!$L$3857</f>
        <v>188.766960246304</v>
      </c>
      <c r="M3866" s="38" t="n">
        <f aca="false">Sens!$M$3857</f>
        <v>212.065009698511</v>
      </c>
    </row>
    <row r="3867" customFormat="false" ht="17.15" hidden="false" customHeight="false" outlineLevel="0" collapsed="false">
      <c r="A3867" s="5" t="s">
        <v>730</v>
      </c>
      <c r="B3867" s="0" t="s">
        <v>73</v>
      </c>
      <c r="C3867" s="38" t="n">
        <f aca="false">Sens!$C$3845</f>
        <v>32.067</v>
      </c>
      <c r="D3867" s="38" t="n">
        <f aca="false">Sens!$D$3845</f>
        <v>41.86</v>
      </c>
      <c r="E3867" s="38" t="n">
        <f aca="false">Sens!$E$3845</f>
        <v>26.703</v>
      </c>
      <c r="F3867" s="38" t="n">
        <f aca="false">Sens!$F$3845</f>
        <v>30.6103857251209</v>
      </c>
      <c r="G3867" s="38" t="n">
        <f aca="false">Sens!$G$3845</f>
        <v>57.3133857251209</v>
      </c>
      <c r="H3867" s="38" t="n">
        <f aca="false">Sens!$H$3845</f>
        <v>87.7059088478602</v>
      </c>
      <c r="I3867" s="38" t="n">
        <f aca="false">Sens!$I$3845</f>
        <v>122.371402345591</v>
      </c>
      <c r="J3867" s="38" t="n">
        <f aca="false">Sens!$J$3845</f>
        <v>157.312446278041</v>
      </c>
      <c r="K3867" s="38" t="n">
        <f aca="false">Sens!$K$3845</f>
        <v>191.688183399249</v>
      </c>
      <c r="L3867" s="38" t="n">
        <f aca="false">Sens!$L$3845</f>
        <v>224.440119692062</v>
      </c>
      <c r="M3867" s="38" t="n">
        <f aca="false">Sens!$M$3845</f>
        <v>258.340610585992</v>
      </c>
    </row>
    <row r="3868" customFormat="false" ht="15" hidden="false" customHeight="false" outlineLevel="0" collapsed="false">
      <c r="A3868" s="5" t="s">
        <v>731</v>
      </c>
      <c r="B3868" s="0" t="s">
        <v>73</v>
      </c>
      <c r="C3868" s="38" t="n">
        <f aca="false">Q!$D$48</f>
        <v>22.011</v>
      </c>
      <c r="D3868" s="38" t="n">
        <f aca="false">Q!$E$48</f>
        <v>19.467</v>
      </c>
      <c r="E3868" s="38" t="n">
        <f aca="false">Q!$P$48</f>
        <v>10.07</v>
      </c>
      <c r="F3868" s="38" t="n">
        <f aca="false">sbc_r*Sens!$F$3789</f>
        <v>11.2170714500462</v>
      </c>
      <c r="G3868" s="38" t="n">
        <f aca="false">Sens!$E$3868+Sens!$F$3868</f>
        <v>21.2870714500462</v>
      </c>
      <c r="H3868" s="38" t="n">
        <f aca="false">sbc_r*Sens!$H$3789</f>
        <v>24.1931511735574</v>
      </c>
      <c r="I3868" s="38" t="n">
        <f aca="false">sbc_r*Sens!$I$3789</f>
        <v>27.7065423781893</v>
      </c>
      <c r="J3868" s="38" t="n">
        <f aca="false">sbc_r*Sens!$J$3789</f>
        <v>31.0370112574851</v>
      </c>
      <c r="K3868" s="38" t="n">
        <f aca="false">sbc_r*Sens!$K$3789</f>
        <v>34.0515484885115</v>
      </c>
      <c r="L3868" s="38" t="n">
        <f aca="false">sbc_r*Sens!$L$3789</f>
        <v>37.2272243270286</v>
      </c>
      <c r="M3868" s="38" t="n">
        <f aca="false">sbc_r*Sens!$M$3789</f>
        <v>40.5783876519022</v>
      </c>
    </row>
    <row r="3869" customFormat="false" ht="17.15" hidden="false" customHeight="false" outlineLevel="0" collapsed="false">
      <c r="A3869" s="5" t="s">
        <v>732</v>
      </c>
      <c r="B3869" s="0" t="s">
        <v>73</v>
      </c>
      <c r="C3869" s="38" t="n">
        <f aca="false">Q!$D$44-Sens!$C$3866-Sens!$C$3867-Sens!$C$3868</f>
        <v>2.551</v>
      </c>
      <c r="D3869" s="38" t="n">
        <f aca="false">Q!$E$44-Sens!$D$3866-Sens!$D$3867-Sens!$D$3868</f>
        <v>0.51700000000001</v>
      </c>
      <c r="E3869" s="38" t="n">
        <f aca="false">Q!$P$44-Sens!$E$3866-Sens!$E$3867-Sens!$E$3868</f>
        <v>-58.256</v>
      </c>
      <c r="F3869" s="38" t="n">
        <f aca="false">wc_2h26+oth_r*Sens!$F$3789</f>
        <v>7.34599241893378</v>
      </c>
      <c r="G3869" s="38" t="n">
        <f aca="false">Sens!$E$3869+Sens!$F$3869</f>
        <v>-50.9100075810662</v>
      </c>
      <c r="H3869" s="38" t="n">
        <f aca="false">oth_r*Sens!$H$3789</f>
        <v>11.6446293810153</v>
      </c>
      <c r="I3869" s="38" t="n">
        <f aca="false">oth_r*Sens!$I$3789</f>
        <v>13.3356922010241</v>
      </c>
      <c r="J3869" s="38" t="n">
        <f aca="false">oth_r*Sens!$J$3789</f>
        <v>14.9387109845711</v>
      </c>
      <c r="K3869" s="38" t="n">
        <f aca="false">oth_r*Sens!$K$3789</f>
        <v>16.3896657840824</v>
      </c>
      <c r="L3869" s="38" t="n">
        <f aca="false">oth_r*Sens!$L$3789</f>
        <v>17.9181796973173</v>
      </c>
      <c r="M3869" s="38" t="n">
        <f aca="false">oth_r*Sens!$M$3789</f>
        <v>19.5311591158915</v>
      </c>
      <c r="P3869" s="8" t="s">
        <v>733</v>
      </c>
    </row>
    <row r="3870" customFormat="false" ht="15" hidden="false" customHeight="false" outlineLevel="0" collapsed="false">
      <c r="A3870" s="3" t="s">
        <v>515</v>
      </c>
      <c r="B3870" s="8" t="s">
        <v>73</v>
      </c>
      <c r="C3870" s="38" t="n">
        <f aca="false">Q!$D$44</f>
        <v>115.877</v>
      </c>
      <c r="D3870" s="38" t="n">
        <f aca="false">Q!$E$44</f>
        <v>139.514</v>
      </c>
      <c r="E3870" s="38" t="n">
        <f aca="false">Q!$P$44</f>
        <v>71.419</v>
      </c>
      <c r="F3870" s="38" t="n">
        <f aca="false">Sens!$F$3866+Sens!$F$3867+Sens!$F$3868+Sens!$F$3869</f>
        <v>98.1168214087795</v>
      </c>
      <c r="G3870" s="38" t="n">
        <f aca="false">Sens!$E$3870+Sens!$F$3870</f>
        <v>169.535821408779</v>
      </c>
      <c r="H3870" s="38" t="n">
        <f aca="false">Sens!$H$3866+Sens!$H$3867+Sens!$H$3868+Sens!$H$3869</f>
        <v>233.080428592636</v>
      </c>
      <c r="I3870" s="38" t="n">
        <f aca="false">Sens!$I$3866+Sens!$I$3867+Sens!$I$3868+Sens!$I$3869</f>
        <v>292.680148287666</v>
      </c>
      <c r="J3870" s="38" t="n">
        <f aca="false">Sens!$J$3866+Sens!$J$3867+Sens!$J$3868+Sens!$J$3869</f>
        <v>352.0583091755</v>
      </c>
      <c r="K3870" s="38" t="n">
        <f aca="false">Sens!$K$3866+Sens!$K$3867+Sens!$K$3868+Sens!$K$3869</f>
        <v>409.182847804133</v>
      </c>
      <c r="L3870" s="38" t="n">
        <f aca="false">Sens!$L$3866+Sens!$L$3867+Sens!$L$3868+Sens!$L$3869</f>
        <v>468.352483962712</v>
      </c>
      <c r="M3870" s="38" t="n">
        <f aca="false">Sens!$M$3866+Sens!$M$3867+Sens!$M$3868+Sens!$M$3869</f>
        <v>530.515167052296</v>
      </c>
    </row>
    <row r="3871" customFormat="false" ht="17.15" hidden="false" customHeight="false" outlineLevel="0" collapsed="false">
      <c r="A3871" s="5" t="s">
        <v>734</v>
      </c>
      <c r="B3871" s="0" t="s">
        <v>73</v>
      </c>
      <c r="C3871" s="38" t="n">
        <f aca="false">Sens!$C$3759</f>
        <v>25.2781053077374</v>
      </c>
      <c r="D3871" s="38" t="n">
        <f aca="false">Sens!$D$3759</f>
        <v>69.5686316310026</v>
      </c>
      <c r="E3871" s="38" t="n">
        <f aca="false">Sens!$E$3759</f>
        <v>64.1899206485108</v>
      </c>
      <c r="F3871" s="38" t="n">
        <f aca="false">Sens!$F$3759</f>
        <v>96.2481299895</v>
      </c>
      <c r="G3871" s="38" t="n">
        <f aca="false">Sens!$G$3759</f>
        <v>160.438050638011</v>
      </c>
      <c r="H3871" s="38" t="n">
        <f aca="false">Sens!$H$3759</f>
        <v>198.57136494475</v>
      </c>
      <c r="I3871" s="38" t="n">
        <f aca="false">Sens!$I$3759</f>
        <v>204.6464699105</v>
      </c>
      <c r="J3871" s="38" t="n">
        <f aca="false">Sens!$J$3759</f>
        <v>209.8832381105</v>
      </c>
      <c r="K3871" s="38" t="n">
        <f aca="false">Sens!$K$3759</f>
        <v>215.1200063105</v>
      </c>
      <c r="L3871" s="38" t="n">
        <f aca="false">Sens!$L$3759</f>
        <v>251.7773837105</v>
      </c>
      <c r="M3871" s="38" t="n">
        <f aca="false">Sens!$M$3759</f>
        <v>311.87584476575</v>
      </c>
    </row>
    <row r="3872" customFormat="false" ht="17.15" hidden="false" customHeight="false" outlineLevel="0" collapsed="false">
      <c r="A3872" s="5" t="s">
        <v>735</v>
      </c>
      <c r="B3872" s="0" t="s">
        <v>73</v>
      </c>
      <c r="C3872" s="38" t="n">
        <f aca="false">cx_awso*Sens!$C$3787</f>
        <v>21.0469989286053</v>
      </c>
      <c r="D3872" s="38" t="n">
        <f aca="false">cx_awso*Sens!$D$3787</f>
        <v>24.0042459822698</v>
      </c>
      <c r="E3872" s="38" t="n">
        <f aca="false">cx_awso*Sens!$E$3787</f>
        <v>14.261729404886</v>
      </c>
      <c r="F3872" s="38" t="n">
        <f aca="false">cx_awso*Sens!$F$3787</f>
        <v>15.7190020837331</v>
      </c>
      <c r="G3872" s="38" t="n">
        <f aca="false">Sens!$E$3872+Sens!$F$3872</f>
        <v>29.9807314886191</v>
      </c>
      <c r="H3872" s="38" t="n">
        <f aca="false">cx_awso*Sens!$H$3787</f>
        <v>36.1787121536283</v>
      </c>
      <c r="I3872" s="38" t="n">
        <f aca="false">cx_awso*Sens!$I$3787</f>
        <v>42.1296794430021</v>
      </c>
      <c r="J3872" s="38" t="n">
        <f aca="false">cx_awso*Sens!$J$3787</f>
        <v>47.279781889299</v>
      </c>
      <c r="K3872" s="38" t="n">
        <f aca="false">cx_awso*Sens!$K$3787</f>
        <v>51.0621644404429</v>
      </c>
      <c r="L3872" s="38" t="n">
        <f aca="false">cx_awso*Sens!$L$3787</f>
        <v>55.1471375956783</v>
      </c>
      <c r="M3872" s="38" t="n">
        <f aca="false">cx_awso*Sens!$M$3787</f>
        <v>59.5589086033326</v>
      </c>
    </row>
    <row r="3873" customFormat="false" ht="17.15" hidden="false" customHeight="false" outlineLevel="0" collapsed="false">
      <c r="A3873" s="5" t="s">
        <v>736</v>
      </c>
      <c r="B3873" s="0" t="s">
        <v>73</v>
      </c>
      <c r="C3873" s="38" t="n">
        <f aca="false">Q!$D$46-Sens!$C$3871-Sens!$C$3872</f>
        <v>31.3328957636573</v>
      </c>
      <c r="D3873" s="38" t="n">
        <f aca="false">Q!$E$46-Sens!$D$3871-Sens!$D$3872</f>
        <v>34.7471223867276</v>
      </c>
      <c r="E3873" s="38" t="n">
        <f aca="false">Q!$P$46-Sens!$E$3871-Sens!$E$3872</f>
        <v>17.8583499466032</v>
      </c>
      <c r="F3873" s="38" t="n">
        <f aca="false">cx_rt*Sens!$F$3723</f>
        <v>21.0855744229195</v>
      </c>
      <c r="G3873" s="38" t="n">
        <f aca="false">Sens!$E$3873+Sens!$F$3873</f>
        <v>38.9439243695228</v>
      </c>
      <c r="H3873" s="38" t="n">
        <f aca="false">cx_rt*Sens!$H$3723</f>
        <v>43.1577938961836</v>
      </c>
      <c r="I3873" s="38" t="n">
        <f aca="false">cx_rt*Sens!$I$3723</f>
        <v>47.2935803924352</v>
      </c>
      <c r="J3873" s="38" t="n">
        <f aca="false">cx_rt*Sens!$J$3723</f>
        <v>51.2210717812079</v>
      </c>
      <c r="K3873" s="38" t="n">
        <f aca="false">cx_rt*Sens!$K$3723</f>
        <v>54.7993780866704</v>
      </c>
      <c r="L3873" s="38" t="n">
        <f aca="false">cx_rt*Sens!$L$3723</f>
        <v>58.6689627817369</v>
      </c>
      <c r="M3873" s="38" t="n">
        <f aca="false">cx_rt*Sens!$M$3723</f>
        <v>62.8574781103793</v>
      </c>
    </row>
    <row r="3874" customFormat="false" ht="15" hidden="false" customHeight="false" outlineLevel="0" collapsed="false">
      <c r="A3874" s="3" t="s">
        <v>737</v>
      </c>
      <c r="B3874" s="8" t="s">
        <v>73</v>
      </c>
      <c r="C3874" s="38" t="n">
        <f aca="false">Q!$D$46</f>
        <v>77.658</v>
      </c>
      <c r="D3874" s="38" t="n">
        <f aca="false">Q!$E$46</f>
        <v>128.32</v>
      </c>
      <c r="E3874" s="38" t="n">
        <f aca="false">Q!$P$46</f>
        <v>96.31</v>
      </c>
      <c r="F3874" s="38" t="n">
        <f aca="false">Sens!$F$3871+Sens!$F$3872+Sens!$F$3873</f>
        <v>133.052706496153</v>
      </c>
      <c r="G3874" s="38" t="n">
        <f aca="false">Sens!$E$3874+Sens!$F$3874</f>
        <v>229.362706496153</v>
      </c>
      <c r="H3874" s="38" t="n">
        <f aca="false">Sens!$H$3871+Sens!$H$3872+Sens!$H$3873</f>
        <v>277.907870994562</v>
      </c>
      <c r="I3874" s="38" t="n">
        <f aca="false">Sens!$I$3871+Sens!$I$3872+Sens!$I$3873</f>
        <v>294.069729745937</v>
      </c>
      <c r="J3874" s="38" t="n">
        <f aca="false">Sens!$J$3871+Sens!$J$3872+Sens!$J$3873</f>
        <v>308.384091781007</v>
      </c>
      <c r="K3874" s="38" t="n">
        <f aca="false">Sens!$K$3871+Sens!$K$3872+Sens!$K$3873</f>
        <v>320.981548837613</v>
      </c>
      <c r="L3874" s="38" t="n">
        <f aca="false">Sens!$L$3871+Sens!$L$3872+Sens!$L$3873</f>
        <v>365.593484087915</v>
      </c>
      <c r="M3874" s="38" t="n">
        <f aca="false">Sens!$M$3871+Sens!$M$3872+Sens!$M$3873</f>
        <v>434.292231479462</v>
      </c>
    </row>
    <row r="3875" customFormat="false" ht="17.15" hidden="false" customHeight="false" outlineLevel="0" collapsed="false">
      <c r="A3875" s="5" t="s">
        <v>523</v>
      </c>
      <c r="B3875" s="0" t="s">
        <v>73</v>
      </c>
      <c r="C3875" s="38" t="n">
        <f aca="false">Q!$D$50</f>
        <v>2.043</v>
      </c>
      <c r="D3875" s="38" t="n">
        <f aca="false">Q!$E$50</f>
        <v>1.557</v>
      </c>
      <c r="E3875" s="38" t="n">
        <f aca="false">lease_pr/2</f>
        <v>0.8</v>
      </c>
      <c r="F3875" s="38" t="n">
        <f aca="false">lease_pr/2</f>
        <v>0.8</v>
      </c>
      <c r="G3875" s="38" t="n">
        <f aca="false">Sens!$E$3875+Sens!$F$3875</f>
        <v>1.6</v>
      </c>
      <c r="H3875" s="38" t="n">
        <f aca="false">lease_pr</f>
        <v>1.6</v>
      </c>
      <c r="I3875" s="38" t="n">
        <f aca="false">lease_pr</f>
        <v>1.6</v>
      </c>
      <c r="J3875" s="38" t="n">
        <f aca="false">lease_pr</f>
        <v>1.6</v>
      </c>
      <c r="K3875" s="38" t="n">
        <f aca="false">lease_pr</f>
        <v>1.6</v>
      </c>
      <c r="L3875" s="38" t="n">
        <f aca="false">lease_pr</f>
        <v>1.6</v>
      </c>
      <c r="M3875" s="38" t="n">
        <f aca="false">lease_pr</f>
        <v>1.6</v>
      </c>
      <c r="P3875" s="8" t="s">
        <v>738</v>
      </c>
    </row>
    <row r="3876" customFormat="false" ht="15" hidden="false" customHeight="false" outlineLevel="0" collapsed="false">
      <c r="A3876" s="46" t="s">
        <v>739</v>
      </c>
      <c r="B3876" s="13" t="s">
        <v>73</v>
      </c>
      <c r="C3876" s="47" t="n">
        <f aca="false">Sens!$C$3870-Sens!$C$3874-Sens!$C$3875</f>
        <v>36.176</v>
      </c>
      <c r="D3876" s="47" t="n">
        <f aca="false">Sens!$D$3870-Sens!$D$3874-Sens!$D$3875</f>
        <v>9.63700000000002</v>
      </c>
      <c r="E3876" s="47" t="n">
        <f aca="false">Sens!$E$3870-Sens!$E$3874-Sens!$E$3875</f>
        <v>-25.691</v>
      </c>
      <c r="F3876" s="47" t="n">
        <f aca="false">Sens!$F$3870-Sens!$F$3874-Sens!$F$3875</f>
        <v>-35.7358850873731</v>
      </c>
      <c r="G3876" s="47" t="n">
        <f aca="false">Sens!$G$3870-Sens!$G$3874-Sens!$G$3875</f>
        <v>-61.4268850873731</v>
      </c>
      <c r="H3876" s="47" t="n">
        <f aca="false">Sens!$H$3870-Sens!$H$3874-Sens!$H$3875</f>
        <v>-46.4274424019258</v>
      </c>
      <c r="I3876" s="47" t="n">
        <f aca="false">Sens!$I$3870-Sens!$I$3874-Sens!$I$3875</f>
        <v>-2.98958145827121</v>
      </c>
      <c r="J3876" s="47" t="n">
        <f aca="false">Sens!$J$3870-Sens!$J$3874-Sens!$J$3875</f>
        <v>42.0742173944934</v>
      </c>
      <c r="K3876" s="47" t="n">
        <f aca="false">Sens!$K$3870-Sens!$K$3874-Sens!$K$3875</f>
        <v>86.6012989665195</v>
      </c>
      <c r="L3876" s="47" t="n">
        <f aca="false">Sens!$L$3870-Sens!$L$3874-Sens!$L$3875</f>
        <v>101.158999874797</v>
      </c>
      <c r="M3876" s="47" t="n">
        <f aca="false">Sens!$M$3870-Sens!$M$3874-Sens!$M$3875</f>
        <v>94.6229355728343</v>
      </c>
      <c r="N3876" s="13"/>
      <c r="O3876" s="13"/>
    </row>
    <row r="3877" customFormat="false" ht="17.15" hidden="false" customHeight="false" outlineLevel="0" collapsed="false">
      <c r="A3877" s="5" t="s">
        <v>740</v>
      </c>
      <c r="B3877" s="0" t="s">
        <v>73</v>
      </c>
      <c r="C3877" s="38" t="n">
        <f aca="false">dps*Sens!$C$3858</f>
        <v>0</v>
      </c>
      <c r="D3877" s="38" t="n">
        <f aca="false">dps*Sens!$D$3858</f>
        <v>0</v>
      </c>
      <c r="E3877" s="38" t="n">
        <f aca="false">dps*Sens!$E$3858</f>
        <v>0</v>
      </c>
      <c r="F3877" s="38" t="n">
        <f aca="false">0</f>
        <v>0</v>
      </c>
      <c r="G3877" s="38" t="n">
        <f aca="false">dps*Sens!$G$3858</f>
        <v>0</v>
      </c>
      <c r="H3877" s="38" t="n">
        <f aca="false">dps*Sens!$H$3858</f>
        <v>0</v>
      </c>
      <c r="I3877" s="38" t="n">
        <f aca="false">dps*Sens!$I$3858</f>
        <v>0</v>
      </c>
      <c r="J3877" s="38" t="n">
        <f aca="false">dps*Sens!$J$3858</f>
        <v>0</v>
      </c>
      <c r="K3877" s="38" t="n">
        <f aca="false">dps*Sens!$K$3858</f>
        <v>0</v>
      </c>
      <c r="L3877" s="38" t="n">
        <f aca="false">dps*Sens!$L$3858</f>
        <v>0</v>
      </c>
      <c r="M3877" s="38" t="n">
        <f aca="false">dps*Sens!$M$3858</f>
        <v>0</v>
      </c>
      <c r="P3877" s="8" t="s">
        <v>741</v>
      </c>
    </row>
    <row r="3878" customFormat="false" ht="17.15" hidden="false" customHeight="false" outlineLevel="0" collapsed="false">
      <c r="A3878" s="5" t="s">
        <v>742</v>
      </c>
      <c r="B3878" s="0" t="s">
        <v>73</v>
      </c>
      <c r="C3878" s="38" t="n">
        <f aca="false">0</f>
        <v>0</v>
      </c>
      <c r="D3878" s="38" t="n">
        <f aca="false">0</f>
        <v>0</v>
      </c>
      <c r="E3878" s="38" t="n">
        <f aca="false">0</f>
        <v>0</v>
      </c>
      <c r="F3878" s="38" t="n">
        <f aca="false">0</f>
        <v>0</v>
      </c>
      <c r="G3878" s="38" t="n">
        <f aca="false">0</f>
        <v>0</v>
      </c>
      <c r="H3878" s="38" t="n">
        <f aca="false">0</f>
        <v>0</v>
      </c>
      <c r="I3878" s="38" t="n">
        <f aca="false">0</f>
        <v>0</v>
      </c>
      <c r="J3878" s="38" t="n">
        <f aca="false">0</f>
        <v>0</v>
      </c>
      <c r="K3878" s="38" t="n">
        <f aca="false">0</f>
        <v>0</v>
      </c>
      <c r="L3878" s="38" t="n">
        <f aca="false">0</f>
        <v>0</v>
      </c>
      <c r="M3878" s="38" t="n">
        <f aca="false">0</f>
        <v>0</v>
      </c>
      <c r="P3878" s="8" t="s">
        <v>743</v>
      </c>
    </row>
    <row r="3879" customFormat="false" ht="15" hidden="false" customHeight="false" outlineLevel="0" collapsed="false">
      <c r="A3879" s="3" t="s">
        <v>744</v>
      </c>
      <c r="B3879" s="8" t="s">
        <v>73</v>
      </c>
      <c r="C3879" s="38" t="n">
        <f aca="false">Sens!$C$3876-Sens!$C$3877</f>
        <v>36.176</v>
      </c>
      <c r="D3879" s="38" t="n">
        <f aca="false">Sens!$D$3876-Sens!$D$3877</f>
        <v>9.63700000000002</v>
      </c>
      <c r="E3879" s="38" t="n">
        <f aca="false">Sens!$E$3876-Sens!$E$3877</f>
        <v>-25.691</v>
      </c>
      <c r="F3879" s="38" t="n">
        <f aca="false">Sens!$F$3876-Sens!$F$3877</f>
        <v>-35.7358850873731</v>
      </c>
      <c r="G3879" s="38" t="n">
        <f aca="false">Sens!$G$3876-Sens!$G$3877</f>
        <v>-61.4268850873731</v>
      </c>
      <c r="H3879" s="38" t="n">
        <f aca="false">Sens!$H$3876-Sens!$H$3877</f>
        <v>-46.4274424019258</v>
      </c>
      <c r="I3879" s="38" t="n">
        <f aca="false">Sens!$I$3876-Sens!$I$3877</f>
        <v>-2.98958145827121</v>
      </c>
      <c r="J3879" s="38" t="n">
        <f aca="false">Sens!$J$3876-Sens!$J$3877</f>
        <v>42.0742173944934</v>
      </c>
      <c r="K3879" s="38" t="n">
        <f aca="false">Sens!$K$3876-Sens!$K$3877</f>
        <v>86.6012989665195</v>
      </c>
      <c r="L3879" s="38" t="n">
        <f aca="false">Sens!$L$3876-Sens!$L$3877</f>
        <v>101.158999874797</v>
      </c>
      <c r="M3879" s="38" t="n">
        <f aca="false">Sens!$M$3876-Sens!$M$3877</f>
        <v>94.6229355728343</v>
      </c>
    </row>
    <row r="3880" customFormat="false" ht="17.15" hidden="false" customHeight="false" outlineLevel="0" collapsed="false">
      <c r="A3880" s="5" t="s">
        <v>745</v>
      </c>
      <c r="B3880" s="0" t="s">
        <v>73</v>
      </c>
      <c r="E3880" s="38" t="n">
        <f aca="false">Q!$P$53</f>
        <v>39.767</v>
      </c>
      <c r="F3880" s="38" t="n">
        <f aca="false">inv_2h26</f>
        <v>21.3</v>
      </c>
      <c r="G3880" s="38" t="n">
        <f aca="false">Sens!$E$3880+Sens!$F$3880</f>
        <v>61.067</v>
      </c>
      <c r="H3880" s="41" t="n">
        <v>0</v>
      </c>
      <c r="I3880" s="41" t="n">
        <v>0</v>
      </c>
      <c r="J3880" s="41" t="n">
        <v>0</v>
      </c>
      <c r="K3880" s="41" t="n">
        <v>0</v>
      </c>
      <c r="L3880" s="41" t="n">
        <v>0</v>
      </c>
      <c r="M3880" s="41" t="n">
        <v>0</v>
      </c>
    </row>
    <row r="3881" customFormat="false" ht="17.15" hidden="false" customHeight="false" outlineLevel="0" collapsed="false">
      <c r="A3881" s="5" t="s">
        <v>746</v>
      </c>
      <c r="B3881" s="0" t="s">
        <v>73</v>
      </c>
      <c r="F3881" s="38" t="n">
        <f aca="false">iss_2h26</f>
        <v>29.25</v>
      </c>
      <c r="G3881" s="38" t="n">
        <f aca="false">Sens!$F$3881</f>
        <v>29.25</v>
      </c>
      <c r="H3881" s="41" t="n">
        <v>0</v>
      </c>
      <c r="I3881" s="41" t="n">
        <v>0</v>
      </c>
      <c r="J3881" s="41" t="n">
        <v>0</v>
      </c>
      <c r="K3881" s="41" t="n">
        <v>0</v>
      </c>
      <c r="L3881" s="41" t="n">
        <v>0</v>
      </c>
      <c r="M3881" s="41" t="n">
        <v>0</v>
      </c>
    </row>
    <row r="3882" customFormat="false" ht="17.15" hidden="false" customHeight="false" outlineLevel="0" collapsed="false">
      <c r="A3882" s="5" t="s">
        <v>747</v>
      </c>
      <c r="B3882" s="0" t="s">
        <v>73</v>
      </c>
      <c r="F3882" s="38" t="n">
        <f aca="false">cash_q2</f>
        <v>122.988</v>
      </c>
      <c r="G3882" s="38" t="n">
        <f aca="false">cash_q2</f>
        <v>122.988</v>
      </c>
      <c r="H3882" s="38" t="n">
        <f aca="false">Sens!$G$3885</f>
        <v>95.2021149126269</v>
      </c>
      <c r="I3882" s="38" t="n">
        <f aca="false">Sens!$H$3885</f>
        <v>50</v>
      </c>
      <c r="J3882" s="38" t="n">
        <f aca="false">Sens!$I$3885</f>
        <v>50</v>
      </c>
      <c r="K3882" s="38" t="n">
        <f aca="false">Sens!$J$3885</f>
        <v>92.0742173944934</v>
      </c>
      <c r="L3882" s="38" t="n">
        <f aca="false">Sens!$K$3885</f>
        <v>178.675516361013</v>
      </c>
      <c r="M3882" s="38" t="n">
        <f aca="false">Sens!$L$3885</f>
        <v>279.83451623581</v>
      </c>
    </row>
    <row r="3883" customFormat="false" ht="15" hidden="false" customHeight="false" outlineLevel="0" collapsed="false">
      <c r="A3883" s="5" t="s">
        <v>748</v>
      </c>
      <c r="B3883" s="0" t="s">
        <v>73</v>
      </c>
      <c r="F3883" s="38" t="n">
        <f aca="false">Sens!$F$3882+Sens!$F$3879-Sens!$F$3878-Sens!$F$3880+Sens!$F$3881</f>
        <v>95.2021149126269</v>
      </c>
      <c r="H3883" s="38" t="n">
        <f aca="false">Sens!$H$3882+Sens!$H$3879-Sens!$H$3878-Sens!$H$3880+Sens!$H$3881</f>
        <v>48.7746725107011</v>
      </c>
      <c r="I3883" s="38" t="n">
        <f aca="false">Sens!$I$3882+Sens!$I$3879-Sens!$I$3878-Sens!$I$3880+Sens!$I$3881</f>
        <v>47.0104185417288</v>
      </c>
      <c r="J3883" s="38" t="n">
        <f aca="false">Sens!$J$3882+Sens!$J$3879-Sens!$J$3878-Sens!$J$3880+Sens!$J$3881</f>
        <v>92.0742173944934</v>
      </c>
      <c r="K3883" s="38" t="n">
        <f aca="false">Sens!$K$3882+Sens!$K$3879-Sens!$K$3878-Sens!$K$3880+Sens!$K$3881</f>
        <v>178.675516361013</v>
      </c>
      <c r="L3883" s="38" t="n">
        <f aca="false">Sens!$L$3882+Sens!$L$3879-Sens!$L$3878-Sens!$L$3880+Sens!$L$3881</f>
        <v>279.83451623581</v>
      </c>
      <c r="M3883" s="38" t="n">
        <f aca="false">Sens!$M$3882+Sens!$M$3879-Sens!$M$3878-Sens!$M$3880+Sens!$M$3881</f>
        <v>374.457451808644</v>
      </c>
    </row>
    <row r="3884" customFormat="false" ht="17.15" hidden="false" customHeight="false" outlineLevel="0" collapsed="false">
      <c r="A3884" s="5" t="s">
        <v>749</v>
      </c>
      <c r="B3884" s="0" t="s">
        <v>73</v>
      </c>
      <c r="F3884" s="38" t="n">
        <f aca="false">MAX(0,min_cash-Sens!$F$3883)</f>
        <v>0</v>
      </c>
      <c r="G3884" s="38" t="n">
        <f aca="false">Sens!$F$3884</f>
        <v>0</v>
      </c>
      <c r="H3884" s="38" t="n">
        <f aca="false">MAX(0,min_cash-Sens!$H$3883)</f>
        <v>1.22532748929894</v>
      </c>
      <c r="I3884" s="38" t="n">
        <f aca="false">MAX(0,min_cash-Sens!$I$3883)</f>
        <v>2.98958145827121</v>
      </c>
      <c r="J3884" s="38" t="n">
        <f aca="false">MAX(0,min_cash-Sens!$J$3883)</f>
        <v>0</v>
      </c>
      <c r="K3884" s="38" t="n">
        <f aca="false">MAX(0,min_cash-Sens!$K$3883)</f>
        <v>0</v>
      </c>
      <c r="L3884" s="38" t="n">
        <f aca="false">MAX(0,min_cash-Sens!$L$3883)</f>
        <v>0</v>
      </c>
      <c r="M3884" s="38" t="n">
        <f aca="false">MAX(0,min_cash-Sens!$M$3883)</f>
        <v>0</v>
      </c>
      <c r="P3884" s="5" t="s">
        <v>750</v>
      </c>
    </row>
    <row r="3885" customFormat="false" ht="15" hidden="false" customHeight="false" outlineLevel="0" collapsed="false">
      <c r="A3885" s="5" t="s">
        <v>751</v>
      </c>
      <c r="B3885" s="0" t="s">
        <v>73</v>
      </c>
      <c r="D3885" s="38" t="n">
        <f aca="false">Q!$E$61</f>
        <v>123.029</v>
      </c>
      <c r="E3885" s="38" t="n">
        <f aca="false">Q!$M$61</f>
        <v>122.988</v>
      </c>
      <c r="F3885" s="38" t="n">
        <f aca="false">Sens!$F$3883+Sens!$F$3884</f>
        <v>95.2021149126269</v>
      </c>
      <c r="G3885" s="38" t="n">
        <f aca="false">Sens!$F$3885</f>
        <v>95.2021149126269</v>
      </c>
      <c r="H3885" s="38" t="n">
        <f aca="false">Sens!$H$3883+Sens!$H$3884</f>
        <v>50</v>
      </c>
      <c r="I3885" s="38" t="n">
        <f aca="false">Sens!$I$3883+Sens!$I$3884</f>
        <v>50</v>
      </c>
      <c r="J3885" s="38" t="n">
        <f aca="false">Sens!$J$3883+Sens!$J$3884</f>
        <v>92.0742173944934</v>
      </c>
      <c r="K3885" s="38" t="n">
        <f aca="false">Sens!$K$3883+Sens!$K$3884</f>
        <v>178.675516361013</v>
      </c>
      <c r="L3885" s="38" t="n">
        <f aca="false">Sens!$L$3883+Sens!$L$3884</f>
        <v>279.83451623581</v>
      </c>
      <c r="M3885" s="38" t="n">
        <f aca="false">Sens!$M$3883+Sens!$M$3884</f>
        <v>374.457451808644</v>
      </c>
    </row>
    <row r="3886" customFormat="false" ht="15" hidden="false" customHeight="false" outlineLevel="0" collapsed="false">
      <c r="A3886" s="5" t="s">
        <v>752</v>
      </c>
      <c r="B3886" s="0" t="s">
        <v>73</v>
      </c>
      <c r="D3886" s="38" t="n">
        <f aca="false">Q!$E$62</f>
        <v>68.836</v>
      </c>
      <c r="E3886" s="38" t="n">
        <f aca="false">Q!$M$62</f>
        <v>132.995</v>
      </c>
      <c r="F3886" s="38" t="n">
        <f aca="false">debt_q2+Sens!$F$3881+Sens!$F$3884</f>
        <v>162.245</v>
      </c>
      <c r="G3886" s="38" t="n">
        <f aca="false">Sens!$F$3886</f>
        <v>162.245</v>
      </c>
      <c r="H3886" s="38" t="n">
        <f aca="false">Sens!$G$3886+Sens!$H$3884</f>
        <v>163.470327489299</v>
      </c>
      <c r="I3886" s="38" t="n">
        <f aca="false">Sens!$H$3886+Sens!$I$3884</f>
        <v>166.45990894757</v>
      </c>
      <c r="J3886" s="38" t="n">
        <f aca="false">Sens!$I$3886+Sens!$J$3884</f>
        <v>166.45990894757</v>
      </c>
      <c r="K3886" s="38" t="n">
        <f aca="false">Sens!$J$3886+Sens!$K$3884</f>
        <v>166.45990894757</v>
      </c>
      <c r="L3886" s="38" t="n">
        <f aca="false">Sens!$K$3886+Sens!$L$3884</f>
        <v>166.45990894757</v>
      </c>
      <c r="M3886" s="38" t="n">
        <f aca="false">Sens!$L$3886+Sens!$M$3884</f>
        <v>166.45990894757</v>
      </c>
    </row>
    <row r="3887" customFormat="false" ht="15" hidden="false" customHeight="false" outlineLevel="0" collapsed="false">
      <c r="A3887" s="5" t="s">
        <v>753</v>
      </c>
      <c r="B3887" s="0" t="s">
        <v>73</v>
      </c>
      <c r="D3887" s="38" t="n">
        <f aca="false">Sens!$D$3886-Sens!$D$3885</f>
        <v>-54.193</v>
      </c>
      <c r="E3887" s="38" t="n">
        <f aca="false">Sens!$E$3886-Sens!$E$3885</f>
        <v>10.007</v>
      </c>
      <c r="F3887" s="38" t="n">
        <f aca="false">Sens!$F$3886-Sens!$F$3885</f>
        <v>67.0428850873731</v>
      </c>
      <c r="G3887" s="38" t="n">
        <f aca="false">Sens!$G$3886-Sens!$G$3885</f>
        <v>67.0428850873731</v>
      </c>
      <c r="H3887" s="38" t="n">
        <f aca="false">Sens!$H$3886-Sens!$H$3885</f>
        <v>113.470327489299</v>
      </c>
      <c r="I3887" s="38" t="n">
        <f aca="false">Sens!$I$3886-Sens!$I$3885</f>
        <v>116.45990894757</v>
      </c>
      <c r="J3887" s="38" t="n">
        <f aca="false">Sens!$J$3886-Sens!$J$3885</f>
        <v>74.3856915530768</v>
      </c>
      <c r="K3887" s="38" t="n">
        <f aca="false">Sens!$K$3886-Sens!$K$3885</f>
        <v>-12.2156074134428</v>
      </c>
      <c r="L3887" s="38" t="n">
        <f aca="false">Sens!$L$3886-Sens!$L$3885</f>
        <v>-113.37460728824</v>
      </c>
      <c r="M3887" s="38" t="n">
        <f aca="false">Sens!$M$3886-Sens!$M$3885</f>
        <v>-207.997542861074</v>
      </c>
    </row>
    <row r="3888" customFormat="false" ht="17.15" hidden="false" customHeight="false" outlineLevel="0" collapsed="false">
      <c r="A3888" s="5" t="s">
        <v>754</v>
      </c>
      <c r="B3888" s="0" t="s">
        <v>73</v>
      </c>
      <c r="F3888" s="38" t="n">
        <f aca="false">debt_q2*kd_book*0.5+iss_2h26*kd_new*0.25</f>
        <v>3.24888964316061</v>
      </c>
      <c r="H3888" s="38" t="n">
        <f aca="false">debt_q2*kd_book+(Sens!$G$3886-debt_q2)*kd_new</f>
        <v>7.42354178632123</v>
      </c>
      <c r="I3888" s="38" t="n">
        <f aca="false">debt_q2*kd_book+(Sens!$H$3886-debt_q2)*kd_new</f>
        <v>7.50110501639385</v>
      </c>
      <c r="J3888" s="38" t="n">
        <f aca="false">debt_q2*kd_book+(Sens!$I$3886-debt_q2)*kd_new</f>
        <v>7.69034552270242</v>
      </c>
      <c r="K3888" s="38" t="n">
        <f aca="false">debt_q2*kd_book+(Sens!$J$3886-debt_q2)*kd_new</f>
        <v>7.69034552270242</v>
      </c>
      <c r="L3888" s="38" t="n">
        <f aca="false">debt_q2*kd_book+(Sens!$K$3886-debt_q2)*kd_new</f>
        <v>7.69034552270242</v>
      </c>
      <c r="M3888" s="38" t="n">
        <f aca="false">debt_q2*kd_book+(Sens!$L$3886-debt_q2)*kd_new</f>
        <v>7.69034552270242</v>
      </c>
    </row>
    <row r="3889" customFormat="false" ht="17.15" hidden="false" customHeight="false" outlineLevel="0" collapsed="false">
      <c r="A3889" s="5" t="s">
        <v>755</v>
      </c>
      <c r="B3889" s="0" t="s">
        <v>73</v>
      </c>
      <c r="F3889" s="38" t="n">
        <f aca="false">cash_q2*y_cash*0.5</f>
        <v>2.59</v>
      </c>
      <c r="H3889" s="38" t="n">
        <f aca="false">Sens!$G$3885*y_cash</f>
        <v>4.00971603121774</v>
      </c>
      <c r="I3889" s="38" t="n">
        <f aca="false">Sens!$H$3885*y_cash</f>
        <v>2.10589651022864</v>
      </c>
      <c r="J3889" s="38" t="n">
        <f aca="false">Sens!$I$3885*y_cash</f>
        <v>2.10589651022864</v>
      </c>
      <c r="K3889" s="38" t="n">
        <f aca="false">Sens!$J$3885*y_cash</f>
        <v>3.87797546186194</v>
      </c>
      <c r="L3889" s="38" t="n">
        <f aca="false">Sens!$K$3885*y_cash</f>
        <v>7.52544292735915</v>
      </c>
      <c r="M3889" s="38" t="n">
        <f aca="false">Sens!$L$3885*y_cash</f>
        <v>11.7860506236502</v>
      </c>
    </row>
    <row r="3890" customFormat="false" ht="17.15" hidden="false" customHeight="false" outlineLevel="0" collapsed="false">
      <c r="A3890" s="46" t="s">
        <v>756</v>
      </c>
      <c r="B3890" s="13" t="s">
        <v>73</v>
      </c>
      <c r="C3890" s="13"/>
      <c r="D3890" s="13"/>
      <c r="E3890" s="13"/>
      <c r="F3890" s="13"/>
      <c r="G3890" s="47" t="n">
        <f aca="false">SUM(Sens!$G$3879:$K$3879)</f>
        <v>17.8316074134427</v>
      </c>
      <c r="H3890" s="13"/>
      <c r="I3890" s="13"/>
      <c r="J3890" s="13"/>
      <c r="K3890" s="13"/>
      <c r="L3890" s="13"/>
      <c r="M3890" s="13"/>
      <c r="N3890" s="13"/>
      <c r="O3890" s="13"/>
    </row>
    <row r="3891" customFormat="false" ht="17.15" hidden="false" customHeight="false" outlineLevel="0" collapsed="false">
      <c r="A3891" s="0" t="s">
        <v>723</v>
      </c>
      <c r="B3891" s="0" t="s">
        <v>73</v>
      </c>
      <c r="G3891" s="38" t="n">
        <f aca="false">SUM(Sens!$G$3884:$K$3884)</f>
        <v>4.21490894757015</v>
      </c>
    </row>
    <row r="3894" customFormat="false" ht="19.4" hidden="false" customHeight="false" outlineLevel="0" collapsed="false">
      <c r="A3894" s="31" t="s">
        <v>1127</v>
      </c>
    </row>
    <row r="3895" customFormat="false" ht="17.15" hidden="false" customHeight="false" outlineLevel="0" collapsed="false">
      <c r="A3895" s="6" t="s">
        <v>16</v>
      </c>
      <c r="B3895" s="6" t="s">
        <v>17</v>
      </c>
      <c r="C3895" s="20" t="s">
        <v>457</v>
      </c>
      <c r="D3895" s="20" t="s">
        <v>458</v>
      </c>
      <c r="E3895" s="20" t="s">
        <v>540</v>
      </c>
      <c r="F3895" s="20" t="s">
        <v>541</v>
      </c>
      <c r="G3895" s="20" t="s">
        <v>542</v>
      </c>
      <c r="H3895" s="20" t="s">
        <v>543</v>
      </c>
      <c r="I3895" s="20" t="s">
        <v>544</v>
      </c>
      <c r="J3895" s="20" t="s">
        <v>545</v>
      </c>
      <c r="K3895" s="20" t="s">
        <v>546</v>
      </c>
      <c r="L3895" s="20" t="s">
        <v>547</v>
      </c>
      <c r="M3895" s="20" t="s">
        <v>548</v>
      </c>
      <c r="N3895" s="20" t="s">
        <v>549</v>
      </c>
      <c r="O3895" s="20" t="s">
        <v>550</v>
      </c>
      <c r="P3895" s="6" t="s">
        <v>23</v>
      </c>
      <c r="R3895" s="20" t="n">
        <v>2023</v>
      </c>
      <c r="S3895" s="20" t="n">
        <v>2024</v>
      </c>
      <c r="T3895" s="20" t="n">
        <v>2025</v>
      </c>
      <c r="U3895" s="20" t="n">
        <v>2026</v>
      </c>
      <c r="V3895" s="20" t="n">
        <v>2027</v>
      </c>
      <c r="W3895" s="20" t="n">
        <v>2028</v>
      </c>
      <c r="X3895" s="20" t="n">
        <v>2029</v>
      </c>
      <c r="Y3895" s="20" t="n">
        <v>2030</v>
      </c>
      <c r="Z3895" s="20" t="n">
        <v>2031</v>
      </c>
      <c r="AA3895" s="20" t="n">
        <v>2032</v>
      </c>
    </row>
    <row r="3896" customFormat="false" ht="17.15" hidden="false" customHeight="false" outlineLevel="0" collapsed="false">
      <c r="A3896" s="1" t="s">
        <v>851</v>
      </c>
    </row>
    <row r="3897" customFormat="false" ht="17.15" hidden="false" customHeight="false" outlineLevel="0" collapsed="false">
      <c r="A3897" s="0" t="s">
        <v>852</v>
      </c>
      <c r="B3897" s="0" t="s">
        <v>73</v>
      </c>
      <c r="H3897" s="38" t="n">
        <f aca="false">Sens!$H$3833*(1-tax)</f>
        <v>112.35797761764</v>
      </c>
      <c r="I3897" s="38" t="n">
        <f aca="false">Sens!$I$3833*(1-tax)</f>
        <v>133.725195154462</v>
      </c>
      <c r="J3897" s="38" t="n">
        <f aca="false">Sens!$J$3833*(1-tax)</f>
        <v>153.385215729607</v>
      </c>
      <c r="K3897" s="38" t="n">
        <f aca="false">Sens!$K$3833*(1-tax)</f>
        <v>170.204051740815</v>
      </c>
      <c r="L3897" s="38" t="n">
        <f aca="false">Sens!$L$3833*(1-tax)</f>
        <v>188.903238302696</v>
      </c>
      <c r="M3897" s="38" t="n">
        <f aca="false">Sens!$M$3833*(1-tax)</f>
        <v>208.68025562869</v>
      </c>
    </row>
    <row r="3898" customFormat="false" ht="15" hidden="false" customHeight="false" outlineLevel="0" collapsed="false">
      <c r="A3898" s="5" t="s">
        <v>853</v>
      </c>
      <c r="B3898" s="0" t="s">
        <v>73</v>
      </c>
      <c r="H3898" s="38" t="n">
        <f aca="false">Sens!$H$3845</f>
        <v>87.7059088478602</v>
      </c>
      <c r="I3898" s="38" t="n">
        <f aca="false">Sens!$I$3845</f>
        <v>122.371402345591</v>
      </c>
      <c r="J3898" s="38" t="n">
        <f aca="false">Sens!$J$3845</f>
        <v>157.312446278041</v>
      </c>
      <c r="K3898" s="38" t="n">
        <f aca="false">Sens!$K$3845</f>
        <v>191.688183399249</v>
      </c>
      <c r="L3898" s="38" t="n">
        <f aca="false">Sens!$L$3845</f>
        <v>224.440119692062</v>
      </c>
      <c r="M3898" s="38" t="n">
        <f aca="false">Sens!$M$3845</f>
        <v>258.340610585992</v>
      </c>
    </row>
    <row r="3899" customFormat="false" ht="15" hidden="false" customHeight="false" outlineLevel="0" collapsed="false">
      <c r="A3899" s="5" t="s">
        <v>854</v>
      </c>
      <c r="B3899" s="0" t="s">
        <v>73</v>
      </c>
      <c r="H3899" s="38" t="n">
        <f aca="false">Sens!$H$3874</f>
        <v>277.907870994562</v>
      </c>
      <c r="I3899" s="38" t="n">
        <f aca="false">Sens!$I$3874</f>
        <v>294.069729745937</v>
      </c>
      <c r="J3899" s="38" t="n">
        <f aca="false">Sens!$J$3874</f>
        <v>308.384091781007</v>
      </c>
      <c r="K3899" s="38" t="n">
        <f aca="false">Sens!$K$3874</f>
        <v>320.981548837613</v>
      </c>
      <c r="L3899" s="38" t="n">
        <f aca="false">Sens!$L$3874</f>
        <v>365.593484087915</v>
      </c>
      <c r="M3899" s="38" t="n">
        <f aca="false">Sens!$M$3874</f>
        <v>434.292231479462</v>
      </c>
    </row>
    <row r="3900" customFormat="false" ht="15" hidden="false" customHeight="false" outlineLevel="0" collapsed="false">
      <c r="A3900" s="5" t="s">
        <v>855</v>
      </c>
      <c r="B3900" s="0" t="s">
        <v>73</v>
      </c>
      <c r="H3900" s="38" t="n">
        <f aca="false">Sens!$H$3875</f>
        <v>1.6</v>
      </c>
      <c r="I3900" s="38" t="n">
        <f aca="false">Sens!$I$3875</f>
        <v>1.6</v>
      </c>
      <c r="J3900" s="38" t="n">
        <f aca="false">Sens!$J$3875</f>
        <v>1.6</v>
      </c>
      <c r="K3900" s="38" t="n">
        <f aca="false">Sens!$K$3875</f>
        <v>1.6</v>
      </c>
      <c r="L3900" s="38" t="n">
        <f aca="false">Sens!$L$3875</f>
        <v>1.6</v>
      </c>
      <c r="M3900" s="38" t="n">
        <f aca="false">Sens!$M$3875</f>
        <v>1.6</v>
      </c>
    </row>
    <row r="3901" customFormat="false" ht="15" hidden="false" customHeight="false" outlineLevel="0" collapsed="false">
      <c r="A3901" s="5" t="s">
        <v>856</v>
      </c>
      <c r="B3901" s="0" t="s">
        <v>73</v>
      </c>
      <c r="H3901" s="38" t="n">
        <f aca="false">Sens!$H$3869</f>
        <v>11.6446293810153</v>
      </c>
      <c r="I3901" s="38" t="n">
        <f aca="false">Sens!$I$3869</f>
        <v>13.3356922010241</v>
      </c>
      <c r="J3901" s="38" t="n">
        <f aca="false">Sens!$J$3869</f>
        <v>14.9387109845711</v>
      </c>
      <c r="K3901" s="38" t="n">
        <f aca="false">Sens!$K$3869</f>
        <v>16.3896657840824</v>
      </c>
      <c r="L3901" s="38" t="n">
        <f aca="false">Sens!$L$3869</f>
        <v>17.9181796973173</v>
      </c>
      <c r="M3901" s="38" t="n">
        <f aca="false">Sens!$M$3869</f>
        <v>19.5311591158915</v>
      </c>
    </row>
    <row r="3902" customFormat="false" ht="17.15" hidden="false" customHeight="false" outlineLevel="0" collapsed="false">
      <c r="A3902" s="1" t="s">
        <v>857</v>
      </c>
      <c r="B3902" s="8" t="s">
        <v>73</v>
      </c>
      <c r="H3902" s="38" t="n">
        <f aca="false">Sens!$H$3897+Sens!$H$3898-Sens!$H$3899-Sens!$H$3900+Sens!$H$3901</f>
        <v>-67.7993551480461</v>
      </c>
      <c r="I3902" s="38" t="n">
        <f aca="false">Sens!$I$3897+Sens!$I$3898-Sens!$I$3899-Sens!$I$3900+Sens!$I$3901</f>
        <v>-26.2374400448597</v>
      </c>
      <c r="J3902" s="38" t="n">
        <f aca="false">Sens!$J$3897+Sens!$J$3898-Sens!$J$3899-Sens!$J$3900+Sens!$J$3901</f>
        <v>15.6522812112126</v>
      </c>
      <c r="K3902" s="38" t="n">
        <f aca="false">Sens!$K$3897+Sens!$K$3898-Sens!$K$3899-Sens!$K$3900+Sens!$K$3901</f>
        <v>55.7003520865333</v>
      </c>
      <c r="L3902" s="38" t="n">
        <f aca="false">Sens!$L$3897+Sens!$L$3898-Sens!$L$3899-Sens!$L$3900+Sens!$L$3901</f>
        <v>64.0680536041602</v>
      </c>
      <c r="M3902" s="38" t="n">
        <f aca="false">Sens!$M$3897+Sens!$M$3898-Sens!$M$3899-Sens!$M$3900+Sens!$M$3901</f>
        <v>50.6597938511117</v>
      </c>
    </row>
    <row r="3903" customFormat="false" ht="15" hidden="false" customHeight="false" outlineLevel="0" collapsed="false">
      <c r="A3903" s="5" t="s">
        <v>858</v>
      </c>
      <c r="B3903" s="0" t="s">
        <v>57</v>
      </c>
      <c r="H3903" s="51" t="n">
        <f aca="false">1/(1+wacc)^(2027-2026-0.5)</f>
        <v>0.942858177653364</v>
      </c>
      <c r="I3903" s="51" t="n">
        <f aca="false">1/(1+wacc)^(2028-2026-0.5)</f>
        <v>0.838183517758688</v>
      </c>
      <c r="J3903" s="51" t="n">
        <f aca="false">1/(1+wacc)^(2029-2026-0.5)</f>
        <v>0.745129677074952</v>
      </c>
      <c r="K3903" s="51" t="n">
        <f aca="false">1/(1+wacc)^(2030-2026-0.5)</f>
        <v>0.662406530186232</v>
      </c>
      <c r="L3903" s="51" t="n">
        <f aca="false">1/(1+wacc)^(2031-2026-0.5)</f>
        <v>0.588867179409399</v>
      </c>
      <c r="M3903" s="51" t="n">
        <f aca="false">1/(1+wacc)^(2032-2026-0.5)</f>
        <v>0.52349205387225</v>
      </c>
    </row>
    <row r="3904" customFormat="false" ht="15" hidden="false" customHeight="false" outlineLevel="0" collapsed="false">
      <c r="A3904" s="5" t="s">
        <v>859</v>
      </c>
      <c r="B3904" s="0" t="s">
        <v>73</v>
      </c>
      <c r="H3904" s="38" t="n">
        <f aca="false">Sens!$H$3902*Sens!$H$3903</f>
        <v>-63.9251764409599</v>
      </c>
      <c r="I3904" s="38" t="n">
        <f aca="false">Sens!$I$3902*Sens!$I$3903</f>
        <v>-21.9917897937832</v>
      </c>
      <c r="J3904" s="38" t="n">
        <f aca="false">Sens!$J$3902*Sens!$J$3903</f>
        <v>11.6629792443972</v>
      </c>
      <c r="K3904" s="38" t="n">
        <f aca="false">Sens!$K$3902*Sens!$K$3903</f>
        <v>36.896276955792</v>
      </c>
      <c r="L3904" s="38" t="n">
        <f aca="false">Sens!$L$3902*Sens!$L$3903</f>
        <v>37.727574016132</v>
      </c>
      <c r="M3904" s="38" t="n">
        <f aca="false">Sens!$M$3902*Sens!$M$3903</f>
        <v>26.5199995318633</v>
      </c>
    </row>
    <row r="3905" customFormat="false" ht="15" hidden="false" customHeight="false" outlineLevel="0" collapsed="false">
      <c r="A3905" s="5" t="s">
        <v>860</v>
      </c>
      <c r="B3905" s="0" t="s">
        <v>73</v>
      </c>
      <c r="C3905" s="38" t="n">
        <f aca="false">SUM(Sens!$H$3904:$M$3904)</f>
        <v>26.8898635134414</v>
      </c>
    </row>
    <row r="3906" customFormat="false" ht="17.15" hidden="false" customHeight="false" outlineLevel="0" collapsed="false">
      <c r="A3906" s="5" t="s">
        <v>861</v>
      </c>
      <c r="B3906" s="0" t="s">
        <v>73</v>
      </c>
      <c r="C3906" s="38" t="n">
        <f aca="false">Sens!$M$3897*(1+tg)*(1-tg/ronic)/(wacc-tg)</f>
        <v>1721.13978161863</v>
      </c>
    </row>
    <row r="3907" customFormat="false" ht="15" hidden="false" customHeight="false" outlineLevel="0" collapsed="false">
      <c r="A3907" s="5" t="s">
        <v>862</v>
      </c>
      <c r="B3907" s="0" t="s">
        <v>73</v>
      </c>
      <c r="C3907" s="38" t="n">
        <f aca="false">Sens!$C$3906/(1+wacc)^6</f>
        <v>849.518045962087</v>
      </c>
    </row>
    <row r="3908" customFormat="false" ht="17.15" hidden="false" customHeight="false" outlineLevel="0" collapsed="false">
      <c r="A3908" s="5" t="s">
        <v>863</v>
      </c>
      <c r="B3908" s="0" t="s">
        <v>73</v>
      </c>
      <c r="C3908" s="38" t="n">
        <f aca="false">Sens!$C$3905+Sens!$C$3907</f>
        <v>876.407909475529</v>
      </c>
    </row>
    <row r="3909" customFormat="false" ht="17.15" hidden="false" customHeight="false" outlineLevel="0" collapsed="false">
      <c r="A3909" s="5" t="s">
        <v>864</v>
      </c>
      <c r="B3909" s="0" t="s">
        <v>52</v>
      </c>
      <c r="C3909" s="12" t="n">
        <f aca="false">Sens!$C$3907/Sens!$C$3908</f>
        <v>0.969318095805944</v>
      </c>
    </row>
    <row r="3910" customFormat="false" ht="17.15" hidden="false" customHeight="false" outlineLevel="0" collapsed="false">
      <c r="A3910" s="5" t="s">
        <v>865</v>
      </c>
      <c r="B3910" s="0" t="s">
        <v>73</v>
      </c>
      <c r="C3910" s="38" t="n">
        <f aca="false">Sens!$G$3887</f>
        <v>67.0428850873731</v>
      </c>
    </row>
    <row r="3911" customFormat="false" ht="17.15" hidden="false" customHeight="false" outlineLevel="0" collapsed="false">
      <c r="A3911" s="5" t="s">
        <v>866</v>
      </c>
      <c r="B3911" s="0" t="s">
        <v>73</v>
      </c>
      <c r="C3911" s="38" t="n">
        <f aca="false">(ant_val*ant_sh+oai_val*oai_sh)*(1-liq_disc)</f>
        <v>178.944</v>
      </c>
    </row>
    <row r="3912" customFormat="false" ht="15" hidden="false" customHeight="false" outlineLevel="0" collapsed="false">
      <c r="A3912" s="5" t="s">
        <v>867</v>
      </c>
      <c r="B3912" s="0" t="s">
        <v>73</v>
      </c>
      <c r="C3912" s="38" t="n">
        <f aca="false">Sens!$C$3908-Sens!$C$3910+Sens!$C$3911</f>
        <v>988.309024388156</v>
      </c>
    </row>
    <row r="3913" customFormat="false" ht="17.15" hidden="false" customHeight="false" outlineLevel="0" collapsed="false">
      <c r="A3913" s="5" t="s">
        <v>868</v>
      </c>
      <c r="B3913" s="0" t="s">
        <v>27</v>
      </c>
      <c r="C3913" s="30" t="n">
        <f aca="false">Sens!$C$3912/sh_val</f>
        <v>89.5993554116552</v>
      </c>
    </row>
    <row r="3914" customFormat="false" ht="17.15" hidden="false" customHeight="false" outlineLevel="0" collapsed="false">
      <c r="A3914" s="1" t="s">
        <v>869</v>
      </c>
      <c r="B3914" s="8" t="s">
        <v>27</v>
      </c>
      <c r="C3914" s="30" t="n">
        <f aca="false">Sens!$C$3913*(1+ke)^tp_yf</f>
        <v>98.9575529575105</v>
      </c>
    </row>
    <row r="3915" customFormat="false" ht="17.15" hidden="false" customHeight="false" outlineLevel="0" collapsed="false">
      <c r="A3915" s="3" t="s">
        <v>870</v>
      </c>
    </row>
    <row r="3916" customFormat="false" ht="17.15" hidden="false" customHeight="false" outlineLevel="0" collapsed="false">
      <c r="A3916" s="5" t="s">
        <v>871</v>
      </c>
      <c r="B3916" s="0" t="s">
        <v>73</v>
      </c>
      <c r="C3916" s="38" t="n">
        <f aca="false">0.25*Sens!$H$3846+0.75*Sens!$I$3846</f>
        <v>58.4926521505268</v>
      </c>
    </row>
    <row r="3917" customFormat="false" ht="15" hidden="false" customHeight="false" outlineLevel="0" collapsed="false">
      <c r="A3917" s="5" t="s">
        <v>872</v>
      </c>
      <c r="B3917" s="0" t="s">
        <v>57</v>
      </c>
      <c r="C3917" s="30" t="n">
        <f aca="false">m_ads*m_x</f>
        <v>9.11</v>
      </c>
    </row>
    <row r="3918" customFormat="false" ht="17.15" hidden="false" customHeight="false" outlineLevel="0" collapsed="false">
      <c r="A3918" s="5" t="s">
        <v>873</v>
      </c>
      <c r="B3918" s="0" t="s">
        <v>73</v>
      </c>
      <c r="C3918" s="38" t="n">
        <f aca="false">Sens!$C$3916*Sens!$C$3917</f>
        <v>532.868061091299</v>
      </c>
    </row>
    <row r="3919" customFormat="false" ht="17.15" hidden="false" customHeight="false" outlineLevel="0" collapsed="false">
      <c r="A3919" s="5" t="s">
        <v>874</v>
      </c>
      <c r="B3919" s="0" t="s">
        <v>73</v>
      </c>
      <c r="C3919" s="38" t="n">
        <f aca="false">0.25*Sens!$H$3847+0.75*Sens!$I$3847</f>
        <v>30.6919015881428</v>
      </c>
    </row>
    <row r="3920" customFormat="false" ht="15" hidden="false" customHeight="false" outlineLevel="0" collapsed="false">
      <c r="A3920" s="5" t="s">
        <v>875</v>
      </c>
      <c r="B3920" s="0" t="s">
        <v>57</v>
      </c>
      <c r="C3920" s="30" t="n">
        <f aca="false">m_retail*m_x</f>
        <v>17.72</v>
      </c>
    </row>
    <row r="3921" customFormat="false" ht="17.15" hidden="false" customHeight="false" outlineLevel="0" collapsed="false">
      <c r="A3921" s="5" t="s">
        <v>876</v>
      </c>
      <c r="B3921" s="0" t="s">
        <v>73</v>
      </c>
      <c r="C3921" s="38" t="n">
        <f aca="false">Sens!$C$3919*Sens!$C$3920</f>
        <v>543.86049614189</v>
      </c>
    </row>
    <row r="3922" customFormat="false" ht="17.15" hidden="false" customHeight="false" outlineLevel="0" collapsed="false">
      <c r="A3922" s="0" t="s">
        <v>877</v>
      </c>
      <c r="B3922" s="0" t="s">
        <v>73</v>
      </c>
      <c r="C3922" s="38" t="n">
        <f aca="false">0.25*Sens!$H$3848+0.75*Sens!$I$3848</f>
        <v>107.575398943098</v>
      </c>
    </row>
    <row r="3923" customFormat="false" ht="17.15" hidden="false" customHeight="false" outlineLevel="0" collapsed="false">
      <c r="A3923" s="0" t="s">
        <v>878</v>
      </c>
      <c r="B3923" s="0" t="s">
        <v>57</v>
      </c>
      <c r="C3923" s="30" t="n">
        <f aca="false">m_cloud*m_x</f>
        <v>13.82</v>
      </c>
    </row>
    <row r="3924" customFormat="false" ht="17.15" hidden="false" customHeight="false" outlineLevel="0" collapsed="false">
      <c r="A3924" s="0" t="s">
        <v>879</v>
      </c>
      <c r="B3924" s="0" t="s">
        <v>73</v>
      </c>
      <c r="C3924" s="38" t="n">
        <f aca="false">Sens!$C$3922*Sens!$C$3923</f>
        <v>1486.69201339361</v>
      </c>
    </row>
    <row r="3925" customFormat="false" ht="17.15" hidden="false" customHeight="false" outlineLevel="0" collapsed="false">
      <c r="A3925" s="0" t="s">
        <v>880</v>
      </c>
      <c r="B3925" s="0" t="s">
        <v>73</v>
      </c>
      <c r="C3925" s="38" t="n">
        <f aca="false">0.25*Sens!$H$3849+0.75*Sens!$I$3849</f>
        <v>72.2947701247864</v>
      </c>
    </row>
    <row r="3926" customFormat="false" ht="17.15" hidden="false" customHeight="false" outlineLevel="0" collapsed="false">
      <c r="A3926" s="0" t="s">
        <v>881</v>
      </c>
      <c r="B3926" s="0" t="s">
        <v>57</v>
      </c>
      <c r="C3926" s="30" t="n">
        <f aca="false">m_ai</f>
        <v>6</v>
      </c>
    </row>
    <row r="3927" customFormat="false" ht="17.15" hidden="false" customHeight="false" outlineLevel="0" collapsed="false">
      <c r="A3927" s="0" t="s">
        <v>882</v>
      </c>
      <c r="B3927" s="0" t="s">
        <v>73</v>
      </c>
      <c r="C3927" s="38" t="n">
        <f aca="false">Sens!$C$3925*Sens!$C$3926</f>
        <v>433.768620748718</v>
      </c>
    </row>
    <row r="3928" customFormat="false" ht="17.15" hidden="false" customHeight="false" outlineLevel="0" collapsed="false">
      <c r="A3928" s="5" t="s">
        <v>883</v>
      </c>
      <c r="B3928" s="0" t="s">
        <v>73</v>
      </c>
      <c r="C3928" s="38" t="n">
        <f aca="false">Sens!$C$3918+Sens!$C$3921+Sens!$C$3924+Sens!$C$3927</f>
        <v>2997.18919137552</v>
      </c>
    </row>
    <row r="3929" customFormat="false" ht="17.15" hidden="false" customHeight="false" outlineLevel="0" collapsed="false">
      <c r="A3929" s="5" t="s">
        <v>884</v>
      </c>
      <c r="B3929" s="0" t="s">
        <v>73</v>
      </c>
      <c r="C3929" s="38" t="n">
        <f aca="false">Sens!$H$3887</f>
        <v>113.470327489299</v>
      </c>
    </row>
    <row r="3930" customFormat="false" ht="15" hidden="false" customHeight="false" outlineLevel="0" collapsed="false">
      <c r="A3930" s="5" t="s">
        <v>885</v>
      </c>
      <c r="B3930" s="0" t="s">
        <v>73</v>
      </c>
      <c r="C3930" s="38" t="n">
        <f aca="false">Sens!$C$3928-Sens!$C$3929+Sens!$C$3911</f>
        <v>3062.66286388622</v>
      </c>
    </row>
    <row r="3931" customFormat="false" ht="15" hidden="false" customHeight="false" outlineLevel="0" collapsed="false">
      <c r="A3931" s="3" t="s">
        <v>886</v>
      </c>
      <c r="B3931" s="8" t="s">
        <v>27</v>
      </c>
      <c r="C3931" s="30" t="n">
        <f aca="false">Sens!$C$3930/sh_val</f>
        <v>277.65871976865</v>
      </c>
    </row>
    <row r="3932" customFormat="false" ht="17.15" hidden="false" customHeight="false" outlineLevel="0" collapsed="false">
      <c r="A3932" s="46" t="s">
        <v>887</v>
      </c>
      <c r="B3932" s="13" t="s">
        <v>27</v>
      </c>
      <c r="C3932" s="43" t="n">
        <f aca="false">w_dcf*Sens!$C$3914+(1-w_dcf)*Sens!$C$3931</f>
        <v>188.30813636308</v>
      </c>
      <c r="D3932" s="13"/>
      <c r="E3932" s="13"/>
      <c r="F3932" s="13"/>
      <c r="G3932" s="13"/>
      <c r="H3932" s="13"/>
      <c r="I3932" s="13"/>
      <c r="J3932" s="13"/>
      <c r="K3932" s="13"/>
      <c r="L3932" s="13"/>
      <c r="M3932" s="13"/>
      <c r="N3932" s="13"/>
      <c r="O3932" s="13"/>
    </row>
    <row r="3933" customFormat="false" ht="17.15" hidden="false" customHeight="false" outlineLevel="0" collapsed="false">
      <c r="A3933" s="5" t="s">
        <v>888</v>
      </c>
      <c r="B3933" s="0" t="s">
        <v>27</v>
      </c>
      <c r="C3933" s="30" t="n">
        <f aca="false">0.45*Sens!$C$3914+0.55*Sens!$C$3931</f>
        <v>197.243194703637</v>
      </c>
    </row>
    <row r="3936" customFormat="false" ht="19.4" hidden="false" customHeight="false" outlineLevel="0" collapsed="false">
      <c r="A3936" s="31" t="s">
        <v>1128</v>
      </c>
    </row>
    <row r="3937" customFormat="false" ht="17.15" hidden="false" customHeight="false" outlineLevel="0" collapsed="false">
      <c r="A3937" s="6" t="s">
        <v>16</v>
      </c>
      <c r="B3937" s="6" t="s">
        <v>17</v>
      </c>
      <c r="C3937" s="20" t="s">
        <v>457</v>
      </c>
      <c r="D3937" s="20" t="s">
        <v>458</v>
      </c>
      <c r="E3937" s="20" t="s">
        <v>540</v>
      </c>
      <c r="F3937" s="20" t="s">
        <v>541</v>
      </c>
      <c r="G3937" s="20" t="s">
        <v>542</v>
      </c>
      <c r="H3937" s="20" t="s">
        <v>543</v>
      </c>
      <c r="I3937" s="20" t="s">
        <v>544</v>
      </c>
      <c r="J3937" s="20" t="s">
        <v>545</v>
      </c>
      <c r="K3937" s="20" t="s">
        <v>546</v>
      </c>
      <c r="L3937" s="20" t="s">
        <v>547</v>
      </c>
      <c r="M3937" s="20" t="s">
        <v>548</v>
      </c>
      <c r="N3937" s="20" t="s">
        <v>549</v>
      </c>
      <c r="O3937" s="20" t="s">
        <v>550</v>
      </c>
      <c r="P3937" s="6" t="s">
        <v>23</v>
      </c>
      <c r="R3937" s="20" t="n">
        <v>2023</v>
      </c>
      <c r="S3937" s="20" t="n">
        <v>2024</v>
      </c>
      <c r="T3937" s="20" t="n">
        <v>2025</v>
      </c>
      <c r="U3937" s="20" t="n">
        <v>2026</v>
      </c>
      <c r="V3937" s="20" t="n">
        <v>2027</v>
      </c>
      <c r="W3937" s="20" t="n">
        <v>2028</v>
      </c>
      <c r="X3937" s="20" t="n">
        <v>2029</v>
      </c>
      <c r="Y3937" s="20" t="n">
        <v>2030</v>
      </c>
      <c r="Z3937" s="20" t="n">
        <v>2031</v>
      </c>
      <c r="AA3937" s="20" t="n">
        <v>2032</v>
      </c>
    </row>
    <row r="3938" customFormat="false" ht="17.15" hidden="false" customHeight="false" outlineLevel="0" collapsed="false">
      <c r="A3938" s="1" t="s">
        <v>620</v>
      </c>
    </row>
    <row r="3939" customFormat="false" ht="17.15" hidden="false" customHeight="false" outlineLevel="0" collapsed="false">
      <c r="A3939" s="0" t="s">
        <v>479</v>
      </c>
      <c r="B3939" s="0" t="s">
        <v>73</v>
      </c>
      <c r="C3939" s="38" t="n">
        <f aca="false">Q!$D$10</f>
        <v>247.029</v>
      </c>
      <c r="D3939" s="38" t="n">
        <f aca="false">Q!$E$10</f>
        <v>269.287</v>
      </c>
      <c r="E3939" s="38" t="n">
        <f aca="false">Q!$P$10</f>
        <v>134.686</v>
      </c>
      <c r="F3939" s="38" t="n">
        <f aca="false">Sens!$O$3939*(1+Sens!$F$3940)-pd_amt*Q!$O$10/(Q!$O$10+Q!$O$12)</f>
        <v>160.728085930082</v>
      </c>
      <c r="G3939" s="38" t="n">
        <f aca="false">Sens!$E$3939+Sens!$F$3939</f>
        <v>295.414085930082</v>
      </c>
      <c r="H3939" s="38" t="n">
        <f aca="false">Sens!$G$3939*(1+Sens!$H$3940)</f>
        <v>320.828163943375</v>
      </c>
      <c r="I3939" s="38" t="n">
        <f aca="false">Sens!$H$3939*(1+Sens!$I$3940)</f>
        <v>344.575578072228</v>
      </c>
      <c r="J3939" s="38" t="n">
        <f aca="false">Sens!$I$3939*(1+Sens!$J$3940)</f>
        <v>365.942555779681</v>
      </c>
      <c r="K3939" s="38" t="n">
        <f aca="false">Sens!$J$3939*(1+Sens!$K$3940)</f>
        <v>384.239683568665</v>
      </c>
      <c r="L3939" s="38" t="n">
        <f aca="false">Sens!$K$3939*(1+Sens!$L$3940)</f>
        <v>403.451667747098</v>
      </c>
      <c r="M3939" s="38" t="n">
        <f aca="false">Sens!$L$3939*(1+Sens!$M$3940)</f>
        <v>423.624251134453</v>
      </c>
      <c r="N3939" s="38" t="n">
        <f aca="false">Q!$N$10</f>
        <v>118.892</v>
      </c>
      <c r="O3939" s="38" t="n">
        <f aca="false">Q!$O$10</f>
        <v>150.395</v>
      </c>
      <c r="P3939" s="8" t="s">
        <v>621</v>
      </c>
    </row>
    <row r="3940" customFormat="false" ht="17.15" hidden="false" customHeight="false" outlineLevel="0" collapsed="false">
      <c r="A3940" s="0" t="s">
        <v>622</v>
      </c>
      <c r="B3940" s="0" t="s">
        <v>52</v>
      </c>
      <c r="E3940" s="12" t="n">
        <f aca="false">Sens!$E$3939/Sens!$N$3939-1</f>
        <v>0.132843252699929</v>
      </c>
      <c r="F3940" s="12" t="n">
        <f aca="false">Sens!$O$3939/(Q!$F$10+Q!$G$10)-1</f>
        <v>0.0980382135842941</v>
      </c>
      <c r="G3940" s="12" t="n">
        <f aca="false">Sens!$G$3939/Sens!$D$3939-1</f>
        <v>0.0970231980380869</v>
      </c>
      <c r="H3940" s="12" t="n">
        <f aca="false">Sens!$F$3940+(g_os-Sens!$F$3940)*1/4</f>
        <v>0.0860286601882206</v>
      </c>
      <c r="I3940" s="12" t="n">
        <f aca="false">Sens!$F$3940+(g_os-Sens!$F$3940)*2/4</f>
        <v>0.074019106792147</v>
      </c>
      <c r="J3940" s="12" t="n">
        <f aca="false">Sens!$F$3940+(g_os-Sens!$F$3940)*3/4</f>
        <v>0.0620095533960735</v>
      </c>
      <c r="K3940" s="12" t="n">
        <f aca="false">Sens!$F$3940+(g_os-Sens!$F$3940)*4/4</f>
        <v>0.05</v>
      </c>
      <c r="L3940" s="12" t="n">
        <f aca="false">g_os</f>
        <v>0.05</v>
      </c>
      <c r="M3940" s="12" t="n">
        <f aca="false">g_os</f>
        <v>0.05</v>
      </c>
      <c r="P3940" s="8" t="s">
        <v>623</v>
      </c>
    </row>
    <row r="3941" customFormat="false" ht="17.15" hidden="false" customHeight="false" outlineLevel="0" collapsed="false">
      <c r="A3941" s="0" t="s">
        <v>480</v>
      </c>
      <c r="B3941" s="0" t="s">
        <v>73</v>
      </c>
      <c r="C3941" s="38" t="n">
        <f aca="false">Q!$D$11</f>
        <v>21.215</v>
      </c>
      <c r="D3941" s="38" t="n">
        <f aca="false">Q!$E$11</f>
        <v>22.561</v>
      </c>
      <c r="E3941" s="38" t="n">
        <f aca="false">Q!$P$11</f>
        <v>11.579</v>
      </c>
      <c r="F3941" s="38" t="n">
        <f aca="false">Sens!$O$3941*(1+Sens!$F$3942)</f>
        <v>12.0952613121125</v>
      </c>
      <c r="G3941" s="38" t="n">
        <f aca="false">Sens!$E$3941+Sens!$F$3941</f>
        <v>23.6742613121125</v>
      </c>
      <c r="H3941" s="38" t="n">
        <f aca="false">Sens!$G$3941*(1+Sens!$H$3942)</f>
        <v>24.8803243963206</v>
      </c>
      <c r="I3941" s="38" t="n">
        <f aca="false">Sens!$H$3941*(1+Sens!$I$3942)</f>
        <v>25.9741308664154</v>
      </c>
      <c r="J3941" s="38" t="n">
        <f aca="false">Sens!$I$3941*(1+Sens!$J$3942)</f>
        <v>26.9346894124267</v>
      </c>
      <c r="K3941" s="38" t="n">
        <f aca="false">Sens!$J$3941*(1+Sens!$K$3942)</f>
        <v>27.7427300947995</v>
      </c>
      <c r="L3941" s="38" t="n">
        <f aca="false">Sens!$K$3941*(1+Sens!$L$3942)</f>
        <v>28.5750119976435</v>
      </c>
      <c r="M3941" s="38" t="n">
        <f aca="false">Sens!$L$3941*(1+Sens!$M$3942)</f>
        <v>29.4322623575728</v>
      </c>
      <c r="N3941" s="38" t="n">
        <f aca="false">Q!$N$11</f>
        <v>11.128</v>
      </c>
      <c r="O3941" s="38" t="n">
        <f aca="false">Q!$O$11</f>
        <v>11.433</v>
      </c>
      <c r="P3941" s="8" t="s">
        <v>621</v>
      </c>
    </row>
    <row r="3942" customFormat="false" ht="17.15" hidden="false" customHeight="false" outlineLevel="0" collapsed="false">
      <c r="A3942" s="0" t="s">
        <v>624</v>
      </c>
      <c r="B3942" s="0" t="s">
        <v>52</v>
      </c>
      <c r="E3942" s="12" t="n">
        <f aca="false">Sens!$E$3941/Sens!$N$3941-1</f>
        <v>0.0405283968368082</v>
      </c>
      <c r="F3942" s="12" t="n">
        <f aca="false">Sens!$O$3941/(Q!$F$11+Q!$G$11)-1</f>
        <v>0.0579254187100955</v>
      </c>
      <c r="G3942" s="12" t="n">
        <f aca="false">Sens!$G$3941/Sens!$D$3941-1</f>
        <v>0.0493445021103904</v>
      </c>
      <c r="H3942" s="12" t="n">
        <f aca="false">Sens!$F$3942+(g_ps-Sens!$F$3942)*1/4</f>
        <v>0.0509440640325716</v>
      </c>
      <c r="I3942" s="12" t="n">
        <f aca="false">Sens!$F$3942+(g_ps-Sens!$F$3942)*2/4</f>
        <v>0.0439627093550477</v>
      </c>
      <c r="J3942" s="12" t="n">
        <f aca="false">Sens!$F$3942+(g_ps-Sens!$F$3942)*3/4</f>
        <v>0.0369813546775239</v>
      </c>
      <c r="K3942" s="12" t="n">
        <f aca="false">Sens!$F$3942+(g_ps-Sens!$F$3942)*4/4</f>
        <v>0.03</v>
      </c>
      <c r="L3942" s="12" t="n">
        <f aca="false">g_ps</f>
        <v>0.03</v>
      </c>
      <c r="M3942" s="12" t="n">
        <f aca="false">g_ps</f>
        <v>0.03</v>
      </c>
      <c r="P3942" s="8" t="s">
        <v>625</v>
      </c>
    </row>
    <row r="3943" customFormat="false" ht="17.15" hidden="false" customHeight="false" outlineLevel="0" collapsed="false">
      <c r="A3943" s="0" t="s">
        <v>481</v>
      </c>
      <c r="B3943" s="0" t="s">
        <v>73</v>
      </c>
      <c r="C3943" s="38" t="n">
        <f aca="false">Q!$D$12</f>
        <v>156.146</v>
      </c>
      <c r="D3943" s="38" t="n">
        <f aca="false">Q!$E$12</f>
        <v>172.162</v>
      </c>
      <c r="E3943" s="38" t="n">
        <f aca="false">Q!$P$12</f>
        <v>88.358</v>
      </c>
      <c r="F3943" s="38" t="n">
        <f aca="false">Sens!$O$3943*(1+Sens!$F$3944)-pd_amt*Q!$O$12/(Q!$O$10+Q!$O$12)</f>
        <v>103.62028337149</v>
      </c>
      <c r="G3943" s="38" t="n">
        <f aca="false">Sens!$E$3943+Sens!$F$3943</f>
        <v>191.97828337149</v>
      </c>
      <c r="H3943" s="38" t="n">
        <f aca="false">Sens!$G$3943*(1+Sens!$H$3944)</f>
        <v>212.128608444755</v>
      </c>
      <c r="I3943" s="38" t="n">
        <f aca="false">Sens!$H$3943*(1+Sens!$I$3944)</f>
        <v>231.92183134134</v>
      </c>
      <c r="J3943" s="38" t="n">
        <f aca="false">Sens!$I$3943*(1+Sens!$J$3944)</f>
        <v>250.859136487863</v>
      </c>
      <c r="K3943" s="38" t="n">
        <f aca="false">Sens!$J$3943*(1+Sens!$K$3944)</f>
        <v>268.419276042014</v>
      </c>
      <c r="L3943" s="38" t="n">
        <f aca="false">Sens!$K$3943*(1+Sens!$L$3944)</f>
        <v>287.208625364954</v>
      </c>
      <c r="M3943" s="38" t="n">
        <f aca="false">Sens!$L$3943*(1+Sens!$M$3944)</f>
        <v>307.313229140501</v>
      </c>
      <c r="N3943" s="38" t="n">
        <f aca="false">Q!$N$12</f>
        <v>76.86</v>
      </c>
      <c r="O3943" s="38" t="n">
        <f aca="false">Q!$O$12</f>
        <v>95.302</v>
      </c>
      <c r="P3943" s="8" t="s">
        <v>621</v>
      </c>
    </row>
    <row r="3944" customFormat="false" ht="17.15" hidden="false" customHeight="false" outlineLevel="0" collapsed="false">
      <c r="A3944" s="0" t="s">
        <v>626</v>
      </c>
      <c r="B3944" s="0" t="s">
        <v>52</v>
      </c>
      <c r="E3944" s="12" t="n">
        <f aca="false">Sens!$E$3943/Sens!$N$3943-1</f>
        <v>0.1495966692688</v>
      </c>
      <c r="F3944" s="12" t="n">
        <f aca="false">Sens!$O$3943/(Q!$F$12+Q!$G$12)-1</f>
        <v>0.11661530890813</v>
      </c>
      <c r="G3944" s="12" t="n">
        <f aca="false">Sens!$G$3943/Sens!$D$3943-1</f>
        <v>0.115102539303041</v>
      </c>
      <c r="H3944" s="12" t="n">
        <f aca="false">Sens!$F$3944+(g_sp-Sens!$F$3944)*1/4</f>
        <v>0.104961481681098</v>
      </c>
      <c r="I3944" s="12" t="n">
        <f aca="false">Sens!$F$3944+(g_sp-Sens!$F$3944)*2/4</f>
        <v>0.0933076544540651</v>
      </c>
      <c r="J3944" s="12" t="n">
        <f aca="false">Sens!$F$3944+(g_sp-Sens!$F$3944)*3/4</f>
        <v>0.0816538272270325</v>
      </c>
      <c r="K3944" s="12" t="n">
        <f aca="false">Sens!$F$3944+(g_sp-Sens!$F$3944)*4/4</f>
        <v>0.07</v>
      </c>
      <c r="L3944" s="12" t="n">
        <f aca="false">g_sp</f>
        <v>0.07</v>
      </c>
      <c r="M3944" s="12" t="n">
        <f aca="false">g_sp</f>
        <v>0.07</v>
      </c>
      <c r="P3944" s="8" t="s">
        <v>627</v>
      </c>
    </row>
    <row r="3945" customFormat="false" ht="17.15" hidden="false" customHeight="false" outlineLevel="0" collapsed="false">
      <c r="A3945" s="0" t="s">
        <v>482</v>
      </c>
      <c r="B3945" s="0" t="s">
        <v>73</v>
      </c>
      <c r="C3945" s="38" t="n">
        <f aca="false">Q!$D$13</f>
        <v>56.214</v>
      </c>
      <c r="D3945" s="38" t="n">
        <f aca="false">Q!$E$13</f>
        <v>68.635</v>
      </c>
      <c r="E3945" s="38" t="n">
        <f aca="false">Q!$P$13</f>
        <v>37.052</v>
      </c>
      <c r="F3945" s="38" t="n">
        <f aca="false">Sens!$O$3945*(1+Sens!$F$3946)</f>
        <v>48.1533381827382</v>
      </c>
      <c r="G3945" s="38" t="n">
        <f aca="false">Sens!$E$3945+Sens!$F$3945</f>
        <v>85.2053381827382</v>
      </c>
      <c r="H3945" s="38" t="n">
        <f aca="false">Sens!$G$3945*(1+Sens!$H$3946)</f>
        <v>102.29336185894</v>
      </c>
      <c r="I3945" s="38" t="n">
        <f aca="false">Sens!$H$3945*(1+Sens!$I$3946)</f>
        <v>119.379837585241</v>
      </c>
      <c r="J3945" s="38" t="n">
        <f aca="false">Sens!$I$3945*(1+Sens!$J$3946)</f>
        <v>135.319079048844</v>
      </c>
      <c r="K3945" s="38" t="n">
        <f aca="false">Sens!$J$3945*(1+Sens!$K$3946)</f>
        <v>148.850986953729</v>
      </c>
      <c r="L3945" s="38" t="n">
        <f aca="false">Sens!$K$3945*(1+Sens!$L$3946)</f>
        <v>163.736085649102</v>
      </c>
      <c r="M3945" s="38" t="n">
        <f aca="false">Sens!$L$3945*(1+Sens!$M$3946)</f>
        <v>180.109694214012</v>
      </c>
      <c r="N3945" s="38" t="n">
        <f aca="false">Q!$N$13</f>
        <v>29.615</v>
      </c>
      <c r="O3945" s="38" t="n">
        <f aca="false">Q!$O$13</f>
        <v>39.02</v>
      </c>
      <c r="P3945" s="8" t="s">
        <v>621</v>
      </c>
    </row>
    <row r="3946" customFormat="false" ht="17.15" hidden="false" customHeight="false" outlineLevel="0" collapsed="false">
      <c r="A3946" s="0" t="s">
        <v>628</v>
      </c>
      <c r="B3946" s="0" t="s">
        <v>52</v>
      </c>
      <c r="E3946" s="12" t="n">
        <f aca="false">Sens!$E$3945/Sens!$N$3945-1</f>
        <v>0.25112274185379</v>
      </c>
      <c r="F3946" s="12" t="n">
        <f aca="false">Sens!$O$3945/(Q!$F$13+Q!$G$13)-1</f>
        <v>0.234068123596572</v>
      </c>
      <c r="G3946" s="12" t="n">
        <f aca="false">Sens!$G$3945/Sens!$D$3945-1</f>
        <v>0.241426942270536</v>
      </c>
      <c r="H3946" s="12" t="n">
        <f aca="false">Sens!$F$3946+(g_ad-Sens!$F$3946)*1/4</f>
        <v>0.200551092697429</v>
      </c>
      <c r="I3946" s="12" t="n">
        <f aca="false">Sens!$F$3946+(g_ad-Sens!$F$3946)*2/4</f>
        <v>0.167034061798286</v>
      </c>
      <c r="J3946" s="12" t="n">
        <f aca="false">Sens!$F$3946+(g_ad-Sens!$F$3946)*3/4</f>
        <v>0.133517030899143</v>
      </c>
      <c r="K3946" s="12" t="n">
        <f aca="false">Sens!$F$3946+(g_ad-Sens!$F$3946)*4/4</f>
        <v>0.1</v>
      </c>
      <c r="L3946" s="12" t="n">
        <f aca="false">g_ad</f>
        <v>0.1</v>
      </c>
      <c r="M3946" s="12" t="n">
        <f aca="false">g_ad</f>
        <v>0.1</v>
      </c>
      <c r="P3946" s="8" t="s">
        <v>629</v>
      </c>
    </row>
    <row r="3947" customFormat="false" ht="17.15" hidden="false" customHeight="false" outlineLevel="0" collapsed="false">
      <c r="A3947" s="0" t="s">
        <v>483</v>
      </c>
      <c r="B3947" s="0" t="s">
        <v>73</v>
      </c>
      <c r="C3947" s="38" t="n">
        <f aca="false">Q!$D$14</f>
        <v>44.374</v>
      </c>
      <c r="D3947" s="38" t="n">
        <f aca="false">Q!$E$14</f>
        <v>49.619</v>
      </c>
      <c r="E3947" s="38" t="n">
        <f aca="false">Q!$P$14</f>
        <v>27.157</v>
      </c>
      <c r="F3947" s="38" t="n">
        <f aca="false">Sens!$O$3947*(1+Sens!$F$3948)</f>
        <v>28.9776360923374</v>
      </c>
      <c r="G3947" s="38" t="n">
        <f aca="false">Sens!$E$3947+Sens!$F$3947</f>
        <v>56.1346360923374</v>
      </c>
      <c r="H3947" s="38" t="n">
        <f aca="false">Sens!$G$3947*(1+Sens!$H$3948)</f>
        <v>62.4937078946075</v>
      </c>
      <c r="I3947" s="38" t="n">
        <f aca="false">Sens!$H$3947*(1+Sens!$I$3948)</f>
        <v>68.6715233062498</v>
      </c>
      <c r="J3947" s="38" t="n">
        <f aca="false">Sens!$I$3947*(1+Sens!$J$3948)</f>
        <v>74.4692882949818</v>
      </c>
      <c r="K3947" s="38" t="n">
        <f aca="false">Sens!$J$3947*(1+Sens!$K$3948)</f>
        <v>79.6821384756306</v>
      </c>
      <c r="L3947" s="38" t="n">
        <f aca="false">Sens!$K$3947*(1+Sens!$L$3948)</f>
        <v>85.2598881689247</v>
      </c>
      <c r="M3947" s="38" t="n">
        <f aca="false">Sens!$L$3947*(1+Sens!$M$3948)</f>
        <v>91.2280803407494</v>
      </c>
      <c r="N3947" s="38" t="n">
        <f aca="false">Q!$N$14</f>
        <v>23.923</v>
      </c>
      <c r="O3947" s="38" t="n">
        <f aca="false">Q!$O$14</f>
        <v>25.696</v>
      </c>
      <c r="P3947" s="8" t="s">
        <v>621</v>
      </c>
    </row>
    <row r="3948" customFormat="false" ht="17.15" hidden="false" customHeight="false" outlineLevel="0" collapsed="false">
      <c r="A3948" s="0" t="s">
        <v>630</v>
      </c>
      <c r="B3948" s="0" t="s">
        <v>52</v>
      </c>
      <c r="E3948" s="12" t="n">
        <f aca="false">Sens!$E$3947/Sens!$N$3947-1</f>
        <v>0.135183714417088</v>
      </c>
      <c r="F3948" s="12" t="n">
        <f aca="false">Sens!$O$3947/(Q!$F$14+Q!$G$14)-1</f>
        <v>0.127709997366804</v>
      </c>
      <c r="G3948" s="12" t="n">
        <f aca="false">Sens!$G$3947/Sens!$D$3947-1</f>
        <v>0.131313329416905</v>
      </c>
      <c r="H3948" s="12" t="n">
        <f aca="false">Sens!$F$3948+(g_sub-Sens!$F$3948)*1/4</f>
        <v>0.113282498025103</v>
      </c>
      <c r="I3948" s="12" t="n">
        <f aca="false">Sens!$F$3948+(g_sub-Sens!$F$3948)*2/4</f>
        <v>0.0988549986834021</v>
      </c>
      <c r="J3948" s="12" t="n">
        <f aca="false">Sens!$F$3948+(g_sub-Sens!$F$3948)*3/4</f>
        <v>0.084427499341701</v>
      </c>
      <c r="K3948" s="12" t="n">
        <f aca="false">Sens!$F$3948+(g_sub-Sens!$F$3948)*4/4</f>
        <v>0.07</v>
      </c>
      <c r="L3948" s="12" t="n">
        <f aca="false">g_sub</f>
        <v>0.07</v>
      </c>
      <c r="M3948" s="12" t="n">
        <f aca="false">g_sub</f>
        <v>0.07</v>
      </c>
      <c r="P3948" s="8" t="s">
        <v>631</v>
      </c>
    </row>
    <row r="3949" customFormat="false" ht="17.15" hidden="false" customHeight="false" outlineLevel="0" collapsed="false">
      <c r="A3949" s="0" t="s">
        <v>484</v>
      </c>
      <c r="B3949" s="0" t="s">
        <v>73</v>
      </c>
      <c r="C3949" s="38" t="n">
        <f aca="false">Q!$D$15</f>
        <v>5.425</v>
      </c>
      <c r="D3949" s="38" t="n">
        <f aca="false">Q!$E$15</f>
        <v>5.935</v>
      </c>
      <c r="E3949" s="38" t="n">
        <f aca="false">Q!$P$15</f>
        <v>3.474</v>
      </c>
      <c r="F3949" s="38" t="n">
        <f aca="false">Sens!$O$3949*(1+Sens!$F$3950)</f>
        <v>3.36182431966931</v>
      </c>
      <c r="G3949" s="38" t="n">
        <f aca="false">Sens!$E$3949+Sens!$F$3949</f>
        <v>6.83582431966931</v>
      </c>
      <c r="H3949" s="38" t="n">
        <f aca="false">Sens!$G$3949*(1+Sens!$H$3950)</f>
        <v>7.31157108370141</v>
      </c>
      <c r="I3949" s="38" t="n">
        <f aca="false">Sens!$H$3949*(1+Sens!$I$3950)</f>
        <v>7.77266852639815</v>
      </c>
      <c r="J3949" s="38" t="n">
        <f aca="false">Sens!$I$3949*(1+Sens!$J$3950)</f>
        <v>8.2120733019884</v>
      </c>
      <c r="K3949" s="38" t="n">
        <f aca="false">Sens!$J$3949*(1+Sens!$K$3950)</f>
        <v>8.62267696708783</v>
      </c>
      <c r="L3949" s="38" t="n">
        <f aca="false">Sens!$K$3949*(1+Sens!$L$3950)</f>
        <v>9.05381081544222</v>
      </c>
      <c r="M3949" s="38" t="n">
        <f aca="false">Sens!$L$3949*(1+Sens!$M$3950)</f>
        <v>9.50650135621433</v>
      </c>
      <c r="N3949" s="38" t="n">
        <f aca="false">Q!$N$15</f>
        <v>2.811</v>
      </c>
      <c r="O3949" s="38" t="n">
        <f aca="false">Q!$O$15</f>
        <v>3.124</v>
      </c>
      <c r="P3949" s="8" t="s">
        <v>621</v>
      </c>
    </row>
    <row r="3950" customFormat="false" ht="17.15" hidden="false" customHeight="false" outlineLevel="0" collapsed="false">
      <c r="A3950" s="0" t="s">
        <v>632</v>
      </c>
      <c r="B3950" s="0" t="s">
        <v>52</v>
      </c>
      <c r="E3950" s="12" t="n">
        <f aca="false">Sens!$E$3949/Sens!$N$3949-1</f>
        <v>0.235859124866596</v>
      </c>
      <c r="F3950" s="12" t="n">
        <f aca="false">Sens!$O$3949/(Q!$F$15+Q!$G$15)-1</f>
        <v>0.0761281433000345</v>
      </c>
      <c r="G3950" s="12" t="n">
        <f aca="false">Sens!$G$3949/Sens!$D$3949-1</f>
        <v>0.151781688234087</v>
      </c>
      <c r="H3950" s="12" t="n">
        <f aca="false">Sens!$F$3950+(g_ot-Sens!$F$3950)*1/4</f>
        <v>0.0695961074750259</v>
      </c>
      <c r="I3950" s="12" t="n">
        <f aca="false">Sens!$F$3950+(g_ot-Sens!$F$3950)*2/4</f>
        <v>0.0630640716500172</v>
      </c>
      <c r="J3950" s="12" t="n">
        <f aca="false">Sens!$F$3950+(g_ot-Sens!$F$3950)*3/4</f>
        <v>0.0565320358250086</v>
      </c>
      <c r="K3950" s="12" t="n">
        <f aca="false">Sens!$F$3950+(g_ot-Sens!$F$3950)*4/4</f>
        <v>0.05</v>
      </c>
      <c r="L3950" s="12" t="n">
        <f aca="false">g_ot</f>
        <v>0.05</v>
      </c>
      <c r="M3950" s="12" t="n">
        <f aca="false">g_ot</f>
        <v>0.05</v>
      </c>
      <c r="P3950" s="8" t="s">
        <v>633</v>
      </c>
    </row>
    <row r="3951" customFormat="false" ht="17.15" hidden="false" customHeight="false" outlineLevel="0" collapsed="false">
      <c r="A3951" s="3" t="s">
        <v>634</v>
      </c>
      <c r="B3951" s="8" t="s">
        <v>73</v>
      </c>
      <c r="C3951" s="38" t="n">
        <f aca="false">Sens!$C$3939+Sens!$C$3941+Sens!$C$3943+Sens!$C$3945+Sens!$C$3947+Sens!$C$3949</f>
        <v>530.403</v>
      </c>
      <c r="D3951" s="38" t="n">
        <f aca="false">Sens!$D$3939+Sens!$D$3941+Sens!$D$3943+Sens!$D$3945+Sens!$D$3947+Sens!$D$3949</f>
        <v>588.199</v>
      </c>
      <c r="E3951" s="38" t="n">
        <f aca="false">Sens!$E$3939+Sens!$E$3941+Sens!$E$3943+Sens!$E$3945+Sens!$E$3947+Sens!$E$3949</f>
        <v>302.306</v>
      </c>
      <c r="F3951" s="38" t="n">
        <f aca="false">Sens!$F$3939+Sens!$F$3941+Sens!$F$3943+Sens!$F$3945+Sens!$F$3947+Sens!$F$3949</f>
        <v>356.93642920843</v>
      </c>
      <c r="G3951" s="38" t="n">
        <f aca="false">Sens!$G$3939+Sens!$G$3941+Sens!$G$3943+Sens!$G$3945+Sens!$G$3947+Sens!$G$3949</f>
        <v>659.24242920843</v>
      </c>
      <c r="H3951" s="38" t="n">
        <f aca="false">Sens!$H$3939+Sens!$H$3941+Sens!$H$3943+Sens!$H$3945+Sens!$H$3947+Sens!$H$3949</f>
        <v>729.935737621701</v>
      </c>
      <c r="I3951" s="38" t="n">
        <f aca="false">Sens!$I$3939+Sens!$I$3941+Sens!$I$3943+Sens!$I$3945+Sens!$I$3947+Sens!$I$3949</f>
        <v>798.295569697873</v>
      </c>
      <c r="J3951" s="38" t="n">
        <f aca="false">Sens!$J$3939+Sens!$J$3941+Sens!$J$3943+Sens!$J$3945+Sens!$J$3947+Sens!$J$3949</f>
        <v>861.736822325785</v>
      </c>
      <c r="K3951" s="38" t="n">
        <f aca="false">Sens!$K$3939+Sens!$K$3941+Sens!$K$3943+Sens!$K$3945+Sens!$K$3947+Sens!$K$3949</f>
        <v>917.557492101925</v>
      </c>
      <c r="L3951" s="38" t="n">
        <f aca="false">Sens!$L$3939+Sens!$L$3941+Sens!$L$3943+Sens!$L$3945+Sens!$L$3947+Sens!$L$3949</f>
        <v>977.285089743165</v>
      </c>
      <c r="M3951" s="38" t="n">
        <f aca="false">Sens!$M$3939+Sens!$M$3941+Sens!$M$3943+Sens!$M$3945+Sens!$M$3947+Sens!$M$3949</f>
        <v>1041.2140185435</v>
      </c>
      <c r="N3951" s="38" t="n">
        <f aca="false">Sens!$N$3939+Sens!$N$3941+Sens!$N$3943+Sens!$N$3945+Sens!$N$3947+Sens!$N$3949</f>
        <v>263.229</v>
      </c>
      <c r="O3951" s="38" t="n">
        <f aca="false">Sens!$O$3939+Sens!$O$3941+Sens!$O$3943+Sens!$O$3945+Sens!$O$3947+Sens!$O$3949</f>
        <v>324.97</v>
      </c>
    </row>
    <row r="3952" customFormat="false" ht="17.15" hidden="false" customHeight="false" outlineLevel="0" collapsed="false">
      <c r="A3952" s="5" t="s">
        <v>635</v>
      </c>
      <c r="B3952" s="0" t="s">
        <v>52</v>
      </c>
      <c r="C3952" s="12" t="n">
        <f aca="false">Q!$D$5/(Q!$D$5+Q!$D$6)</f>
        <v>0.730570905519011</v>
      </c>
      <c r="D3952" s="12" t="n">
        <f aca="false">Q!$E$5/(Q!$E$5+Q!$E$6)</f>
        <v>0.724763217890544</v>
      </c>
      <c r="E3952" s="12" t="n">
        <f aca="false">Q!$P$5/(Q!$P$5+Q!$P$6)</f>
        <v>0.728797972914861</v>
      </c>
      <c r="F3952" s="12" t="n">
        <f aca="false">Sens!$O$3952</f>
        <v>0.718066283041511</v>
      </c>
      <c r="G3952" s="12" t="n">
        <f aca="false">Sens!$G$3953/Sens!$G$3951</f>
        <v>0.722987468473627</v>
      </c>
      <c r="H3952" s="12" t="n">
        <f aca="false">Sens!$G$3952</f>
        <v>0.722987468473627</v>
      </c>
      <c r="I3952" s="12" t="n">
        <f aca="false">Sens!$G$3952</f>
        <v>0.722987468473627</v>
      </c>
      <c r="J3952" s="12" t="n">
        <f aca="false">Sens!$G$3952</f>
        <v>0.722987468473627</v>
      </c>
      <c r="K3952" s="12" t="n">
        <f aca="false">Sens!$G$3952</f>
        <v>0.722987468473627</v>
      </c>
      <c r="L3952" s="12" t="n">
        <f aca="false">Sens!$G$3952</f>
        <v>0.722987468473627</v>
      </c>
      <c r="M3952" s="12" t="n">
        <f aca="false">Sens!$G$3952</f>
        <v>0.722987468473627</v>
      </c>
      <c r="N3952" s="12" t="n">
        <f aca="false">Q!$N$5/(Q!$N$5+Q!$N$6)</f>
        <v>0.733030935041352</v>
      </c>
      <c r="O3952" s="12" t="n">
        <f aca="false">Q!$O$5/(Q!$O$5+Q!$O$6)</f>
        <v>0.718066283041511</v>
      </c>
      <c r="P3952" s="8" t="s">
        <v>636</v>
      </c>
    </row>
    <row r="3953" customFormat="false" ht="17.15" hidden="false" customHeight="false" outlineLevel="0" collapsed="false">
      <c r="A3953" s="1" t="s">
        <v>472</v>
      </c>
      <c r="B3953" s="8" t="s">
        <v>73</v>
      </c>
      <c r="C3953" s="38" t="n">
        <f aca="false">Q!$D$5</f>
        <v>387.497</v>
      </c>
      <c r="D3953" s="38" t="n">
        <f aca="false">Q!$E$5</f>
        <v>426.305</v>
      </c>
      <c r="E3953" s="38" t="n">
        <f aca="false">Q!$P$5</f>
        <v>220.32</v>
      </c>
      <c r="F3953" s="38" t="n">
        <f aca="false">Sens!$F$3951*Sens!$F$3952</f>
        <v>256.304015003807</v>
      </c>
      <c r="G3953" s="38" t="n">
        <f aca="false">Sens!$E$3953+Sens!$F$3953</f>
        <v>476.624015003807</v>
      </c>
      <c r="H3953" s="38" t="n">
        <f aca="false">Sens!$H$3951*Sens!$H$3952</f>
        <v>527.734391091543</v>
      </c>
      <c r="I3953" s="38" t="n">
        <f aca="false">Sens!$I$3951*Sens!$I$3952</f>
        <v>577.157693029577</v>
      </c>
      <c r="J3953" s="38" t="n">
        <f aca="false">Sens!$J$3951*Sens!$J$3952</f>
        <v>623.024923663827</v>
      </c>
      <c r="K3953" s="38" t="n">
        <f aca="false">Sens!$K$3951*Sens!$K$3952</f>
        <v>663.382568393781</v>
      </c>
      <c r="L3953" s="38" t="n">
        <f aca="false">Sens!$L$3951*Sens!$L$3952</f>
        <v>706.564873010432</v>
      </c>
      <c r="M3953" s="38" t="n">
        <f aca="false">Sens!$M$3951*Sens!$M$3952</f>
        <v>752.784687406019</v>
      </c>
      <c r="N3953" s="38" t="n">
        <f aca="false">Q!$N$5</f>
        <v>192.955</v>
      </c>
      <c r="O3953" s="38" t="n">
        <f aca="false">Q!$O$5</f>
        <v>233.35</v>
      </c>
      <c r="P3953" s="5" t="s">
        <v>637</v>
      </c>
    </row>
    <row r="3954" customFormat="false" ht="17.15" hidden="false" customHeight="false" outlineLevel="0" collapsed="false">
      <c r="A3954" s="1" t="s">
        <v>475</v>
      </c>
      <c r="B3954" s="8" t="s">
        <v>73</v>
      </c>
      <c r="C3954" s="38" t="n">
        <f aca="false">Q!$D$6</f>
        <v>142.906</v>
      </c>
      <c r="D3954" s="38" t="n">
        <f aca="false">Q!$E$6</f>
        <v>161.894</v>
      </c>
      <c r="E3954" s="38" t="n">
        <f aca="false">Q!$P$6</f>
        <v>81.986</v>
      </c>
      <c r="F3954" s="38" t="n">
        <f aca="false">Sens!$F$3951*(1-Sens!$F$3952)</f>
        <v>100.632414204623</v>
      </c>
      <c r="G3954" s="38" t="n">
        <f aca="false">Sens!$E$3954+Sens!$F$3954</f>
        <v>182.618414204623</v>
      </c>
      <c r="H3954" s="38" t="n">
        <f aca="false">Sens!$H$3951*(1-Sens!$H$3952)</f>
        <v>202.201346530158</v>
      </c>
      <c r="I3954" s="38" t="n">
        <f aca="false">Sens!$I$3951*(1-Sens!$I$3952)</f>
        <v>221.137876668296</v>
      </c>
      <c r="J3954" s="38" t="n">
        <f aca="false">Sens!$J$3951*(1-Sens!$J$3952)</f>
        <v>238.711898661958</v>
      </c>
      <c r="K3954" s="38" t="n">
        <f aca="false">Sens!$K$3951*(1-Sens!$K$3952)</f>
        <v>254.174923708144</v>
      </c>
      <c r="L3954" s="38" t="n">
        <f aca="false">Sens!$L$3951*(1-Sens!$L$3952)</f>
        <v>270.720216732733</v>
      </c>
      <c r="M3954" s="38" t="n">
        <f aca="false">Sens!$M$3951*(1-Sens!$M$3952)</f>
        <v>288.429331137484</v>
      </c>
      <c r="N3954" s="38" t="n">
        <f aca="false">Q!$N$6</f>
        <v>70.274</v>
      </c>
      <c r="O3954" s="38" t="n">
        <f aca="false">Q!$O$6</f>
        <v>91.62</v>
      </c>
      <c r="P3954" s="5" t="s">
        <v>638</v>
      </c>
    </row>
    <row r="3955" customFormat="false" ht="17.15" hidden="false" customHeight="false" outlineLevel="0" collapsed="false">
      <c r="A3955" s="5" t="s">
        <v>639</v>
      </c>
      <c r="B3955" s="0" t="s">
        <v>73</v>
      </c>
      <c r="C3955" s="38" t="n">
        <f aca="false">Sens!$C$3945*Sens!$C$3952</f>
        <v>41.0683128828457</v>
      </c>
      <c r="D3955" s="38" t="n">
        <f aca="false">Sens!$D$3945*Sens!$D$3952</f>
        <v>49.7441234599175</v>
      </c>
      <c r="E3955" s="38" t="n">
        <f aca="false">Sens!$E$3945*Sens!$E$3952</f>
        <v>27.0034224924414</v>
      </c>
      <c r="F3955" s="38" t="n">
        <f aca="false">Sens!$F$3945*Sens!$F$3952</f>
        <v>34.5772885649197</v>
      </c>
      <c r="G3955" s="38" t="n">
        <f aca="false">Sens!$G$3945*Sens!$G$3952</f>
        <v>61.6023917531772</v>
      </c>
      <c r="H3955" s="38" t="n">
        <f aca="false">Sens!$H$3945*Sens!$H$3952</f>
        <v>73.9568187320519</v>
      </c>
      <c r="I3955" s="38" t="n">
        <f aca="false">Sens!$I$3945*Sens!$I$3952</f>
        <v>86.3101265625461</v>
      </c>
      <c r="J3955" s="38" t="n">
        <f aca="false">Sens!$J$3945*Sens!$J$3952</f>
        <v>97.8339983977065</v>
      </c>
      <c r="K3955" s="38" t="n">
        <f aca="false">Sens!$K$3945*Sens!$K$3952</f>
        <v>107.617398237477</v>
      </c>
      <c r="L3955" s="38" t="n">
        <f aca="false">Sens!$L$3945*Sens!$L$3952</f>
        <v>118.379138061225</v>
      </c>
      <c r="M3955" s="38" t="n">
        <f aca="false">Sens!$M$3945*Sens!$M$3952</f>
        <v>130.217051867347</v>
      </c>
      <c r="N3955" s="38" t="n">
        <f aca="false">Sens!$N$3945*Sens!$N$3952</f>
        <v>21.7087111412496</v>
      </c>
      <c r="O3955" s="38" t="n">
        <f aca="false">Sens!$O$3945*Sens!$O$3952</f>
        <v>28.0189463642798</v>
      </c>
      <c r="P3955" s="5" t="s">
        <v>640</v>
      </c>
    </row>
    <row r="3956" customFormat="false" ht="15" hidden="false" customHeight="false" outlineLevel="0" collapsed="false">
      <c r="A3956" s="5" t="s">
        <v>641</v>
      </c>
      <c r="B3956" s="0" t="s">
        <v>73</v>
      </c>
      <c r="C3956" s="38" t="n">
        <f aca="false">Sens!$C$3945-Sens!$C$3955</f>
        <v>15.1456871171543</v>
      </c>
      <c r="D3956" s="38" t="n">
        <f aca="false">Sens!$D$3945-Sens!$D$3955</f>
        <v>18.8908765400825</v>
      </c>
      <c r="E3956" s="38" t="n">
        <f aca="false">Sens!$E$3945-Sens!$E$3955</f>
        <v>10.0485775075586</v>
      </c>
      <c r="F3956" s="38" t="n">
        <f aca="false">Sens!$F$3945-Sens!$F$3955</f>
        <v>13.5760496178185</v>
      </c>
      <c r="G3956" s="38" t="n">
        <f aca="false">Sens!$G$3945-Sens!$G$3955</f>
        <v>23.6029464295611</v>
      </c>
      <c r="H3956" s="38" t="n">
        <f aca="false">Sens!$H$3945-Sens!$H$3955</f>
        <v>28.3365431268884</v>
      </c>
      <c r="I3956" s="38" t="n">
        <f aca="false">Sens!$I$3945-Sens!$I$3955</f>
        <v>33.0697110226949</v>
      </c>
      <c r="J3956" s="38" t="n">
        <f aca="false">Sens!$J$3945-Sens!$J$3955</f>
        <v>37.4850806511378</v>
      </c>
      <c r="K3956" s="38" t="n">
        <f aca="false">Sens!$K$3945-Sens!$K$3955</f>
        <v>41.2335887162515</v>
      </c>
      <c r="L3956" s="38" t="n">
        <f aca="false">Sens!$L$3945-Sens!$L$3955</f>
        <v>45.3569475878767</v>
      </c>
      <c r="M3956" s="38" t="n">
        <f aca="false">Sens!$M$3945-Sens!$M$3955</f>
        <v>49.8926423466644</v>
      </c>
      <c r="N3956" s="38" t="n">
        <f aca="false">Sens!$N$3945-Sens!$N$3955</f>
        <v>7.90628885875037</v>
      </c>
      <c r="O3956" s="38" t="n">
        <f aca="false">Sens!$O$3945-Sens!$O$3955</f>
        <v>11.0010536357202</v>
      </c>
    </row>
    <row r="3957" customFormat="false" ht="19.4" hidden="false" customHeight="false" outlineLevel="0" collapsed="false">
      <c r="A3957" s="31" t="s">
        <v>1129</v>
      </c>
    </row>
    <row r="3958" customFormat="false" ht="17.15" hidden="false" customHeight="false" outlineLevel="0" collapsed="false">
      <c r="A3958" s="6" t="s">
        <v>16</v>
      </c>
      <c r="B3958" s="6" t="s">
        <v>17</v>
      </c>
      <c r="C3958" s="20" t="s">
        <v>457</v>
      </c>
      <c r="D3958" s="20" t="s">
        <v>458</v>
      </c>
      <c r="E3958" s="20" t="s">
        <v>540</v>
      </c>
      <c r="F3958" s="20" t="s">
        <v>541</v>
      </c>
      <c r="G3958" s="20" t="s">
        <v>542</v>
      </c>
      <c r="H3958" s="20" t="s">
        <v>543</v>
      </c>
      <c r="I3958" s="20" t="s">
        <v>544</v>
      </c>
      <c r="J3958" s="20" t="s">
        <v>545</v>
      </c>
      <c r="K3958" s="20" t="s">
        <v>546</v>
      </c>
      <c r="L3958" s="20" t="s">
        <v>547</v>
      </c>
      <c r="M3958" s="20" t="s">
        <v>548</v>
      </c>
      <c r="N3958" s="20" t="s">
        <v>549</v>
      </c>
      <c r="O3958" s="20" t="s">
        <v>550</v>
      </c>
      <c r="P3958" s="6" t="s">
        <v>23</v>
      </c>
      <c r="R3958" s="20" t="n">
        <v>2023</v>
      </c>
      <c r="S3958" s="20" t="n">
        <v>2024</v>
      </c>
      <c r="T3958" s="20" t="n">
        <v>2025</v>
      </c>
      <c r="U3958" s="20" t="n">
        <v>2026</v>
      </c>
      <c r="V3958" s="20" t="n">
        <v>2027</v>
      </c>
      <c r="W3958" s="20" t="n">
        <v>2028</v>
      </c>
      <c r="X3958" s="20" t="n">
        <v>2029</v>
      </c>
      <c r="Y3958" s="20" t="n">
        <v>2030</v>
      </c>
      <c r="Z3958" s="20" t="n">
        <v>2031</v>
      </c>
      <c r="AA3958" s="20" t="n">
        <v>2032</v>
      </c>
    </row>
    <row r="3959" customFormat="false" ht="17.15" hidden="false" customHeight="false" outlineLevel="0" collapsed="false">
      <c r="A3959" s="1" t="s">
        <v>551</v>
      </c>
    </row>
    <row r="3960" customFormat="false" ht="17.15" hidden="false" customHeight="false" outlineLevel="0" collapsed="false">
      <c r="A3960" s="14" t="s">
        <v>552</v>
      </c>
      <c r="B3960" s="13" t="s">
        <v>108</v>
      </c>
      <c r="C3960" s="32" t="n">
        <f aca="false">mw_ye24</f>
        <v>360</v>
      </c>
      <c r="D3960" s="32" t="n">
        <f aca="false">mw_ye25</f>
        <v>1440</v>
      </c>
      <c r="E3960" s="32" t="n">
        <f aca="false">mw_open</f>
        <v>2080</v>
      </c>
      <c r="F3960" s="32" t="n">
        <f aca="false">Sens!$E$3960+pace_B*0.5</f>
        <v>3897.15</v>
      </c>
      <c r="G3960" s="32" t="n">
        <f aca="false">Sens!$F$3960</f>
        <v>3897.15</v>
      </c>
      <c r="H3960" s="32" t="n">
        <f aca="false">Sens!$G$3960+pace_B</f>
        <v>7531.45</v>
      </c>
      <c r="I3960" s="32" t="n">
        <f aca="false">Sens!$H$3960+pace_B</f>
        <v>11165.75</v>
      </c>
      <c r="J3960" s="32" t="n">
        <f aca="false">Sens!$I$3960+pace_B</f>
        <v>14800.05</v>
      </c>
      <c r="K3960" s="32" t="n">
        <f aca="false">Sens!$J$3960+pace_B</f>
        <v>18434.35</v>
      </c>
      <c r="L3960" s="32" t="n">
        <f aca="false">Sens!$K$3960+pace_B</f>
        <v>22068.65</v>
      </c>
      <c r="M3960" s="32" t="n">
        <f aca="false">Sens!$L$3960+pace_B</f>
        <v>25702.95</v>
      </c>
      <c r="N3960" s="32" t="n">
        <f aca="false">(mw_ye24+mw_ye25)/2</f>
        <v>900</v>
      </c>
      <c r="O3960" s="32" t="n">
        <f aca="false">mw_ye25</f>
        <v>1440</v>
      </c>
      <c r="P3960" s="5" t="s">
        <v>553</v>
      </c>
    </row>
    <row r="3961" customFormat="false" ht="17.15" hidden="false" customHeight="false" outlineLevel="0" collapsed="false">
      <c r="A3961" s="5" t="s">
        <v>554</v>
      </c>
      <c r="B3961" s="0" t="s">
        <v>108</v>
      </c>
      <c r="C3961" s="33" t="n">
        <f aca="false">(mw_ye23+mw_ye24)/2</f>
        <v>240</v>
      </c>
      <c r="D3961" s="33" t="n">
        <f aca="false">(Sens!$C$3960+Sens!$D$3960)/2</f>
        <v>900</v>
      </c>
      <c r="E3961" s="33" t="n">
        <f aca="false">(Sens!$D$3960+Sens!$E$3960)/2</f>
        <v>1760</v>
      </c>
      <c r="F3961" s="33" t="n">
        <f aca="false">(Sens!$E$3960+Sens!$F$3960)/2</f>
        <v>2988.575</v>
      </c>
      <c r="G3961" s="33" t="n">
        <f aca="false">(Sens!$E$3961+Sens!$F$3961)/2</f>
        <v>2374.2875</v>
      </c>
      <c r="H3961" s="33" t="n">
        <f aca="false">(Sens!$G$3960+Sens!$H$3960)/2</f>
        <v>5714.3</v>
      </c>
      <c r="I3961" s="33" t="n">
        <f aca="false">(Sens!$H$3960+Sens!$I$3960)/2</f>
        <v>9348.6</v>
      </c>
      <c r="J3961" s="33" t="n">
        <f aca="false">(Sens!$I$3960+Sens!$J$3960)/2</f>
        <v>12982.9</v>
      </c>
      <c r="K3961" s="33" t="n">
        <f aca="false">(Sens!$J$3960+Sens!$K$3960)/2</f>
        <v>16617.2</v>
      </c>
      <c r="L3961" s="33" t="n">
        <f aca="false">(Sens!$K$3960+Sens!$L$3960)/2</f>
        <v>20251.5</v>
      </c>
      <c r="M3961" s="33" t="n">
        <f aca="false">(Sens!$L$3960+Sens!$M$3960)/2</f>
        <v>23885.8</v>
      </c>
      <c r="N3961" s="33" t="n">
        <f aca="false">(Sens!$C$3960+Sens!$N$3960)/2</f>
        <v>630</v>
      </c>
      <c r="O3961" s="33" t="n">
        <f aca="false">(Sens!$N$3960+Sens!$O$3960)/2</f>
        <v>1170</v>
      </c>
    </row>
    <row r="3962" customFormat="false" ht="15" hidden="false" customHeight="false" outlineLevel="0" collapsed="false">
      <c r="A3962" s="5" t="s">
        <v>555</v>
      </c>
      <c r="B3962" s="5" t="s">
        <v>102</v>
      </c>
      <c r="C3962" s="34" t="n">
        <v>1</v>
      </c>
      <c r="D3962" s="34" t="n">
        <v>1</v>
      </c>
      <c r="E3962" s="34" t="n">
        <v>0.5</v>
      </c>
      <c r="F3962" s="34" t="n">
        <v>0.5</v>
      </c>
      <c r="G3962" s="34" t="n">
        <v>1</v>
      </c>
      <c r="H3962" s="34" t="n">
        <v>1</v>
      </c>
      <c r="I3962" s="34" t="n">
        <v>1</v>
      </c>
      <c r="J3962" s="34" t="n">
        <v>1</v>
      </c>
      <c r="K3962" s="34" t="n">
        <v>1</v>
      </c>
      <c r="L3962" s="34" t="n">
        <v>1</v>
      </c>
      <c r="M3962" s="34" t="n">
        <v>1</v>
      </c>
      <c r="N3962" s="34" t="n">
        <v>0.5</v>
      </c>
      <c r="O3962" s="34" t="n">
        <v>0.5</v>
      </c>
    </row>
    <row r="3963" customFormat="false" ht="17.15" hidden="false" customHeight="false" outlineLevel="0" collapsed="false">
      <c r="A3963" s="5" t="s">
        <v>556</v>
      </c>
      <c r="B3963" s="0" t="s">
        <v>108</v>
      </c>
      <c r="C3963" s="33" t="n">
        <f aca="false">Sens!$C$3960-mw_ye23</f>
        <v>240</v>
      </c>
      <c r="D3963" s="33" t="n">
        <f aca="false">Sens!$D$3960-Sens!$C$3960</f>
        <v>1080</v>
      </c>
      <c r="E3963" s="33" t="n">
        <f aca="false">Sens!$E$3960-Sens!$D$3960</f>
        <v>640</v>
      </c>
      <c r="F3963" s="33" t="n">
        <f aca="false">Sens!$F$3960-Sens!$E$3960</f>
        <v>1817.15</v>
      </c>
      <c r="G3963" s="33" t="n">
        <f aca="false">Sens!$E$3963+Sens!$F$3963</f>
        <v>2457.15</v>
      </c>
      <c r="H3963" s="33" t="n">
        <f aca="false">Sens!$H$3960-Sens!$G$3960</f>
        <v>3634.3</v>
      </c>
      <c r="I3963" s="33" t="n">
        <f aca="false">Sens!$I$3960-Sens!$H$3960</f>
        <v>3634.3</v>
      </c>
      <c r="J3963" s="33" t="n">
        <f aca="false">Sens!$J$3960-Sens!$I$3960</f>
        <v>3634.3</v>
      </c>
      <c r="K3963" s="33" t="n">
        <f aca="false">Sens!$K$3960-Sens!$J$3960</f>
        <v>3634.3</v>
      </c>
      <c r="L3963" s="33" t="n">
        <f aca="false">Sens!$L$3960-Sens!$K$3960</f>
        <v>3634.3</v>
      </c>
      <c r="M3963" s="33" t="n">
        <f aca="false">Sens!$M$3960-Sens!$L$3960</f>
        <v>3634.3</v>
      </c>
      <c r="N3963" s="33" t="n">
        <f aca="false">Sens!$N$3960-Sens!$C$3960</f>
        <v>540</v>
      </c>
      <c r="O3963" s="33" t="n">
        <f aca="false">Sens!$O$3960-Sens!$N$3960</f>
        <v>540</v>
      </c>
    </row>
    <row r="3964" customFormat="false" ht="17.15" hidden="false" customHeight="false" outlineLevel="0" collapsed="false">
      <c r="A3964" s="5" t="s">
        <v>557</v>
      </c>
      <c r="B3964" s="0" t="s">
        <v>108</v>
      </c>
      <c r="C3964" s="33" t="n">
        <f aca="false">Sens!$C$3963/ext_sh</f>
        <v>300</v>
      </c>
      <c r="D3964" s="33" t="n">
        <f aca="false">Sens!$D$3963/ext_sh</f>
        <v>1350</v>
      </c>
      <c r="E3964" s="33" t="n">
        <f aca="false">Sens!$E$3963/ext_sh</f>
        <v>800</v>
      </c>
      <c r="F3964" s="33" t="n">
        <f aca="false">Sens!$F$3963/ext_sh</f>
        <v>2271.4375</v>
      </c>
      <c r="G3964" s="33" t="n">
        <f aca="false">Sens!$G$3963/ext_sh</f>
        <v>3071.4375</v>
      </c>
      <c r="H3964" s="33" t="n">
        <f aca="false">Sens!$H$3963/ext_sh</f>
        <v>4542.875</v>
      </c>
      <c r="I3964" s="33" t="n">
        <f aca="false">Sens!$I$3963/ext_sh</f>
        <v>4542.875</v>
      </c>
      <c r="J3964" s="33" t="n">
        <f aca="false">Sens!$J$3963/ext_sh</f>
        <v>4542.875</v>
      </c>
      <c r="K3964" s="33" t="n">
        <f aca="false">Sens!$K$3963/ext_sh</f>
        <v>4542.875</v>
      </c>
      <c r="L3964" s="33" t="n">
        <f aca="false">Sens!$L$3963/ext_sh</f>
        <v>4542.875</v>
      </c>
      <c r="M3964" s="33" t="n">
        <f aca="false">Sens!$M$3963/ext_sh</f>
        <v>4542.875</v>
      </c>
      <c r="N3964" s="33" t="n">
        <f aca="false">Sens!$N$3963/ext_sh</f>
        <v>675</v>
      </c>
      <c r="O3964" s="33" t="n">
        <f aca="false">Sens!$O$3963/ext_sh</f>
        <v>675</v>
      </c>
      <c r="P3964" s="8" t="s">
        <v>558</v>
      </c>
      <c r="R3964" s="33" t="n">
        <f aca="false">mw_ye23/ext_sh</f>
        <v>150</v>
      </c>
      <c r="S3964" s="33" t="n">
        <f aca="false">Sens!$C$3964</f>
        <v>300</v>
      </c>
      <c r="T3964" s="33" t="n">
        <f aca="false">Sens!$D$3964</f>
        <v>1350</v>
      </c>
      <c r="U3964" s="33" t="n">
        <f aca="false">Sens!$G$3964</f>
        <v>3071.4375</v>
      </c>
      <c r="V3964" s="33" t="n">
        <f aca="false">Sens!$H$3964</f>
        <v>4542.875</v>
      </c>
      <c r="W3964" s="33" t="n">
        <f aca="false">Sens!$I$3964</f>
        <v>4542.875</v>
      </c>
      <c r="X3964" s="33" t="n">
        <f aca="false">Sens!$J$3964</f>
        <v>4542.875</v>
      </c>
      <c r="Y3964" s="33" t="n">
        <f aca="false">Sens!$K$3964</f>
        <v>4542.875</v>
      </c>
      <c r="Z3964" s="33" t="n">
        <f aca="false">Sens!$L$3964</f>
        <v>4542.875</v>
      </c>
      <c r="AA3964" s="33" t="n">
        <f aca="false">Sens!$M$3964</f>
        <v>4542.875</v>
      </c>
    </row>
    <row r="3965" customFormat="false" ht="17.15" hidden="false" customHeight="false" outlineLevel="0" collapsed="false">
      <c r="A3965" s="1" t="s">
        <v>559</v>
      </c>
    </row>
    <row r="3966" customFormat="false" ht="17.15" hidden="false" customHeight="false" outlineLevel="0" collapsed="false">
      <c r="A3966" s="0" t="s">
        <v>560</v>
      </c>
      <c r="B3966" s="0" t="s">
        <v>52</v>
      </c>
      <c r="F3966" s="35" t="n">
        <f aca="false">na_vr26</f>
        <v>0</v>
      </c>
      <c r="G3966" s="35" t="n">
        <f aca="false">na_vr26</f>
        <v>0</v>
      </c>
      <c r="H3966" s="35" t="n">
        <f aca="false">na_vr27</f>
        <v>0.5</v>
      </c>
      <c r="I3966" s="35" t="n">
        <f aca="false">na_vr28</f>
        <v>1</v>
      </c>
      <c r="J3966" s="35" t="n">
        <f aca="false">na_vr28</f>
        <v>1</v>
      </c>
      <c r="K3966" s="35" t="n">
        <f aca="false">na_vr28</f>
        <v>1</v>
      </c>
      <c r="L3966" s="35" t="n">
        <f aca="false">na_vr28</f>
        <v>1</v>
      </c>
      <c r="M3966" s="35" t="n">
        <f aca="false">na_vr28</f>
        <v>1</v>
      </c>
    </row>
    <row r="3967" customFormat="false" ht="17.15" hidden="false" customHeight="false" outlineLevel="0" collapsed="false">
      <c r="A3967" s="5" t="s">
        <v>561</v>
      </c>
      <c r="B3967" s="0" t="s">
        <v>151</v>
      </c>
      <c r="F3967" s="36" t="n">
        <f aca="false">cust_sh*tk_he_gb300*cf_chip+(1-cust_sh)*((1-Sens!$F$3966)*tk_he_gb300+Sens!$F$3966*tk_he_vr200)</f>
        <v>10.8864110021101</v>
      </c>
      <c r="G3967" s="36" t="n">
        <f aca="false">cust_sh*tk_he_gb300*cf_chip+(1-cust_sh)*((1-Sens!$G$3966)*tk_he_gb300+Sens!$G$3966*tk_he_vr200)</f>
        <v>10.8864110021101</v>
      </c>
      <c r="H3967" s="36" t="n">
        <f aca="false">cust_sh*tk_he_gb300*cf_chip+(1-cust_sh)*((1-Sens!$H$3966)*tk_he_gb300+Sens!$H$3966*tk_he_vr200)</f>
        <v>11.2211760027286</v>
      </c>
      <c r="I3967" s="36" t="n">
        <f aca="false">cust_sh*tk_he_gb300*cf_chip+(1-cust_sh)*((1-Sens!$I$3966)*tk_he_gb300+Sens!$I$3966*tk_he_vr200)</f>
        <v>11.5559410033471</v>
      </c>
      <c r="J3967" s="36" t="n">
        <f aca="false">cust_sh*tk_he_gb300*cf_chip+(1-cust_sh)*((1-Sens!$J$3966)*tk_he_gb300+Sens!$J$3966*tk_he_vr200)</f>
        <v>11.5559410033471</v>
      </c>
      <c r="K3967" s="36" t="n">
        <f aca="false">cust_sh*tk_he_gb300*cf_chip+(1-cust_sh)*((1-Sens!$K$3966)*tk_he_gb300+Sens!$K$3966*tk_he_vr200)</f>
        <v>11.5559410033471</v>
      </c>
      <c r="L3967" s="36" t="n">
        <f aca="false">cust_sh*tk_he_gb300*cf_chip+(1-cust_sh)*((1-Sens!$L$3966)*tk_he_gb300+Sens!$L$3966*tk_he_vr200)</f>
        <v>11.5559410033471</v>
      </c>
      <c r="M3967" s="36" t="n">
        <f aca="false">cust_sh*tk_he_gb300*cf_chip+(1-cust_sh)*((1-Sens!$M$3966)*tk_he_gb300+Sens!$M$3966*tk_he_vr200)</f>
        <v>11.5559410033471</v>
      </c>
    </row>
    <row r="3968" customFormat="false" ht="17.15" hidden="false" customHeight="false" outlineLevel="0" collapsed="false">
      <c r="A3968" s="5" t="s">
        <v>562</v>
      </c>
      <c r="B3968" s="0" t="s">
        <v>151</v>
      </c>
      <c r="F3968" s="36" t="n">
        <f aca="false">cust_sh*tk_ox_gb300+(1-cust_sh)*((1-Sens!$F$3966)*tk_ox_gb300+Sens!$F$3966*tk_ox_vr200)</f>
        <v>1.98263481314457</v>
      </c>
      <c r="G3968" s="36" t="n">
        <f aca="false">cust_sh*tk_ox_gb300+(1-cust_sh)*((1-Sens!$G$3966)*tk_ox_gb300+Sens!$G$3966*tk_ox_vr200)</f>
        <v>1.98263481314457</v>
      </c>
      <c r="H3968" s="36" t="n">
        <f aca="false">cust_sh*tk_ox_gb300+(1-cust_sh)*((1-Sens!$H$3966)*tk_ox_gb300+Sens!$H$3966*tk_ox_vr200)</f>
        <v>2.01034999693694</v>
      </c>
      <c r="I3968" s="36" t="n">
        <f aca="false">cust_sh*tk_ox_gb300+(1-cust_sh)*((1-Sens!$I$3966)*tk_ox_gb300+Sens!$I$3966*tk_ox_vr200)</f>
        <v>2.0380651807293</v>
      </c>
      <c r="J3968" s="36" t="n">
        <f aca="false">cust_sh*tk_ox_gb300+(1-cust_sh)*((1-Sens!$J$3966)*tk_ox_gb300+Sens!$J$3966*tk_ox_vr200)</f>
        <v>2.0380651807293</v>
      </c>
      <c r="K3968" s="36" t="n">
        <f aca="false">cust_sh*tk_ox_gb300+(1-cust_sh)*((1-Sens!$K$3966)*tk_ox_gb300+Sens!$K$3966*tk_ox_vr200)</f>
        <v>2.0380651807293</v>
      </c>
      <c r="L3968" s="36" t="n">
        <f aca="false">cust_sh*tk_ox_gb300+(1-cust_sh)*((1-Sens!$L$3966)*tk_ox_gb300+Sens!$L$3966*tk_ox_vr200)</f>
        <v>2.0380651807293</v>
      </c>
      <c r="M3968" s="36" t="n">
        <f aca="false">cust_sh*tk_ox_gb300+(1-cust_sh)*((1-Sens!$M$3966)*tk_ox_gb300+Sens!$M$3966*tk_ox_vr200)</f>
        <v>2.0380651807293</v>
      </c>
    </row>
    <row r="3969" customFormat="false" ht="17.15" hidden="false" customHeight="false" outlineLevel="0" collapsed="false">
      <c r="A3969" s="5" t="s">
        <v>563</v>
      </c>
      <c r="B3969" s="0" t="s">
        <v>170</v>
      </c>
      <c r="F3969" s="36" t="n">
        <f aca="false">cust_sh*tk_cx_gb300*cf_cx+(1-cust_sh)*((1-Sens!$F$3966)*tk_cx_gb300+Sens!$F$3966*tk_cx_vr200)</f>
        <v>32.237224</v>
      </c>
      <c r="G3969" s="36" t="n">
        <f aca="false">cust_sh*tk_cx_gb300*cf_cx+(1-cust_sh)*((1-Sens!$G$3966)*tk_cx_gb300+Sens!$G$3966*tk_cx_vr200)</f>
        <v>32.237224</v>
      </c>
      <c r="H3969" s="36" t="n">
        <f aca="false">cust_sh*tk_cx_gb300*cf_cx+(1-cust_sh)*((1-Sens!$H$3966)*tk_cx_gb300+Sens!$H$3966*tk_cx_vr200)</f>
        <v>33.574506</v>
      </c>
      <c r="I3969" s="36" t="n">
        <f aca="false">cust_sh*tk_cx_gb300*cf_cx+(1-cust_sh)*((1-Sens!$I$3966)*tk_cx_gb300+Sens!$I$3966*tk_cx_vr200)</f>
        <v>34.911788</v>
      </c>
      <c r="J3969" s="36" t="n">
        <f aca="false">cust_sh*tk_cx_gb300*cf_cx+(1-cust_sh)*((1-Sens!$J$3966)*tk_cx_gb300+Sens!$J$3966*tk_cx_vr200)</f>
        <v>34.911788</v>
      </c>
      <c r="K3969" s="36" t="n">
        <f aca="false">cust_sh*tk_cx_gb300*cf_cx+(1-cust_sh)*((1-Sens!$K$3966)*tk_cx_gb300+Sens!$K$3966*tk_cx_vr200)</f>
        <v>34.911788</v>
      </c>
      <c r="L3969" s="36" t="n">
        <f aca="false">cust_sh*tk_cx_gb300*cf_cx+(1-cust_sh)*((1-Sens!$L$3966)*tk_cx_gb300+Sens!$L$3966*tk_cx_vr200)</f>
        <v>34.911788</v>
      </c>
      <c r="M3969" s="36" t="n">
        <f aca="false">cust_sh*tk_cx_gb300*cf_cx+(1-cust_sh)*((1-Sens!$M$3966)*tk_cx_gb300+Sens!$M$3966*tk_cx_vr200)</f>
        <v>34.911788</v>
      </c>
    </row>
    <row r="3970" customFormat="false" ht="17.15" hidden="false" customHeight="false" outlineLevel="0" collapsed="false">
      <c r="A3970" s="5" t="s">
        <v>564</v>
      </c>
      <c r="B3970" s="0" t="s">
        <v>108</v>
      </c>
      <c r="F3970" s="33" t="n">
        <f aca="false">Sens!$F$3960-mw_open</f>
        <v>1817.15</v>
      </c>
      <c r="G3970" s="33" t="n">
        <f aca="false">Sens!$F$3970</f>
        <v>1817.15</v>
      </c>
      <c r="H3970" s="33" t="n">
        <f aca="false">Sens!$H$3960-mw_open</f>
        <v>5451.45</v>
      </c>
      <c r="I3970" s="33" t="n">
        <f aca="false">Sens!$I$3960-mw_open</f>
        <v>9085.75</v>
      </c>
      <c r="J3970" s="33" t="n">
        <f aca="false">Sens!$J$3960-mw_open</f>
        <v>12720.05</v>
      </c>
      <c r="K3970" s="33" t="n">
        <f aca="false">Sens!$K$3960-mw_open</f>
        <v>16354.35</v>
      </c>
      <c r="L3970" s="33" t="n">
        <f aca="false">Sens!$L$3960-mw_open</f>
        <v>19988.65</v>
      </c>
      <c r="M3970" s="33" t="n">
        <f aca="false">Sens!$M$3960-mw_open</f>
        <v>23622.95</v>
      </c>
    </row>
    <row r="3971" customFormat="false" ht="17.15" hidden="false" customHeight="false" outlineLevel="0" collapsed="false">
      <c r="A3971" s="0" t="s">
        <v>565</v>
      </c>
      <c r="B3971" s="0" t="s">
        <v>566</v>
      </c>
      <c r="F3971" s="33" t="n">
        <f aca="false">Sens!$F$3963*Sens!$F$3967</f>
        <v>19782.2417524844</v>
      </c>
      <c r="G3971" s="33" t="n">
        <f aca="false">Sens!$F$3971</f>
        <v>19782.2417524844</v>
      </c>
      <c r="H3971" s="33" t="n">
        <f aca="false">Sens!$G$3971+Sens!$H$3963*Sens!$H$3967</f>
        <v>60563.3616992009</v>
      </c>
      <c r="I3971" s="33" t="n">
        <f aca="false">Sens!$H$3971+Sens!$I$3963*Sens!$I$3967</f>
        <v>102561.118087665</v>
      </c>
      <c r="J3971" s="33" t="n">
        <f aca="false">Sens!$I$3971+Sens!$J$3963*Sens!$J$3967</f>
        <v>144558.87447613</v>
      </c>
      <c r="K3971" s="33" t="n">
        <f aca="false">Sens!$J$3971+Sens!$K$3963*Sens!$K$3967</f>
        <v>186556.630864594</v>
      </c>
      <c r="L3971" s="33" t="n">
        <f aca="false">Sens!$K$3971+Sens!$L$3963*Sens!$L$3967</f>
        <v>228554.387253058</v>
      </c>
      <c r="M3971" s="33" t="n">
        <f aca="false">Sens!$L$3971+Sens!$M$3963*Sens!$M$3967</f>
        <v>270552.143641523</v>
      </c>
    </row>
    <row r="3972" customFormat="false" ht="17.15" hidden="false" customHeight="false" outlineLevel="0" collapsed="false">
      <c r="A3972" s="0" t="s">
        <v>567</v>
      </c>
      <c r="B3972" s="0" t="s">
        <v>566</v>
      </c>
      <c r="F3972" s="33" t="n">
        <f aca="false">Sens!$F$3963*Sens!$F$3968</f>
        <v>3602.74485070566</v>
      </c>
      <c r="G3972" s="33" t="n">
        <f aca="false">Sens!$F$3972</f>
        <v>3602.74485070566</v>
      </c>
      <c r="H3972" s="33" t="n">
        <f aca="false">Sens!$G$3972+Sens!$H$3963*Sens!$H$3968</f>
        <v>10908.9598445736</v>
      </c>
      <c r="I3972" s="33" t="n">
        <f aca="false">Sens!$H$3972+Sens!$I$3963*Sens!$I$3968</f>
        <v>18315.9001308981</v>
      </c>
      <c r="J3972" s="33" t="n">
        <f aca="false">Sens!$I$3972+Sens!$J$3963*Sens!$J$3968</f>
        <v>25722.8404172225</v>
      </c>
      <c r="K3972" s="33" t="n">
        <f aca="false">Sens!$J$3972+Sens!$K$3963*Sens!$K$3968</f>
        <v>33129.780703547</v>
      </c>
      <c r="L3972" s="33" t="n">
        <f aca="false">Sens!$K$3972+Sens!$L$3963*Sens!$L$3968</f>
        <v>40536.7209898715</v>
      </c>
      <c r="M3972" s="33" t="n">
        <f aca="false">Sens!$L$3972+Sens!$M$3963*Sens!$M$3968</f>
        <v>47943.661276196</v>
      </c>
    </row>
    <row r="3973" customFormat="false" ht="17.15" hidden="false" customHeight="false" outlineLevel="0" collapsed="false">
      <c r="A3973" s="5" t="s">
        <v>568</v>
      </c>
      <c r="B3973" s="0" t="s">
        <v>151</v>
      </c>
      <c r="F3973" s="36" t="n">
        <f aca="false">IF(Sens!$F$3970&gt;0,Sens!$F$3971/Sens!$F$3970,Sens!$F$3967)</f>
        <v>10.8864110021101</v>
      </c>
      <c r="G3973" s="36" t="n">
        <f aca="false">IF(Sens!$G$3970&gt;0,Sens!$G$3971/Sens!$G$3970,Sens!$G$3967)</f>
        <v>10.8864110021101</v>
      </c>
      <c r="H3973" s="36" t="n">
        <f aca="false">IF(Sens!$H$3970&gt;0,Sens!$H$3971/Sens!$H$3970,Sens!$H$3967)</f>
        <v>11.1095876691891</v>
      </c>
      <c r="I3973" s="36" t="n">
        <f aca="false">IF(Sens!$I$3970&gt;0,Sens!$I$3971/Sens!$I$3970,Sens!$I$3967)</f>
        <v>11.2881290028523</v>
      </c>
      <c r="J3973" s="36" t="n">
        <f aca="false">IF(Sens!$J$3970&gt;0,Sens!$J$3971/Sens!$J$3970,Sens!$J$3967)</f>
        <v>11.3646467172794</v>
      </c>
      <c r="K3973" s="36" t="n">
        <f aca="false">IF(Sens!$K$3970&gt;0,Sens!$K$3971/Sens!$K$3970,Sens!$K$3967)</f>
        <v>11.4071565586278</v>
      </c>
      <c r="L3973" s="36" t="n">
        <f aca="false">IF(Sens!$L$3970&gt;0,Sens!$L$3971/Sens!$L$3970,Sens!$L$3967)</f>
        <v>11.4342082758495</v>
      </c>
      <c r="M3973" s="36" t="n">
        <f aca="false">IF(Sens!$M$3970&gt;0,Sens!$M$3971/Sens!$M$3970,Sens!$M$3967)</f>
        <v>11.4529363877722</v>
      </c>
    </row>
    <row r="3974" customFormat="false" ht="17.15" hidden="false" customHeight="false" outlineLevel="0" collapsed="false">
      <c r="A3974" s="5" t="s">
        <v>569</v>
      </c>
      <c r="B3974" s="0" t="s">
        <v>151</v>
      </c>
      <c r="F3974" s="36" t="n">
        <f aca="false">IF(Sens!$F$3970&gt;0,Sens!$F$3972/Sens!$F$3970,Sens!$F$3968)</f>
        <v>1.98263481314457</v>
      </c>
      <c r="G3974" s="36" t="n">
        <f aca="false">IF(Sens!$G$3970&gt;0,Sens!$G$3972/Sens!$G$3970,Sens!$G$3968)</f>
        <v>1.98263481314457</v>
      </c>
      <c r="H3974" s="36" t="n">
        <f aca="false">IF(Sens!$H$3970&gt;0,Sens!$H$3972/Sens!$H$3970,Sens!$H$3968)</f>
        <v>2.00111160233948</v>
      </c>
      <c r="I3974" s="36" t="n">
        <f aca="false">IF(Sens!$I$3970&gt;0,Sens!$I$3972/Sens!$I$3970,Sens!$I$3968)</f>
        <v>2.01589303369541</v>
      </c>
      <c r="J3974" s="36" t="n">
        <f aca="false">IF(Sens!$J$3970&gt;0,Sens!$J$3972/Sens!$J$3970,Sens!$J$3968)</f>
        <v>2.02222793284795</v>
      </c>
      <c r="K3974" s="36" t="n">
        <f aca="false">IF(Sens!$K$3970&gt;0,Sens!$K$3972/Sens!$K$3970,Sens!$K$3968)</f>
        <v>2.02574732126603</v>
      </c>
      <c r="L3974" s="36" t="n">
        <f aca="false">IF(Sens!$L$3970&gt;0,Sens!$L$3972/Sens!$L$3970,Sens!$L$3968)</f>
        <v>2.02798693207753</v>
      </c>
      <c r="M3974" s="36" t="n">
        <f aca="false">IF(Sens!$M$3970&gt;0,Sens!$M$3972/Sens!$M$3970,Sens!$M$3968)</f>
        <v>2.02953743187011</v>
      </c>
    </row>
    <row r="3975" customFormat="false" ht="17.15" hidden="false" customHeight="false" outlineLevel="0" collapsed="false">
      <c r="A3975" s="14" t="s">
        <v>570</v>
      </c>
      <c r="B3975" s="13" t="s">
        <v>151</v>
      </c>
      <c r="C3975" s="13"/>
      <c r="D3975" s="13"/>
      <c r="E3975" s="13"/>
      <c r="F3975" s="37" t="n">
        <f aca="false">Sens!$F$3973*k_B</f>
        <v>10.7987645808025</v>
      </c>
      <c r="G3975" s="37" t="n">
        <f aca="false">Sens!$G$3973*k_B</f>
        <v>10.7987645808025</v>
      </c>
      <c r="H3975" s="37" t="n">
        <f aca="false">Sens!$H$3973*k_B</f>
        <v>11.0201444540452</v>
      </c>
      <c r="I3975" s="37" t="n">
        <f aca="false">Sens!$I$3973*k_B</f>
        <v>11.1972483526393</v>
      </c>
      <c r="J3975" s="37" t="n">
        <f aca="false">Sens!$J$3973*k_B</f>
        <v>11.2731500234653</v>
      </c>
      <c r="K3975" s="37" t="n">
        <f aca="false">Sens!$K$3973*k_B</f>
        <v>11.3153176183687</v>
      </c>
      <c r="L3975" s="37" t="n">
        <f aca="false">Sens!$L$3973*k_B</f>
        <v>11.3421515423981</v>
      </c>
      <c r="M3975" s="37" t="n">
        <f aca="false">Sens!$M$3973*k_B</f>
        <v>11.3607288744184</v>
      </c>
      <c r="N3975" s="13"/>
      <c r="O3975" s="13"/>
      <c r="P3975" s="5" t="s">
        <v>571</v>
      </c>
    </row>
    <row r="3976" customFormat="false" ht="17.15" hidden="false" customHeight="false" outlineLevel="0" collapsed="false">
      <c r="A3976" s="5" t="s">
        <v>572</v>
      </c>
      <c r="B3976" s="0" t="s">
        <v>108</v>
      </c>
      <c r="F3976" s="33" t="n">
        <f aca="false">Sens!$F$3970/2</f>
        <v>908.575</v>
      </c>
      <c r="H3976" s="33" t="n">
        <f aca="false">(Sens!$G$3970+Sens!$H$3970)/2</f>
        <v>3634.3</v>
      </c>
      <c r="I3976" s="33" t="n">
        <f aca="false">(Sens!$H$3970+Sens!$I$3970)/2</f>
        <v>7268.6</v>
      </c>
      <c r="J3976" s="33" t="n">
        <f aca="false">(Sens!$I$3970+Sens!$J$3970)/2</f>
        <v>10902.9</v>
      </c>
      <c r="K3976" s="33" t="n">
        <f aca="false">(Sens!$J$3970+Sens!$K$3970)/2</f>
        <v>14537.2</v>
      </c>
      <c r="L3976" s="33" t="n">
        <f aca="false">(Sens!$K$3970+Sens!$L$3970)/2</f>
        <v>18171.5</v>
      </c>
      <c r="M3976" s="33" t="n">
        <f aca="false">(Sens!$L$3970+Sens!$M$3970)/2</f>
        <v>21805.8</v>
      </c>
    </row>
    <row r="3977" customFormat="false" ht="17.15" hidden="false" customHeight="false" outlineLevel="0" collapsed="false">
      <c r="A3977" s="1" t="s">
        <v>573</v>
      </c>
    </row>
    <row r="3978" customFormat="false" ht="17.15" hidden="false" customHeight="false" outlineLevel="0" collapsed="false">
      <c r="A3978" s="1" t="s">
        <v>574</v>
      </c>
      <c r="B3978" s="8" t="s">
        <v>73</v>
      </c>
      <c r="C3978" s="38" t="n">
        <f aca="false">Sens!$C$3961*rpm_open*Sens!$C$3962/1000</f>
        <v>2.32100535697364</v>
      </c>
      <c r="D3978" s="38" t="n">
        <f aca="false">Sens!$D$3961*rpm_open*Sens!$D$3962/1000</f>
        <v>8.70377008865116</v>
      </c>
      <c r="E3978" s="38" t="n">
        <f aca="false">Sens!$E$3961*rpm_open*Sens!$E$3962/1000</f>
        <v>8.51035297557002</v>
      </c>
      <c r="F3978" s="38" t="n">
        <f aca="false">(mw_open*rpm_open+Sens!$F$3976*Sens!$F$3975)*Sens!$F$3962/1000</f>
        <v>14.9634336447205</v>
      </c>
      <c r="G3978" s="38" t="n">
        <f aca="false">Sens!$E$3978+Sens!$F$3978</f>
        <v>23.4737866202905</v>
      </c>
      <c r="H3978" s="38" t="n">
        <f aca="false">(mw_open*rpm_open+Sens!$H$3976*Sens!$H$3975)/1000</f>
        <v>60.1658907497746</v>
      </c>
      <c r="I3978" s="38" t="n">
        <f aca="false">(mw_open*rpm_open+Sens!$I$3976*Sens!$I$3975)/1000</f>
        <v>101.503699136432</v>
      </c>
      <c r="J3978" s="38" t="n">
        <f aca="false">(mw_open*rpm_open+Sens!$J$3976*Sens!$J$3975)/1000</f>
        <v>143.025407151278</v>
      </c>
      <c r="K3978" s="38" t="n">
        <f aca="false">(mw_open*rpm_open+Sens!$K$3976*Sens!$K$3975)/1000</f>
        <v>184.608415042187</v>
      </c>
      <c r="L3978" s="38" t="n">
        <f aca="false">(mw_open*rpm_open+Sens!$L$3976*Sens!$L$3975)/1000</f>
        <v>226.219286513125</v>
      </c>
      <c r="M3978" s="38" t="n">
        <f aca="false">(mw_open*rpm_open+Sens!$M$3976*Sens!$M$3975)/1000</f>
        <v>267.845161450232</v>
      </c>
      <c r="N3978" s="38" t="n">
        <f aca="false">Sens!$N$3961*rpm_open*Sens!$N$3962/1000</f>
        <v>3.04631953102791</v>
      </c>
      <c r="O3978" s="38" t="n">
        <f aca="false">Sens!$O$3961*rpm_open*Sens!$O$3962/1000</f>
        <v>5.65745055762326</v>
      </c>
      <c r="P3978" s="5" t="s">
        <v>575</v>
      </c>
    </row>
    <row r="3979" customFormat="false" ht="17.15" hidden="false" customHeight="false" outlineLevel="0" collapsed="false">
      <c r="A3979" s="5" t="s">
        <v>576</v>
      </c>
      <c r="B3979" s="0" t="s">
        <v>151</v>
      </c>
      <c r="C3979" s="36" t="n">
        <f aca="false">Sens!$C$3978*1000/(Sens!$C$3961*Sens!$C$3962)</f>
        <v>9.67085565405685</v>
      </c>
      <c r="D3979" s="36" t="n">
        <f aca="false">Sens!$D$3978*1000/(Sens!$D$3961*Sens!$D$3962)</f>
        <v>9.67085565405685</v>
      </c>
      <c r="E3979" s="36" t="n">
        <f aca="false">Sens!$E$3978*1000/(Sens!$E$3961*Sens!$E$3962)</f>
        <v>9.67085565405685</v>
      </c>
      <c r="F3979" s="36" t="n">
        <f aca="false">Sens!$F$3978*1000/(Sens!$F$3961*Sens!$F$3962)</f>
        <v>10.0137581588017</v>
      </c>
      <c r="G3979" s="36" t="n">
        <f aca="false">Sens!$G$3978*1000/(Sens!$G$3961*Sens!$G$3962)</f>
        <v>9.88666562928478</v>
      </c>
      <c r="H3979" s="36" t="n">
        <f aca="false">Sens!$H$3978*1000/(Sens!$H$3961*Sens!$H$3962)</f>
        <v>10.5290045586992</v>
      </c>
      <c r="I3979" s="36" t="n">
        <f aca="false">Sens!$I$3978*1000/(Sens!$I$3961*Sens!$I$3962)</f>
        <v>10.8576363451674</v>
      </c>
      <c r="J3979" s="36" t="n">
        <f aca="false">Sens!$J$3978*1000/(Sens!$J$3961*Sens!$J$3962)</f>
        <v>11.0164452588619</v>
      </c>
      <c r="K3979" s="36" t="n">
        <f aca="false">Sens!$K$3978*1000/(Sens!$K$3961*Sens!$K$3962)</f>
        <v>11.1094778327388</v>
      </c>
      <c r="L3979" s="36" t="n">
        <f aca="false">Sens!$L$3978*1000/(Sens!$L$3961*Sens!$L$3962)</f>
        <v>11.1704953466718</v>
      </c>
      <c r="M3979" s="36" t="n">
        <f aca="false">Sens!$M$3978*1000/(Sens!$M$3961*Sens!$M$3962)</f>
        <v>11.2135729785158</v>
      </c>
      <c r="N3979" s="36" t="n">
        <f aca="false">Sens!$N$3978*1000/(Sens!$N$3961*Sens!$N$3962)</f>
        <v>9.67085565405685</v>
      </c>
      <c r="O3979" s="36" t="n">
        <f aca="false">Sens!$O$3978*1000/(Sens!$O$3961*Sens!$O$3962)</f>
        <v>9.67085565405685</v>
      </c>
    </row>
    <row r="3980" customFormat="false" ht="17.15" hidden="false" customHeight="false" outlineLevel="0" collapsed="false">
      <c r="A3980" s="0" t="s">
        <v>577</v>
      </c>
      <c r="B3980" s="0" t="s">
        <v>73</v>
      </c>
      <c r="C3980" s="38" t="n">
        <f aca="false">Sens!$C$3961/ext_sh*(ox_open+rent_mw)*Sens!$C$3962/1000</f>
        <v>0.642569210675032</v>
      </c>
      <c r="D3980" s="38" t="n">
        <f aca="false">Sens!$D$3961/ext_sh*(ox_open+rent_mw)*Sens!$D$3962/1000</f>
        <v>2.40963454003137</v>
      </c>
      <c r="E3980" s="38" t="n">
        <f aca="false">Sens!$E$3961/ext_sh*(ox_open+rent_mw)*Sens!$E$3962/1000</f>
        <v>2.35608710580845</v>
      </c>
      <c r="F3980" s="38" t="n">
        <f aca="false">((mw_open*ox_open+Sens!$F$3976*Sens!$F$3974)/ext_sh+Sens!$F$3961/ext_sh*rent_mw)*Sens!$F$3962/1000</f>
        <v>4.05421991106232</v>
      </c>
      <c r="G3980" s="38" t="n">
        <f aca="false">Sens!$E$3980+Sens!$F$3980</f>
        <v>6.41030701687077</v>
      </c>
      <c r="H3980" s="38" t="n">
        <f aca="false">((mw_open*ox_open+Sens!$H$3976*Sens!$H$3974)/ext_sh+Sens!$H$3961/ext_sh*rent_mw)*Sens!$H$3962/1000</f>
        <v>15.8108975546616</v>
      </c>
      <c r="I3980" s="38" t="n">
        <f aca="false">((mw_open*ox_open+Sens!$I$3976*Sens!$I$3974)/ext_sh+Sens!$I$3961/ext_sh*rent_mw)*Sens!$I$3962/1000</f>
        <v>26.1871623400817</v>
      </c>
      <c r="J3980" s="38" t="n">
        <f aca="false">((mw_open*ox_open+Sens!$J$3976*Sens!$J$3974)/ext_sh+Sens!$J$3961/ext_sh*rent_mw)*Sens!$J$3962/1000</f>
        <v>36.5826128954935</v>
      </c>
      <c r="K3980" s="38" t="n">
        <f aca="false">((mw_open*ox_open+Sens!$K$3976*Sens!$K$3974)/ext_sh+Sens!$K$3961/ext_sh*rent_mw)*Sens!$K$3962/1000</f>
        <v>46.9844587075692</v>
      </c>
      <c r="L3980" s="38" t="n">
        <f aca="false">((mw_open*ox_open+Sens!$L$3976*Sens!$L$3974)/ext_sh+Sens!$L$3961/ext_sh*rent_mw)*Sens!$L$3962/1000</f>
        <v>57.3892114544922</v>
      </c>
      <c r="M3980" s="38" t="n">
        <f aca="false">((mw_open*ox_open+Sens!$M$3976*Sens!$M$3974)/ext_sh+Sens!$M$3961/ext_sh*rent_mw)*Sens!$M$3962/1000</f>
        <v>67.7955294740252</v>
      </c>
      <c r="N3980" s="38" t="n">
        <f aca="false">Sens!$N$3961/ext_sh*(ox_open+rent_mw)*Sens!$N$3962/1000</f>
        <v>0.84337208901098</v>
      </c>
      <c r="O3980" s="38" t="n">
        <f aca="false">Sens!$O$3961/ext_sh*(ox_open+rent_mw)*Sens!$O$3962/1000</f>
        <v>1.56626245102039</v>
      </c>
    </row>
    <row r="3981" customFormat="false" ht="17.15" hidden="false" customHeight="false" outlineLevel="0" collapsed="false">
      <c r="A3981" s="0" t="s">
        <v>578</v>
      </c>
      <c r="B3981" s="0" t="s">
        <v>73</v>
      </c>
      <c r="C3981" s="38" t="n">
        <f aca="false">Q!$D$7</f>
        <v>107.556</v>
      </c>
      <c r="D3981" s="38" t="n">
        <f aca="false">Q!$E$7</f>
        <v>128.725</v>
      </c>
      <c r="E3981" s="38" t="n">
        <f aca="false">Q!$P$7</f>
        <v>79.819</v>
      </c>
      <c r="N3981" s="38" t="n">
        <f aca="false">Q!$N$7</f>
        <v>60.14</v>
      </c>
      <c r="O3981" s="38" t="n">
        <f aca="false">Q!$O$7</f>
        <v>68.585</v>
      </c>
    </row>
    <row r="3982" customFormat="false" ht="17.15" hidden="false" customHeight="false" outlineLevel="0" collapsed="false">
      <c r="A3982" s="1" t="s">
        <v>579</v>
      </c>
      <c r="B3982" s="8" t="s">
        <v>73</v>
      </c>
      <c r="C3982" s="38" t="n">
        <f aca="false">Sens!$C$3981-Sens!$C$3978</f>
        <v>105.234994643026</v>
      </c>
      <c r="D3982" s="38" t="n">
        <f aca="false">Sens!$D$3981-Sens!$D$3978</f>
        <v>120.021229911349</v>
      </c>
      <c r="E3982" s="38" t="n">
        <f aca="false">Sens!$E$3981-Sens!$E$3978</f>
        <v>71.30864702443</v>
      </c>
      <c r="F3982" s="38" t="n">
        <f aca="false">Sens!$O$3982*(1+Sens!$F$3983)</f>
        <v>78.5950104186653</v>
      </c>
      <c r="G3982" s="38" t="n">
        <f aca="false">Sens!$E$3982+Sens!$F$3982</f>
        <v>149.903657443095</v>
      </c>
      <c r="H3982" s="38" t="n">
        <f aca="false">Sens!$G$3982*(1+Sens!$H$3983)</f>
        <v>180.893560768142</v>
      </c>
      <c r="I3982" s="38" t="n">
        <f aca="false">Sens!$H$3982*(1+Sens!$I$3983)</f>
        <v>210.64839721501</v>
      </c>
      <c r="J3982" s="38" t="n">
        <f aca="false">Sens!$I$3982*(1+Sens!$J$3983)</f>
        <v>236.398909446495</v>
      </c>
      <c r="K3982" s="38" t="n">
        <f aca="false">Sens!$J$3982*(1+Sens!$K$3983)</f>
        <v>255.310822202215</v>
      </c>
      <c r="L3982" s="38" t="n">
        <f aca="false">Sens!$K$3982*(1+Sens!$L$3983)</f>
        <v>275.735687978392</v>
      </c>
      <c r="M3982" s="38" t="n">
        <f aca="false">Sens!$L$3982*(1+Sens!$M$3983)</f>
        <v>297.794543016663</v>
      </c>
      <c r="N3982" s="38" t="n">
        <f aca="false">Sens!$N$3981-Sens!$N$3978</f>
        <v>57.0936804689721</v>
      </c>
      <c r="O3982" s="38" t="n">
        <f aca="false">Sens!$O$3981-Sens!$O$3978</f>
        <v>62.9275494423768</v>
      </c>
      <c r="P3982" s="5" t="s">
        <v>580</v>
      </c>
    </row>
    <row r="3983" customFormat="false" ht="17.15" hidden="false" customHeight="false" outlineLevel="0" collapsed="false">
      <c r="A3983" s="0" t="s">
        <v>581</v>
      </c>
      <c r="B3983" s="0" t="s">
        <v>52</v>
      </c>
      <c r="E3983" s="12" t="n">
        <f aca="false">Sens!$E$3982/Sens!$N$3982-1</f>
        <v>0.248976181579029</v>
      </c>
      <c r="F3983" s="12" t="n">
        <f aca="false">Sens!$E$3983</f>
        <v>0.248976181579029</v>
      </c>
      <c r="G3983" s="12" t="n">
        <f aca="false">Sens!$G$3982/Sens!$D$3982-1</f>
        <v>0.248976181579029</v>
      </c>
      <c r="H3983" s="12" t="n">
        <f aca="false">Sens!$E$3983+(g_awso_lt-Sens!$E$3983)*1/4</f>
        <v>0.206732136184272</v>
      </c>
      <c r="I3983" s="12" t="n">
        <f aca="false">Sens!$E$3983+(g_awso_lt-Sens!$E$3983)*2/4</f>
        <v>0.164488090789515</v>
      </c>
      <c r="J3983" s="12" t="n">
        <f aca="false">Sens!$E$3983+(g_awso_lt-Sens!$E$3983)*3/4</f>
        <v>0.122244045394757</v>
      </c>
      <c r="K3983" s="12" t="n">
        <f aca="false">Sens!$E$3983+(g_awso_lt-Sens!$E$3983)*4/4</f>
        <v>0.08</v>
      </c>
      <c r="L3983" s="12" t="n">
        <f aca="false">g_awso_lt</f>
        <v>0.08</v>
      </c>
      <c r="M3983" s="12" t="n">
        <f aca="false">g_awso_lt</f>
        <v>0.08</v>
      </c>
      <c r="P3983" s="8" t="s">
        <v>582</v>
      </c>
    </row>
    <row r="3984" customFormat="false" ht="17.15" hidden="false" customHeight="false" outlineLevel="0" collapsed="false">
      <c r="A3984" s="1" t="s">
        <v>583</v>
      </c>
    </row>
    <row r="3985" customFormat="false" ht="17.15" hidden="false" customHeight="false" outlineLevel="0" collapsed="false">
      <c r="A3985" s="0" t="s">
        <v>584</v>
      </c>
      <c r="B3985" s="0" t="s">
        <v>73</v>
      </c>
      <c r="F3985" s="38" t="n">
        <f aca="false">cx_rt*Sens!$F$3951+cx_awso*Sens!$F$3982</f>
        <v>36.8045765066526</v>
      </c>
    </row>
    <row r="3986" customFormat="false" ht="17.15" hidden="false" customHeight="false" outlineLevel="0" collapsed="false">
      <c r="A3986" s="0" t="s">
        <v>585</v>
      </c>
      <c r="B3986" s="0" t="s">
        <v>52</v>
      </c>
      <c r="C3986" s="12" t="n">
        <f aca="false">tk_cx_h100/(tk_cx_h100+tk_fac*(1-colo_sh))</f>
        <v>0.730756458006641</v>
      </c>
      <c r="D3986" s="12" t="n">
        <f aca="false">tk_cx_h100/(tk_cx_h100+tk_fac*(1-colo_sh))</f>
        <v>0.730756458006641</v>
      </c>
      <c r="E3986" s="12" t="n">
        <f aca="false">Sens!$F$3986</f>
        <v>0.760792334328868</v>
      </c>
      <c r="F3986" s="12" t="n">
        <f aca="false">Sens!$F$3969/(Sens!$F$3969+tk_fac*(1-colo_sh))</f>
        <v>0.760792334328868</v>
      </c>
      <c r="G3986" s="12" t="n">
        <f aca="false">Sens!$G$3969/(Sens!$G$3969+tk_fac*(1-colo_sh))</f>
        <v>0.760792334328868</v>
      </c>
      <c r="H3986" s="12" t="n">
        <f aca="false">Sens!$H$3969/(Sens!$H$3969+tk_fac*(1-colo_sh))</f>
        <v>0.768110668862996</v>
      </c>
      <c r="I3986" s="12" t="n">
        <f aca="false">Sens!$I$3969/(Sens!$I$3969+tk_fac*(1-colo_sh))</f>
        <v>0.77499450139483</v>
      </c>
      <c r="J3986" s="12" t="n">
        <f aca="false">Sens!$J$3969/(Sens!$J$3969+tk_fac*(1-colo_sh))</f>
        <v>0.77499450139483</v>
      </c>
      <c r="K3986" s="12" t="n">
        <f aca="false">Sens!$K$3969/(Sens!$K$3969+tk_fac*(1-colo_sh))</f>
        <v>0.77499450139483</v>
      </c>
      <c r="L3986" s="12" t="n">
        <f aca="false">Sens!$L$3969/(Sens!$L$3969+tk_fac*(1-colo_sh))</f>
        <v>0.77499450139483</v>
      </c>
      <c r="M3986" s="12" t="n">
        <f aca="false">Sens!$M$3969/(Sens!$M$3969+tk_fac*(1-colo_sh))</f>
        <v>0.77499450139483</v>
      </c>
    </row>
    <row r="3987" customFormat="false" ht="17.15" hidden="false" customHeight="false" outlineLevel="0" collapsed="false">
      <c r="A3987" s="1" t="s">
        <v>586</v>
      </c>
      <c r="B3987" s="8" t="s">
        <v>73</v>
      </c>
      <c r="C3987" s="38" t="n">
        <f aca="false">Q!$D$46-cx_rt*Q!$D$16-cx_awso*Sens!$C$3982</f>
        <v>25.2781053077374</v>
      </c>
      <c r="D3987" s="38" t="n">
        <f aca="false">Q!$E$46-cx_rt*Q!$E$16-cx_awso*Sens!$D$3982</f>
        <v>69.5686316310026</v>
      </c>
      <c r="E3987" s="38" t="n">
        <f aca="false">Q!$P$46-cx_rt*Q!$P$16-cx_awso*Sens!$E$3982</f>
        <v>64.1899206485108</v>
      </c>
      <c r="F3987" s="38" t="n">
        <f aca="false">MAX(Sens!$F$3964*(Sens!$F$3969+tk_fac*(1-colo_sh))/1000,capex_g26-Q!$P$46-Sens!$F$3985)</f>
        <v>96.2481299895</v>
      </c>
      <c r="G3987" s="38" t="n">
        <f aca="false">Sens!$E$3987+Sens!$F$3987</f>
        <v>160.438050638011</v>
      </c>
      <c r="H3987" s="38" t="n">
        <f aca="false">Sens!$H$3964*(Sens!$H$3969+tk_fac*(1-colo_sh))/1000+Sens!$H$3988</f>
        <v>198.57136494475</v>
      </c>
      <c r="I3987" s="38" t="n">
        <f aca="false">Sens!$I$3964*(Sens!$I$3969+tk_fac*(1-colo_sh))/1000+Sens!$I$3988</f>
        <v>204.6464699105</v>
      </c>
      <c r="J3987" s="38" t="n">
        <f aca="false">Sens!$J$3964*(Sens!$J$3969+tk_fac*(1-colo_sh))/1000+Sens!$J$3988</f>
        <v>209.8832381105</v>
      </c>
      <c r="K3987" s="38" t="n">
        <f aca="false">Sens!$K$3964*(Sens!$K$3969+tk_fac*(1-colo_sh))/1000+Sens!$K$3988</f>
        <v>215.1200063105</v>
      </c>
      <c r="L3987" s="38" t="n">
        <f aca="false">Sens!$L$3964*(Sens!$L$3969+tk_fac*(1-colo_sh))/1000+Sens!$L$3988</f>
        <v>251.7773837105</v>
      </c>
      <c r="M3987" s="38" t="n">
        <f aca="false">Sens!$M$3964*(Sens!$M$3969+tk_fac*(1-colo_sh))/1000+Sens!$M$3988</f>
        <v>311.87584476575</v>
      </c>
      <c r="P3987" s="5" t="s">
        <v>587</v>
      </c>
      <c r="R3987" s="38" t="n">
        <f aca="false">Q!$C$46-cx_rt*Q!$C$16-cx_awso*(Q!$C$7-mw_ye23/2*rpm_open/1000)</f>
        <v>1.50429979529945</v>
      </c>
      <c r="S3987" s="38" t="n">
        <f aca="false">Sens!$C$3987</f>
        <v>25.2781053077374</v>
      </c>
      <c r="T3987" s="38" t="n">
        <f aca="false">Sens!$D$3987</f>
        <v>69.5686316310026</v>
      </c>
      <c r="U3987" s="38" t="n">
        <f aca="false">Sens!$G$3987</f>
        <v>160.438050638011</v>
      </c>
      <c r="V3987" s="38" t="n">
        <f aca="false">Sens!$H$3987</f>
        <v>198.57136494475</v>
      </c>
      <c r="W3987" s="38" t="n">
        <f aca="false">Sens!$I$3987</f>
        <v>204.6464699105</v>
      </c>
      <c r="X3987" s="38" t="n">
        <f aca="false">Sens!$J$3987</f>
        <v>209.8832381105</v>
      </c>
      <c r="Y3987" s="38" t="n">
        <f aca="false">Sens!$K$3987</f>
        <v>215.1200063105</v>
      </c>
      <c r="Z3987" s="38" t="n">
        <f aca="false">Sens!$L$3987</f>
        <v>251.7773837105</v>
      </c>
      <c r="AA3987" s="38" t="n">
        <f aca="false">Sens!$M$3987</f>
        <v>311.87584476575</v>
      </c>
    </row>
    <row r="3988" customFormat="false" ht="17.15" hidden="false" customHeight="false" outlineLevel="0" collapsed="false">
      <c r="A3988" s="0" t="s">
        <v>588</v>
      </c>
      <c r="B3988" s="0" t="s">
        <v>73</v>
      </c>
      <c r="H3988" s="38" t="n">
        <f aca="false">SUMPRODUCT(--(Sens!$R$3958:$AA$3958=2027-tk_life),Sens!$R$3964:$AA$3964)*Sens!$H$3969/1000</f>
        <v>0</v>
      </c>
      <c r="I3988" s="38" t="n">
        <f aca="false">SUMPRODUCT(--(Sens!$R$3958:$AA$3958=2028-tk_life),Sens!$R$3964:$AA$3964)*Sens!$I$3969/1000</f>
        <v>0</v>
      </c>
      <c r="J3988" s="38" t="n">
        <f aca="false">SUMPRODUCT(--(Sens!$R$3958:$AA$3958=2029-tk_life),Sens!$R$3964:$AA$3964)*Sens!$J$3969/1000</f>
        <v>5.2367682</v>
      </c>
      <c r="K3988" s="38" t="n">
        <f aca="false">SUMPRODUCT(--(Sens!$R$3958:$AA$3958=2030-tk_life),Sens!$R$3964:$AA$3964)*Sens!$K$3969/1000</f>
        <v>10.4735364</v>
      </c>
      <c r="L3988" s="38" t="n">
        <f aca="false">SUMPRODUCT(--(Sens!$R$3958:$AA$3958=2031-tk_life),Sens!$R$3964:$AA$3964)*Sens!$L$3969/1000</f>
        <v>47.1309138</v>
      </c>
      <c r="M3988" s="38" t="n">
        <f aca="false">SUMPRODUCT(--(Sens!$R$3958:$AA$3958=2032-tk_life),Sens!$R$3964:$AA$3964)*Sens!$M$3969/1000</f>
        <v>107.22937485525</v>
      </c>
    </row>
    <row r="3989" customFormat="false" ht="17.15" hidden="false" customHeight="false" outlineLevel="0" collapsed="false">
      <c r="A3989" s="5" t="s">
        <v>589</v>
      </c>
      <c r="B3989" s="0" t="s">
        <v>73</v>
      </c>
      <c r="C3989" s="38" t="n">
        <f aca="false">Sens!$C$3987*Sens!$C$3986</f>
        <v>18.472138699801</v>
      </c>
      <c r="D3989" s="38" t="n">
        <f aca="false">Sens!$D$3987*Sens!$D$3986</f>
        <v>50.8377268390402</v>
      </c>
      <c r="E3989" s="38" t="n">
        <f aca="false">Sens!$E$3987*Sens!$E$3986</f>
        <v>48.8351995705653</v>
      </c>
      <c r="F3989" s="38" t="n">
        <f aca="false">Sens!$F$3987*Sens!$F$3986</f>
        <v>73.2248394895</v>
      </c>
      <c r="G3989" s="38" t="n">
        <f aca="false">Sens!$E$3989+Sens!$F$3989</f>
        <v>122.060039060065</v>
      </c>
      <c r="H3989" s="38" t="n">
        <f aca="false">(Sens!$H$3987-Sens!$H$3988)*Sens!$H$3986+Sens!$H$3988</f>
        <v>152.52478394475</v>
      </c>
      <c r="I3989" s="38" t="n">
        <f aca="false">(Sens!$I$3987-Sens!$I$3988)*Sens!$I$3986+Sens!$I$3988</f>
        <v>158.5998889105</v>
      </c>
      <c r="J3989" s="38" t="n">
        <f aca="false">(Sens!$J$3987-Sens!$J$3988)*Sens!$J$3986+Sens!$J$3988</f>
        <v>163.8366571105</v>
      </c>
      <c r="K3989" s="38" t="n">
        <f aca="false">(Sens!$K$3987-Sens!$K$3988)*Sens!$K$3986+Sens!$K$3988</f>
        <v>169.0734253105</v>
      </c>
      <c r="L3989" s="38" t="n">
        <f aca="false">(Sens!$L$3987-Sens!$L$3988)*Sens!$L$3986+Sens!$L$3988</f>
        <v>205.7308027105</v>
      </c>
      <c r="M3989" s="38" t="n">
        <f aca="false">(Sens!$M$3987-Sens!$M$3988)*Sens!$M$3986+Sens!$M$3988</f>
        <v>265.82926376575</v>
      </c>
      <c r="R3989" s="38" t="n">
        <f aca="false">Sens!$R$3987*Sens!$C$3986</f>
        <v>1.09927679019314</v>
      </c>
      <c r="S3989" s="38" t="n">
        <f aca="false">Sens!$C$3989</f>
        <v>18.472138699801</v>
      </c>
      <c r="T3989" s="38" t="n">
        <f aca="false">Sens!$D$3989</f>
        <v>50.8377268390402</v>
      </c>
      <c r="U3989" s="38" t="n">
        <f aca="false">Sens!$G$3989</f>
        <v>122.060039060065</v>
      </c>
      <c r="V3989" s="38" t="n">
        <f aca="false">Sens!$H$3989</f>
        <v>152.52478394475</v>
      </c>
      <c r="W3989" s="38" t="n">
        <f aca="false">Sens!$I$3989</f>
        <v>158.5998889105</v>
      </c>
      <c r="X3989" s="38" t="n">
        <f aca="false">Sens!$J$3989</f>
        <v>163.8366571105</v>
      </c>
      <c r="Y3989" s="38" t="n">
        <f aca="false">Sens!$K$3989</f>
        <v>169.0734253105</v>
      </c>
      <c r="Z3989" s="38" t="n">
        <f aca="false">Sens!$L$3989</f>
        <v>205.7308027105</v>
      </c>
      <c r="AA3989" s="38" t="n">
        <f aca="false">Sens!$M$3989</f>
        <v>265.82926376575</v>
      </c>
    </row>
    <row r="3990" customFormat="false" ht="15" hidden="false" customHeight="false" outlineLevel="0" collapsed="false">
      <c r="A3990" s="5" t="s">
        <v>590</v>
      </c>
      <c r="B3990" s="0" t="s">
        <v>73</v>
      </c>
      <c r="R3990" s="38" t="n">
        <f aca="false">Sens!$R$3987-Sens!$R$3989</f>
        <v>0.405023005106309</v>
      </c>
      <c r="S3990" s="38" t="n">
        <f aca="false">Sens!$S$3987-Sens!$S$3989</f>
        <v>6.80596660793636</v>
      </c>
      <c r="T3990" s="38" t="n">
        <f aca="false">Sens!$T$3987-Sens!$T$3989</f>
        <v>18.7309047919624</v>
      </c>
      <c r="U3990" s="38" t="n">
        <f aca="false">Sens!$U$3987-Sens!$U$3989</f>
        <v>38.3780115779455</v>
      </c>
      <c r="V3990" s="38" t="n">
        <f aca="false">Sens!$V$3987-Sens!$V$3989</f>
        <v>46.046581</v>
      </c>
      <c r="W3990" s="38" t="n">
        <f aca="false">Sens!$W$3987-Sens!$W$3989</f>
        <v>46.046581</v>
      </c>
      <c r="X3990" s="38" t="n">
        <f aca="false">Sens!$X$3987-Sens!$X$3989</f>
        <v>46.046581</v>
      </c>
      <c r="Y3990" s="38" t="n">
        <f aca="false">Sens!$Y$3987-Sens!$Y$3989</f>
        <v>46.046581</v>
      </c>
      <c r="Z3990" s="38" t="n">
        <f aca="false">Sens!$Z$3987-Sens!$Z$3989</f>
        <v>46.046581</v>
      </c>
      <c r="AA3990" s="38" t="n">
        <f aca="false">Sens!$AA$3987-Sens!$AA$3989</f>
        <v>46.046581</v>
      </c>
    </row>
    <row r="3991" customFormat="false" ht="17.15" hidden="false" customHeight="false" outlineLevel="0" collapsed="false">
      <c r="A3991" s="0" t="s">
        <v>591</v>
      </c>
      <c r="B3991" s="0" t="s">
        <v>73</v>
      </c>
      <c r="C3991" s="38" t="n">
        <f aca="false">Sens!$S$3991</f>
        <v>0.183212798365523</v>
      </c>
      <c r="D3991" s="38" t="n">
        <f aca="false">Sens!$T$3991</f>
        <v>3.2619025816657</v>
      </c>
      <c r="E3991" s="38" t="n">
        <f aca="false">Sens!$G$3991/2</f>
        <v>5.86742852741953</v>
      </c>
      <c r="F3991" s="38" t="n">
        <f aca="false">Sens!$G$3991/2</f>
        <v>5.86742852741953</v>
      </c>
      <c r="G3991" s="38" t="n">
        <f aca="false">Sens!$U$3991</f>
        <v>11.7348570548391</v>
      </c>
      <c r="H3991" s="38" t="n">
        <f aca="false">Sens!$V$3991</f>
        <v>32.0781968981833</v>
      </c>
      <c r="I3991" s="38" t="n">
        <f aca="false">Sens!$W$3991</f>
        <v>57.4989942223083</v>
      </c>
      <c r="J3991" s="38" t="n">
        <f aca="false">Sens!$X$3991</f>
        <v>83.932309040725</v>
      </c>
      <c r="K3991" s="38" t="n">
        <f aca="false">Sens!$Y$3991</f>
        <v>111.055205760776</v>
      </c>
      <c r="L3991" s="38" t="n">
        <f aca="false">Sens!$Z$3991</f>
        <v>136.155420195893</v>
      </c>
      <c r="M3991" s="38" t="n">
        <f aca="false">Sens!$AA$3991</f>
        <v>161.970932841136</v>
      </c>
      <c r="N3991" s="38" t="n">
        <f aca="false">Sens!$D$3991/2</f>
        <v>1.63095129083285</v>
      </c>
      <c r="O3991" s="38" t="n">
        <f aca="false">Sens!$D$3991/2</f>
        <v>1.63095129083285</v>
      </c>
      <c r="R3991" s="38" t="n">
        <f aca="false">SUMPRODUCT(--(Sens!$R$3958:$AA$3958&lt;Sens!R$3958),--(Sens!$R$3958:$AA$3958&gt;=Sens!R$3958-tk_life),Sens!$R$3989:$AA$3989)/tk_life</f>
        <v>0</v>
      </c>
      <c r="S3991" s="38" t="n">
        <f aca="false">SUMPRODUCT(--(Sens!$R$3958:$AA$3958&lt;Sens!S$3958),--(Sens!$R$3958:$AA$3958&gt;=Sens!S$3958-tk_life),Sens!$R$3989:$AA$3989)/tk_life</f>
        <v>0.183212798365523</v>
      </c>
      <c r="T3991" s="38" t="n">
        <f aca="false">SUMPRODUCT(--(Sens!$R$3958:$AA$3958&lt;Sens!T$3958),--(Sens!$R$3958:$AA$3958&gt;=Sens!T$3958-tk_life),Sens!$R$3989:$AA$3989)/tk_life</f>
        <v>3.2619025816657</v>
      </c>
      <c r="U3991" s="38" t="n">
        <f aca="false">SUMPRODUCT(--(Sens!$R$3958:$AA$3958&lt;Sens!U$3958),--(Sens!$R$3958:$AA$3958&gt;=Sens!U$3958-tk_life),Sens!$R$3989:$AA$3989)/tk_life</f>
        <v>11.7348570548391</v>
      </c>
      <c r="V3991" s="38" t="n">
        <f aca="false">SUMPRODUCT(--(Sens!$R$3958:$AA$3958&lt;Sens!V$3958),--(Sens!$R$3958:$AA$3958&gt;=Sens!V$3958-tk_life),Sens!$R$3989:$AA$3989)/tk_life</f>
        <v>32.0781968981833</v>
      </c>
      <c r="W3991" s="38" t="n">
        <f aca="false">SUMPRODUCT(--(Sens!$R$3958:$AA$3958&lt;Sens!W$3958),--(Sens!$R$3958:$AA$3958&gt;=Sens!W$3958-tk_life),Sens!$R$3989:$AA$3989)/tk_life</f>
        <v>57.4989942223083</v>
      </c>
      <c r="X3991" s="38" t="n">
        <f aca="false">SUMPRODUCT(--(Sens!$R$3958:$AA$3958&lt;Sens!X$3958),--(Sens!$R$3958:$AA$3958&gt;=Sens!X$3958-tk_life),Sens!$R$3989:$AA$3989)/tk_life</f>
        <v>83.932309040725</v>
      </c>
      <c r="Y3991" s="38" t="n">
        <f aca="false">SUMPRODUCT(--(Sens!$R$3958:$AA$3958&lt;Sens!Y$3958),--(Sens!$R$3958:$AA$3958&gt;=Sens!Y$3958-tk_life),Sens!$R$3989:$AA$3989)/tk_life</f>
        <v>111.055205760776</v>
      </c>
      <c r="Z3991" s="38" t="n">
        <f aca="false">SUMPRODUCT(--(Sens!$R$3958:$AA$3958&lt;Sens!Z$3958),--(Sens!$R$3958:$AA$3958&gt;=Sens!Z$3958-tk_life),Sens!$R$3989:$AA$3989)/tk_life</f>
        <v>136.155420195893</v>
      </c>
      <c r="AA3991" s="38" t="n">
        <f aca="false">SUMPRODUCT(--(Sens!$R$3958:$AA$3958&lt;Sens!AA$3958),--(Sens!$R$3958:$AA$3958&gt;=Sens!AA$3958-tk_life),Sens!$R$3989:$AA$3989)/tk_life</f>
        <v>161.970932841136</v>
      </c>
    </row>
    <row r="3992" customFormat="false" ht="17.15" hidden="false" customHeight="false" outlineLevel="0" collapsed="false">
      <c r="A3992" s="0" t="s">
        <v>592</v>
      </c>
      <c r="B3992" s="0" t="s">
        <v>73</v>
      </c>
      <c r="C3992" s="38" t="n">
        <f aca="false">Sens!$S$3992</f>
        <v>0.0202511502553155</v>
      </c>
      <c r="D3992" s="38" t="n">
        <f aca="false">Sens!$T$3992</f>
        <v>0.360549480652134</v>
      </c>
      <c r="E3992" s="38" t="n">
        <f aca="false">Sens!$G$3992/2</f>
        <v>0.648547360125127</v>
      </c>
      <c r="F3992" s="38" t="n">
        <f aca="false">Sens!$G$3992/2</f>
        <v>0.648547360125127</v>
      </c>
      <c r="G3992" s="38" t="n">
        <f aca="false">Sens!$U$3992</f>
        <v>1.29709472025025</v>
      </c>
      <c r="H3992" s="38" t="n">
        <f aca="false">Sens!$V$3992</f>
        <v>3.21599529914753</v>
      </c>
      <c r="I3992" s="38" t="n">
        <f aca="false">Sens!$W$3992</f>
        <v>5.51832434914753</v>
      </c>
      <c r="J3992" s="38" t="n">
        <f aca="false">Sens!$X$3992</f>
        <v>7.82065339914753</v>
      </c>
      <c r="K3992" s="38" t="n">
        <f aca="false">Sens!$Y$3992</f>
        <v>10.1229824491475</v>
      </c>
      <c r="L3992" s="38" t="n">
        <f aca="false">Sens!$Z$3992</f>
        <v>12.4253114991475</v>
      </c>
      <c r="M3992" s="38" t="n">
        <f aca="false">Sens!$AA$3992</f>
        <v>14.7276405491475</v>
      </c>
      <c r="N3992" s="38" t="n">
        <f aca="false">Sens!$D$3992/2</f>
        <v>0.180274740326067</v>
      </c>
      <c r="O3992" s="38" t="n">
        <f aca="false">Sens!$D$3992/2</f>
        <v>0.180274740326067</v>
      </c>
      <c r="R3992" s="38" t="n">
        <f aca="false">SUMPRODUCT(--(Sens!$R$3958:$AA$3958&lt;Sens!R$3958),Sens!$R$3990:$AA$3990)/fac_life</f>
        <v>0</v>
      </c>
      <c r="S3992" s="38" t="n">
        <f aca="false">SUMPRODUCT(--(Sens!$R$3958:$AA$3958&lt;Sens!S$3958),Sens!$R$3990:$AA$3990)/fac_life</f>
        <v>0.0202511502553155</v>
      </c>
      <c r="T3992" s="38" t="n">
        <f aca="false">SUMPRODUCT(--(Sens!$R$3958:$AA$3958&lt;Sens!T$3958),Sens!$R$3990:$AA$3990)/fac_life</f>
        <v>0.360549480652134</v>
      </c>
      <c r="U3992" s="38" t="n">
        <f aca="false">SUMPRODUCT(--(Sens!$R$3958:$AA$3958&lt;Sens!U$3958),Sens!$R$3990:$AA$3990)/fac_life</f>
        <v>1.29709472025025</v>
      </c>
      <c r="V3992" s="38" t="n">
        <f aca="false">SUMPRODUCT(--(Sens!$R$3958:$AA$3958&lt;Sens!V$3958),Sens!$R$3990:$AA$3990)/fac_life</f>
        <v>3.21599529914753</v>
      </c>
      <c r="W3992" s="38" t="n">
        <f aca="false">SUMPRODUCT(--(Sens!$R$3958:$AA$3958&lt;Sens!W$3958),Sens!$R$3990:$AA$3990)/fac_life</f>
        <v>5.51832434914753</v>
      </c>
      <c r="X3992" s="38" t="n">
        <f aca="false">SUMPRODUCT(--(Sens!$R$3958:$AA$3958&lt;Sens!X$3958),Sens!$R$3990:$AA$3990)/fac_life</f>
        <v>7.82065339914753</v>
      </c>
      <c r="Y3992" s="38" t="n">
        <f aca="false">SUMPRODUCT(--(Sens!$R$3958:$AA$3958&lt;Sens!Y$3958),Sens!$R$3990:$AA$3990)/fac_life</f>
        <v>10.1229824491475</v>
      </c>
      <c r="Z3992" s="38" t="n">
        <f aca="false">SUMPRODUCT(--(Sens!$R$3958:$AA$3958&lt;Sens!Z$3958),Sens!$R$3990:$AA$3990)/fac_life</f>
        <v>12.4253114991475</v>
      </c>
      <c r="AA3992" s="38" t="n">
        <f aca="false">SUMPRODUCT(--(Sens!$R$3958:$AA$3958&lt;Sens!AA$3958),Sens!$R$3990:$AA$3990)/fac_life</f>
        <v>14.7276405491475</v>
      </c>
    </row>
    <row r="3993" customFormat="false" ht="17.15" hidden="false" customHeight="false" outlineLevel="0" collapsed="false">
      <c r="A3993" s="1" t="s">
        <v>593</v>
      </c>
      <c r="B3993" s="8" t="s">
        <v>73</v>
      </c>
      <c r="C3993" s="38" t="n">
        <f aca="false">Sens!$C$3991+Sens!$C$3992</f>
        <v>0.203463948620839</v>
      </c>
      <c r="D3993" s="38" t="n">
        <f aca="false">Sens!$D$3991+Sens!$D$3992</f>
        <v>3.62245206231783</v>
      </c>
      <c r="E3993" s="38" t="n">
        <f aca="false">Sens!$E$3991+Sens!$E$3992</f>
        <v>6.51597588754466</v>
      </c>
      <c r="F3993" s="38" t="n">
        <f aca="false">Sens!$F$3991+Sens!$F$3992</f>
        <v>6.51597588754466</v>
      </c>
      <c r="G3993" s="38" t="n">
        <f aca="false">Sens!$G$3991+Sens!$G$3992</f>
        <v>13.0319517750893</v>
      </c>
      <c r="H3993" s="38" t="n">
        <f aca="false">Sens!$H$3991+Sens!$H$3992</f>
        <v>35.2941921973308</v>
      </c>
      <c r="I3993" s="38" t="n">
        <f aca="false">Sens!$I$3991+Sens!$I$3992</f>
        <v>63.0173185714558</v>
      </c>
      <c r="J3993" s="38" t="n">
        <f aca="false">Sens!$J$3991+Sens!$J$3992</f>
        <v>91.7529624398725</v>
      </c>
      <c r="K3993" s="38" t="n">
        <f aca="false">Sens!$K$3991+Sens!$K$3992</f>
        <v>121.178188209924</v>
      </c>
      <c r="L3993" s="38" t="n">
        <f aca="false">Sens!$L$3991+Sens!$L$3992</f>
        <v>148.58073169504</v>
      </c>
      <c r="M3993" s="38" t="n">
        <f aca="false">Sens!$M$3991+Sens!$M$3992</f>
        <v>176.698573390283</v>
      </c>
      <c r="N3993" s="38" t="n">
        <f aca="false">Sens!$N$3991+Sens!$N$3992</f>
        <v>1.81122603115892</v>
      </c>
      <c r="O3993" s="38" t="n">
        <f aca="false">Sens!$O$3991+Sens!$O$3992</f>
        <v>1.81122603115892</v>
      </c>
      <c r="R3993" s="38" t="n">
        <f aca="false">Sens!$R$3991+Sens!$R$3992</f>
        <v>0</v>
      </c>
      <c r="S3993" s="38" t="n">
        <f aca="false">Sens!$S$3991+Sens!$S$3992</f>
        <v>0.203463948620839</v>
      </c>
      <c r="T3993" s="38" t="n">
        <f aca="false">Sens!$T$3991+Sens!$T$3992</f>
        <v>3.62245206231783</v>
      </c>
      <c r="U3993" s="38" t="n">
        <f aca="false">Sens!$U$3991+Sens!$U$3992</f>
        <v>13.0319517750893</v>
      </c>
      <c r="V3993" s="38" t="n">
        <f aca="false">Sens!$V$3991+Sens!$V$3992</f>
        <v>35.2941921973308</v>
      </c>
      <c r="W3993" s="38" t="n">
        <f aca="false">Sens!$W$3991+Sens!$W$3992</f>
        <v>63.0173185714558</v>
      </c>
      <c r="X3993" s="38" t="n">
        <f aca="false">Sens!$X$3991+Sens!$X$3992</f>
        <v>91.7529624398725</v>
      </c>
      <c r="Y3993" s="38" t="n">
        <f aca="false">Sens!$Y$3991+Sens!$Y$3992</f>
        <v>121.178188209924</v>
      </c>
      <c r="Z3993" s="38" t="n">
        <f aca="false">Sens!$Z$3991+Sens!$Z$3992</f>
        <v>148.58073169504</v>
      </c>
      <c r="AA3993" s="38" t="n">
        <f aca="false">Sens!$AA$3991+Sens!$AA$3992</f>
        <v>176.698573390283</v>
      </c>
    </row>
    <row r="3994" customFormat="false" ht="17.15" hidden="false" customHeight="false" outlineLevel="0" collapsed="false">
      <c r="A3994" s="0" t="s">
        <v>594</v>
      </c>
      <c r="B3994" s="0" t="s">
        <v>73</v>
      </c>
      <c r="C3994" s="38" t="n">
        <f aca="false">Sens!$S$3994</f>
        <v>26.578941154416</v>
      </c>
      <c r="D3994" s="38" t="n">
        <f aca="false">Sens!$T$3994</f>
        <v>92.5251207231008</v>
      </c>
      <c r="G3994" s="38" t="n">
        <f aca="false">Sens!$U$3994</f>
        <v>239.931219586022</v>
      </c>
      <c r="H3994" s="38" t="n">
        <f aca="false">Sens!$V$3994</f>
        <v>403.208392333442</v>
      </c>
      <c r="I3994" s="38" t="n">
        <f aca="false">Sens!$W$3994</f>
        <v>544.837543672486</v>
      </c>
      <c r="J3994" s="38" t="n">
        <f aca="false">Sens!$X$3994</f>
        <v>662.967819343113</v>
      </c>
      <c r="K3994" s="38" t="n">
        <f aca="false">Sens!$Y$3994</f>
        <v>756.90963744369</v>
      </c>
      <c r="L3994" s="38" t="n">
        <f aca="false">Sens!$Z$3994</f>
        <v>860.10628945915</v>
      </c>
      <c r="M3994" s="38" t="n">
        <f aca="false">Sens!$AA$3994</f>
        <v>995.283560834616</v>
      </c>
      <c r="R3994" s="38" t="n">
        <f aca="false">SUM(Sens!$R$3987:$R$3987)-SUM(Sens!$R$3993:$R$3993)</f>
        <v>1.50429979529945</v>
      </c>
      <c r="S3994" s="38" t="n">
        <f aca="false">SUM(Sens!$R$3987:$S$3987)-SUM(Sens!$R$3993:$S$3993)</f>
        <v>26.578941154416</v>
      </c>
      <c r="T3994" s="38" t="n">
        <f aca="false">SUM(Sens!$R$3987:$T$3987)-SUM(Sens!$R$3993:$T$3993)</f>
        <v>92.5251207231008</v>
      </c>
      <c r="U3994" s="38" t="n">
        <f aca="false">SUM(Sens!$R$3987:$U$3987)-SUM(Sens!$R$3993:$U$3993)</f>
        <v>239.931219586022</v>
      </c>
      <c r="V3994" s="38" t="n">
        <f aca="false">SUM(Sens!$R$3987:$V$3987)-SUM(Sens!$R$3993:$V$3993)</f>
        <v>403.208392333442</v>
      </c>
      <c r="W3994" s="38" t="n">
        <f aca="false">SUM(Sens!$R$3987:$W$3987)-SUM(Sens!$R$3993:$W$3993)</f>
        <v>544.837543672486</v>
      </c>
      <c r="X3994" s="38" t="n">
        <f aca="false">SUM(Sens!$R$3987:$X$3987)-SUM(Sens!$R$3993:$X$3993)</f>
        <v>662.967819343113</v>
      </c>
      <c r="Y3994" s="38" t="n">
        <f aca="false">SUM(Sens!$R$3987:$Y$3987)-SUM(Sens!$R$3993:$Y$3993)</f>
        <v>756.90963744369</v>
      </c>
      <c r="Z3994" s="38" t="n">
        <f aca="false">SUM(Sens!$R$3987:$Z$3987)-SUM(Sens!$R$3993:$Z$3993)</f>
        <v>860.10628945915</v>
      </c>
      <c r="AA3994" s="38" t="n">
        <f aca="false">SUM(Sens!$R$3987:$AA$3987)-SUM(Sens!$R$3993:$AA$3993)</f>
        <v>995.283560834616</v>
      </c>
    </row>
    <row r="3995" customFormat="false" ht="17.15" hidden="false" customHeight="false" outlineLevel="0" collapsed="false">
      <c r="A3995" s="1" t="s">
        <v>595</v>
      </c>
    </row>
    <row r="3996" customFormat="false" ht="17.15" hidden="false" customHeight="false" outlineLevel="0" collapsed="false">
      <c r="A3996" s="0" t="s">
        <v>596</v>
      </c>
      <c r="B3996" s="0" t="s">
        <v>73</v>
      </c>
      <c r="C3996" s="38" t="n">
        <f aca="false">Sens!$C$3978-ext_sh*Sens!$C$3980</f>
        <v>1.80694998843362</v>
      </c>
      <c r="D3996" s="38" t="n">
        <f aca="false">Sens!$D$3978-ext_sh*Sens!$D$3980</f>
        <v>6.77606245662607</v>
      </c>
      <c r="E3996" s="38" t="n">
        <f aca="false">Sens!$E$3978-ext_sh*Sens!$E$3980</f>
        <v>6.62548329092326</v>
      </c>
      <c r="F3996" s="38" t="n">
        <f aca="false">Sens!$F$3978-ext_sh*Sens!$F$3980</f>
        <v>11.7200577158706</v>
      </c>
      <c r="G3996" s="38" t="n">
        <f aca="false">Sens!$G$3978-ext_sh*Sens!$G$3980</f>
        <v>18.3455410067939</v>
      </c>
      <c r="H3996" s="38" t="n">
        <f aca="false">Sens!$H$3978-ext_sh*Sens!$H$3980</f>
        <v>47.5171727060453</v>
      </c>
      <c r="I3996" s="38" t="n">
        <f aca="false">Sens!$I$3978-ext_sh*Sens!$I$3980</f>
        <v>80.5539692643667</v>
      </c>
      <c r="J3996" s="38" t="n">
        <f aca="false">Sens!$J$3978-ext_sh*Sens!$J$3980</f>
        <v>113.759316834883</v>
      </c>
      <c r="K3996" s="38" t="n">
        <f aca="false">Sens!$K$3978-ext_sh*Sens!$K$3980</f>
        <v>147.020848076132</v>
      </c>
      <c r="L3996" s="38" t="n">
        <f aca="false">Sens!$L$3978-ext_sh*Sens!$L$3980</f>
        <v>180.307917349531</v>
      </c>
      <c r="M3996" s="38" t="n">
        <f aca="false">Sens!$M$3978-ext_sh*Sens!$M$3980</f>
        <v>213.608737871012</v>
      </c>
      <c r="N3996" s="38" t="n">
        <f aca="false">Sens!$N$3978-ext_sh*Sens!$N$3980</f>
        <v>2.37162185981912</v>
      </c>
      <c r="O3996" s="38" t="n">
        <f aca="false">Sens!$O$3978-ext_sh*Sens!$O$3980</f>
        <v>4.40444059680694</v>
      </c>
    </row>
    <row r="3997" customFormat="false" ht="17.15" hidden="false" customHeight="false" outlineLevel="0" collapsed="false">
      <c r="A3997" s="1" t="s">
        <v>597</v>
      </c>
      <c r="B3997" s="8" t="s">
        <v>73</v>
      </c>
      <c r="C3997" s="38" t="n">
        <f aca="false">Sens!$C$3996-ext_sh*Sens!$C$3993</f>
        <v>1.64417882953695</v>
      </c>
      <c r="D3997" s="38" t="n">
        <f aca="false">Sens!$D$3996-ext_sh*Sens!$D$3993</f>
        <v>3.8781008067718</v>
      </c>
      <c r="E3997" s="38" t="n">
        <f aca="false">Sens!$E$3996-ext_sh*Sens!$E$3993</f>
        <v>1.41270258088753</v>
      </c>
      <c r="F3997" s="38" t="n">
        <f aca="false">Sens!$F$3996-ext_sh*Sens!$F$3993</f>
        <v>6.50727700583486</v>
      </c>
      <c r="G3997" s="38" t="n">
        <f aca="false">Sens!$G$3996-ext_sh*Sens!$G$3993</f>
        <v>7.9199795867224</v>
      </c>
      <c r="H3997" s="38" t="n">
        <f aca="false">Sens!$H$3996-ext_sh*Sens!$H$3993</f>
        <v>19.2818189481807</v>
      </c>
      <c r="I3997" s="38" t="n">
        <f aca="false">Sens!$I$3996-ext_sh*Sens!$I$3993</f>
        <v>30.140114407202</v>
      </c>
      <c r="J3997" s="38" t="n">
        <f aca="false">Sens!$J$3996-ext_sh*Sens!$J$3993</f>
        <v>40.3569468829854</v>
      </c>
      <c r="K3997" s="38" t="n">
        <f aca="false">Sens!$K$3996-ext_sh*Sens!$K$3993</f>
        <v>50.0782975081929</v>
      </c>
      <c r="L3997" s="38" t="n">
        <f aca="false">Sens!$L$3996-ext_sh*Sens!$L$3993</f>
        <v>61.443331993499</v>
      </c>
      <c r="M3997" s="38" t="n">
        <f aca="false">Sens!$M$3996-ext_sh*Sens!$M$3993</f>
        <v>72.2498791587849</v>
      </c>
      <c r="N3997" s="38" t="n">
        <f aca="false">Sens!$N$3996-ext_sh*Sens!$N$3993</f>
        <v>0.92264103489199</v>
      </c>
      <c r="O3997" s="38" t="n">
        <f aca="false">Sens!$O$3996-ext_sh*Sens!$O$3993</f>
        <v>2.95545977187981</v>
      </c>
    </row>
    <row r="3998" customFormat="false" ht="17.15" hidden="false" customHeight="false" outlineLevel="0" collapsed="false">
      <c r="A3998" s="0" t="s">
        <v>598</v>
      </c>
      <c r="B3998" s="0" t="s">
        <v>52</v>
      </c>
      <c r="C3998" s="12" t="n">
        <f aca="false">Sens!$C$3997/Sens!$C$3978</f>
        <v>0.708390794789371</v>
      </c>
      <c r="D3998" s="12" t="n">
        <f aca="false">Sens!$D$3997/Sens!$D$3978</f>
        <v>0.445565630441968</v>
      </c>
      <c r="E3998" s="12" t="n">
        <f aca="false">Sens!$E$3997/Sens!$E$3978</f>
        <v>0.165998118402711</v>
      </c>
      <c r="F3998" s="12" t="n">
        <f aca="false">Sens!$F$3997/Sens!$F$3978</f>
        <v>0.434878595403858</v>
      </c>
      <c r="G3998" s="12" t="n">
        <f aca="false">Sens!$G$3997/Sens!$G$3978</f>
        <v>0.3373967615381</v>
      </c>
      <c r="H3998" s="12" t="n">
        <f aca="false">Sens!$H$3997/Sens!$H$3978</f>
        <v>0.320477578041224</v>
      </c>
      <c r="I3998" s="12" t="n">
        <f aca="false">Sens!$I$3997/Sens!$I$3978</f>
        <v>0.296936118226494</v>
      </c>
      <c r="J3998" s="12" t="n">
        <f aca="false">Sens!$J$3997/Sens!$J$3978</f>
        <v>0.282166278613001</v>
      </c>
      <c r="K3998" s="12" t="n">
        <f aca="false">Sens!$K$3997/Sens!$K$3978</f>
        <v>0.271267685694333</v>
      </c>
      <c r="L3998" s="12" t="n">
        <f aca="false">Sens!$L$3997/Sens!$L$3978</f>
        <v>0.27160960915653</v>
      </c>
      <c r="M3998" s="12" t="n">
        <f aca="false">Sens!$M$3997/Sens!$M$3978</f>
        <v>0.26974494804234</v>
      </c>
      <c r="N3998" s="12" t="n">
        <f aca="false">Sens!$N$3997/Sens!$N$3978</f>
        <v>0.302870734830849</v>
      </c>
      <c r="O3998" s="12" t="n">
        <f aca="false">Sens!$O$3997/Sens!$O$3978</f>
        <v>0.52240134346334</v>
      </c>
    </row>
    <row r="3999" customFormat="false" ht="17.15" hidden="false" customHeight="false" outlineLevel="0" collapsed="false">
      <c r="A3999" s="5" t="s">
        <v>599</v>
      </c>
      <c r="B3999" s="0" t="s">
        <v>73</v>
      </c>
      <c r="C3999" s="38" t="n">
        <f aca="false">rd2*(1-ext_sh)/ext_sh*Sens!$C$3961*he_open*Sens!$C$3962/1000</f>
        <v>0</v>
      </c>
      <c r="D3999" s="38" t="n">
        <f aca="false">rd2*(1-ext_sh)/ext_sh*Sens!$D$3961*he_open*Sens!$D$3962/1000</f>
        <v>0</v>
      </c>
      <c r="E3999" s="38" t="n">
        <f aca="false">rd2*(1-ext_sh)/ext_sh*Sens!$E$3961*he_open*Sens!$E$3962/1000</f>
        <v>0</v>
      </c>
      <c r="F3999" s="38" t="n">
        <f aca="false">rd2*(1-ext_sh)/ext_sh*(mw_open*he_open+Sens!$F$3976*Sens!$F$3973)*Sens!$F$3962/1000</f>
        <v>0</v>
      </c>
      <c r="G3999" s="38" t="n">
        <f aca="false">Sens!$E$3999+Sens!$F$3999</f>
        <v>0</v>
      </c>
      <c r="H3999" s="38" t="n">
        <f aca="false">rd2*(1-ext_sh)/ext_sh*(mw_open*he_open+Sens!$H$3976*Sens!$H$3973)*Sens!$H$3962/1000</f>
        <v>0</v>
      </c>
      <c r="I3999" s="38" t="n">
        <f aca="false">rd2*(1-ext_sh)/ext_sh*(mw_open*he_open+Sens!$I$3976*Sens!$I$3973)*Sens!$I$3962/1000</f>
        <v>0</v>
      </c>
      <c r="J3999" s="38" t="n">
        <f aca="false">rd2*(1-ext_sh)/ext_sh*(mw_open*he_open+Sens!$J$3976*Sens!$J$3973)*Sens!$J$3962/1000</f>
        <v>0</v>
      </c>
      <c r="K3999" s="38" t="n">
        <f aca="false">rd2*(1-ext_sh)/ext_sh*(mw_open*he_open+Sens!$K$3976*Sens!$K$3973)*Sens!$K$3962/1000</f>
        <v>0</v>
      </c>
      <c r="L3999" s="38" t="n">
        <f aca="false">rd2*(1-ext_sh)/ext_sh*(mw_open*he_open+Sens!$L$3976*Sens!$L$3973)*Sens!$L$3962/1000</f>
        <v>0</v>
      </c>
      <c r="M3999" s="38" t="n">
        <f aca="false">rd2*(1-ext_sh)/ext_sh*(mw_open*he_open+Sens!$M$3976*Sens!$M$3973)*Sens!$M$3962/1000</f>
        <v>0</v>
      </c>
      <c r="N3999" s="38" t="n">
        <f aca="false">rd2*(1-ext_sh)/ext_sh*Sens!$N$3961*he_open*Sens!$N$3962/1000</f>
        <v>0</v>
      </c>
      <c r="O3999" s="38" t="n">
        <f aca="false">rd2*(1-ext_sh)/ext_sh*Sens!$O$3961*he_open*Sens!$O$3962/1000</f>
        <v>0</v>
      </c>
      <c r="P3999" s="8" t="s">
        <v>600</v>
      </c>
    </row>
    <row r="4000" customFormat="false" ht="17.15" hidden="false" customHeight="false" outlineLevel="0" collapsed="false">
      <c r="A4000" s="5" t="s">
        <v>601</v>
      </c>
      <c r="B4000" s="0" t="s">
        <v>73</v>
      </c>
      <c r="C4000" s="38" t="n">
        <f aca="false">(1-ext_sh)*(Sens!$C$3980+Sens!$C$3993)-Sens!$C$3999</f>
        <v>0.169206631859174</v>
      </c>
      <c r="D4000" s="38" t="n">
        <f aca="false">(1-ext_sh)*(Sens!$D$3980+Sens!$D$3993)-Sens!$D$3999</f>
        <v>1.20641732046984</v>
      </c>
      <c r="E4000" s="38" t="n">
        <f aca="false">(1-ext_sh)*(Sens!$E$3980+Sens!$E$3993)-Sens!$E$3999</f>
        <v>1.77441259867062</v>
      </c>
      <c r="F4000" s="38" t="n">
        <f aca="false">(1-ext_sh)*(Sens!$F$3980+Sens!$F$3993)-Sens!$F$3999</f>
        <v>2.1140391597214</v>
      </c>
      <c r="G4000" s="38" t="n">
        <f aca="false">(1-ext_sh)*(Sens!$G$3980+Sens!$G$3993)-Sens!$G$3999</f>
        <v>3.88845175839202</v>
      </c>
      <c r="H4000" s="38" t="n">
        <f aca="false">(1-ext_sh)*(Sens!$H$3980+Sens!$H$3993)-Sens!$H$3999</f>
        <v>10.2210179503985</v>
      </c>
      <c r="I4000" s="38" t="n">
        <f aca="false">(1-ext_sh)*(Sens!$I$3980+Sens!$I$3993)-Sens!$I$3999</f>
        <v>17.8408961823075</v>
      </c>
      <c r="J4000" s="38" t="n">
        <f aca="false">(1-ext_sh)*(Sens!$J$3980+Sens!$J$3993)-Sens!$J$3999</f>
        <v>25.6671150670732</v>
      </c>
      <c r="K4000" s="38" t="n">
        <f aca="false">(1-ext_sh)*(Sens!$K$3980+Sens!$K$3993)-Sens!$K$3999</f>
        <v>33.6325293834986</v>
      </c>
      <c r="L4000" s="38" t="n">
        <f aca="false">(1-ext_sh)*(Sens!$L$3980+Sens!$L$3993)-Sens!$L$3999</f>
        <v>41.1939886299065</v>
      </c>
      <c r="M4000" s="38" t="n">
        <f aca="false">(1-ext_sh)*(Sens!$M$3980+Sens!$M$3993)-Sens!$M$3999</f>
        <v>48.8988205728617</v>
      </c>
      <c r="N4000" s="38" t="n">
        <f aca="false">(1-ext_sh)*(Sens!$N$3980+Sens!$N$3993)-Sens!$N$3999</f>
        <v>0.530919624033979</v>
      </c>
      <c r="O4000" s="38" t="n">
        <f aca="false">(1-ext_sh)*(Sens!$O$3980+Sens!$O$3993)-Sens!$O$3999</f>
        <v>0.675497696435861</v>
      </c>
    </row>
    <row r="4001" customFormat="false" ht="17.15" hidden="false" customHeight="false" outlineLevel="0" collapsed="false">
      <c r="A4001" s="0" t="s">
        <v>602</v>
      </c>
      <c r="B4001" s="0" t="s">
        <v>73</v>
      </c>
      <c r="C4001" s="38" t="n">
        <f aca="false">Q!$D$24</f>
        <v>39.834</v>
      </c>
      <c r="D4001" s="38" t="n">
        <f aca="false">Q!$E$24</f>
        <v>45.606</v>
      </c>
      <c r="E4001" s="38" t="n">
        <f aca="false">Q!$P$24</f>
        <v>30.782</v>
      </c>
      <c r="N4001" s="38" t="n">
        <f aca="false">Q!$N$24</f>
        <v>21.707</v>
      </c>
      <c r="O4001" s="38" t="n">
        <f aca="false">Q!$O$24</f>
        <v>23.899</v>
      </c>
    </row>
    <row r="4002" customFormat="false" ht="17.15" hidden="false" customHeight="false" outlineLevel="0" collapsed="false">
      <c r="A4002" s="0" t="s">
        <v>603</v>
      </c>
      <c r="B4002" s="0" t="s">
        <v>73</v>
      </c>
      <c r="C4002" s="38" t="n">
        <f aca="false">Sens!$C$4001-Sens!$C$3997</f>
        <v>38.1898211704631</v>
      </c>
      <c r="D4002" s="38" t="n">
        <f aca="false">Sens!$D$4001-Sens!$D$3997</f>
        <v>41.7278991932282</v>
      </c>
      <c r="E4002" s="38" t="n">
        <f aca="false">Sens!$E$4001-Sens!$E$3997</f>
        <v>29.3692974191125</v>
      </c>
      <c r="F4002" s="38" t="n">
        <f aca="false">Sens!$F$3982*Sens!$F$4003</f>
        <v>29.458060516894</v>
      </c>
      <c r="G4002" s="38" t="n">
        <f aca="false">Sens!$E$4002+Sens!$F$4002</f>
        <v>58.8273579360065</v>
      </c>
      <c r="H4002" s="38" t="n">
        <f aca="false">Sens!$H$3982*Sens!$H$4003</f>
        <v>67.8004040185081</v>
      </c>
      <c r="I4002" s="38" t="n">
        <f aca="false">Sens!$I$3982*Sens!$I$4003</f>
        <v>78.9527630302702</v>
      </c>
      <c r="J4002" s="38" t="n">
        <f aca="false">Sens!$J$3982*Sens!$J$4003</f>
        <v>88.6042681781841</v>
      </c>
      <c r="K4002" s="38" t="n">
        <f aca="false">Sens!$K$3982*Sens!$K$4003</f>
        <v>95.6926096324389</v>
      </c>
      <c r="L4002" s="38" t="n">
        <f aca="false">Sens!$L$3982*Sens!$L$4003</f>
        <v>103.348018403034</v>
      </c>
      <c r="M4002" s="38" t="n">
        <f aca="false">Sens!$M$3982*Sens!$M$4003</f>
        <v>111.615859875277</v>
      </c>
      <c r="N4002" s="38" t="n">
        <f aca="false">Sens!$N$4001-Sens!$N$3997</f>
        <v>20.784358965108</v>
      </c>
      <c r="O4002" s="38" t="n">
        <f aca="false">Sens!$O$4001-Sens!$O$3997</f>
        <v>20.9435402281202</v>
      </c>
      <c r="P4002" s="5" t="s">
        <v>604</v>
      </c>
    </row>
    <row r="4003" customFormat="false" ht="17.15" hidden="false" customHeight="false" outlineLevel="0" collapsed="false">
      <c r="A4003" s="0" t="s">
        <v>605</v>
      </c>
      <c r="B4003" s="0" t="s">
        <v>52</v>
      </c>
      <c r="C4003" s="12" t="n">
        <f aca="false">Sens!$C$4002/Sens!$C$3982</f>
        <v>0.362900395443635</v>
      </c>
      <c r="D4003" s="12" t="n">
        <f aca="false">Sens!$D$4002/Sens!$D$3982</f>
        <v>0.34767098474203</v>
      </c>
      <c r="E4003" s="12" t="n">
        <f aca="false">Sens!$E$4002/Sens!$E$3982</f>
        <v>0.411861655558416</v>
      </c>
      <c r="F4003" s="12" t="n">
        <f aca="false">(Sens!$O$4002+Sens!$E$4002)/(Sens!$O$3982+Sens!$E$3982)</f>
        <v>0.37480827803158</v>
      </c>
      <c r="G4003" s="12" t="n">
        <f aca="false">Sens!$G$4002/Sens!$G$3982</f>
        <v>0.392434440489471</v>
      </c>
      <c r="H4003" s="12" t="n">
        <f aca="false">Sens!$F$4003</f>
        <v>0.37480827803158</v>
      </c>
      <c r="I4003" s="12" t="n">
        <f aca="false">Sens!$F$4003</f>
        <v>0.37480827803158</v>
      </c>
      <c r="J4003" s="12" t="n">
        <f aca="false">Sens!$F$4003</f>
        <v>0.37480827803158</v>
      </c>
      <c r="K4003" s="12" t="n">
        <f aca="false">Sens!$F$4003</f>
        <v>0.37480827803158</v>
      </c>
      <c r="L4003" s="12" t="n">
        <f aca="false">Sens!$F$4003</f>
        <v>0.37480827803158</v>
      </c>
      <c r="M4003" s="12" t="n">
        <f aca="false">Sens!$F$4003</f>
        <v>0.37480827803158</v>
      </c>
      <c r="N4003" s="12" t="n">
        <f aca="false">Sens!$N$4002/Sens!$N$3982</f>
        <v>0.364039571356823</v>
      </c>
      <c r="O4003" s="12" t="n">
        <f aca="false">Sens!$O$4002/Sens!$O$3982</f>
        <v>0.332819892300086</v>
      </c>
      <c r="P4003" s="8" t="s">
        <v>606</v>
      </c>
    </row>
    <row r="4004" customFormat="false" ht="17.15" hidden="false" customHeight="false" outlineLevel="0" collapsed="false">
      <c r="A4004" s="0" t="s">
        <v>607</v>
      </c>
      <c r="B4004" s="0" t="s">
        <v>52</v>
      </c>
      <c r="D4004" s="12" t="n">
        <f aca="false">(Q!$E$31-ext_sh*Sens!$D$3993)/Sens!$D$3982</f>
        <v>0.154572973163571</v>
      </c>
    </row>
    <row r="4005" customFormat="false" ht="17.15" hidden="false" customHeight="false" outlineLevel="0" collapsed="false">
      <c r="A4005" s="0" t="s">
        <v>608</v>
      </c>
      <c r="B4005" s="0" t="s">
        <v>73</v>
      </c>
      <c r="C4005" s="38" t="n">
        <f aca="false">Q!$D$31</f>
        <v>13.32</v>
      </c>
      <c r="D4005" s="38" t="n">
        <f aca="false">Q!$E$31</f>
        <v>21.45</v>
      </c>
      <c r="E4005" s="38" t="n">
        <f aca="false">Q!$P$31</f>
        <v>15.353</v>
      </c>
      <c r="F4005" s="38" t="n">
        <f aca="false">ext_sh*Sens!$F$3993+Sens!$D$4004*Sens!$F$3982</f>
        <v>17.3614451462707</v>
      </c>
      <c r="G4005" s="38" t="n">
        <f aca="false">Sens!$E$4005+Sens!$F$4005</f>
        <v>32.7144451462707</v>
      </c>
      <c r="H4005" s="38" t="n">
        <f aca="false">ext_sh*Sens!$H$3993+Sens!$D$4004*Sens!$H$3982</f>
        <v>56.1966092719415</v>
      </c>
      <c r="I4005" s="38" t="n">
        <f aca="false">ext_sh*Sens!$I$3993+Sens!$D$4004*Sens!$I$3982</f>
        <v>82.9744039068297</v>
      </c>
      <c r="J4005" s="38" t="n">
        <f aca="false">ext_sh*Sens!$J$3993+Sens!$D$4004*Sens!$J$3982</f>
        <v>109.943252237669</v>
      </c>
      <c r="K4005" s="38" t="n">
        <f aca="false">ext_sh*Sens!$K$3993+Sens!$D$4004*Sens!$K$3982</f>
        <v>136.406703436571</v>
      </c>
      <c r="L4005" s="38" t="n">
        <f aca="false">ext_sh*Sens!$L$3993+Sens!$D$4004*Sens!$L$3982</f>
        <v>161.485870454155</v>
      </c>
      <c r="M4005" s="38" t="n">
        <f aca="false">ext_sh*Sens!$M$3993+Sens!$D$4004*Sens!$M$3982</f>
        <v>187.389846618199</v>
      </c>
      <c r="N4005" s="38" t="n">
        <f aca="false">Q!$N$31</f>
        <v>9.234</v>
      </c>
      <c r="O4005" s="38" t="n">
        <f aca="false">Q!$O$31</f>
        <v>12.216</v>
      </c>
    </row>
    <row r="4006" customFormat="false" ht="17.15" hidden="false" customHeight="false" outlineLevel="0" collapsed="false">
      <c r="A4006" s="1" t="s">
        <v>609</v>
      </c>
    </row>
    <row r="4007" customFormat="false" ht="17.15" hidden="false" customHeight="false" outlineLevel="0" collapsed="false">
      <c r="A4007" s="14" t="s">
        <v>610</v>
      </c>
      <c r="B4007" s="13" t="s">
        <v>52</v>
      </c>
      <c r="C4007" s="13"/>
      <c r="D4007" s="13"/>
      <c r="E4007" s="13"/>
      <c r="F4007" s="13"/>
      <c r="G4007" s="16" t="n">
        <f aca="false">Sens!$G$3997*(1-tax)/(ext_sh*(Sens!$D$3994+Sens!$G$3994)/2)</f>
        <v>0.0492184452944045</v>
      </c>
      <c r="H4007" s="16" t="n">
        <f aca="false">Sens!$H$3997*(1-tax)/(ext_sh*(Sens!$G$3994+Sens!$H$3994)/2)</f>
        <v>0.0619414246858107</v>
      </c>
      <c r="I4007" s="16" t="n">
        <f aca="false">Sens!$I$3997*(1-tax)/(ext_sh*(Sens!$H$3994+Sens!$I$3994)/2)</f>
        <v>0.0656831488051666</v>
      </c>
      <c r="J4007" s="16" t="n">
        <f aca="false">Sens!$J$3997*(1-tax)/(ext_sh*(Sens!$I$3994+Sens!$J$3994)/2)</f>
        <v>0.0690334849962116</v>
      </c>
      <c r="K4007" s="16" t="n">
        <f aca="false">Sens!$K$3997*(1-tax)/(ext_sh*(Sens!$J$3994+Sens!$K$3994)/2)</f>
        <v>0.0728680488295485</v>
      </c>
      <c r="L4007" s="16" t="n">
        <f aca="false">Sens!$L$3997*(1-tax)/(ext_sh*(Sens!$K$3994+Sens!$L$3994)/2)</f>
        <v>0.0785052878122331</v>
      </c>
      <c r="M4007" s="16" t="n">
        <f aca="false">Sens!$M$3997*(1-tax)/(ext_sh*(Sens!$L$3994+Sens!$M$3994)/2)</f>
        <v>0.0804526580722741</v>
      </c>
      <c r="N4007" s="13"/>
      <c r="O4007" s="13"/>
      <c r="P4007" s="8" t="s">
        <v>611</v>
      </c>
    </row>
    <row r="4008" customFormat="false" ht="17.15" hidden="false" customHeight="false" outlineLevel="0" collapsed="false">
      <c r="A4008" s="5" t="s">
        <v>612</v>
      </c>
      <c r="B4008" s="0" t="s">
        <v>57</v>
      </c>
      <c r="H4008" s="36" t="n">
        <f aca="false">Sens!$H$3978*1000/(mw_open*he_open+Sens!$H$3976*Sens!$H$3973)</f>
        <v>0.991949006767191</v>
      </c>
      <c r="I4008" s="36" t="n">
        <f aca="false">Sens!$I$3978*1000/(mw_open*he_open+Sens!$I$3976*Sens!$I$3973)</f>
        <v>0.991949006767191</v>
      </c>
      <c r="J4008" s="36" t="n">
        <f aca="false">Sens!$J$3978*1000/(mw_open*he_open+Sens!$J$3976*Sens!$J$3973)</f>
        <v>0.991949006767191</v>
      </c>
      <c r="K4008" s="36" t="n">
        <f aca="false">Sens!$K$3978*1000/(mw_open*he_open+Sens!$K$3976*Sens!$K$3973)</f>
        <v>0.991949006767191</v>
      </c>
      <c r="L4008" s="36" t="n">
        <f aca="false">Sens!$L$3978*1000/(mw_open*he_open+Sens!$L$3976*Sens!$L$3973)</f>
        <v>0.991949006767191</v>
      </c>
      <c r="M4008" s="36" t="n">
        <f aca="false">Sens!$M$3978*1000/(mw_open*he_open+Sens!$M$3976*Sens!$M$3973)</f>
        <v>0.991949006767192</v>
      </c>
    </row>
    <row r="4009" customFormat="false" ht="17.15" hidden="false" customHeight="false" outlineLevel="0" collapsed="false">
      <c r="A4009" s="5" t="s">
        <v>613</v>
      </c>
      <c r="B4009" s="0" t="s">
        <v>57</v>
      </c>
      <c r="H4009" s="36" t="n">
        <f aca="false">Sens!$H$4008*(Sens!$H$3978+wacc*ext_sh*(Sens!$G$3994+Sens!$H$3994)/2/(1-tax)-Sens!$H$3997)/Sens!$H$3978</f>
        <v>1.3149781212103</v>
      </c>
      <c r="I4009" s="36" t="n">
        <f aca="false">Sens!$I$4008*(Sens!$I$3978+wacc*ext_sh*(Sens!$H$3994+Sens!$I$3994)/2/(1-tax)-Sens!$I$3997)/Sens!$I$3978</f>
        <v>1.25742005569107</v>
      </c>
      <c r="J4009" s="36" t="n">
        <f aca="false">Sens!$J$4008*(Sens!$J$3978+wacc*ext_sh*(Sens!$I$3994+Sens!$J$3994)/2/(1-tax)-Sens!$J$3997)/Sens!$J$3978</f>
        <v>1.21838845868559</v>
      </c>
      <c r="K4009" s="36" t="n">
        <f aca="false">Sens!$K$4008*(Sens!$K$3978+wacc*ext_sh*(Sens!$J$3994+Sens!$K$3994)/2/(1-tax)-Sens!$K$3997)/Sens!$K$3978</f>
        <v>1.18402644209548</v>
      </c>
      <c r="L4009" s="36" t="n">
        <f aca="false">Sens!$L$4008*(Sens!$L$3978+wacc*ext_sh*(Sens!$K$3994+Sens!$L$3994)/2/(1-tax)-Sens!$L$3997)/Sens!$L$3978</f>
        <v>1.15111215322059</v>
      </c>
      <c r="M4009" s="36" t="n">
        <f aca="false">Sens!$M$4008*(Sens!$M$3978+wacc*ext_sh*(Sens!$L$3994+Sens!$M$3994)/2/(1-tax)-Sens!$M$3997)/Sens!$M$3978</f>
        <v>1.1397166845677</v>
      </c>
    </row>
    <row r="4010" customFormat="false" ht="17.15" hidden="false" customHeight="false" outlineLevel="0" collapsed="false">
      <c r="A4010" s="5" t="s">
        <v>614</v>
      </c>
      <c r="B4010" s="0" t="s">
        <v>52</v>
      </c>
      <c r="C4010" s="12" t="n">
        <f aca="false">Sens!$C$3979/tk_pq</f>
        <v>0.195316432429398</v>
      </c>
      <c r="D4010" s="12" t="n">
        <f aca="false">Sens!$D$3979/tk_pq</f>
        <v>0.195316432429398</v>
      </c>
      <c r="E4010" s="12" t="n">
        <f aca="false">Sens!$E$3979/tk_pq</f>
        <v>0.195316432429398</v>
      </c>
      <c r="F4010" s="12" t="n">
        <f aca="false">Sens!$F$3979/tk_pq</f>
        <v>0.202241827274866</v>
      </c>
      <c r="G4010" s="12" t="n">
        <f aca="false">Sens!$G$3979/tk_pq</f>
        <v>0.199675016194063</v>
      </c>
      <c r="H4010" s="12" t="n">
        <f aca="false">Sens!$H$3979/tk_pq</f>
        <v>0.212647947710325</v>
      </c>
      <c r="I4010" s="12" t="n">
        <f aca="false">Sens!$I$3979/tk_pq</f>
        <v>0.219285125475351</v>
      </c>
      <c r="J4010" s="12" t="n">
        <f aca="false">Sens!$J$3979/tk_pq</f>
        <v>0.222492493217189</v>
      </c>
      <c r="K4010" s="12" t="n">
        <f aca="false">Sens!$K$3979/tk_pq</f>
        <v>0.224371415939166</v>
      </c>
      <c r="L4010" s="12" t="n">
        <f aca="false">Sens!$L$3979/tk_pq</f>
        <v>0.225603749825993</v>
      </c>
      <c r="M4010" s="12" t="n">
        <f aca="false">Sens!$M$3979/tk_pq</f>
        <v>0.22647376274628</v>
      </c>
      <c r="N4010" s="12" t="n">
        <f aca="false">Sens!$N$3979/tk_pq</f>
        <v>0.195316432429398</v>
      </c>
      <c r="O4010" s="12" t="n">
        <f aca="false">Sens!$O$3979/tk_pq</f>
        <v>0.195316432429398</v>
      </c>
      <c r="P4010" s="5" t="s">
        <v>615</v>
      </c>
    </row>
    <row r="4013" customFormat="false" ht="17.15" hidden="false" customHeight="false" outlineLevel="0" collapsed="false">
      <c r="A4013" s="1" t="s">
        <v>642</v>
      </c>
    </row>
    <row r="4014" customFormat="false" ht="17.15" hidden="false" customHeight="false" outlineLevel="0" collapsed="false">
      <c r="A4014" s="0" t="s">
        <v>643</v>
      </c>
      <c r="B4014" s="0" t="s">
        <v>73</v>
      </c>
      <c r="C4014" s="38" t="n">
        <f aca="false">Sens!$C$3978</f>
        <v>2.32100535697364</v>
      </c>
      <c r="D4014" s="38" t="n">
        <f aca="false">Sens!$D$3978</f>
        <v>8.70377008865116</v>
      </c>
      <c r="E4014" s="38" t="n">
        <f aca="false">Sens!$E$3978</f>
        <v>8.51035297557002</v>
      </c>
      <c r="F4014" s="38" t="n">
        <f aca="false">Sens!$F$3978</f>
        <v>14.9634336447205</v>
      </c>
      <c r="G4014" s="38" t="n">
        <f aca="false">Sens!$G$3978</f>
        <v>23.4737866202905</v>
      </c>
      <c r="H4014" s="38" t="n">
        <f aca="false">Sens!$H$3978</f>
        <v>60.1658907497746</v>
      </c>
      <c r="I4014" s="38" t="n">
        <f aca="false">Sens!$I$3978</f>
        <v>101.503699136432</v>
      </c>
      <c r="J4014" s="38" t="n">
        <f aca="false">Sens!$J$3978</f>
        <v>143.025407151278</v>
      </c>
      <c r="K4014" s="38" t="n">
        <f aca="false">Sens!$K$3978</f>
        <v>184.608415042187</v>
      </c>
      <c r="L4014" s="38" t="n">
        <f aca="false">Sens!$L$3978</f>
        <v>226.219286513125</v>
      </c>
      <c r="M4014" s="38" t="n">
        <f aca="false">Sens!$M$3978</f>
        <v>267.845161450232</v>
      </c>
      <c r="N4014" s="38" t="n">
        <f aca="false">Sens!$N$3978</f>
        <v>3.04631953102791</v>
      </c>
      <c r="O4014" s="38" t="n">
        <f aca="false">Sens!$O$3978</f>
        <v>5.65745055762326</v>
      </c>
      <c r="P4014" s="8" t="s">
        <v>644</v>
      </c>
    </row>
    <row r="4015" customFormat="false" ht="17.15" hidden="false" customHeight="false" outlineLevel="0" collapsed="false">
      <c r="A4015" s="0" t="s">
        <v>645</v>
      </c>
      <c r="B4015" s="0" t="s">
        <v>73</v>
      </c>
      <c r="C4015" s="38" t="n">
        <f aca="false">Sens!$C$3982</f>
        <v>105.234994643026</v>
      </c>
      <c r="D4015" s="38" t="n">
        <f aca="false">Sens!$D$3982</f>
        <v>120.021229911349</v>
      </c>
      <c r="E4015" s="38" t="n">
        <f aca="false">Sens!$E$3982</f>
        <v>71.30864702443</v>
      </c>
      <c r="F4015" s="38" t="n">
        <f aca="false">Sens!$F$3982</f>
        <v>78.5950104186653</v>
      </c>
      <c r="G4015" s="38" t="n">
        <f aca="false">Sens!$G$3982</f>
        <v>149.903657443095</v>
      </c>
      <c r="H4015" s="38" t="n">
        <f aca="false">Sens!$H$3982</f>
        <v>180.893560768142</v>
      </c>
      <c r="I4015" s="38" t="n">
        <f aca="false">Sens!$I$3982</f>
        <v>210.64839721501</v>
      </c>
      <c r="J4015" s="38" t="n">
        <f aca="false">Sens!$J$3982</f>
        <v>236.398909446495</v>
      </c>
      <c r="K4015" s="38" t="n">
        <f aca="false">Sens!$K$3982</f>
        <v>255.310822202215</v>
      </c>
      <c r="L4015" s="38" t="n">
        <f aca="false">Sens!$L$3982</f>
        <v>275.735687978392</v>
      </c>
      <c r="M4015" s="38" t="n">
        <f aca="false">Sens!$M$3982</f>
        <v>297.794543016663</v>
      </c>
      <c r="N4015" s="38" t="n">
        <f aca="false">Sens!$N$3982</f>
        <v>57.0936804689721</v>
      </c>
      <c r="O4015" s="38" t="n">
        <f aca="false">Sens!$O$3982</f>
        <v>62.9275494423768</v>
      </c>
      <c r="P4015" s="8" t="s">
        <v>644</v>
      </c>
    </row>
    <row r="4016" customFormat="false" ht="17.15" hidden="false" customHeight="false" outlineLevel="0" collapsed="false">
      <c r="A4016" s="1" t="s">
        <v>476</v>
      </c>
      <c r="B4016" s="8" t="s">
        <v>73</v>
      </c>
      <c r="C4016" s="38" t="n">
        <f aca="false">Q!$D$7</f>
        <v>107.556</v>
      </c>
      <c r="D4016" s="38" t="n">
        <f aca="false">Q!$E$7</f>
        <v>128.725</v>
      </c>
      <c r="E4016" s="38" t="n">
        <f aca="false">Q!$P$7</f>
        <v>79.819</v>
      </c>
      <c r="F4016" s="38" t="n">
        <f aca="false">Sens!$F$4014+Sens!$F$4015</f>
        <v>93.5584440633857</v>
      </c>
      <c r="G4016" s="38" t="n">
        <f aca="false">Sens!$G$4014+Sens!$G$4015</f>
        <v>173.377444063386</v>
      </c>
      <c r="H4016" s="38" t="n">
        <f aca="false">Sens!$H$4014+Sens!$H$4015</f>
        <v>241.059451517916</v>
      </c>
      <c r="I4016" s="38" t="n">
        <f aca="false">Sens!$I$4014+Sens!$I$4015</f>
        <v>312.152096351442</v>
      </c>
      <c r="J4016" s="38" t="n">
        <f aca="false">Sens!$J$4014+Sens!$J$4015</f>
        <v>379.424316597773</v>
      </c>
      <c r="K4016" s="38" t="n">
        <f aca="false">Sens!$K$4014+Sens!$K$4015</f>
        <v>439.919237244402</v>
      </c>
      <c r="L4016" s="38" t="n">
        <f aca="false">Sens!$L$4014+Sens!$L$4015</f>
        <v>501.954974491517</v>
      </c>
      <c r="M4016" s="38" t="n">
        <f aca="false">Sens!$M$4014+Sens!$M$4015</f>
        <v>565.639704466895</v>
      </c>
      <c r="N4016" s="38" t="n">
        <f aca="false">Q!$N$7</f>
        <v>60.14</v>
      </c>
      <c r="O4016" s="38" t="n">
        <f aca="false">Q!$O$7</f>
        <v>68.585</v>
      </c>
      <c r="P4016" s="5" t="s">
        <v>646</v>
      </c>
    </row>
    <row r="4017" customFormat="false" ht="15" hidden="false" customHeight="false" outlineLevel="0" collapsed="false">
      <c r="A4017" s="3" t="s">
        <v>647</v>
      </c>
      <c r="B4017" s="8" t="s">
        <v>73</v>
      </c>
      <c r="C4017" s="38" t="n">
        <f aca="false">Q!$D$8</f>
        <v>637.959</v>
      </c>
      <c r="D4017" s="38" t="n">
        <f aca="false">Q!$E$8</f>
        <v>716.924</v>
      </c>
      <c r="E4017" s="38" t="n">
        <f aca="false">Q!$P$8</f>
        <v>382.125</v>
      </c>
      <c r="F4017" s="38" t="n">
        <f aca="false">Sens!$F$3951+Sens!$F$4016</f>
        <v>450.494873271816</v>
      </c>
      <c r="G4017" s="38" t="n">
        <f aca="false">Sens!$G$3951+Sens!$G$4016</f>
        <v>832.619873271816</v>
      </c>
      <c r="H4017" s="38" t="n">
        <f aca="false">Sens!$H$3951+Sens!$H$4016</f>
        <v>970.995189139617</v>
      </c>
      <c r="I4017" s="38" t="n">
        <f aca="false">Sens!$I$3951+Sens!$I$4016</f>
        <v>1110.44766604932</v>
      </c>
      <c r="J4017" s="38" t="n">
        <f aca="false">Sens!$J$3951+Sens!$J$4016</f>
        <v>1241.16113892356</v>
      </c>
      <c r="K4017" s="38" t="n">
        <f aca="false">Sens!$K$3951+Sens!$K$4016</f>
        <v>1357.47672934633</v>
      </c>
      <c r="L4017" s="38" t="n">
        <f aca="false">Sens!$L$3951+Sens!$L$4016</f>
        <v>1479.24006423468</v>
      </c>
      <c r="M4017" s="38" t="n">
        <f aca="false">Sens!$M$3951+Sens!$M$4016</f>
        <v>1606.8537230104</v>
      </c>
      <c r="N4017" s="38" t="n">
        <f aca="false">Q!$N$8</f>
        <v>323.369</v>
      </c>
      <c r="O4017" s="38" t="n">
        <f aca="false">Q!$O$8</f>
        <v>393.555</v>
      </c>
    </row>
    <row r="4018" customFormat="false" ht="17.15" hidden="false" customHeight="false" outlineLevel="0" collapsed="false">
      <c r="A4018" s="24" t="s">
        <v>655</v>
      </c>
      <c r="B4018" s="25" t="s">
        <v>73</v>
      </c>
      <c r="C4018" s="39" t="n">
        <f aca="false">Sens!$C$3951-(Sens!$C$3953+Sens!$C$3954)</f>
        <v>0</v>
      </c>
      <c r="D4018" s="39" t="n">
        <f aca="false">Sens!$D$3951-(Sens!$D$3953+Sens!$D$3954)</f>
        <v>0</v>
      </c>
      <c r="E4018" s="39" t="n">
        <f aca="false">Sens!$E$3951-(Sens!$E$3953+Sens!$E$3954)</f>
        <v>0</v>
      </c>
      <c r="F4018" s="39" t="n">
        <f aca="false">Sens!$F$3951-(Sens!$F$3953+Sens!$F$3954)</f>
        <v>0</v>
      </c>
      <c r="G4018" s="39" t="n">
        <f aca="false">Sens!$G$3951-(Sens!$G$3953+Sens!$G$3954)</f>
        <v>0</v>
      </c>
      <c r="H4018" s="39" t="n">
        <f aca="false">Sens!$H$3951-(Sens!$H$3953+Sens!$H$3954)</f>
        <v>0</v>
      </c>
      <c r="I4018" s="39" t="n">
        <f aca="false">Sens!$I$3951-(Sens!$I$3953+Sens!$I$3954)</f>
        <v>0</v>
      </c>
      <c r="J4018" s="39" t="n">
        <f aca="false">Sens!$J$3951-(Sens!$J$3953+Sens!$J$3954)</f>
        <v>0</v>
      </c>
      <c r="K4018" s="39" t="n">
        <f aca="false">Sens!$K$3951-(Sens!$K$3953+Sens!$K$3954)</f>
        <v>0</v>
      </c>
      <c r="L4018" s="39" t="n">
        <f aca="false">Sens!$L$3951-(Sens!$L$3953+Sens!$L$3954)</f>
        <v>0</v>
      </c>
      <c r="M4018" s="39" t="n">
        <f aca="false">Sens!$M$3951-(Sens!$M$3953+Sens!$M$3954)</f>
        <v>0</v>
      </c>
      <c r="N4018" s="39" t="n">
        <f aca="false">Sens!$N$3951-(Sens!$N$3953+Sens!$N$3954)</f>
        <v>0</v>
      </c>
      <c r="O4018" s="39" t="n">
        <f aca="false">Sens!$O$3951-(Sens!$O$3953+Sens!$O$3954)</f>
        <v>0</v>
      </c>
    </row>
    <row r="4019" customFormat="false" ht="17.15" hidden="false" customHeight="false" outlineLevel="0" collapsed="false">
      <c r="A4019" s="24" t="s">
        <v>656</v>
      </c>
      <c r="B4019" s="25" t="s">
        <v>73</v>
      </c>
      <c r="C4019" s="39" t="n">
        <f aca="false">Sens!$C$4014+Sens!$C$4015-Sens!$C$4016</f>
        <v>0</v>
      </c>
      <c r="D4019" s="39" t="n">
        <f aca="false">Sens!$D$4014+Sens!$D$4015-Sens!$D$4016</f>
        <v>0</v>
      </c>
      <c r="E4019" s="39" t="n">
        <f aca="false">Sens!$E$4014+Sens!$E$4015-Sens!$E$4016</f>
        <v>0</v>
      </c>
      <c r="F4019" s="39" t="n">
        <f aca="false">Sens!$F$4014+Sens!$F$4015-Sens!$F$4016</f>
        <v>0</v>
      </c>
      <c r="G4019" s="39" t="n">
        <f aca="false">Sens!$G$4014+Sens!$G$4015-Sens!$G$4016</f>
        <v>0</v>
      </c>
      <c r="H4019" s="39" t="n">
        <f aca="false">Sens!$H$4014+Sens!$H$4015-Sens!$H$4016</f>
        <v>0</v>
      </c>
      <c r="I4019" s="39" t="n">
        <f aca="false">Sens!$I$4014+Sens!$I$4015-Sens!$I$4016</f>
        <v>0</v>
      </c>
      <c r="J4019" s="39" t="n">
        <f aca="false">Sens!$J$4014+Sens!$J$4015-Sens!$J$4016</f>
        <v>0</v>
      </c>
      <c r="K4019" s="39" t="n">
        <f aca="false">Sens!$K$4014+Sens!$K$4015-Sens!$K$4016</f>
        <v>0</v>
      </c>
      <c r="L4019" s="39" t="n">
        <f aca="false">Sens!$L$4014+Sens!$L$4015-Sens!$L$4016</f>
        <v>0</v>
      </c>
      <c r="M4019" s="39" t="n">
        <f aca="false">Sens!$M$4014+Sens!$M$4015-Sens!$M$4016</f>
        <v>0</v>
      </c>
      <c r="N4019" s="39" t="n">
        <f aca="false">Sens!$N$4014+Sens!$N$4015-Sens!$N$4016</f>
        <v>0</v>
      </c>
      <c r="O4019" s="39" t="n">
        <f aca="false">Sens!$O$4014+Sens!$O$4015-Sens!$O$4016</f>
        <v>0</v>
      </c>
    </row>
    <row r="4020" customFormat="false" ht="17.15" hidden="false" customHeight="false" outlineLevel="0" collapsed="false">
      <c r="A4020" s="24" t="s">
        <v>657</v>
      </c>
      <c r="B4020" s="25" t="s">
        <v>73</v>
      </c>
      <c r="C4020" s="39" t="n">
        <f aca="false">Sens!$C$3953+Sens!$C$3954+Sens!$C$4016-Sens!$C$4017</f>
        <v>0</v>
      </c>
      <c r="D4020" s="39" t="n">
        <f aca="false">Sens!$D$3953+Sens!$D$3954+Sens!$D$4016-Sens!$D$4017</f>
        <v>0</v>
      </c>
      <c r="E4020" s="39" t="n">
        <f aca="false">Sens!$E$3953+Sens!$E$3954+Sens!$E$4016-Sens!$E$4017</f>
        <v>0</v>
      </c>
      <c r="F4020" s="39" t="n">
        <f aca="false">Sens!$F$3953+Sens!$F$3954+Sens!$F$4016-Sens!$F$4017</f>
        <v>0</v>
      </c>
      <c r="G4020" s="39" t="n">
        <f aca="false">Sens!$G$3953+Sens!$G$3954+Sens!$G$4016-Sens!$G$4017</f>
        <v>0</v>
      </c>
      <c r="H4020" s="39" t="n">
        <f aca="false">Sens!$H$3953+Sens!$H$3954+Sens!$H$4016-Sens!$H$4017</f>
        <v>0</v>
      </c>
      <c r="I4020" s="39" t="n">
        <f aca="false">Sens!$I$3953+Sens!$I$3954+Sens!$I$4016-Sens!$I$4017</f>
        <v>0</v>
      </c>
      <c r="J4020" s="39" t="n">
        <f aca="false">Sens!$J$3953+Sens!$J$3954+Sens!$J$4016-Sens!$J$4017</f>
        <v>0</v>
      </c>
      <c r="K4020" s="39" t="n">
        <f aca="false">Sens!$K$3953+Sens!$K$3954+Sens!$K$4016-Sens!$K$4017</f>
        <v>0</v>
      </c>
      <c r="L4020" s="39" t="n">
        <f aca="false">Sens!$L$3953+Sens!$L$3954+Sens!$L$4016-Sens!$L$4017</f>
        <v>0</v>
      </c>
      <c r="M4020" s="39" t="n">
        <f aca="false">Sens!$M$3953+Sens!$M$3954+Sens!$M$4016-Sens!$M$4017</f>
        <v>0</v>
      </c>
      <c r="N4020" s="39" t="n">
        <f aca="false">Sens!$N$3953+Sens!$N$3954+Sens!$N$4016-Sens!$N$4017</f>
        <v>0</v>
      </c>
      <c r="O4020" s="39" t="n">
        <f aca="false">Sens!$O$3953+Sens!$O$3954+Sens!$O$4016-Sens!$O$4017</f>
        <v>0</v>
      </c>
    </row>
    <row r="4021" customFormat="false" ht="15" hidden="false" customHeight="false" outlineLevel="0" collapsed="false">
      <c r="A4021" s="5" t="s">
        <v>651</v>
      </c>
      <c r="B4021" s="0" t="s">
        <v>52</v>
      </c>
      <c r="G4021" s="12" t="n">
        <f aca="false">Sens!$G$4017/Sens!$D$4017-1</f>
        <v>0.161378156222718</v>
      </c>
      <c r="H4021" s="12" t="n">
        <f aca="false">Sens!$H$4017/Sens!$G$4017-1</f>
        <v>0.166192665236357</v>
      </c>
      <c r="I4021" s="12" t="n">
        <f aca="false">Sens!$I$4017/Sens!$H$4017-1</f>
        <v>0.143618092519351</v>
      </c>
      <c r="J4021" s="12" t="n">
        <f aca="false">Sens!$J$4017/Sens!$I$4017-1</f>
        <v>0.117712411733268</v>
      </c>
      <c r="K4021" s="12" t="n">
        <f aca="false">Sens!$K$4017/Sens!$J$4017-1</f>
        <v>0.0937151404237868</v>
      </c>
      <c r="L4021" s="12" t="n">
        <f aca="false">Sens!$L$4017/Sens!$K$4017-1</f>
        <v>0.0896982852494186</v>
      </c>
      <c r="M4021" s="12" t="n">
        <f aca="false">Sens!$M$4017/Sens!$L$4017-1</f>
        <v>0.0862697420528154</v>
      </c>
    </row>
    <row r="4022" customFormat="false" ht="17.15" hidden="false" customHeight="false" outlineLevel="0" collapsed="false">
      <c r="A4022" s="0" t="s">
        <v>652</v>
      </c>
      <c r="B4022" s="0" t="s">
        <v>52</v>
      </c>
      <c r="C4022" s="12" t="n">
        <f aca="false">Sens!$C$4016/Sens!$C$4017</f>
        <v>0.168593906504964</v>
      </c>
      <c r="D4022" s="12" t="n">
        <f aca="false">Sens!$D$4016/Sens!$D$4017</f>
        <v>0.179551807444025</v>
      </c>
      <c r="E4022" s="12" t="n">
        <f aca="false">Sens!$E$4016/Sens!$E$4017</f>
        <v>0.208881910369643</v>
      </c>
      <c r="F4022" s="12" t="n">
        <f aca="false">Sens!$F$4016/Sens!$F$4017</f>
        <v>0.207679264769203</v>
      </c>
      <c r="G4022" s="12" t="n">
        <f aca="false">Sens!$G$4016/Sens!$G$4017</f>
        <v>0.208231210458731</v>
      </c>
      <c r="H4022" s="12" t="n">
        <f aca="false">Sens!$H$4016/Sens!$H$4017</f>
        <v>0.248260191414043</v>
      </c>
      <c r="I4022" s="12" t="n">
        <f aca="false">Sens!$I$4016/Sens!$I$4017</f>
        <v>0.28110473450946</v>
      </c>
      <c r="J4022" s="12" t="n">
        <f aca="false">Sens!$J$4016/Sens!$J$4017</f>
        <v>0.30570109287086</v>
      </c>
      <c r="K4022" s="12" t="n">
        <f aca="false">Sens!$K$4016/Sens!$K$4017</f>
        <v>0.324071291782835</v>
      </c>
      <c r="L4022" s="12" t="n">
        <f aca="false">Sens!$L$4016/Sens!$L$4017</f>
        <v>0.339333003903741</v>
      </c>
      <c r="M4022" s="12" t="n">
        <f aca="false">Sens!$M$4016/Sens!$M$4017</f>
        <v>0.3520169237354</v>
      </c>
      <c r="N4022" s="12" t="n">
        <f aca="false">Sens!$N$4016/Sens!$N$4017</f>
        <v>0.185979484737251</v>
      </c>
      <c r="O4022" s="12" t="n">
        <f aca="false">Sens!$O$4016/Sens!$O$4017</f>
        <v>0.174270432341096</v>
      </c>
    </row>
    <row r="4023" customFormat="false" ht="17.15" hidden="false" customHeight="false" outlineLevel="0" collapsed="false">
      <c r="A4023" s="0" t="s">
        <v>653</v>
      </c>
      <c r="B4023" s="0" t="s">
        <v>52</v>
      </c>
      <c r="C4023" s="12" t="n">
        <f aca="false">Sens!$C$4014/Sens!$C$4016</f>
        <v>0.0215795060896058</v>
      </c>
      <c r="D4023" s="12" t="n">
        <f aca="false">Sens!$D$4014/Sens!$D$4016</f>
        <v>0.0676152269462122</v>
      </c>
      <c r="E4023" s="12" t="n">
        <f aca="false">Sens!$E$4014/Sens!$E$4016</f>
        <v>0.106620641395783</v>
      </c>
      <c r="F4023" s="12" t="n">
        <f aca="false">Sens!$F$4014/Sens!$F$4016</f>
        <v>0.159936751776064</v>
      </c>
      <c r="G4023" s="12" t="n">
        <f aca="false">Sens!$G$4014/Sens!$G$4016</f>
        <v>0.135391237003751</v>
      </c>
      <c r="H4023" s="12" t="n">
        <f aca="false">Sens!$H$4014/Sens!$H$4016</f>
        <v>0.249589428545194</v>
      </c>
      <c r="I4023" s="12" t="n">
        <f aca="false">Sens!$I$4014/Sens!$I$4016</f>
        <v>0.325173850577483</v>
      </c>
      <c r="J4023" s="12" t="n">
        <f aca="false">Sens!$J$4014/Sens!$J$4016</f>
        <v>0.376953718817392</v>
      </c>
      <c r="K4023" s="12" t="n">
        <f aca="false">Sens!$K$4014/Sens!$K$4016</f>
        <v>0.419641605578676</v>
      </c>
      <c r="L4023" s="12" t="n">
        <f aca="false">Sens!$L$4014/Sens!$L$4016</f>
        <v>0.450676451094615</v>
      </c>
      <c r="M4023" s="12" t="n">
        <f aca="false">Sens!$M$4014/Sens!$M$4016</f>
        <v>0.473526096798086</v>
      </c>
      <c r="N4023" s="12" t="n">
        <f aca="false">Sens!$N$4014/Sens!$N$4016</f>
        <v>0.0506537999838362</v>
      </c>
      <c r="O4023" s="12" t="n">
        <f aca="false">Sens!$O$4014/Sens!$O$4016</f>
        <v>0.0824881615167056</v>
      </c>
    </row>
    <row r="4026" customFormat="false" ht="19.4" hidden="false" customHeight="false" outlineLevel="0" collapsed="false">
      <c r="A4026" s="31" t="s">
        <v>1130</v>
      </c>
    </row>
    <row r="4027" customFormat="false" ht="17.15" hidden="false" customHeight="false" outlineLevel="0" collapsed="false">
      <c r="A4027" s="6" t="s">
        <v>16</v>
      </c>
      <c r="B4027" s="6" t="s">
        <v>17</v>
      </c>
      <c r="C4027" s="20" t="s">
        <v>457</v>
      </c>
      <c r="D4027" s="20" t="s">
        <v>458</v>
      </c>
      <c r="E4027" s="20" t="s">
        <v>540</v>
      </c>
      <c r="F4027" s="20" t="s">
        <v>541</v>
      </c>
      <c r="G4027" s="20" t="s">
        <v>542</v>
      </c>
      <c r="H4027" s="20" t="s">
        <v>543</v>
      </c>
      <c r="I4027" s="20" t="s">
        <v>544</v>
      </c>
      <c r="J4027" s="20" t="s">
        <v>545</v>
      </c>
      <c r="K4027" s="20" t="s">
        <v>546</v>
      </c>
      <c r="L4027" s="20" t="s">
        <v>547</v>
      </c>
      <c r="M4027" s="20" t="s">
        <v>548</v>
      </c>
      <c r="N4027" s="20" t="s">
        <v>549</v>
      </c>
      <c r="O4027" s="20" t="s">
        <v>550</v>
      </c>
      <c r="P4027" s="6" t="s">
        <v>23</v>
      </c>
      <c r="R4027" s="20" t="n">
        <v>2023</v>
      </c>
      <c r="S4027" s="20" t="n">
        <v>2024</v>
      </c>
      <c r="T4027" s="20" t="n">
        <v>2025</v>
      </c>
      <c r="U4027" s="20" t="n">
        <v>2026</v>
      </c>
      <c r="V4027" s="20" t="n">
        <v>2027</v>
      </c>
      <c r="W4027" s="20" t="n">
        <v>2028</v>
      </c>
      <c r="X4027" s="20" t="n">
        <v>2029</v>
      </c>
      <c r="Y4027" s="20" t="n">
        <v>2030</v>
      </c>
      <c r="Z4027" s="20" t="n">
        <v>2031</v>
      </c>
      <c r="AA4027" s="20" t="n">
        <v>2032</v>
      </c>
    </row>
    <row r="4028" customFormat="false" ht="17.15" hidden="false" customHeight="false" outlineLevel="0" collapsed="false">
      <c r="A4028" s="1" t="s">
        <v>668</v>
      </c>
    </row>
    <row r="4029" customFormat="false" ht="15" hidden="false" customHeight="false" outlineLevel="0" collapsed="false">
      <c r="A4029" s="0" t="s">
        <v>479</v>
      </c>
      <c r="B4029" s="0" t="s">
        <v>73</v>
      </c>
      <c r="C4029" s="38" t="n">
        <f aca="false">Sens!$C$3939</f>
        <v>247.029</v>
      </c>
      <c r="D4029" s="38" t="n">
        <f aca="false">Sens!$D$3939</f>
        <v>269.287</v>
      </c>
      <c r="E4029" s="38" t="n">
        <f aca="false">Sens!$E$3939</f>
        <v>134.686</v>
      </c>
      <c r="F4029" s="38" t="n">
        <f aca="false">Sens!$F$3939</f>
        <v>160.728085930082</v>
      </c>
      <c r="G4029" s="38" t="n">
        <f aca="false">Sens!$G$3939</f>
        <v>295.414085930082</v>
      </c>
      <c r="H4029" s="38" t="n">
        <f aca="false">Sens!$H$3939</f>
        <v>320.828163943375</v>
      </c>
      <c r="I4029" s="38" t="n">
        <f aca="false">Sens!$I$3939</f>
        <v>344.575578072228</v>
      </c>
      <c r="J4029" s="38" t="n">
        <f aca="false">Sens!$J$3939</f>
        <v>365.942555779681</v>
      </c>
      <c r="K4029" s="38" t="n">
        <f aca="false">Sens!$K$3939</f>
        <v>384.239683568665</v>
      </c>
      <c r="L4029" s="38" t="n">
        <f aca="false">Sens!$L$3939</f>
        <v>403.451667747098</v>
      </c>
      <c r="M4029" s="38" t="n">
        <f aca="false">Sens!$M$3939</f>
        <v>423.624251134453</v>
      </c>
      <c r="N4029" s="38" t="n">
        <f aca="false">Sens!$N$3939</f>
        <v>118.892</v>
      </c>
      <c r="O4029" s="38" t="n">
        <f aca="false">Sens!$O$3939</f>
        <v>150.395</v>
      </c>
    </row>
    <row r="4030" customFormat="false" ht="15" hidden="false" customHeight="false" outlineLevel="0" collapsed="false">
      <c r="A4030" s="0" t="s">
        <v>480</v>
      </c>
      <c r="B4030" s="0" t="s">
        <v>73</v>
      </c>
      <c r="C4030" s="38" t="n">
        <f aca="false">Sens!$C$3941</f>
        <v>21.215</v>
      </c>
      <c r="D4030" s="38" t="n">
        <f aca="false">Sens!$D$3941</f>
        <v>22.561</v>
      </c>
      <c r="E4030" s="38" t="n">
        <f aca="false">Sens!$E$3941</f>
        <v>11.579</v>
      </c>
      <c r="F4030" s="38" t="n">
        <f aca="false">Sens!$F$3941</f>
        <v>12.0952613121125</v>
      </c>
      <c r="G4030" s="38" t="n">
        <f aca="false">Sens!$G$3941</f>
        <v>23.6742613121125</v>
      </c>
      <c r="H4030" s="38" t="n">
        <f aca="false">Sens!$H$3941</f>
        <v>24.8803243963206</v>
      </c>
      <c r="I4030" s="38" t="n">
        <f aca="false">Sens!$I$3941</f>
        <v>25.9741308664154</v>
      </c>
      <c r="J4030" s="38" t="n">
        <f aca="false">Sens!$J$3941</f>
        <v>26.9346894124267</v>
      </c>
      <c r="K4030" s="38" t="n">
        <f aca="false">Sens!$K$3941</f>
        <v>27.7427300947995</v>
      </c>
      <c r="L4030" s="38" t="n">
        <f aca="false">Sens!$L$3941</f>
        <v>28.5750119976435</v>
      </c>
      <c r="M4030" s="38" t="n">
        <f aca="false">Sens!$M$3941</f>
        <v>29.4322623575728</v>
      </c>
      <c r="N4030" s="38" t="n">
        <f aca="false">Sens!$N$3941</f>
        <v>11.128</v>
      </c>
      <c r="O4030" s="38" t="n">
        <f aca="false">Sens!$O$3941</f>
        <v>11.433</v>
      </c>
    </row>
    <row r="4031" customFormat="false" ht="15" hidden="false" customHeight="false" outlineLevel="0" collapsed="false">
      <c r="A4031" s="0" t="s">
        <v>481</v>
      </c>
      <c r="B4031" s="0" t="s">
        <v>73</v>
      </c>
      <c r="C4031" s="38" t="n">
        <f aca="false">Sens!$C$3943</f>
        <v>156.146</v>
      </c>
      <c r="D4031" s="38" t="n">
        <f aca="false">Sens!$D$3943</f>
        <v>172.162</v>
      </c>
      <c r="E4031" s="38" t="n">
        <f aca="false">Sens!$E$3943</f>
        <v>88.358</v>
      </c>
      <c r="F4031" s="38" t="n">
        <f aca="false">Sens!$F$3943</f>
        <v>103.62028337149</v>
      </c>
      <c r="G4031" s="38" t="n">
        <f aca="false">Sens!$G$3943</f>
        <v>191.97828337149</v>
      </c>
      <c r="H4031" s="38" t="n">
        <f aca="false">Sens!$H$3943</f>
        <v>212.128608444755</v>
      </c>
      <c r="I4031" s="38" t="n">
        <f aca="false">Sens!$I$3943</f>
        <v>231.92183134134</v>
      </c>
      <c r="J4031" s="38" t="n">
        <f aca="false">Sens!$J$3943</f>
        <v>250.859136487863</v>
      </c>
      <c r="K4031" s="38" t="n">
        <f aca="false">Sens!$K$3943</f>
        <v>268.419276042014</v>
      </c>
      <c r="L4031" s="38" t="n">
        <f aca="false">Sens!$L$3943</f>
        <v>287.208625364954</v>
      </c>
      <c r="M4031" s="38" t="n">
        <f aca="false">Sens!$M$3943</f>
        <v>307.313229140501</v>
      </c>
      <c r="N4031" s="38" t="n">
        <f aca="false">Sens!$N$3943</f>
        <v>76.86</v>
      </c>
      <c r="O4031" s="38" t="n">
        <f aca="false">Sens!$O$3943</f>
        <v>95.302</v>
      </c>
    </row>
    <row r="4032" customFormat="false" ht="15" hidden="false" customHeight="false" outlineLevel="0" collapsed="false">
      <c r="A4032" s="0" t="s">
        <v>482</v>
      </c>
      <c r="B4032" s="0" t="s">
        <v>73</v>
      </c>
      <c r="C4032" s="38" t="n">
        <f aca="false">Sens!$C$3945</f>
        <v>56.214</v>
      </c>
      <c r="D4032" s="38" t="n">
        <f aca="false">Sens!$D$3945</f>
        <v>68.635</v>
      </c>
      <c r="E4032" s="38" t="n">
        <f aca="false">Sens!$E$3945</f>
        <v>37.052</v>
      </c>
      <c r="F4032" s="38" t="n">
        <f aca="false">Sens!$F$3945</f>
        <v>48.1533381827382</v>
      </c>
      <c r="G4032" s="38" t="n">
        <f aca="false">Sens!$G$3945</f>
        <v>85.2053381827382</v>
      </c>
      <c r="H4032" s="38" t="n">
        <f aca="false">Sens!$H$3945</f>
        <v>102.29336185894</v>
      </c>
      <c r="I4032" s="38" t="n">
        <f aca="false">Sens!$I$3945</f>
        <v>119.379837585241</v>
      </c>
      <c r="J4032" s="38" t="n">
        <f aca="false">Sens!$J$3945</f>
        <v>135.319079048844</v>
      </c>
      <c r="K4032" s="38" t="n">
        <f aca="false">Sens!$K$3945</f>
        <v>148.850986953729</v>
      </c>
      <c r="L4032" s="38" t="n">
        <f aca="false">Sens!$L$3945</f>
        <v>163.736085649102</v>
      </c>
      <c r="M4032" s="38" t="n">
        <f aca="false">Sens!$M$3945</f>
        <v>180.109694214012</v>
      </c>
      <c r="N4032" s="38" t="n">
        <f aca="false">Sens!$N$3945</f>
        <v>29.615</v>
      </c>
      <c r="O4032" s="38" t="n">
        <f aca="false">Sens!$O$3945</f>
        <v>39.02</v>
      </c>
    </row>
    <row r="4033" customFormat="false" ht="15" hidden="false" customHeight="false" outlineLevel="0" collapsed="false">
      <c r="A4033" s="0" t="s">
        <v>483</v>
      </c>
      <c r="B4033" s="0" t="s">
        <v>73</v>
      </c>
      <c r="C4033" s="38" t="n">
        <f aca="false">Sens!$C$3947</f>
        <v>44.374</v>
      </c>
      <c r="D4033" s="38" t="n">
        <f aca="false">Sens!$D$3947</f>
        <v>49.619</v>
      </c>
      <c r="E4033" s="38" t="n">
        <f aca="false">Sens!$E$3947</f>
        <v>27.157</v>
      </c>
      <c r="F4033" s="38" t="n">
        <f aca="false">Sens!$F$3947</f>
        <v>28.9776360923374</v>
      </c>
      <c r="G4033" s="38" t="n">
        <f aca="false">Sens!$G$3947</f>
        <v>56.1346360923374</v>
      </c>
      <c r="H4033" s="38" t="n">
        <f aca="false">Sens!$H$3947</f>
        <v>62.4937078946075</v>
      </c>
      <c r="I4033" s="38" t="n">
        <f aca="false">Sens!$I$3947</f>
        <v>68.6715233062498</v>
      </c>
      <c r="J4033" s="38" t="n">
        <f aca="false">Sens!$J$3947</f>
        <v>74.4692882949818</v>
      </c>
      <c r="K4033" s="38" t="n">
        <f aca="false">Sens!$K$3947</f>
        <v>79.6821384756306</v>
      </c>
      <c r="L4033" s="38" t="n">
        <f aca="false">Sens!$L$3947</f>
        <v>85.2598881689247</v>
      </c>
      <c r="M4033" s="38" t="n">
        <f aca="false">Sens!$M$3947</f>
        <v>91.2280803407494</v>
      </c>
      <c r="N4033" s="38" t="n">
        <f aca="false">Sens!$N$3947</f>
        <v>23.923</v>
      </c>
      <c r="O4033" s="38" t="n">
        <f aca="false">Sens!$O$3947</f>
        <v>25.696</v>
      </c>
    </row>
    <row r="4034" customFormat="false" ht="15" hidden="false" customHeight="false" outlineLevel="0" collapsed="false">
      <c r="A4034" s="0" t="s">
        <v>484</v>
      </c>
      <c r="B4034" s="0" t="s">
        <v>73</v>
      </c>
      <c r="C4034" s="38" t="n">
        <f aca="false">Sens!$C$3949</f>
        <v>5.425</v>
      </c>
      <c r="D4034" s="38" t="n">
        <f aca="false">Sens!$D$3949</f>
        <v>5.935</v>
      </c>
      <c r="E4034" s="38" t="n">
        <f aca="false">Sens!$E$3949</f>
        <v>3.474</v>
      </c>
      <c r="F4034" s="38" t="n">
        <f aca="false">Sens!$F$3949</f>
        <v>3.36182431966931</v>
      </c>
      <c r="G4034" s="38" t="n">
        <f aca="false">Sens!$G$3949</f>
        <v>6.83582431966931</v>
      </c>
      <c r="H4034" s="38" t="n">
        <f aca="false">Sens!$H$3949</f>
        <v>7.31157108370141</v>
      </c>
      <c r="I4034" s="38" t="n">
        <f aca="false">Sens!$I$3949</f>
        <v>7.77266852639815</v>
      </c>
      <c r="J4034" s="38" t="n">
        <f aca="false">Sens!$J$3949</f>
        <v>8.2120733019884</v>
      </c>
      <c r="K4034" s="38" t="n">
        <f aca="false">Sens!$K$3949</f>
        <v>8.62267696708783</v>
      </c>
      <c r="L4034" s="38" t="n">
        <f aca="false">Sens!$L$3949</f>
        <v>9.05381081544222</v>
      </c>
      <c r="M4034" s="38" t="n">
        <f aca="false">Sens!$M$3949</f>
        <v>9.50650135621433</v>
      </c>
      <c r="N4034" s="38" t="n">
        <f aca="false">Sens!$N$3949</f>
        <v>2.811</v>
      </c>
      <c r="O4034" s="38" t="n">
        <f aca="false">Sens!$O$3949</f>
        <v>3.124</v>
      </c>
    </row>
    <row r="4035" customFormat="false" ht="17.15" hidden="false" customHeight="false" outlineLevel="0" collapsed="false">
      <c r="A4035" s="0" t="s">
        <v>669</v>
      </c>
      <c r="B4035" s="0" t="s">
        <v>73</v>
      </c>
      <c r="C4035" s="38" t="n">
        <f aca="false">Sens!$C$4016</f>
        <v>107.556</v>
      </c>
      <c r="D4035" s="38" t="n">
        <f aca="false">Sens!$D$4016</f>
        <v>128.725</v>
      </c>
      <c r="E4035" s="38" t="n">
        <f aca="false">Sens!$E$4016</f>
        <v>79.819</v>
      </c>
      <c r="F4035" s="38" t="n">
        <f aca="false">Sens!$F$4016</f>
        <v>93.5584440633857</v>
      </c>
      <c r="G4035" s="38" t="n">
        <f aca="false">Sens!$G$4016</f>
        <v>173.377444063386</v>
      </c>
      <c r="H4035" s="38" t="n">
        <f aca="false">Sens!$H$4016</f>
        <v>241.059451517916</v>
      </c>
      <c r="I4035" s="38" t="n">
        <f aca="false">Sens!$I$4016</f>
        <v>312.152096351442</v>
      </c>
      <c r="J4035" s="38" t="n">
        <f aca="false">Sens!$J$4016</f>
        <v>379.424316597773</v>
      </c>
      <c r="K4035" s="38" t="n">
        <f aca="false">Sens!$K$4016</f>
        <v>439.919237244402</v>
      </c>
      <c r="L4035" s="38" t="n">
        <f aca="false">Sens!$L$4016</f>
        <v>501.954974491517</v>
      </c>
      <c r="M4035" s="38" t="n">
        <f aca="false">Sens!$M$4016</f>
        <v>565.639704466895</v>
      </c>
      <c r="N4035" s="38" t="n">
        <f aca="false">Sens!$N$4016</f>
        <v>60.14</v>
      </c>
      <c r="O4035" s="38" t="n">
        <f aca="false">Sens!$O$4016</f>
        <v>68.585</v>
      </c>
    </row>
    <row r="4036" customFormat="false" ht="15" hidden="false" customHeight="false" outlineLevel="0" collapsed="false">
      <c r="A4036" s="1" t="s">
        <v>472</v>
      </c>
      <c r="B4036" s="8" t="s">
        <v>73</v>
      </c>
      <c r="C4036" s="38" t="n">
        <f aca="false">Sens!$C$3953</f>
        <v>387.497</v>
      </c>
      <c r="D4036" s="38" t="n">
        <f aca="false">Sens!$D$3953</f>
        <v>426.305</v>
      </c>
      <c r="E4036" s="38" t="n">
        <f aca="false">Sens!$E$3953</f>
        <v>220.32</v>
      </c>
      <c r="F4036" s="38" t="n">
        <f aca="false">Sens!$F$3953</f>
        <v>256.304015003807</v>
      </c>
      <c r="G4036" s="38" t="n">
        <f aca="false">Sens!$G$3953</f>
        <v>476.624015003807</v>
      </c>
      <c r="H4036" s="38" t="n">
        <f aca="false">Sens!$H$3953</f>
        <v>527.734391091543</v>
      </c>
      <c r="I4036" s="38" t="n">
        <f aca="false">Sens!$I$3953</f>
        <v>577.157693029577</v>
      </c>
      <c r="J4036" s="38" t="n">
        <f aca="false">Sens!$J$3953</f>
        <v>623.024923663827</v>
      </c>
      <c r="K4036" s="38" t="n">
        <f aca="false">Sens!$K$3953</f>
        <v>663.382568393781</v>
      </c>
      <c r="L4036" s="38" t="n">
        <f aca="false">Sens!$L$3953</f>
        <v>706.564873010432</v>
      </c>
      <c r="M4036" s="38" t="n">
        <f aca="false">Sens!$M$3953</f>
        <v>752.784687406019</v>
      </c>
      <c r="N4036" s="38" t="n">
        <f aca="false">Sens!$N$3953</f>
        <v>192.955</v>
      </c>
      <c r="O4036" s="38" t="n">
        <f aca="false">Sens!$O$3953</f>
        <v>233.35</v>
      </c>
    </row>
    <row r="4037" customFormat="false" ht="15" hidden="false" customHeight="false" outlineLevel="0" collapsed="false">
      <c r="A4037" s="1" t="s">
        <v>475</v>
      </c>
      <c r="B4037" s="8" t="s">
        <v>73</v>
      </c>
      <c r="C4037" s="38" t="n">
        <f aca="false">Sens!$C$3954</f>
        <v>142.906</v>
      </c>
      <c r="D4037" s="38" t="n">
        <f aca="false">Sens!$D$3954</f>
        <v>161.894</v>
      </c>
      <c r="E4037" s="38" t="n">
        <f aca="false">Sens!$E$3954</f>
        <v>81.986</v>
      </c>
      <c r="F4037" s="38" t="n">
        <f aca="false">Sens!$F$3954</f>
        <v>100.632414204623</v>
      </c>
      <c r="G4037" s="38" t="n">
        <f aca="false">Sens!$G$3954</f>
        <v>182.618414204623</v>
      </c>
      <c r="H4037" s="38" t="n">
        <f aca="false">Sens!$H$3954</f>
        <v>202.201346530158</v>
      </c>
      <c r="I4037" s="38" t="n">
        <f aca="false">Sens!$I$3954</f>
        <v>221.137876668296</v>
      </c>
      <c r="J4037" s="38" t="n">
        <f aca="false">Sens!$J$3954</f>
        <v>238.711898661958</v>
      </c>
      <c r="K4037" s="38" t="n">
        <f aca="false">Sens!$K$3954</f>
        <v>254.174923708144</v>
      </c>
      <c r="L4037" s="38" t="n">
        <f aca="false">Sens!$L$3954</f>
        <v>270.720216732733</v>
      </c>
      <c r="M4037" s="38" t="n">
        <f aca="false">Sens!$M$3954</f>
        <v>288.429331137484</v>
      </c>
      <c r="N4037" s="38" t="n">
        <f aca="false">Sens!$N$3954</f>
        <v>70.274</v>
      </c>
      <c r="O4037" s="38" t="n">
        <f aca="false">Sens!$O$3954</f>
        <v>91.62</v>
      </c>
    </row>
    <row r="4038" customFormat="false" ht="15" hidden="false" customHeight="false" outlineLevel="0" collapsed="false">
      <c r="A4038" s="1" t="s">
        <v>476</v>
      </c>
      <c r="B4038" s="8" t="s">
        <v>73</v>
      </c>
      <c r="C4038" s="38" t="n">
        <f aca="false">Sens!$C$4016</f>
        <v>107.556</v>
      </c>
      <c r="D4038" s="38" t="n">
        <f aca="false">Sens!$D$4016</f>
        <v>128.725</v>
      </c>
      <c r="E4038" s="38" t="n">
        <f aca="false">Sens!$E$4016</f>
        <v>79.819</v>
      </c>
      <c r="F4038" s="38" t="n">
        <f aca="false">Sens!$F$4016</f>
        <v>93.5584440633857</v>
      </c>
      <c r="G4038" s="38" t="n">
        <f aca="false">Sens!$G$4016</f>
        <v>173.377444063386</v>
      </c>
      <c r="H4038" s="38" t="n">
        <f aca="false">Sens!$H$4016</f>
        <v>241.059451517916</v>
      </c>
      <c r="I4038" s="38" t="n">
        <f aca="false">Sens!$I$4016</f>
        <v>312.152096351442</v>
      </c>
      <c r="J4038" s="38" t="n">
        <f aca="false">Sens!$J$4016</f>
        <v>379.424316597773</v>
      </c>
      <c r="K4038" s="38" t="n">
        <f aca="false">Sens!$K$4016</f>
        <v>439.919237244402</v>
      </c>
      <c r="L4038" s="38" t="n">
        <f aca="false">Sens!$L$4016</f>
        <v>501.954974491517</v>
      </c>
      <c r="M4038" s="38" t="n">
        <f aca="false">Sens!$M$4016</f>
        <v>565.639704466895</v>
      </c>
      <c r="N4038" s="38" t="n">
        <f aca="false">Sens!$N$4016</f>
        <v>60.14</v>
      </c>
      <c r="O4038" s="38" t="n">
        <f aca="false">Sens!$O$4016</f>
        <v>68.585</v>
      </c>
    </row>
    <row r="4039" customFormat="false" ht="17.15" hidden="false" customHeight="false" outlineLevel="0" collapsed="false">
      <c r="A4039" s="0" t="s">
        <v>643</v>
      </c>
      <c r="B4039" s="0" t="s">
        <v>73</v>
      </c>
      <c r="C4039" s="38" t="n">
        <f aca="false">Sens!$C$4014</f>
        <v>2.32100535697364</v>
      </c>
      <c r="D4039" s="38" t="n">
        <f aca="false">Sens!$D$4014</f>
        <v>8.70377008865116</v>
      </c>
      <c r="E4039" s="38" t="n">
        <f aca="false">Sens!$E$4014</f>
        <v>8.51035297557002</v>
      </c>
      <c r="F4039" s="38" t="n">
        <f aca="false">Sens!$F$4014</f>
        <v>14.9634336447205</v>
      </c>
      <c r="G4039" s="38" t="n">
        <f aca="false">Sens!$G$4014</f>
        <v>23.4737866202905</v>
      </c>
      <c r="H4039" s="38" t="n">
        <f aca="false">Sens!$H$4014</f>
        <v>60.1658907497746</v>
      </c>
      <c r="I4039" s="38" t="n">
        <f aca="false">Sens!$I$4014</f>
        <v>101.503699136432</v>
      </c>
      <c r="J4039" s="38" t="n">
        <f aca="false">Sens!$J$4014</f>
        <v>143.025407151278</v>
      </c>
      <c r="K4039" s="38" t="n">
        <f aca="false">Sens!$K$4014</f>
        <v>184.608415042187</v>
      </c>
      <c r="L4039" s="38" t="n">
        <f aca="false">Sens!$L$4014</f>
        <v>226.219286513125</v>
      </c>
      <c r="M4039" s="38" t="n">
        <f aca="false">Sens!$M$4014</f>
        <v>267.845161450232</v>
      </c>
      <c r="N4039" s="38" t="n">
        <f aca="false">Sens!$N$4014</f>
        <v>3.04631953102791</v>
      </c>
      <c r="O4039" s="38" t="n">
        <f aca="false">Sens!$O$4014</f>
        <v>5.65745055762326</v>
      </c>
    </row>
    <row r="4040" customFormat="false" ht="17.15" hidden="false" customHeight="false" outlineLevel="0" collapsed="false">
      <c r="A4040" s="0" t="s">
        <v>645</v>
      </c>
      <c r="B4040" s="0" t="s">
        <v>73</v>
      </c>
      <c r="C4040" s="38" t="n">
        <f aca="false">Sens!$C$4015</f>
        <v>105.234994643026</v>
      </c>
      <c r="D4040" s="38" t="n">
        <f aca="false">Sens!$D$4015</f>
        <v>120.021229911349</v>
      </c>
      <c r="E4040" s="38" t="n">
        <f aca="false">Sens!$E$4015</f>
        <v>71.30864702443</v>
      </c>
      <c r="F4040" s="38" t="n">
        <f aca="false">Sens!$F$4015</f>
        <v>78.5950104186653</v>
      </c>
      <c r="G4040" s="38" t="n">
        <f aca="false">Sens!$G$4015</f>
        <v>149.903657443095</v>
      </c>
      <c r="H4040" s="38" t="n">
        <f aca="false">Sens!$H$4015</f>
        <v>180.893560768142</v>
      </c>
      <c r="I4040" s="38" t="n">
        <f aca="false">Sens!$I$4015</f>
        <v>210.64839721501</v>
      </c>
      <c r="J4040" s="38" t="n">
        <f aca="false">Sens!$J$4015</f>
        <v>236.398909446495</v>
      </c>
      <c r="K4040" s="38" t="n">
        <f aca="false">Sens!$K$4015</f>
        <v>255.310822202215</v>
      </c>
      <c r="L4040" s="38" t="n">
        <f aca="false">Sens!$L$4015</f>
        <v>275.735687978392</v>
      </c>
      <c r="M4040" s="38" t="n">
        <f aca="false">Sens!$M$4015</f>
        <v>297.794543016663</v>
      </c>
      <c r="N4040" s="38" t="n">
        <f aca="false">Sens!$N$4015</f>
        <v>57.0936804689721</v>
      </c>
      <c r="O4040" s="38" t="n">
        <f aca="false">Sens!$O$4015</f>
        <v>62.9275494423768</v>
      </c>
    </row>
    <row r="4041" customFormat="false" ht="15" hidden="false" customHeight="false" outlineLevel="0" collapsed="false">
      <c r="A4041" s="3" t="s">
        <v>477</v>
      </c>
      <c r="B4041" s="8" t="s">
        <v>73</v>
      </c>
      <c r="C4041" s="38" t="n">
        <f aca="false">Sens!$C$4017</f>
        <v>637.959</v>
      </c>
      <c r="D4041" s="38" t="n">
        <f aca="false">Sens!$D$4017</f>
        <v>716.924</v>
      </c>
      <c r="E4041" s="38" t="n">
        <f aca="false">Sens!$E$4017</f>
        <v>382.125</v>
      </c>
      <c r="F4041" s="38" t="n">
        <f aca="false">Sens!$F$4017</f>
        <v>450.494873271816</v>
      </c>
      <c r="G4041" s="38" t="n">
        <f aca="false">Sens!$G$4017</f>
        <v>832.619873271816</v>
      </c>
      <c r="H4041" s="38" t="n">
        <f aca="false">Sens!$H$4017</f>
        <v>970.995189139617</v>
      </c>
      <c r="I4041" s="38" t="n">
        <f aca="false">Sens!$I$4017</f>
        <v>1110.44766604932</v>
      </c>
      <c r="J4041" s="38" t="n">
        <f aca="false">Sens!$J$4017</f>
        <v>1241.16113892356</v>
      </c>
      <c r="K4041" s="38" t="n">
        <f aca="false">Sens!$K$4017</f>
        <v>1357.47672934633</v>
      </c>
      <c r="L4041" s="38" t="n">
        <f aca="false">Sens!$L$4017</f>
        <v>1479.24006423468</v>
      </c>
      <c r="M4041" s="38" t="n">
        <f aca="false">Sens!$M$4017</f>
        <v>1606.8537230104</v>
      </c>
      <c r="N4041" s="38" t="n">
        <f aca="false">Sens!$N$4017</f>
        <v>323.369</v>
      </c>
      <c r="O4041" s="38" t="n">
        <f aca="false">Sens!$O$4017</f>
        <v>393.555</v>
      </c>
    </row>
    <row r="4042" customFormat="false" ht="17.15" hidden="false" customHeight="false" outlineLevel="0" collapsed="false">
      <c r="A4042" s="24" t="s">
        <v>655</v>
      </c>
      <c r="B4042" s="25" t="s">
        <v>73</v>
      </c>
      <c r="C4042" s="39" t="n">
        <f aca="false">Sens!$C$4029+Sens!$C$4030+Sens!$C$4031+Sens!$C$4032+Sens!$C$4033+Sens!$C$4034-(Sens!$C$4036+Sens!$C$4037)</f>
        <v>0</v>
      </c>
      <c r="D4042" s="39" t="n">
        <f aca="false">Sens!$D$4029+Sens!$D$4030+Sens!$D$4031+Sens!$D$4032+Sens!$D$4033+Sens!$D$4034-(Sens!$D$4036+Sens!$D$4037)</f>
        <v>0</v>
      </c>
      <c r="E4042" s="39" t="n">
        <f aca="false">Sens!$E$4029+Sens!$E$4030+Sens!$E$4031+Sens!$E$4032+Sens!$E$4033+Sens!$E$4034-(Sens!$E$4036+Sens!$E$4037)</f>
        <v>0</v>
      </c>
      <c r="F4042" s="39" t="n">
        <f aca="false">Sens!$F$4029+Sens!$F$4030+Sens!$F$4031+Sens!$F$4032+Sens!$F$4033+Sens!$F$4034-(Sens!$F$4036+Sens!$F$4037)</f>
        <v>0</v>
      </c>
      <c r="G4042" s="39" t="n">
        <f aca="false">Sens!$G$4029+Sens!$G$4030+Sens!$G$4031+Sens!$G$4032+Sens!$G$4033+Sens!$G$4034-(Sens!$G$4036+Sens!$G$4037)</f>
        <v>0</v>
      </c>
      <c r="H4042" s="39" t="n">
        <f aca="false">Sens!$H$4029+Sens!$H$4030+Sens!$H$4031+Sens!$H$4032+Sens!$H$4033+Sens!$H$4034-(Sens!$H$4036+Sens!$H$4037)</f>
        <v>0</v>
      </c>
      <c r="I4042" s="39" t="n">
        <f aca="false">Sens!$I$4029+Sens!$I$4030+Sens!$I$4031+Sens!$I$4032+Sens!$I$4033+Sens!$I$4034-(Sens!$I$4036+Sens!$I$4037)</f>
        <v>0</v>
      </c>
      <c r="J4042" s="39" t="n">
        <f aca="false">Sens!$J$4029+Sens!$J$4030+Sens!$J$4031+Sens!$J$4032+Sens!$J$4033+Sens!$J$4034-(Sens!$J$4036+Sens!$J$4037)</f>
        <v>0</v>
      </c>
      <c r="K4042" s="39" t="n">
        <f aca="false">Sens!$K$4029+Sens!$K$4030+Sens!$K$4031+Sens!$K$4032+Sens!$K$4033+Sens!$K$4034-(Sens!$K$4036+Sens!$K$4037)</f>
        <v>0</v>
      </c>
      <c r="L4042" s="39" t="n">
        <f aca="false">Sens!$L$4029+Sens!$L$4030+Sens!$L$4031+Sens!$L$4032+Sens!$L$4033+Sens!$L$4034-(Sens!$L$4036+Sens!$L$4037)</f>
        <v>0</v>
      </c>
      <c r="M4042" s="39" t="n">
        <f aca="false">Sens!$M$4029+Sens!$M$4030+Sens!$M$4031+Sens!$M$4032+Sens!$M$4033+Sens!$M$4034-(Sens!$M$4036+Sens!$M$4037)</f>
        <v>0</v>
      </c>
      <c r="N4042" s="39" t="n">
        <f aca="false">Sens!$N$4029+Sens!$N$4030+Sens!$N$4031+Sens!$N$4032+Sens!$N$4033+Sens!$N$4034-(Sens!$N$4036+Sens!$N$4037)</f>
        <v>0</v>
      </c>
      <c r="O4042" s="39" t="n">
        <f aca="false">Sens!$O$4029+Sens!$O$4030+Sens!$O$4031+Sens!$O$4032+Sens!$O$4033+Sens!$O$4034-(Sens!$O$4036+Sens!$O$4037)</f>
        <v>0</v>
      </c>
    </row>
    <row r="4043" customFormat="false" ht="17.15" hidden="false" customHeight="false" outlineLevel="0" collapsed="false">
      <c r="A4043" s="24" t="s">
        <v>656</v>
      </c>
      <c r="B4043" s="25" t="s">
        <v>73</v>
      </c>
      <c r="C4043" s="39" t="n">
        <f aca="false">Sens!$C$4039+Sens!$C$4040-Sens!$C$4038</f>
        <v>0</v>
      </c>
      <c r="D4043" s="39" t="n">
        <f aca="false">Sens!$D$4039+Sens!$D$4040-Sens!$D$4038</f>
        <v>0</v>
      </c>
      <c r="E4043" s="39" t="n">
        <f aca="false">Sens!$E$4039+Sens!$E$4040-Sens!$E$4038</f>
        <v>0</v>
      </c>
      <c r="F4043" s="39" t="n">
        <f aca="false">Sens!$F$4039+Sens!$F$4040-Sens!$F$4038</f>
        <v>0</v>
      </c>
      <c r="G4043" s="39" t="n">
        <f aca="false">Sens!$G$4039+Sens!$G$4040-Sens!$G$4038</f>
        <v>0</v>
      </c>
      <c r="H4043" s="39" t="n">
        <f aca="false">Sens!$H$4039+Sens!$H$4040-Sens!$H$4038</f>
        <v>0</v>
      </c>
      <c r="I4043" s="39" t="n">
        <f aca="false">Sens!$I$4039+Sens!$I$4040-Sens!$I$4038</f>
        <v>0</v>
      </c>
      <c r="J4043" s="39" t="n">
        <f aca="false">Sens!$J$4039+Sens!$J$4040-Sens!$J$4038</f>
        <v>0</v>
      </c>
      <c r="K4043" s="39" t="n">
        <f aca="false">Sens!$K$4039+Sens!$K$4040-Sens!$K$4038</f>
        <v>0</v>
      </c>
      <c r="L4043" s="39" t="n">
        <f aca="false">Sens!$L$4039+Sens!$L$4040-Sens!$L$4038</f>
        <v>0</v>
      </c>
      <c r="M4043" s="39" t="n">
        <f aca="false">Sens!$M$4039+Sens!$M$4040-Sens!$M$4038</f>
        <v>0</v>
      </c>
      <c r="N4043" s="39" t="n">
        <f aca="false">Sens!$N$4039+Sens!$N$4040-Sens!$N$4038</f>
        <v>0</v>
      </c>
      <c r="O4043" s="39" t="n">
        <f aca="false">Sens!$O$4039+Sens!$O$4040-Sens!$O$4038</f>
        <v>0</v>
      </c>
    </row>
    <row r="4044" customFormat="false" ht="17.15" hidden="false" customHeight="false" outlineLevel="0" collapsed="false">
      <c r="A4044" s="24" t="s">
        <v>710</v>
      </c>
      <c r="B4044" s="25" t="s">
        <v>73</v>
      </c>
      <c r="C4044" s="39" t="n">
        <f aca="false">Sens!$C$4029+Sens!$C$4030+Sens!$C$4031+Sens!$C$4032+Sens!$C$4033+Sens!$C$4034+Sens!$C$4035-Sens!$C$4041</f>
        <v>0</v>
      </c>
      <c r="D4044" s="39" t="n">
        <f aca="false">Sens!$D$4029+Sens!$D$4030+Sens!$D$4031+Sens!$D$4032+Sens!$D$4033+Sens!$D$4034+Sens!$D$4035-Sens!$D$4041</f>
        <v>0</v>
      </c>
      <c r="E4044" s="39" t="n">
        <f aca="false">Sens!$E$4029+Sens!$E$4030+Sens!$E$4031+Sens!$E$4032+Sens!$E$4033+Sens!$E$4034+Sens!$E$4035-Sens!$E$4041</f>
        <v>0</v>
      </c>
      <c r="F4044" s="39" t="n">
        <f aca="false">Sens!$F$4029+Sens!$F$4030+Sens!$F$4031+Sens!$F$4032+Sens!$F$4033+Sens!$F$4034+Sens!$F$4035-Sens!$F$4041</f>
        <v>0</v>
      </c>
      <c r="G4044" s="39" t="n">
        <f aca="false">Sens!$G$4029+Sens!$G$4030+Sens!$G$4031+Sens!$G$4032+Sens!$G$4033+Sens!$G$4034+Sens!$G$4035-Sens!$G$4041</f>
        <v>0</v>
      </c>
      <c r="H4044" s="39" t="n">
        <f aca="false">Sens!$H$4029+Sens!$H$4030+Sens!$H$4031+Sens!$H$4032+Sens!$H$4033+Sens!$H$4034+Sens!$H$4035-Sens!$H$4041</f>
        <v>0</v>
      </c>
      <c r="I4044" s="39" t="n">
        <f aca="false">Sens!$I$4029+Sens!$I$4030+Sens!$I$4031+Sens!$I$4032+Sens!$I$4033+Sens!$I$4034+Sens!$I$4035-Sens!$I$4041</f>
        <v>0</v>
      </c>
      <c r="J4044" s="39" t="n">
        <f aca="false">Sens!$J$4029+Sens!$J$4030+Sens!$J$4031+Sens!$J$4032+Sens!$J$4033+Sens!$J$4034+Sens!$J$4035-Sens!$J$4041</f>
        <v>0</v>
      </c>
      <c r="K4044" s="39" t="n">
        <f aca="false">Sens!$K$4029+Sens!$K$4030+Sens!$K$4031+Sens!$K$4032+Sens!$K$4033+Sens!$K$4034+Sens!$K$4035-Sens!$K$4041</f>
        <v>0</v>
      </c>
      <c r="L4044" s="39" t="n">
        <f aca="false">Sens!$L$4029+Sens!$L$4030+Sens!$L$4031+Sens!$L$4032+Sens!$L$4033+Sens!$L$4034+Sens!$L$4035-Sens!$L$4041</f>
        <v>0</v>
      </c>
      <c r="M4044" s="39" t="n">
        <f aca="false">Sens!$M$4029+Sens!$M$4030+Sens!$M$4031+Sens!$M$4032+Sens!$M$4033+Sens!$M$4034+Sens!$M$4035-Sens!$M$4041</f>
        <v>0</v>
      </c>
      <c r="N4044" s="39" t="n">
        <f aca="false">Sens!$N$4029+Sens!$N$4030+Sens!$N$4031+Sens!$N$4032+Sens!$N$4033+Sens!$N$4034+Sens!$N$4035-Sens!$N$4041</f>
        <v>0</v>
      </c>
      <c r="O4044" s="39" t="n">
        <f aca="false">Sens!$O$4029+Sens!$O$4030+Sens!$O$4031+Sens!$O$4032+Sens!$O$4033+Sens!$O$4034+Sens!$O$4035-Sens!$O$4041</f>
        <v>0</v>
      </c>
    </row>
    <row r="4045" customFormat="false" ht="17.15" hidden="false" customHeight="false" outlineLevel="0" collapsed="false">
      <c r="A4045" s="24" t="s">
        <v>657</v>
      </c>
      <c r="B4045" s="25" t="s">
        <v>73</v>
      </c>
      <c r="C4045" s="39" t="n">
        <f aca="false">Sens!$C$4036+Sens!$C$4037+Sens!$C$4038-Sens!$C$4041</f>
        <v>0</v>
      </c>
      <c r="D4045" s="39" t="n">
        <f aca="false">Sens!$D$4036+Sens!$D$4037+Sens!$D$4038-Sens!$D$4041</f>
        <v>0</v>
      </c>
      <c r="E4045" s="39" t="n">
        <f aca="false">Sens!$E$4036+Sens!$E$4037+Sens!$E$4038-Sens!$E$4041</f>
        <v>0</v>
      </c>
      <c r="F4045" s="39" t="n">
        <f aca="false">Sens!$F$4036+Sens!$F$4037+Sens!$F$4038-Sens!$F$4041</f>
        <v>0</v>
      </c>
      <c r="G4045" s="39" t="n">
        <f aca="false">Sens!$G$4036+Sens!$G$4037+Sens!$G$4038-Sens!$G$4041</f>
        <v>0</v>
      </c>
      <c r="H4045" s="39" t="n">
        <f aca="false">Sens!$H$4036+Sens!$H$4037+Sens!$H$4038-Sens!$H$4041</f>
        <v>0</v>
      </c>
      <c r="I4045" s="39" t="n">
        <f aca="false">Sens!$I$4036+Sens!$I$4037+Sens!$I$4038-Sens!$I$4041</f>
        <v>0</v>
      </c>
      <c r="J4045" s="39" t="n">
        <f aca="false">Sens!$J$4036+Sens!$J$4037+Sens!$J$4038-Sens!$J$4041</f>
        <v>0</v>
      </c>
      <c r="K4045" s="39" t="n">
        <f aca="false">Sens!$K$4036+Sens!$K$4037+Sens!$K$4038-Sens!$K$4041</f>
        <v>0</v>
      </c>
      <c r="L4045" s="39" t="n">
        <f aca="false">Sens!$L$4036+Sens!$L$4037+Sens!$L$4038-Sens!$L$4041</f>
        <v>0</v>
      </c>
      <c r="M4045" s="39" t="n">
        <f aca="false">Sens!$M$4036+Sens!$M$4037+Sens!$M$4038-Sens!$M$4041</f>
        <v>0</v>
      </c>
      <c r="N4045" s="39" t="n">
        <f aca="false">Sens!$N$4036+Sens!$N$4037+Sens!$N$4038-Sens!$N$4041</f>
        <v>0</v>
      </c>
      <c r="O4045" s="39" t="n">
        <f aca="false">Sens!$O$4036+Sens!$O$4037+Sens!$O$4038-Sens!$O$4041</f>
        <v>0</v>
      </c>
    </row>
    <row r="4046" customFormat="false" ht="17.15" hidden="false" customHeight="false" outlineLevel="0" collapsed="false">
      <c r="A4046" s="1" t="s">
        <v>671</v>
      </c>
    </row>
    <row r="4047" customFormat="false" ht="17.15" hidden="false" customHeight="false" outlineLevel="0" collapsed="false">
      <c r="A4047" s="0" t="s">
        <v>672</v>
      </c>
      <c r="B4047" s="0" t="s">
        <v>73</v>
      </c>
      <c r="C4047" s="38" t="n">
        <f aca="false">Sens!$C$3955*m_ad</f>
        <v>20.5341564414228</v>
      </c>
      <c r="D4047" s="38" t="n">
        <f aca="false">Sens!$D$3955*m_ad</f>
        <v>24.8720617299587</v>
      </c>
      <c r="E4047" s="38" t="n">
        <f aca="false">Sens!$E$3955*m_ad</f>
        <v>13.5017112462207</v>
      </c>
      <c r="F4047" s="38" t="n">
        <f aca="false">Sens!$F$3955*m_ad</f>
        <v>17.2886442824599</v>
      </c>
      <c r="G4047" s="38" t="n">
        <f aca="false">Sens!$G$3955*m_ad</f>
        <v>30.8011958765886</v>
      </c>
      <c r="H4047" s="38" t="n">
        <f aca="false">Sens!$H$3955*m_ad</f>
        <v>36.978409366026</v>
      </c>
      <c r="I4047" s="38" t="n">
        <f aca="false">Sens!$I$3955*m_ad</f>
        <v>43.155063281273</v>
      </c>
      <c r="J4047" s="38" t="n">
        <f aca="false">Sens!$J$3955*m_ad</f>
        <v>48.9169991988532</v>
      </c>
      <c r="K4047" s="38" t="n">
        <f aca="false">Sens!$K$3955*m_ad</f>
        <v>53.8086991187386</v>
      </c>
      <c r="L4047" s="38" t="n">
        <f aca="false">Sens!$L$3955*m_ad</f>
        <v>59.1895690306124</v>
      </c>
      <c r="M4047" s="38" t="n">
        <f aca="false">Sens!$M$3955*m_ad</f>
        <v>65.1085259336737</v>
      </c>
      <c r="N4047" s="38" t="n">
        <f aca="false">Sens!$N$3955*m_ad</f>
        <v>10.8543555706248</v>
      </c>
      <c r="O4047" s="38" t="n">
        <f aca="false">Sens!$O$3955*m_ad</f>
        <v>14.0094731821399</v>
      </c>
    </row>
    <row r="4048" customFormat="false" ht="17.15" hidden="false" customHeight="false" outlineLevel="0" collapsed="false">
      <c r="A4048" s="0" t="s">
        <v>673</v>
      </c>
      <c r="B4048" s="0" t="s">
        <v>73</v>
      </c>
      <c r="C4048" s="38" t="n">
        <f aca="false">Sens!$C$3953-Sens!$C$3955</f>
        <v>346.428687117154</v>
      </c>
      <c r="D4048" s="38" t="n">
        <f aca="false">Sens!$D$3953-Sens!$D$3955</f>
        <v>376.560876540083</v>
      </c>
      <c r="E4048" s="38" t="n">
        <f aca="false">Sens!$E$3953-Sens!$E$3955</f>
        <v>193.316577507559</v>
      </c>
      <c r="F4048" s="38" t="n">
        <f aca="false">Sens!$F$3953-Sens!$F$3955</f>
        <v>221.726726438887</v>
      </c>
      <c r="G4048" s="38" t="n">
        <f aca="false">Sens!$G$3953-Sens!$G$3955</f>
        <v>415.02162325063</v>
      </c>
      <c r="H4048" s="38" t="n">
        <f aca="false">Sens!$H$3953-Sens!$H$3955</f>
        <v>453.777572359491</v>
      </c>
      <c r="I4048" s="38" t="n">
        <f aca="false">Sens!$I$3953-Sens!$I$3955</f>
        <v>490.847566467031</v>
      </c>
      <c r="J4048" s="38" t="n">
        <f aca="false">Sens!$J$3953-Sens!$J$3955</f>
        <v>525.190925266121</v>
      </c>
      <c r="K4048" s="38" t="n">
        <f aca="false">Sens!$K$3953-Sens!$K$3955</f>
        <v>555.765170156304</v>
      </c>
      <c r="L4048" s="38" t="n">
        <f aca="false">Sens!$L$3953-Sens!$L$3955</f>
        <v>588.185734949207</v>
      </c>
      <c r="M4048" s="38" t="n">
        <f aca="false">Sens!$M$3953-Sens!$M$3955</f>
        <v>622.567635538672</v>
      </c>
      <c r="N4048" s="38" t="n">
        <f aca="false">Sens!$N$3953-Sens!$N$3955</f>
        <v>171.24628885875</v>
      </c>
      <c r="O4048" s="38" t="n">
        <f aca="false">Sens!$O$3953-Sens!$O$3955</f>
        <v>205.33105363572</v>
      </c>
    </row>
    <row r="4049" customFormat="false" ht="17.15" hidden="false" customHeight="false" outlineLevel="0" collapsed="false">
      <c r="A4049" s="0" t="s">
        <v>674</v>
      </c>
      <c r="B4049" s="0" t="s">
        <v>73</v>
      </c>
      <c r="C4049" s="38" t="n">
        <f aca="false">Sens!$C$4000*Sens!$C$3952</f>
        <v>0.123617442257179</v>
      </c>
      <c r="D4049" s="38" t="n">
        <f aca="false">Sens!$D$4000*Sens!$D$3952</f>
        <v>0.874366899302609</v>
      </c>
      <c r="E4049" s="38" t="n">
        <f aca="false">Sens!$E$4000*Sens!$E$3952</f>
        <v>1.29318830502574</v>
      </c>
      <c r="F4049" s="38" t="n">
        <f aca="false">Sens!$F$4000*Sens!$F$3952</f>
        <v>1.51802024162534</v>
      </c>
      <c r="G4049" s="38" t="n">
        <f aca="false">Sens!$G$4000*Sens!$G$3952</f>
        <v>2.81130189308167</v>
      </c>
      <c r="H4049" s="38" t="n">
        <f aca="false">Sens!$H$4000*Sens!$H$3952</f>
        <v>7.38966789318209</v>
      </c>
      <c r="I4049" s="38" t="n">
        <f aca="false">Sens!$I$4000*Sens!$I$3952</f>
        <v>12.8987443661473</v>
      </c>
      <c r="J4049" s="38" t="n">
        <f aca="false">Sens!$J$4000*Sens!$J$3952</f>
        <v>18.5570025453645</v>
      </c>
      <c r="K4049" s="38" t="n">
        <f aca="false">Sens!$K$4000*Sens!$K$3952</f>
        <v>24.3158972773405</v>
      </c>
      <c r="L4049" s="38" t="n">
        <f aca="false">Sens!$L$4000*Sens!$L$3952</f>
        <v>29.7827375558674</v>
      </c>
      <c r="M4049" s="38" t="n">
        <f aca="false">Sens!$M$4000*Sens!$M$3952</f>
        <v>35.3532344973194</v>
      </c>
      <c r="N4049" s="38" t="n">
        <f aca="false">Sens!$N$4000*Sens!$N$3952</f>
        <v>0.389180508437431</v>
      </c>
      <c r="O4049" s="38" t="n">
        <f aca="false">Sens!$O$4000*Sens!$O$3952</f>
        <v>0.485052120082802</v>
      </c>
    </row>
    <row r="4050" customFormat="false" ht="17.15" hidden="false" customHeight="false" outlineLevel="0" collapsed="false">
      <c r="A4050" s="0" t="s">
        <v>675</v>
      </c>
      <c r="B4050" s="0" t="s">
        <v>52</v>
      </c>
      <c r="C4050" s="28" t="n">
        <f aca="false">(Sens!$C$4051-Sens!$C$4047+Sens!$C$4049)/Sens!$C$4048</f>
        <v>0.0131526665379575</v>
      </c>
      <c r="D4050" s="28" t="n">
        <f aca="false">(Sens!$D$4051-Sens!$D$4047+Sens!$D$4049)/Sens!$D$4048</f>
        <v>0.0149280116962589</v>
      </c>
      <c r="E4050" s="28" t="n">
        <f aca="false">(Sens!$E$4051-Sens!$E$4047+Sens!$E$4049)/Sens!$E$4048</f>
        <v>0.0268030663774938</v>
      </c>
      <c r="F4050" s="28" t="n">
        <f aca="false">Sens!$O$4050+(Sens!$E$4050-Sens!$N$4050)</f>
        <v>0.0232379346966962</v>
      </c>
      <c r="G4050" s="28" t="n">
        <f aca="false">(Sens!$G$4051-Sens!$G$4047+Sens!$G$4049)/Sens!$G$4048</f>
        <v>0.0248738876928168</v>
      </c>
      <c r="H4050" s="28" t="n">
        <f aca="false">Sens!$G$4050+step_na_lo</f>
        <v>0.0248738876928168</v>
      </c>
      <c r="I4050" s="28" t="n">
        <f aca="false">Sens!$H$4050+step_na_lo</f>
        <v>0.0248738876928168</v>
      </c>
      <c r="J4050" s="28" t="n">
        <f aca="false">Sens!$I$4050+step_na_lo</f>
        <v>0.0248738876928168</v>
      </c>
      <c r="K4050" s="28" t="n">
        <f aca="false">Sens!$J$4050+step_na_lo</f>
        <v>0.0248738876928168</v>
      </c>
      <c r="L4050" s="28" t="n">
        <f aca="false">Sens!$K$4050</f>
        <v>0.0248738876928168</v>
      </c>
      <c r="M4050" s="28" t="n">
        <f aca="false">Sens!$L$4050</f>
        <v>0.0248738876928168</v>
      </c>
      <c r="N4050" s="28" t="n">
        <f aca="false">(Sens!$N$4051-Sens!$N$4047+Sens!$N$4049)/Sens!$N$4048</f>
        <v>0.0168927744775755</v>
      </c>
      <c r="O4050" s="28" t="n">
        <f aca="false">(Sens!$O$4051-Sens!$O$4047+Sens!$O$4049)/Sens!$O$4048</f>
        <v>0.0133276427967779</v>
      </c>
      <c r="P4050" s="8" t="s">
        <v>676</v>
      </c>
    </row>
    <row r="4051" customFormat="false" ht="17.15" hidden="false" customHeight="false" outlineLevel="0" collapsed="false">
      <c r="A4051" s="1" t="s">
        <v>677</v>
      </c>
      <c r="B4051" s="8" t="s">
        <v>73</v>
      </c>
      <c r="C4051" s="38" t="n">
        <f aca="false">Q!$D$22</f>
        <v>24.967</v>
      </c>
      <c r="D4051" s="38" t="n">
        <f aca="false">Q!$E$22</f>
        <v>29.619</v>
      </c>
      <c r="E4051" s="38" t="n">
        <f aca="false">Q!$P$22</f>
        <v>17.39</v>
      </c>
      <c r="F4051" s="38" t="n">
        <f aca="false">Sens!$F$4047+Sens!$F$4048*Sens!$F$4050-Sens!$F$4049</f>
        <v>20.9230952303336</v>
      </c>
      <c r="G4051" s="38" t="n">
        <f aca="false">Sens!$E$4051+Sens!$F$4051</f>
        <v>38.3130952303336</v>
      </c>
      <c r="H4051" s="38" t="n">
        <f aca="false">Sens!$H$4047+Sens!$H$4048*Sens!$H$4050-Sens!$H$4049</f>
        <v>40.8759538452329</v>
      </c>
      <c r="I4051" s="38" t="n">
        <f aca="false">Sens!$I$4047+Sens!$I$4048*Sens!$I$4050-Sens!$I$4049</f>
        <v>42.4656061577191</v>
      </c>
      <c r="J4051" s="38" t="n">
        <f aca="false">Sens!$J$4047+Sens!$J$4048*Sens!$J$4050-Sens!$J$4049</f>
        <v>43.4235367458448</v>
      </c>
      <c r="K4051" s="38" t="n">
        <f aca="false">Sens!$K$4047+Sens!$K$4048*Sens!$K$4050-Sens!$K$4049</f>
        <v>43.3168422674452</v>
      </c>
      <c r="L4051" s="38" t="n">
        <f aca="false">Sens!$L$4047+Sens!$L$4048*Sens!$L$4050-Sens!$L$4049</f>
        <v>44.0372973883885</v>
      </c>
      <c r="M4051" s="38" t="n">
        <f aca="false">Sens!$M$4047+Sens!$M$4048*Sens!$M$4050-Sens!$M$4049</f>
        <v>45.2409688839257</v>
      </c>
      <c r="N4051" s="38" t="n">
        <f aca="false">Q!$N$22</f>
        <v>13.358</v>
      </c>
      <c r="O4051" s="38" t="n">
        <f aca="false">Q!$O$22</f>
        <v>16.261</v>
      </c>
    </row>
    <row r="4052" customFormat="false" ht="17.15" hidden="false" customHeight="false" outlineLevel="0" collapsed="false">
      <c r="A4052" s="0" t="s">
        <v>678</v>
      </c>
      <c r="B4052" s="0" t="s">
        <v>73</v>
      </c>
      <c r="C4052" s="38" t="n">
        <f aca="false">Sens!$C$3956*m_ad</f>
        <v>7.57284355857716</v>
      </c>
      <c r="D4052" s="38" t="n">
        <f aca="false">Sens!$D$3956*m_ad</f>
        <v>9.44543827004127</v>
      </c>
      <c r="E4052" s="38" t="n">
        <f aca="false">Sens!$E$3956*m_ad</f>
        <v>5.02428875377928</v>
      </c>
      <c r="F4052" s="38" t="n">
        <f aca="false">Sens!$F$3956*m_ad</f>
        <v>6.78802480890925</v>
      </c>
      <c r="G4052" s="38" t="n">
        <f aca="false">Sens!$G$3956*m_ad</f>
        <v>11.8014732147805</v>
      </c>
      <c r="H4052" s="38" t="n">
        <f aca="false">Sens!$H$3956*m_ad</f>
        <v>14.1682715634442</v>
      </c>
      <c r="I4052" s="38" t="n">
        <f aca="false">Sens!$I$3956*m_ad</f>
        <v>16.5348555113474</v>
      </c>
      <c r="J4052" s="38" t="n">
        <f aca="false">Sens!$J$3956*m_ad</f>
        <v>18.7425403255689</v>
      </c>
      <c r="K4052" s="38" t="n">
        <f aca="false">Sens!$K$3956*m_ad</f>
        <v>20.6167943581258</v>
      </c>
      <c r="L4052" s="38" t="n">
        <f aca="false">Sens!$L$3956*m_ad</f>
        <v>22.6784737939383</v>
      </c>
      <c r="M4052" s="38" t="n">
        <f aca="false">Sens!$M$3956*m_ad</f>
        <v>24.9463211733322</v>
      </c>
      <c r="N4052" s="38" t="n">
        <f aca="false">Sens!$N$3956*m_ad</f>
        <v>3.95314442937518</v>
      </c>
      <c r="O4052" s="38" t="n">
        <f aca="false">Sens!$O$3956*m_ad</f>
        <v>5.50052681786011</v>
      </c>
    </row>
    <row r="4053" customFormat="false" ht="17.15" hidden="false" customHeight="false" outlineLevel="0" collapsed="false">
      <c r="A4053" s="0" t="s">
        <v>679</v>
      </c>
      <c r="B4053" s="0" t="s">
        <v>73</v>
      </c>
      <c r="C4053" s="38" t="n">
        <f aca="false">Sens!$C$3954-Sens!$C$3956</f>
        <v>127.760312882846</v>
      </c>
      <c r="D4053" s="38" t="n">
        <f aca="false">Sens!$D$3954-Sens!$D$3956</f>
        <v>143.003123459917</v>
      </c>
      <c r="E4053" s="38" t="n">
        <f aca="false">Sens!$E$3954-Sens!$E$3956</f>
        <v>71.9374224924414</v>
      </c>
      <c r="F4053" s="38" t="n">
        <f aca="false">Sens!$F$3954-Sens!$F$3956</f>
        <v>87.0563645868046</v>
      </c>
      <c r="G4053" s="38" t="n">
        <f aca="false">Sens!$G$3954-Sens!$G$3956</f>
        <v>159.015467775062</v>
      </c>
      <c r="H4053" s="38" t="n">
        <f aca="false">Sens!$H$3954-Sens!$H$3956</f>
        <v>173.864803403269</v>
      </c>
      <c r="I4053" s="38" t="n">
        <f aca="false">Sens!$I$3954-Sens!$I$3956</f>
        <v>188.068165645601</v>
      </c>
      <c r="J4053" s="38" t="n">
        <f aca="false">Sens!$J$3954-Sens!$J$3956</f>
        <v>201.22681801082</v>
      </c>
      <c r="K4053" s="38" t="n">
        <f aca="false">Sens!$K$3954-Sens!$K$3956</f>
        <v>212.941334991893</v>
      </c>
      <c r="L4053" s="38" t="n">
        <f aca="false">Sens!$L$3954-Sens!$L$3956</f>
        <v>225.363269144856</v>
      </c>
      <c r="M4053" s="38" t="n">
        <f aca="false">Sens!$M$3954-Sens!$M$3956</f>
        <v>238.536688790819</v>
      </c>
      <c r="N4053" s="38" t="n">
        <f aca="false">Sens!$N$3954-Sens!$N$3956</f>
        <v>62.3677111412496</v>
      </c>
      <c r="O4053" s="38" t="n">
        <f aca="false">Sens!$O$3954-Sens!$O$3956</f>
        <v>80.6189463642798</v>
      </c>
    </row>
    <row r="4054" customFormat="false" ht="17.15" hidden="false" customHeight="false" outlineLevel="0" collapsed="false">
      <c r="A4054" s="0" t="s">
        <v>680</v>
      </c>
      <c r="B4054" s="0" t="s">
        <v>73</v>
      </c>
      <c r="C4054" s="38" t="n">
        <f aca="false">Sens!$C$4000*(1-Sens!$C$3952)</f>
        <v>0.0455891896019953</v>
      </c>
      <c r="D4054" s="38" t="n">
        <f aca="false">Sens!$D$4000*(1-Sens!$D$3952)</f>
        <v>0.332050421167231</v>
      </c>
      <c r="E4054" s="38" t="n">
        <f aca="false">Sens!$E$4000*(1-Sens!$E$3952)</f>
        <v>0.481224293644882</v>
      </c>
      <c r="F4054" s="38" t="n">
        <f aca="false">Sens!$F$4000*(1-Sens!$F$3952)</f>
        <v>0.596018918096053</v>
      </c>
      <c r="G4054" s="38" t="n">
        <f aca="false">Sens!$G$4000*(1-Sens!$G$3952)</f>
        <v>1.07714986531035</v>
      </c>
      <c r="H4054" s="38" t="n">
        <f aca="false">Sens!$H$4000*(1-Sens!$H$3952)</f>
        <v>2.83135005721638</v>
      </c>
      <c r="I4054" s="38" t="n">
        <f aca="false">Sens!$I$4000*(1-Sens!$I$3952)</f>
        <v>4.9421518161602</v>
      </c>
      <c r="J4054" s="38" t="n">
        <f aca="false">Sens!$J$4000*(1-Sens!$J$3952)</f>
        <v>7.11011252170866</v>
      </c>
      <c r="K4054" s="38" t="n">
        <f aca="false">Sens!$K$4000*(1-Sens!$K$3952)</f>
        <v>9.31663210615807</v>
      </c>
      <c r="L4054" s="38" t="n">
        <f aca="false">Sens!$L$4000*(1-Sens!$L$3952)</f>
        <v>11.411251074039</v>
      </c>
      <c r="M4054" s="38" t="n">
        <f aca="false">Sens!$M$4000*(1-Sens!$M$3952)</f>
        <v>13.5455860755423</v>
      </c>
      <c r="N4054" s="38" t="n">
        <f aca="false">Sens!$N$4000*(1-Sens!$N$3952)</f>
        <v>0.141739115596548</v>
      </c>
      <c r="O4054" s="38" t="n">
        <f aca="false">Sens!$O$4000*(1-Sens!$O$3952)</f>
        <v>0.190445576353059</v>
      </c>
    </row>
    <row r="4055" customFormat="false" ht="17.15" hidden="false" customHeight="false" outlineLevel="0" collapsed="false">
      <c r="A4055" s="0" t="s">
        <v>681</v>
      </c>
      <c r="B4055" s="0" t="s">
        <v>52</v>
      </c>
      <c r="C4055" s="28" t="n">
        <f aca="false">(Sens!$C$4056-Sens!$C$4052+Sens!$C$4054)/Sens!$C$4053</f>
        <v>-0.0292364215826579</v>
      </c>
      <c r="D4055" s="28" t="n">
        <f aca="false">(Sens!$D$4056-Sens!$D$4052+Sens!$D$4054)/Sens!$D$4053</f>
        <v>-0.0305125352740778</v>
      </c>
      <c r="E4055" s="28" t="n">
        <f aca="false">(Sens!$E$4056-Sens!$E$4052+Sens!$E$4054)/Sens!$E$4053</f>
        <v>-0.019490056934994</v>
      </c>
      <c r="F4055" s="28" t="n">
        <f aca="false">Sens!$O$4055+(Sens!$E$4055-Sens!$N$4055)</f>
        <v>-0.0367332293992226</v>
      </c>
      <c r="G4055" s="28" t="n">
        <f aca="false">(Sens!$G$4056-Sens!$G$4052+Sens!$G$4054)/Sens!$G$4053</f>
        <v>-0.0288599526442178</v>
      </c>
      <c r="H4055" s="28" t="n">
        <f aca="false">Sens!$G$4055+step_in</f>
        <v>-0.0288599526442178</v>
      </c>
      <c r="I4055" s="28" t="n">
        <f aca="false">Sens!$H$4055+step_in</f>
        <v>-0.0288599526442178</v>
      </c>
      <c r="J4055" s="28" t="n">
        <f aca="false">Sens!$I$4055+step_in</f>
        <v>-0.0288599526442178</v>
      </c>
      <c r="K4055" s="28" t="n">
        <f aca="false">Sens!$J$4055+step_in</f>
        <v>-0.0288599526442178</v>
      </c>
      <c r="L4055" s="28" t="n">
        <f aca="false">Sens!$K$4055</f>
        <v>-0.0288599526442178</v>
      </c>
      <c r="M4055" s="28" t="n">
        <f aca="false">Sens!$L$4055</f>
        <v>-0.0288599526442178</v>
      </c>
      <c r="N4055" s="28" t="n">
        <f aca="false">(Sens!$N$4056-Sens!$N$4052+Sens!$N$4054)/Sens!$N$4053</f>
        <v>-0.02085061789158</v>
      </c>
      <c r="O4055" s="28" t="n">
        <f aca="false">(Sens!$O$4056-Sens!$O$4052+Sens!$O$4054)/Sens!$O$4053</f>
        <v>-0.0380937903558086</v>
      </c>
      <c r="P4055" s="8" t="s">
        <v>676</v>
      </c>
    </row>
    <row r="4056" customFormat="false" ht="17.15" hidden="false" customHeight="false" outlineLevel="0" collapsed="false">
      <c r="A4056" s="1" t="s">
        <v>682</v>
      </c>
      <c r="B4056" s="8" t="s">
        <v>73</v>
      </c>
      <c r="C4056" s="38" t="n">
        <f aca="false">Q!$D$23</f>
        <v>3.792</v>
      </c>
      <c r="D4056" s="38" t="n">
        <f aca="false">Q!$E$23</f>
        <v>4.75</v>
      </c>
      <c r="E4056" s="38" t="n">
        <f aca="false">Q!$P$23</f>
        <v>3.141</v>
      </c>
      <c r="F4056" s="38" t="n">
        <f aca="false">Sens!$F$4052+Sens!$F$4053*Sens!$F$4055-Sens!$F$4054</f>
        <v>2.99414447978375</v>
      </c>
      <c r="G4056" s="38" t="n">
        <f aca="false">Sens!$E$4056+Sens!$F$4056</f>
        <v>6.13514447978375</v>
      </c>
      <c r="H4056" s="38" t="n">
        <f aca="false">Sens!$H$4052+Sens!$H$4053*Sens!$H$4055-Sens!$H$4054</f>
        <v>6.31919151351322</v>
      </c>
      <c r="I4056" s="38" t="n">
        <f aca="false">Sens!$I$4052+Sens!$I$4053*Sens!$I$4055-Sens!$I$4054</f>
        <v>6.16506534077027</v>
      </c>
      <c r="J4056" s="38" t="n">
        <f aca="false">Sens!$J$4052+Sens!$J$4053*Sens!$J$4055-Sens!$J$4054</f>
        <v>5.8250313653213</v>
      </c>
      <c r="K4056" s="38" t="n">
        <f aca="false">Sens!$K$4052+Sens!$K$4053*Sens!$K$4055-Sens!$K$4054</f>
        <v>5.15468540810514</v>
      </c>
      <c r="L4056" s="38" t="n">
        <f aca="false">Sens!$L$4052+Sens!$L$4053*Sens!$L$4055-Sens!$L$4054</f>
        <v>4.76324944463266</v>
      </c>
      <c r="M4056" s="38" t="n">
        <f aca="false">Sens!$M$4052+Sens!$M$4053*Sens!$M$4055-Sens!$M$4054</f>
        <v>4.51657755537829</v>
      </c>
      <c r="N4056" s="38" t="n">
        <f aca="false">Q!$N$23</f>
        <v>2.511</v>
      </c>
      <c r="O4056" s="38" t="n">
        <f aca="false">Q!$O$23</f>
        <v>2.239</v>
      </c>
    </row>
    <row r="4057" customFormat="false" ht="17.15" hidden="false" customHeight="false" outlineLevel="0" collapsed="false">
      <c r="A4057" s="0" t="s">
        <v>683</v>
      </c>
      <c r="B4057" s="0" t="s">
        <v>73</v>
      </c>
      <c r="C4057" s="38" t="n">
        <f aca="false">Sens!$C$3997</f>
        <v>1.64417882953695</v>
      </c>
      <c r="D4057" s="38" t="n">
        <f aca="false">Sens!$D$3997</f>
        <v>3.8781008067718</v>
      </c>
      <c r="E4057" s="38" t="n">
        <f aca="false">Sens!$E$3997</f>
        <v>1.41270258088753</v>
      </c>
      <c r="F4057" s="38" t="n">
        <f aca="false">Sens!$F$3997</f>
        <v>6.50727700583486</v>
      </c>
      <c r="G4057" s="38" t="n">
        <f aca="false">Sens!$G$3997</f>
        <v>7.9199795867224</v>
      </c>
      <c r="H4057" s="38" t="n">
        <f aca="false">Sens!$H$3997</f>
        <v>19.2818189481807</v>
      </c>
      <c r="I4057" s="38" t="n">
        <f aca="false">Sens!$I$3997</f>
        <v>30.140114407202</v>
      </c>
      <c r="J4057" s="38" t="n">
        <f aca="false">Sens!$J$3997</f>
        <v>40.3569468829854</v>
      </c>
      <c r="K4057" s="38" t="n">
        <f aca="false">Sens!$K$3997</f>
        <v>50.0782975081929</v>
      </c>
      <c r="L4057" s="38" t="n">
        <f aca="false">Sens!$L$3997</f>
        <v>61.443331993499</v>
      </c>
      <c r="M4057" s="38" t="n">
        <f aca="false">Sens!$M$3997</f>
        <v>72.2498791587849</v>
      </c>
      <c r="N4057" s="38" t="n">
        <f aca="false">Sens!$N$3997</f>
        <v>0.92264103489199</v>
      </c>
      <c r="O4057" s="38" t="n">
        <f aca="false">Sens!$O$3997</f>
        <v>2.95545977187981</v>
      </c>
    </row>
    <row r="4058" customFormat="false" ht="17.15" hidden="false" customHeight="false" outlineLevel="0" collapsed="false">
      <c r="A4058" s="0" t="s">
        <v>603</v>
      </c>
      <c r="B4058" s="0" t="s">
        <v>73</v>
      </c>
      <c r="C4058" s="38" t="n">
        <f aca="false">Sens!$C$4002</f>
        <v>38.1898211704631</v>
      </c>
      <c r="D4058" s="38" t="n">
        <f aca="false">Sens!$D$4002</f>
        <v>41.7278991932282</v>
      </c>
      <c r="E4058" s="38" t="n">
        <f aca="false">Sens!$E$4002</f>
        <v>29.3692974191125</v>
      </c>
      <c r="F4058" s="38" t="n">
        <f aca="false">Sens!$F$4002</f>
        <v>29.458060516894</v>
      </c>
      <c r="G4058" s="38" t="n">
        <f aca="false">Sens!$G$4002</f>
        <v>58.8273579360065</v>
      </c>
      <c r="H4058" s="38" t="n">
        <f aca="false">Sens!$H$4002</f>
        <v>67.8004040185081</v>
      </c>
      <c r="I4058" s="38" t="n">
        <f aca="false">Sens!$I$4002</f>
        <v>78.9527630302702</v>
      </c>
      <c r="J4058" s="38" t="n">
        <f aca="false">Sens!$J$4002</f>
        <v>88.6042681781841</v>
      </c>
      <c r="K4058" s="38" t="n">
        <f aca="false">Sens!$K$4002</f>
        <v>95.6926096324389</v>
      </c>
      <c r="L4058" s="38" t="n">
        <f aca="false">Sens!$L$4002</f>
        <v>103.348018403034</v>
      </c>
      <c r="M4058" s="38" t="n">
        <f aca="false">Sens!$M$4002</f>
        <v>111.615859875277</v>
      </c>
      <c r="N4058" s="38" t="n">
        <f aca="false">Sens!$N$4002</f>
        <v>20.784358965108</v>
      </c>
      <c r="O4058" s="38" t="n">
        <f aca="false">Sens!$O$4002</f>
        <v>20.9435402281202</v>
      </c>
    </row>
    <row r="4059" customFormat="false" ht="17.15" hidden="false" customHeight="false" outlineLevel="0" collapsed="false">
      <c r="A4059" s="1" t="s">
        <v>684</v>
      </c>
      <c r="B4059" s="8" t="s">
        <v>73</v>
      </c>
      <c r="C4059" s="38" t="n">
        <f aca="false">Q!$D$24</f>
        <v>39.834</v>
      </c>
      <c r="D4059" s="38" t="n">
        <f aca="false">Q!$E$24</f>
        <v>45.606</v>
      </c>
      <c r="E4059" s="38" t="n">
        <f aca="false">Q!$P$24</f>
        <v>30.782</v>
      </c>
      <c r="F4059" s="38" t="n">
        <f aca="false">Sens!$F$4057+Sens!$F$4058</f>
        <v>35.9653375227289</v>
      </c>
      <c r="G4059" s="38" t="n">
        <f aca="false">Sens!$G$4057+Sens!$G$4058</f>
        <v>66.7473375227289</v>
      </c>
      <c r="H4059" s="38" t="n">
        <f aca="false">Sens!$H$4057+Sens!$H$4058</f>
        <v>87.0822229666888</v>
      </c>
      <c r="I4059" s="38" t="n">
        <f aca="false">Sens!$I$4057+Sens!$I$4058</f>
        <v>109.092877437472</v>
      </c>
      <c r="J4059" s="38" t="n">
        <f aca="false">Sens!$J$4057+Sens!$J$4058</f>
        <v>128.96121506117</v>
      </c>
      <c r="K4059" s="38" t="n">
        <f aca="false">Sens!$K$4057+Sens!$K$4058</f>
        <v>145.770907140632</v>
      </c>
      <c r="L4059" s="38" t="n">
        <f aca="false">Sens!$L$4057+Sens!$L$4058</f>
        <v>164.791350396533</v>
      </c>
      <c r="M4059" s="38" t="n">
        <f aca="false">Sens!$M$4057+Sens!$M$4058</f>
        <v>183.865739034062</v>
      </c>
      <c r="N4059" s="38" t="n">
        <f aca="false">Q!$N$24</f>
        <v>21.707</v>
      </c>
      <c r="O4059" s="38" t="n">
        <f aca="false">Q!$O$24</f>
        <v>23.899</v>
      </c>
    </row>
    <row r="4060" customFormat="false" ht="17.15" hidden="false" customHeight="false" outlineLevel="0" collapsed="false">
      <c r="A4060" s="5" t="s">
        <v>685</v>
      </c>
      <c r="B4060" s="0" t="s">
        <v>73</v>
      </c>
      <c r="C4060" s="38" t="n">
        <f aca="false">Q!$D$26</f>
        <v>0</v>
      </c>
      <c r="D4060" s="38" t="n">
        <f aca="false">Q!$E$26</f>
        <v>0</v>
      </c>
      <c r="E4060" s="38" t="n">
        <f aca="false">Q!$P$26</f>
        <v>0</v>
      </c>
      <c r="F4060" s="41" t="n">
        <v>0</v>
      </c>
      <c r="G4060" s="38" t="n">
        <f aca="false">Sens!$E$4060+Sens!$F$4060</f>
        <v>0</v>
      </c>
      <c r="H4060" s="41" t="n">
        <v>0</v>
      </c>
      <c r="I4060" s="41" t="n">
        <v>0</v>
      </c>
      <c r="J4060" s="41" t="n">
        <v>0</v>
      </c>
      <c r="K4060" s="41" t="n">
        <v>0</v>
      </c>
      <c r="L4060" s="41" t="n">
        <v>0</v>
      </c>
      <c r="M4060" s="41" t="n">
        <v>0</v>
      </c>
      <c r="N4060" s="38" t="n">
        <f aca="false">Q!$N$26</f>
        <v>0</v>
      </c>
      <c r="O4060" s="38" t="n">
        <f aca="false">Q!$O$26</f>
        <v>0</v>
      </c>
    </row>
    <row r="4061" customFormat="false" ht="15" hidden="false" customHeight="false" outlineLevel="0" collapsed="false">
      <c r="A4061" s="3" t="s">
        <v>494</v>
      </c>
      <c r="B4061" s="8" t="s">
        <v>73</v>
      </c>
      <c r="C4061" s="38" t="n">
        <f aca="false">Q!$D$25</f>
        <v>68.593</v>
      </c>
      <c r="D4061" s="38" t="n">
        <f aca="false">Q!$E$25</f>
        <v>79.975</v>
      </c>
      <c r="E4061" s="38" t="n">
        <f aca="false">Q!$P$25</f>
        <v>51.313</v>
      </c>
      <c r="F4061" s="38" t="n">
        <f aca="false">Sens!$F$4051+Sens!$F$4056+Sens!$F$4059+Sens!$F$4060</f>
        <v>59.8825772328462</v>
      </c>
      <c r="G4061" s="38" t="n">
        <f aca="false">Sens!$G$4051+Sens!$G$4056+Sens!$G$4059+Sens!$G$4060</f>
        <v>111.195577232846</v>
      </c>
      <c r="H4061" s="38" t="n">
        <f aca="false">Sens!$H$4051+Sens!$H$4056+Sens!$H$4059+Sens!$H$4060</f>
        <v>134.277368325435</v>
      </c>
      <c r="I4061" s="38" t="n">
        <f aca="false">Sens!$I$4051+Sens!$I$4056+Sens!$I$4059+Sens!$I$4060</f>
        <v>157.723548935962</v>
      </c>
      <c r="J4061" s="38" t="n">
        <f aca="false">Sens!$J$4051+Sens!$J$4056+Sens!$J$4059+Sens!$J$4060</f>
        <v>178.209783172336</v>
      </c>
      <c r="K4061" s="38" t="n">
        <f aca="false">Sens!$K$4051+Sens!$K$4056+Sens!$K$4059+Sens!$K$4060</f>
        <v>194.242434816182</v>
      </c>
      <c r="L4061" s="38" t="n">
        <f aca="false">Sens!$L$4051+Sens!$L$4056+Sens!$L$4059+Sens!$L$4060</f>
        <v>213.591897229554</v>
      </c>
      <c r="M4061" s="38" t="n">
        <f aca="false">Sens!$M$4051+Sens!$M$4056+Sens!$M$4059+Sens!$M$4060</f>
        <v>233.623285473366</v>
      </c>
      <c r="N4061" s="38" t="n">
        <f aca="false">Q!$N$25</f>
        <v>37.576</v>
      </c>
      <c r="O4061" s="38" t="n">
        <f aca="false">Q!$O$25</f>
        <v>42.399</v>
      </c>
    </row>
    <row r="4062" customFormat="false" ht="17.15" hidden="false" customHeight="false" outlineLevel="0" collapsed="false">
      <c r="A4062" s="24" t="s">
        <v>711</v>
      </c>
      <c r="B4062" s="25" t="s">
        <v>73</v>
      </c>
      <c r="C4062" s="39" t="n">
        <f aca="false">Sens!$C$4051+Sens!$C$4056+Sens!$C$4059+Sens!$C$4060-Sens!$C$4061</f>
        <v>0</v>
      </c>
      <c r="D4062" s="39" t="n">
        <f aca="false">Sens!$D$4051+Sens!$D$4056+Sens!$D$4059+Sens!$D$4060-Sens!$D$4061</f>
        <v>0</v>
      </c>
      <c r="E4062" s="39" t="n">
        <f aca="false">Sens!$E$4051+Sens!$E$4056+Sens!$E$4059+Sens!$E$4060-Sens!$E$4061</f>
        <v>0</v>
      </c>
      <c r="F4062" s="39" t="n">
        <f aca="false">Sens!$F$4051+Sens!$F$4056+Sens!$F$4059+Sens!$F$4060-Sens!$F$4061</f>
        <v>0</v>
      </c>
      <c r="G4062" s="39" t="n">
        <f aca="false">Sens!$G$4051+Sens!$G$4056+Sens!$G$4059+Sens!$G$4060-Sens!$G$4061</f>
        <v>0</v>
      </c>
      <c r="H4062" s="39" t="n">
        <f aca="false">Sens!$H$4051+Sens!$H$4056+Sens!$H$4059+Sens!$H$4060-Sens!$H$4061</f>
        <v>0</v>
      </c>
      <c r="I4062" s="39" t="n">
        <f aca="false">Sens!$I$4051+Sens!$I$4056+Sens!$I$4059+Sens!$I$4060-Sens!$I$4061</f>
        <v>0</v>
      </c>
      <c r="J4062" s="39" t="n">
        <f aca="false">Sens!$J$4051+Sens!$J$4056+Sens!$J$4059+Sens!$J$4060-Sens!$J$4061</f>
        <v>0</v>
      </c>
      <c r="K4062" s="39" t="n">
        <f aca="false">Sens!$K$4051+Sens!$K$4056+Sens!$K$4059+Sens!$K$4060-Sens!$K$4061</f>
        <v>0</v>
      </c>
      <c r="L4062" s="39" t="n">
        <f aca="false">Sens!$L$4051+Sens!$L$4056+Sens!$L$4059+Sens!$L$4060-Sens!$L$4061</f>
        <v>0</v>
      </c>
      <c r="M4062" s="39" t="n">
        <f aca="false">Sens!$M$4051+Sens!$M$4056+Sens!$M$4059+Sens!$M$4060-Sens!$M$4061</f>
        <v>0</v>
      </c>
      <c r="N4062" s="39" t="n">
        <f aca="false">Sens!$N$4051+Sens!$N$4056+Sens!$N$4059+Sens!$N$4060-Sens!$N$4061</f>
        <v>0</v>
      </c>
      <c r="O4062" s="39" t="n">
        <f aca="false">Sens!$O$4051+Sens!$O$4056+Sens!$O$4059+Sens!$O$4060-Sens!$O$4061</f>
        <v>0</v>
      </c>
    </row>
    <row r="4063" customFormat="false" ht="17.15" hidden="false" customHeight="false" outlineLevel="0" collapsed="false">
      <c r="A4063" s="0" t="s">
        <v>687</v>
      </c>
      <c r="B4063" s="0" t="s">
        <v>52</v>
      </c>
      <c r="C4063" s="12" t="n">
        <f aca="false">Sens!$C$4051/Sens!$C$4036</f>
        <v>0.0644314665661928</v>
      </c>
      <c r="D4063" s="12" t="n">
        <f aca="false">Sens!$D$4051/Sens!$D$4036</f>
        <v>0.0694784250712518</v>
      </c>
      <c r="E4063" s="12" t="n">
        <f aca="false">Sens!$E$4051/Sens!$E$4036</f>
        <v>0.0789306463326071</v>
      </c>
      <c r="F4063" s="12" t="n">
        <f aca="false">Sens!$F$4051/Sens!$F$4036</f>
        <v>0.0816338957078875</v>
      </c>
      <c r="G4063" s="12" t="n">
        <f aca="false">Sens!$G$4051/Sens!$G$4036</f>
        <v>0.080384315570057</v>
      </c>
      <c r="H4063" s="12" t="n">
        <f aca="false">Sens!$H$4051/Sens!$H$4036</f>
        <v>0.07745554304446</v>
      </c>
      <c r="I4063" s="12" t="n">
        <f aca="false">Sens!$I$4051/Sens!$I$4036</f>
        <v>0.0735771292154343</v>
      </c>
      <c r="J4063" s="12" t="n">
        <f aca="false">Sens!$J$4051/Sens!$J$4036</f>
        <v>0.0696979127102711</v>
      </c>
      <c r="K4063" s="12" t="n">
        <f aca="false">Sens!$K$4051/Sens!$K$4036</f>
        <v>0.0652969256824556</v>
      </c>
      <c r="L4063" s="12" t="n">
        <f aca="false">Sens!$L$4051/Sens!$L$4036</f>
        <v>0.0623259081657437</v>
      </c>
      <c r="M4063" s="12" t="n">
        <f aca="false">Sens!$M$4051/Sens!$M$4036</f>
        <v>0.0600981524210052</v>
      </c>
      <c r="N4063" s="12" t="n">
        <f aca="false">Sens!$N$4051/Sens!$N$4036</f>
        <v>0.069228576611127</v>
      </c>
      <c r="O4063" s="12" t="n">
        <f aca="false">Sens!$O$4051/Sens!$O$4036</f>
        <v>0.069685022498393</v>
      </c>
    </row>
    <row r="4064" customFormat="false" ht="17.15" hidden="false" customHeight="false" outlineLevel="0" collapsed="false">
      <c r="A4064" s="0" t="s">
        <v>688</v>
      </c>
      <c r="B4064" s="0" t="s">
        <v>52</v>
      </c>
      <c r="C4064" s="12" t="n">
        <f aca="false">Sens!$C$4056/Sens!$C$4037</f>
        <v>0.026534925055631</v>
      </c>
      <c r="D4064" s="12" t="n">
        <f aca="false">Sens!$D$4056/Sens!$D$4037</f>
        <v>0.0293401855535103</v>
      </c>
      <c r="E4064" s="12" t="n">
        <f aca="false">Sens!$E$4056/Sens!$E$4037</f>
        <v>0.03831141902276</v>
      </c>
      <c r="F4064" s="12" t="n">
        <f aca="false">Sens!$F$4056/Sens!$F$4037</f>
        <v>0.0297532808235678</v>
      </c>
      <c r="G4064" s="12" t="n">
        <f aca="false">Sens!$G$4056/Sens!$G$4037</f>
        <v>0.0335954317997163</v>
      </c>
      <c r="H4064" s="12" t="n">
        <f aca="false">Sens!$H$4056/Sens!$H$4037</f>
        <v>0.0312519754292078</v>
      </c>
      <c r="I4064" s="12" t="n">
        <f aca="false">Sens!$I$4056/Sens!$I$4037</f>
        <v>0.0278788303191397</v>
      </c>
      <c r="J4064" s="12" t="n">
        <f aca="false">Sens!$J$4056/Sens!$J$4037</f>
        <v>0.0244019313573061</v>
      </c>
      <c r="K4064" s="12" t="n">
        <f aca="false">Sens!$K$4056/Sens!$K$4037</f>
        <v>0.020280070641524</v>
      </c>
      <c r="L4064" s="12" t="n">
        <f aca="false">Sens!$L$4056/Sens!$L$4037</f>
        <v>0.0175947312030086</v>
      </c>
      <c r="M4064" s="12" t="n">
        <f aca="false">Sens!$M$4056/Sens!$M$4037</f>
        <v>0.0156592172424565</v>
      </c>
      <c r="N4064" s="12" t="n">
        <f aca="false">Sens!$N$4056/Sens!$N$4037</f>
        <v>0.0357315650169337</v>
      </c>
      <c r="O4064" s="12" t="n">
        <f aca="false">Sens!$O$4056/Sens!$O$4037</f>
        <v>0.0244378956559703</v>
      </c>
    </row>
    <row r="4065" customFormat="false" ht="17.15" hidden="false" customHeight="false" outlineLevel="0" collapsed="false">
      <c r="A4065" s="13" t="s">
        <v>689</v>
      </c>
      <c r="B4065" s="13" t="s">
        <v>52</v>
      </c>
      <c r="C4065" s="16" t="n">
        <f aca="false">Sens!$C$4059/Sens!$C$4038</f>
        <v>0.370355907620217</v>
      </c>
      <c r="D4065" s="16" t="n">
        <f aca="false">Sens!$D$4059/Sens!$D$4038</f>
        <v>0.35429015342785</v>
      </c>
      <c r="E4065" s="16" t="n">
        <f aca="false">Sens!$E$4059/Sens!$E$4038</f>
        <v>0.385647527531039</v>
      </c>
      <c r="F4065" s="16" t="n">
        <f aca="false">Sens!$F$4059/Sens!$F$4038</f>
        <v>0.384415729470259</v>
      </c>
      <c r="G4065" s="16" t="n">
        <f aca="false">Sens!$G$4059/Sens!$G$4038</f>
        <v>0.38498282105443</v>
      </c>
      <c r="H4065" s="16" t="n">
        <f aca="false">Sens!$H$4059/Sens!$H$4038</f>
        <v>0.361247909668527</v>
      </c>
      <c r="I4065" s="16" t="n">
        <f aca="false">Sens!$I$4059/Sens!$I$4038</f>
        <v>0.349486287974975</v>
      </c>
      <c r="J4065" s="16" t="n">
        <f aca="false">Sens!$J$4059/Sens!$J$4038</f>
        <v>0.339886531832068</v>
      </c>
      <c r="K4065" s="16" t="n">
        <f aca="false">Sens!$K$4059/Sens!$K$4038</f>
        <v>0.33135833762061</v>
      </c>
      <c r="L4065" s="16" t="n">
        <f aca="false">Sens!$L$4059/Sens!$L$4038</f>
        <v>0.328299068185284</v>
      </c>
      <c r="M4065" s="16" t="n">
        <f aca="false">Sens!$M$4059/Sens!$M$4038</f>
        <v>0.325058049465166</v>
      </c>
      <c r="N4065" s="16" t="n">
        <f aca="false">Sens!$N$4059/Sens!$N$4038</f>
        <v>0.360941137346192</v>
      </c>
      <c r="O4065" s="16" t="n">
        <f aca="false">Sens!$O$4059/Sens!$O$4038</f>
        <v>0.348458117664212</v>
      </c>
    </row>
    <row r="4066" customFormat="false" ht="17.15" hidden="false" customHeight="false" outlineLevel="0" collapsed="false">
      <c r="A4066" s="0" t="s">
        <v>690</v>
      </c>
      <c r="B4066" s="0" t="s">
        <v>52</v>
      </c>
      <c r="C4066" s="12" t="n">
        <f aca="false">Sens!$C$4057/Sens!$C$4039</f>
        <v>0.708390794789371</v>
      </c>
      <c r="D4066" s="12" t="n">
        <f aca="false">Sens!$D$4057/Sens!$D$4039</f>
        <v>0.445565630441968</v>
      </c>
      <c r="E4066" s="12" t="n">
        <f aca="false">Sens!$E$4057/Sens!$E$4039</f>
        <v>0.165998118402711</v>
      </c>
      <c r="F4066" s="12" t="n">
        <f aca="false">Sens!$F$4057/Sens!$F$4039</f>
        <v>0.434878595403858</v>
      </c>
      <c r="G4066" s="12" t="n">
        <f aca="false">Sens!$G$4057/Sens!$G$4039</f>
        <v>0.3373967615381</v>
      </c>
      <c r="H4066" s="12" t="n">
        <f aca="false">Sens!$H$4057/Sens!$H$4039</f>
        <v>0.320477578041224</v>
      </c>
      <c r="I4066" s="12" t="n">
        <f aca="false">Sens!$I$4057/Sens!$I$4039</f>
        <v>0.296936118226494</v>
      </c>
      <c r="J4066" s="12" t="n">
        <f aca="false">Sens!$J$4057/Sens!$J$4039</f>
        <v>0.282166278613001</v>
      </c>
      <c r="K4066" s="12" t="n">
        <f aca="false">Sens!$K$4057/Sens!$K$4039</f>
        <v>0.271267685694333</v>
      </c>
      <c r="L4066" s="12" t="n">
        <f aca="false">Sens!$L$4057/Sens!$L$4039</f>
        <v>0.27160960915653</v>
      </c>
      <c r="M4066" s="12" t="n">
        <f aca="false">Sens!$M$4057/Sens!$M$4039</f>
        <v>0.26974494804234</v>
      </c>
      <c r="N4066" s="12" t="n">
        <f aca="false">Sens!$N$4057/Sens!$N$4039</f>
        <v>0.302870734830849</v>
      </c>
      <c r="O4066" s="12" t="n">
        <f aca="false">Sens!$O$4057/Sens!$O$4039</f>
        <v>0.52240134346334</v>
      </c>
    </row>
    <row r="4067" customFormat="false" ht="15" hidden="false" customHeight="false" outlineLevel="0" collapsed="false">
      <c r="A4067" s="5" t="s">
        <v>691</v>
      </c>
      <c r="B4067" s="0" t="s">
        <v>52</v>
      </c>
      <c r="C4067" s="12" t="n">
        <f aca="false">Sens!$C$4061/Sens!$C$4041</f>
        <v>0.107519448742004</v>
      </c>
      <c r="D4067" s="12" t="n">
        <f aca="false">Sens!$D$4061/Sens!$D$4041</f>
        <v>0.111552967957552</v>
      </c>
      <c r="E4067" s="12" t="n">
        <f aca="false">Sens!$E$4061/Sens!$E$4041</f>
        <v>0.13428328426562</v>
      </c>
      <c r="F4067" s="12" t="n">
        <f aca="false">Sens!$F$4061/Sens!$F$4041</f>
        <v>0.132926212451512</v>
      </c>
      <c r="G4067" s="12" t="n">
        <f aca="false">Sens!$G$4061/Sens!$G$4041</f>
        <v>0.133549030959228</v>
      </c>
      <c r="H4067" s="12" t="n">
        <f aca="false">Sens!$H$4061/Sens!$H$4041</f>
        <v>0.138288397128328</v>
      </c>
      <c r="I4067" s="12" t="n">
        <f aca="false">Sens!$I$4061/Sens!$I$4041</f>
        <v>0.142036003819163</v>
      </c>
      <c r="J4067" s="12" t="n">
        <f aca="false">Sens!$J$4061/Sens!$J$4041</f>
        <v>0.143583115506577</v>
      </c>
      <c r="K4067" s="12" t="n">
        <f aca="false">Sens!$K$4061/Sens!$K$4041</f>
        <v>0.143090802676018</v>
      </c>
      <c r="L4067" s="12" t="n">
        <f aca="false">Sens!$L$4061/Sens!$L$4041</f>
        <v>0.144392990964628</v>
      </c>
      <c r="M4067" s="12" t="n">
        <f aca="false">Sens!$M$4061/Sens!$M$4041</f>
        <v>0.145391756653293</v>
      </c>
      <c r="N4067" s="12" t="n">
        <f aca="false">Sens!$N$4061/Sens!$N$4041</f>
        <v>0.116201614873411</v>
      </c>
      <c r="O4067" s="12" t="n">
        <f aca="false">Sens!$O$4061/Sens!$O$4041</f>
        <v>0.107733353660861</v>
      </c>
    </row>
    <row r="4068" customFormat="false" ht="17.15" hidden="false" customHeight="false" outlineLevel="0" collapsed="false">
      <c r="A4068" s="1" t="s">
        <v>692</v>
      </c>
    </row>
    <row r="4069" customFormat="false" ht="17.15" hidden="false" customHeight="false" outlineLevel="0" collapsed="false">
      <c r="A4069" s="5" t="s">
        <v>693</v>
      </c>
      <c r="B4069" s="0" t="s">
        <v>52</v>
      </c>
      <c r="D4069" s="28" t="n">
        <f aca="false">(Q!$E$29+Q!$E$30-(1-ext_sh)*Sens!$D$3993)/Sens!$D$3951</f>
        <v>0.0334674312393194</v>
      </c>
    </row>
    <row r="4070" customFormat="false" ht="17.15" hidden="false" customHeight="false" outlineLevel="0" collapsed="false">
      <c r="A4070" s="0" t="s">
        <v>498</v>
      </c>
      <c r="B4070" s="0" t="s">
        <v>73</v>
      </c>
      <c r="C4070" s="38" t="n">
        <f aca="false">Q!$D$29</f>
        <v>14.285</v>
      </c>
      <c r="D4070" s="38" t="n">
        <f aca="false">Q!$E$29</f>
        <v>15.503</v>
      </c>
      <c r="E4070" s="38" t="n">
        <f aca="false">Q!$P$29</f>
        <v>8.78</v>
      </c>
      <c r="F4070" s="38" t="n">
        <f aca="false">(Sens!$D$4069*Sens!$F$3951+(1-ext_sh)*Sens!$F$3993)*Sens!$F$3952</f>
        <v>9.51361751569285</v>
      </c>
      <c r="G4070" s="38" t="n">
        <f aca="false">Sens!$E$4070+Sens!$F$4070</f>
        <v>18.2936175156929</v>
      </c>
      <c r="H4070" s="38" t="n">
        <f aca="false">(Sens!$D$4069*Sens!$H$3951+(1-ext_sh)*Sens!$H$3993)*Sens!$H$3952</f>
        <v>22.7653661801943</v>
      </c>
      <c r="I4070" s="38" t="n">
        <f aca="false">(Sens!$D$4069*Sens!$I$3951+(1-ext_sh)*Sens!$I$3993)*Sens!$I$3952</f>
        <v>28.4281317305062</v>
      </c>
      <c r="J4070" s="38" t="n">
        <f aca="false">(Sens!$D$4069*Sens!$J$3951+(1-ext_sh)*Sens!$J$3993)*Sens!$J$3952</f>
        <v>34.1182922009732</v>
      </c>
      <c r="K4070" s="38" t="n">
        <f aca="false">(Sens!$D$4069*Sens!$K$3951+(1-ext_sh)*Sens!$K$3993)*Sens!$K$3952</f>
        <v>39.7237727987046</v>
      </c>
      <c r="L4070" s="38" t="n">
        <f aca="false">(Sens!$D$4069*Sens!$L$3951+(1-ext_sh)*Sens!$L$3993)*Sens!$L$3952</f>
        <v>45.1313127180263</v>
      </c>
      <c r="M4070" s="38" t="n">
        <f aca="false">(Sens!$D$4069*Sens!$M$3951+(1-ext_sh)*Sens!$M$3993)*Sens!$M$3952</f>
        <v>50.743940615442</v>
      </c>
      <c r="N4070" s="38" t="n">
        <f aca="false">Q!$N$29</f>
        <v>7.272</v>
      </c>
      <c r="O4070" s="38" t="n">
        <f aca="false">Q!$O$29</f>
        <v>8.231</v>
      </c>
    </row>
    <row r="4071" customFormat="false" ht="17.15" hidden="false" customHeight="false" outlineLevel="0" collapsed="false">
      <c r="A4071" s="0" t="s">
        <v>500</v>
      </c>
      <c r="B4071" s="0" t="s">
        <v>73</v>
      </c>
      <c r="C4071" s="38" t="n">
        <f aca="false">Q!$D$30</f>
        <v>4.462</v>
      </c>
      <c r="D4071" s="38" t="n">
        <f aca="false">Q!$E$30</f>
        <v>4.907</v>
      </c>
      <c r="E4071" s="38" t="n">
        <f aca="false">Q!$P$30</f>
        <v>2.57</v>
      </c>
      <c r="F4071" s="38" t="n">
        <f aca="false">(Sens!$D$4069*Sens!$F$3951+(1-ext_sh)*Sens!$F$3993)*(1-Sens!$F$3952)</f>
        <v>3.7353230631574</v>
      </c>
      <c r="G4071" s="38" t="n">
        <f aca="false">Sens!$E$4071+Sens!$F$4071</f>
        <v>6.3053230631574</v>
      </c>
      <c r="H4071" s="38" t="n">
        <f aca="false">(Sens!$D$4069*Sens!$H$3951+(1-ext_sh)*Sens!$H$3993)*(1-Sens!$H$3952)</f>
        <v>8.72254636724805</v>
      </c>
      <c r="I4071" s="38" t="n">
        <f aca="false">(Sens!$D$4069*Sens!$I$3951+(1-ext_sh)*Sens!$I$3993)*(1-Sens!$I$3952)</f>
        <v>10.8922340713019</v>
      </c>
      <c r="J4071" s="38" t="n">
        <f aca="false">(Sens!$D$4069*Sens!$J$3951+(1-ext_sh)*Sens!$J$3993)*(1-Sens!$J$3952)</f>
        <v>13.0724181345791</v>
      </c>
      <c r="K4071" s="38" t="n">
        <f aca="false">(Sens!$D$4069*Sens!$K$3951+(1-ext_sh)*Sens!$K$3993)*(1-Sens!$K$3952)</f>
        <v>15.2201571183236</v>
      </c>
      <c r="L4071" s="38" t="n">
        <f aca="false">(Sens!$D$4069*Sens!$L$3951+(1-ext_sh)*Sens!$L$3993)*(1-Sens!$L$3952)</f>
        <v>17.2920551631732</v>
      </c>
      <c r="M4071" s="38" t="n">
        <f aca="false">(Sens!$D$4069*Sens!$M$3951+(1-ext_sh)*Sens!$M$3993)*(1-Sens!$M$3952)</f>
        <v>19.4425326336348</v>
      </c>
      <c r="N4071" s="38" t="n">
        <f aca="false">Q!$N$30</f>
        <v>2.316</v>
      </c>
      <c r="O4071" s="38" t="n">
        <f aca="false">Q!$O$30</f>
        <v>2.591</v>
      </c>
    </row>
    <row r="4072" customFormat="false" ht="17.15" hidden="false" customHeight="false" outlineLevel="0" collapsed="false">
      <c r="A4072" s="0" t="s">
        <v>501</v>
      </c>
      <c r="B4072" s="0" t="s">
        <v>73</v>
      </c>
      <c r="C4072" s="38" t="n">
        <f aca="false">Sens!$C$4005</f>
        <v>13.32</v>
      </c>
      <c r="D4072" s="38" t="n">
        <f aca="false">Sens!$D$4005</f>
        <v>21.45</v>
      </c>
      <c r="E4072" s="38" t="n">
        <f aca="false">Sens!$E$4005</f>
        <v>15.353</v>
      </c>
      <c r="F4072" s="38" t="n">
        <f aca="false">Sens!$F$4005</f>
        <v>17.3614451462707</v>
      </c>
      <c r="G4072" s="38" t="n">
        <f aca="false">Sens!$G$4005</f>
        <v>32.7144451462707</v>
      </c>
      <c r="H4072" s="38" t="n">
        <f aca="false">Sens!$H$4005</f>
        <v>56.1966092719415</v>
      </c>
      <c r="I4072" s="38" t="n">
        <f aca="false">Sens!$I$4005</f>
        <v>82.9744039068297</v>
      </c>
      <c r="J4072" s="38" t="n">
        <f aca="false">Sens!$J$4005</f>
        <v>109.943252237669</v>
      </c>
      <c r="K4072" s="38" t="n">
        <f aca="false">Sens!$K$4005</f>
        <v>136.406703436571</v>
      </c>
      <c r="L4072" s="38" t="n">
        <f aca="false">Sens!$L$4005</f>
        <v>161.485870454155</v>
      </c>
      <c r="M4072" s="38" t="n">
        <f aca="false">Sens!$M$4005</f>
        <v>187.389846618199</v>
      </c>
      <c r="N4072" s="38" t="n">
        <f aca="false">Sens!$N$4005</f>
        <v>9.234</v>
      </c>
      <c r="O4072" s="38" t="n">
        <f aca="false">Sens!$O$4005</f>
        <v>12.216</v>
      </c>
    </row>
    <row r="4073" customFormat="false" ht="17.15" hidden="false" customHeight="false" outlineLevel="0" collapsed="false">
      <c r="A4073" s="5" t="s">
        <v>694</v>
      </c>
      <c r="B4073" s="0" t="s">
        <v>73</v>
      </c>
      <c r="C4073" s="38" t="n">
        <f aca="false">Sens!$C$4070+Sens!$C$4071+Sens!$C$4072</f>
        <v>32.067</v>
      </c>
      <c r="D4073" s="38" t="n">
        <f aca="false">Sens!$D$4070+Sens!$D$4071+Sens!$D$4072</f>
        <v>41.86</v>
      </c>
      <c r="E4073" s="38" t="n">
        <f aca="false">Sens!$E$4070+Sens!$E$4071+Sens!$E$4072</f>
        <v>26.703</v>
      </c>
      <c r="F4073" s="38" t="n">
        <f aca="false">Sens!$F$4070+Sens!$F$4071+Sens!$F$4072</f>
        <v>30.6103857251209</v>
      </c>
      <c r="G4073" s="38" t="n">
        <f aca="false">Sens!$G$4070+Sens!$G$4071+Sens!$G$4072</f>
        <v>57.3133857251209</v>
      </c>
      <c r="H4073" s="38" t="n">
        <f aca="false">Sens!$H$4070+Sens!$H$4071+Sens!$H$4072</f>
        <v>87.6845218193838</v>
      </c>
      <c r="I4073" s="38" t="n">
        <f aca="false">Sens!$I$4070+Sens!$I$4071+Sens!$I$4072</f>
        <v>122.294769708638</v>
      </c>
      <c r="J4073" s="38" t="n">
        <f aca="false">Sens!$J$4070+Sens!$J$4071+Sens!$J$4072</f>
        <v>157.133962573221</v>
      </c>
      <c r="K4073" s="38" t="n">
        <f aca="false">Sens!$K$4070+Sens!$K$4071+Sens!$K$4072</f>
        <v>191.350633353599</v>
      </c>
      <c r="L4073" s="38" t="n">
        <f aca="false">Sens!$L$4070+Sens!$L$4071+Sens!$L$4072</f>
        <v>223.909238335354</v>
      </c>
      <c r="M4073" s="38" t="n">
        <f aca="false">Sens!$M$4070+Sens!$M$4071+Sens!$M$4072</f>
        <v>257.576319867276</v>
      </c>
      <c r="N4073" s="38" t="n">
        <f aca="false">Sens!$N$4070+Sens!$N$4071+Sens!$N$4072</f>
        <v>18.822</v>
      </c>
      <c r="O4073" s="38" t="n">
        <f aca="false">Sens!$O$4070+Sens!$O$4071+Sens!$O$4072</f>
        <v>23.038</v>
      </c>
    </row>
    <row r="4074" customFormat="false" ht="17.15" hidden="false" customHeight="false" outlineLevel="0" collapsed="false">
      <c r="A4074" s="0" t="s">
        <v>695</v>
      </c>
      <c r="B4074" s="0" t="s">
        <v>73</v>
      </c>
      <c r="C4074" s="38" t="n">
        <f aca="false">Sens!$C$4047+Sens!$C$4052</f>
        <v>28.107</v>
      </c>
      <c r="D4074" s="38" t="n">
        <f aca="false">Sens!$D$4047+Sens!$D$4052</f>
        <v>34.3175</v>
      </c>
      <c r="E4074" s="38" t="n">
        <f aca="false">Sens!$E$4047+Sens!$E$4052</f>
        <v>18.526</v>
      </c>
      <c r="F4074" s="38" t="n">
        <f aca="false">Sens!$F$4047+Sens!$F$4052</f>
        <v>24.0766690913691</v>
      </c>
      <c r="G4074" s="38" t="n">
        <f aca="false">Sens!$G$4047+Sens!$G$4052</f>
        <v>42.6026690913691</v>
      </c>
      <c r="H4074" s="38" t="n">
        <f aca="false">Sens!$H$4047+Sens!$H$4052</f>
        <v>51.1466809294702</v>
      </c>
      <c r="I4074" s="38" t="n">
        <f aca="false">Sens!$I$4047+Sens!$I$4052</f>
        <v>59.6899187926205</v>
      </c>
      <c r="J4074" s="38" t="n">
        <f aca="false">Sens!$J$4047+Sens!$J$4052</f>
        <v>67.6595395244221</v>
      </c>
      <c r="K4074" s="38" t="n">
        <f aca="false">Sens!$K$4047+Sens!$K$4052</f>
        <v>74.4254934768643</v>
      </c>
      <c r="L4074" s="38" t="n">
        <f aca="false">Sens!$L$4047+Sens!$L$4052</f>
        <v>81.8680428245508</v>
      </c>
      <c r="M4074" s="38" t="n">
        <f aca="false">Sens!$M$4047+Sens!$M$4052</f>
        <v>90.0548471070059</v>
      </c>
      <c r="N4074" s="38" t="n">
        <f aca="false">Sens!$N$4047+Sens!$N$4052</f>
        <v>14.8075</v>
      </c>
      <c r="O4074" s="38" t="n">
        <f aca="false">Sens!$O$4047+Sens!$O$4052</f>
        <v>19.51</v>
      </c>
    </row>
    <row r="4075" customFormat="false" ht="17.15" hidden="false" customHeight="false" outlineLevel="0" collapsed="false">
      <c r="A4075" s="0" t="s">
        <v>696</v>
      </c>
      <c r="B4075" s="0" t="s">
        <v>73</v>
      </c>
      <c r="C4075" s="38" t="n">
        <f aca="false">Sens!$C$4051+Sens!$C$4056+Sens!$C$4070+Sens!$C$4071-Sens!$C$4074</f>
        <v>19.399</v>
      </c>
      <c r="D4075" s="38" t="n">
        <f aca="false">Sens!$D$4051+Sens!$D$4056+Sens!$D$4070+Sens!$D$4071-Sens!$D$4074</f>
        <v>20.4615</v>
      </c>
      <c r="E4075" s="38" t="n">
        <f aca="false">Sens!$E$4051+Sens!$E$4056+Sens!$E$4070+Sens!$E$4071-Sens!$E$4074</f>
        <v>13.355</v>
      </c>
      <c r="F4075" s="38" t="n">
        <f aca="false">Sens!$F$4051+Sens!$F$4056+Sens!$F$4070+Sens!$F$4071-Sens!$F$4074</f>
        <v>13.0895111975985</v>
      </c>
      <c r="G4075" s="38" t="n">
        <f aca="false">Sens!$G$4051+Sens!$G$4056+Sens!$G$4070+Sens!$G$4071-Sens!$G$4074</f>
        <v>26.4445111975985</v>
      </c>
      <c r="H4075" s="38" t="n">
        <f aca="false">Sens!$H$4051+Sens!$H$4056+Sens!$H$4070+Sens!$H$4071-Sens!$H$4074</f>
        <v>27.5363769767183</v>
      </c>
      <c r="I4075" s="38" t="n">
        <f aca="false">Sens!$I$4051+Sens!$I$4056+Sens!$I$4070+Sens!$I$4071-Sens!$I$4074</f>
        <v>28.2611185076769</v>
      </c>
      <c r="J4075" s="38" t="n">
        <f aca="false">Sens!$J$4051+Sens!$J$4056+Sens!$J$4070+Sens!$J$4071-Sens!$J$4074</f>
        <v>28.7797389222962</v>
      </c>
      <c r="K4075" s="38" t="n">
        <f aca="false">Sens!$K$4051+Sens!$K$4056+Sens!$K$4070+Sens!$K$4071-Sens!$K$4074</f>
        <v>28.9899641157143</v>
      </c>
      <c r="L4075" s="38" t="n">
        <f aca="false">Sens!$L$4051+Sens!$L$4056+Sens!$L$4070+Sens!$L$4071-Sens!$L$4074</f>
        <v>29.3558718896699</v>
      </c>
      <c r="M4075" s="38" t="n">
        <f aca="false">Sens!$M$4051+Sens!$M$4056+Sens!$M$4070+Sens!$M$4071-Sens!$M$4074</f>
        <v>29.889172581375</v>
      </c>
      <c r="N4075" s="38" t="n">
        <f aca="false">Sens!$N$4051+Sens!$N$4056+Sens!$N$4070+Sens!$N$4071-Sens!$N$4074</f>
        <v>10.6495</v>
      </c>
      <c r="O4075" s="38" t="n">
        <f aca="false">Sens!$O$4051+Sens!$O$4056+Sens!$O$4070+Sens!$O$4071-Sens!$O$4074</f>
        <v>9.81200000000001</v>
      </c>
    </row>
    <row r="4076" customFormat="false" ht="17.15" hidden="false" customHeight="false" outlineLevel="0" collapsed="false">
      <c r="A4076" s="0" t="s">
        <v>697</v>
      </c>
      <c r="B4076" s="0" t="s">
        <v>73</v>
      </c>
      <c r="C4076" s="38" t="n">
        <f aca="false">Sens!$C$4058+Sens!$C$4072-ext_sh*Sens!$C$3993</f>
        <v>51.3470500115664</v>
      </c>
      <c r="D4076" s="38" t="n">
        <f aca="false">Sens!$D$4058+Sens!$D$4072-ext_sh*Sens!$D$3993</f>
        <v>60.2799375433739</v>
      </c>
      <c r="E4076" s="38" t="n">
        <f aca="false">Sens!$E$4058+Sens!$E$4072-ext_sh*Sens!$E$3993</f>
        <v>39.5095167090767</v>
      </c>
      <c r="F4076" s="38" t="n">
        <f aca="false">Sens!$F$4058+Sens!$F$4072-ext_sh*Sens!$F$3993</f>
        <v>41.606724953129</v>
      </c>
      <c r="G4076" s="38" t="n">
        <f aca="false">Sens!$G$4058+Sens!$G$4072-ext_sh*Sens!$G$3993</f>
        <v>81.1162416622057</v>
      </c>
      <c r="H4076" s="38" t="n">
        <f aca="false">Sens!$H$4058+Sens!$H$4072-ext_sh*Sens!$H$3993</f>
        <v>95.7616595325849</v>
      </c>
      <c r="I4076" s="38" t="n">
        <f aca="false">Sens!$I$4058+Sens!$I$4072-ext_sh*Sens!$I$3993</f>
        <v>111.513312079935</v>
      </c>
      <c r="J4076" s="38" t="n">
        <f aca="false">Sens!$J$4058+Sens!$J$4072-ext_sh*Sens!$J$3993</f>
        <v>125.145150463955</v>
      </c>
      <c r="K4076" s="38" t="n">
        <f aca="false">Sens!$K$4058+Sens!$K$4072-ext_sh*Sens!$K$3993</f>
        <v>135.156762501071</v>
      </c>
      <c r="L4076" s="38" t="n">
        <f aca="false">Sens!$L$4058+Sens!$L$4072-ext_sh*Sens!$L$3993</f>
        <v>145.969303501157</v>
      </c>
      <c r="M4076" s="38" t="n">
        <f aca="false">Sens!$M$4058+Sens!$M$4072-ext_sh*Sens!$M$3993</f>
        <v>157.646847781249</v>
      </c>
      <c r="N4076" s="38" t="n">
        <f aca="false">Sens!$N$4058+Sens!$N$4072-ext_sh*Sens!$N$3993</f>
        <v>28.5693781401809</v>
      </c>
      <c r="O4076" s="38" t="n">
        <f aca="false">Sens!$O$4058+Sens!$O$4072-ext_sh*Sens!$O$3993</f>
        <v>31.7105594031931</v>
      </c>
    </row>
    <row r="4077" customFormat="false" ht="17.15" hidden="false" customHeight="false" outlineLevel="0" collapsed="false">
      <c r="A4077" s="0" t="s">
        <v>698</v>
      </c>
      <c r="B4077" s="0" t="s">
        <v>73</v>
      </c>
      <c r="C4077" s="38" t="n">
        <f aca="false">Sens!$C$3996</f>
        <v>1.80694998843362</v>
      </c>
      <c r="D4077" s="38" t="n">
        <f aca="false">Sens!$D$3996</f>
        <v>6.77606245662607</v>
      </c>
      <c r="E4077" s="38" t="n">
        <f aca="false">Sens!$E$3996</f>
        <v>6.62548329092326</v>
      </c>
      <c r="F4077" s="38" t="n">
        <f aca="false">Sens!$F$3996</f>
        <v>11.7200577158706</v>
      </c>
      <c r="G4077" s="38" t="n">
        <f aca="false">Sens!$G$3996</f>
        <v>18.3455410067939</v>
      </c>
      <c r="H4077" s="38" t="n">
        <f aca="false">Sens!$H$3996</f>
        <v>47.5171727060453</v>
      </c>
      <c r="I4077" s="38" t="n">
        <f aca="false">Sens!$I$3996</f>
        <v>80.5539692643667</v>
      </c>
      <c r="J4077" s="38" t="n">
        <f aca="false">Sens!$J$3996</f>
        <v>113.759316834883</v>
      </c>
      <c r="K4077" s="38" t="n">
        <f aca="false">Sens!$K$3996</f>
        <v>147.020848076132</v>
      </c>
      <c r="L4077" s="38" t="n">
        <f aca="false">Sens!$L$3996</f>
        <v>180.307917349531</v>
      </c>
      <c r="M4077" s="38" t="n">
        <f aca="false">Sens!$M$3996</f>
        <v>213.608737871012</v>
      </c>
      <c r="N4077" s="38" t="n">
        <f aca="false">Sens!$N$3996</f>
        <v>2.37162185981912</v>
      </c>
      <c r="O4077" s="38" t="n">
        <f aca="false">Sens!$O$3996</f>
        <v>4.40444059680694</v>
      </c>
    </row>
    <row r="4078" customFormat="false" ht="17.15" hidden="false" customHeight="false" outlineLevel="0" collapsed="false">
      <c r="A4078" s="0" t="s">
        <v>699</v>
      </c>
      <c r="B4078" s="0" t="s">
        <v>73</v>
      </c>
      <c r="C4078" s="38" t="n">
        <f aca="false">Sens!$C$4061+Sens!$C$4073</f>
        <v>100.66</v>
      </c>
      <c r="D4078" s="38" t="n">
        <f aca="false">Sens!$D$4061+Sens!$D$4073</f>
        <v>121.835</v>
      </c>
      <c r="E4078" s="38" t="n">
        <f aca="false">Sens!$E$4061+Sens!$E$4073</f>
        <v>78.016</v>
      </c>
      <c r="F4078" s="38" t="n">
        <f aca="false">Sens!$F$4061+Sens!$F$4073</f>
        <v>90.4929629579672</v>
      </c>
      <c r="G4078" s="38" t="n">
        <f aca="false">Sens!$G$4061+Sens!$G$4073</f>
        <v>168.508962957967</v>
      </c>
      <c r="H4078" s="38" t="n">
        <f aca="false">Sens!$H$4061+Sens!$H$4073</f>
        <v>221.961890144819</v>
      </c>
      <c r="I4078" s="38" t="n">
        <f aca="false">Sens!$I$4061+Sens!$I$4073</f>
        <v>280.018318644599</v>
      </c>
      <c r="J4078" s="38" t="n">
        <f aca="false">Sens!$J$4061+Sens!$J$4073</f>
        <v>335.343745745556</v>
      </c>
      <c r="K4078" s="38" t="n">
        <f aca="false">Sens!$K$4061+Sens!$K$4073</f>
        <v>385.593068169782</v>
      </c>
      <c r="L4078" s="38" t="n">
        <f aca="false">Sens!$L$4061+Sens!$L$4073</f>
        <v>437.501135564909</v>
      </c>
      <c r="M4078" s="38" t="n">
        <f aca="false">Sens!$M$4061+Sens!$M$4073</f>
        <v>491.199605340642</v>
      </c>
      <c r="N4078" s="38" t="n">
        <f aca="false">Sens!$N$4061+Sens!$N$4073</f>
        <v>56.398</v>
      </c>
      <c r="O4078" s="38" t="n">
        <f aca="false">Sens!$O$4061+Sens!$O$4073</f>
        <v>65.437</v>
      </c>
    </row>
    <row r="4079" customFormat="false" ht="17.15" hidden="false" customHeight="false" outlineLevel="0" collapsed="false">
      <c r="A4079" s="1" t="s">
        <v>700</v>
      </c>
    </row>
    <row r="4080" customFormat="false" ht="15" hidden="false" customHeight="false" outlineLevel="0" collapsed="false">
      <c r="A4080" s="5" t="s">
        <v>504</v>
      </c>
      <c r="B4080" s="0" t="s">
        <v>73</v>
      </c>
      <c r="C4080" s="38" t="n">
        <f aca="false">Q!$D$34</f>
        <v>2.406</v>
      </c>
      <c r="D4080" s="38" t="n">
        <f aca="false">Q!$E$34</f>
        <v>2.274</v>
      </c>
      <c r="E4080" s="38" t="n">
        <f aca="false">Q!$P$34</f>
        <v>2.114</v>
      </c>
      <c r="F4080" s="38" t="n">
        <f aca="false">Sens!$F$4116</f>
        <v>3.24888964316061</v>
      </c>
      <c r="G4080" s="38" t="n">
        <f aca="false">Sens!$E$4080+Sens!$F$4080</f>
        <v>5.36288964316061</v>
      </c>
      <c r="H4080" s="38" t="n">
        <f aca="false">Sens!$H$4116</f>
        <v>7.42354178632123</v>
      </c>
      <c r="I4080" s="38" t="n">
        <f aca="false">Sens!$I$4116</f>
        <v>7.58949014885979</v>
      </c>
      <c r="J4080" s="38" t="n">
        <f aca="false">Sens!$J$4116</f>
        <v>7.99894375637469</v>
      </c>
      <c r="K4080" s="38" t="n">
        <f aca="false">Sens!$K$4116</f>
        <v>7.99894375637469</v>
      </c>
      <c r="L4080" s="38" t="n">
        <f aca="false">Sens!$L$4116</f>
        <v>7.99894375637469</v>
      </c>
      <c r="M4080" s="38" t="n">
        <f aca="false">Sens!$M$4116</f>
        <v>7.99894375637469</v>
      </c>
      <c r="N4080" s="38" t="n">
        <f aca="false">Q!$N$34</f>
        <v>1.057</v>
      </c>
      <c r="O4080" s="38" t="n">
        <f aca="false">Q!$O$34</f>
        <v>1.217</v>
      </c>
    </row>
    <row r="4081" customFormat="false" ht="15" hidden="false" customHeight="false" outlineLevel="0" collapsed="false">
      <c r="A4081" s="5" t="s">
        <v>701</v>
      </c>
      <c r="B4081" s="0" t="s">
        <v>73</v>
      </c>
      <c r="F4081" s="38" t="n">
        <f aca="false">Sens!$F$4117</f>
        <v>2.59</v>
      </c>
      <c r="H4081" s="38" t="n">
        <f aca="false">Sens!$H$4117</f>
        <v>4.00971603121774</v>
      </c>
      <c r="I4081" s="38" t="n">
        <f aca="false">Sens!$I$4117</f>
        <v>2.10589651022864</v>
      </c>
      <c r="J4081" s="38" t="n">
        <f aca="false">Sens!$J$4117</f>
        <v>2.10589651022864</v>
      </c>
      <c r="K4081" s="38" t="n">
        <f aca="false">Sens!$K$4117</f>
        <v>3.60736487983527</v>
      </c>
      <c r="L4081" s="38" t="n">
        <f aca="false">Sens!$L$4117</f>
        <v>6.82221755234854</v>
      </c>
      <c r="M4081" s="38" t="n">
        <f aca="false">Sens!$M$4117</f>
        <v>10.5183325242281</v>
      </c>
    </row>
    <row r="4082" customFormat="false" ht="17.15" hidden="false" customHeight="false" outlineLevel="0" collapsed="false">
      <c r="A4082" s="5" t="s">
        <v>702</v>
      </c>
      <c r="B4082" s="0" t="s">
        <v>73</v>
      </c>
      <c r="C4082" s="38" t="n">
        <f aca="false">Q!$D$39</f>
        <v>2.427</v>
      </c>
      <c r="D4082" s="38" t="n">
        <f aca="false">Q!$E$39</f>
        <v>19.61</v>
      </c>
      <c r="E4082" s="38" t="n">
        <f aca="false">Q!$P$39</f>
        <v>71.492</v>
      </c>
      <c r="F4082" s="41" t="n">
        <v>0</v>
      </c>
      <c r="G4082" s="38" t="n">
        <f aca="false">Sens!$E$4082+Sens!$F$4082</f>
        <v>71.492</v>
      </c>
      <c r="H4082" s="41" t="n">
        <v>0</v>
      </c>
      <c r="I4082" s="41" t="n">
        <v>0</v>
      </c>
      <c r="J4082" s="41" t="n">
        <v>0</v>
      </c>
      <c r="K4082" s="41" t="n">
        <v>0</v>
      </c>
      <c r="L4082" s="41" t="n">
        <v>0</v>
      </c>
      <c r="M4082" s="41" t="n">
        <v>0</v>
      </c>
      <c r="N4082" s="38" t="n">
        <f aca="false">Q!$N$39</f>
        <v>6.017</v>
      </c>
      <c r="O4082" s="38" t="n">
        <f aca="false">Q!$O$39</f>
        <v>13.593</v>
      </c>
      <c r="P4082" s="5" t="s">
        <v>703</v>
      </c>
    </row>
    <row r="4083" customFormat="false" ht="15" hidden="false" customHeight="false" outlineLevel="0" collapsed="false">
      <c r="A4083" s="5" t="s">
        <v>507</v>
      </c>
      <c r="B4083" s="0" t="s">
        <v>73</v>
      </c>
      <c r="C4083" s="38" t="n">
        <f aca="false">Q!$D$36</f>
        <v>68.614</v>
      </c>
      <c r="D4083" s="38" t="n">
        <f aca="false">Q!$E$36</f>
        <v>97.311</v>
      </c>
      <c r="E4083" s="38" t="n">
        <f aca="false">Q!$P$36</f>
        <v>120.691</v>
      </c>
      <c r="F4083" s="38" t="n">
        <f aca="false">Sens!$F$4061-Sens!$F$4080+Sens!$F$4081+Sens!$F$4082</f>
        <v>59.2236875896856</v>
      </c>
      <c r="G4083" s="38" t="n">
        <f aca="false">Sens!$E$4083+Sens!$F$4083</f>
        <v>179.914687589686</v>
      </c>
      <c r="H4083" s="38" t="n">
        <f aca="false">Sens!$H$4061-Sens!$H$4080+Sens!$H$4081+Sens!$H$4082</f>
        <v>130.863542570331</v>
      </c>
      <c r="I4083" s="38" t="n">
        <f aca="false">Sens!$I$4061-Sens!$I$4080+Sens!$I$4081+Sens!$I$4082</f>
        <v>152.239955297331</v>
      </c>
      <c r="J4083" s="38" t="n">
        <f aca="false">Sens!$J$4061-Sens!$J$4080+Sens!$J$4081+Sens!$J$4082</f>
        <v>172.31673592619</v>
      </c>
      <c r="K4083" s="38" t="n">
        <f aca="false">Sens!$K$4061-Sens!$K$4080+Sens!$K$4081+Sens!$K$4082</f>
        <v>189.850855939643</v>
      </c>
      <c r="L4083" s="38" t="n">
        <f aca="false">Sens!$L$4061-Sens!$L$4080+Sens!$L$4081+Sens!$L$4082</f>
        <v>212.415171025528</v>
      </c>
      <c r="M4083" s="38" t="n">
        <f aca="false">Sens!$M$4061-Sens!$M$4080+Sens!$M$4081+Sens!$M$4082</f>
        <v>236.142674241219</v>
      </c>
      <c r="N4083" s="38" t="n">
        <f aca="false">Q!$N$36</f>
        <v>42.536</v>
      </c>
      <c r="O4083" s="38" t="n">
        <f aca="false">Q!$O$36</f>
        <v>54.775</v>
      </c>
    </row>
    <row r="4084" customFormat="false" ht="15" hidden="false" customHeight="false" outlineLevel="0" collapsed="false">
      <c r="A4084" s="5" t="s">
        <v>508</v>
      </c>
      <c r="B4084" s="0" t="s">
        <v>73</v>
      </c>
      <c r="C4084" s="38" t="n">
        <f aca="false">Q!$D$37</f>
        <v>9.265</v>
      </c>
      <c r="D4084" s="38" t="n">
        <f aca="false">Q!$E$37</f>
        <v>19.087</v>
      </c>
      <c r="E4084" s="38" t="n">
        <f aca="false">Q!$P$37</f>
        <v>27.759</v>
      </c>
      <c r="F4084" s="38" t="n">
        <f aca="false">Sens!$F$4083*tax</f>
        <v>10.2803157750071</v>
      </c>
      <c r="G4084" s="38" t="n">
        <f aca="false">Sens!$E$4084+Sens!$F$4084</f>
        <v>38.0393157750071</v>
      </c>
      <c r="H4084" s="38" t="n">
        <f aca="false">Sens!$H$4083*tax</f>
        <v>22.7158860890214</v>
      </c>
      <c r="I4084" s="38" t="n">
        <f aca="false">Sens!$I$4083*tax</f>
        <v>26.4265005730933</v>
      </c>
      <c r="J4084" s="38" t="n">
        <f aca="false">Sens!$J$4083*tax</f>
        <v>29.9115190346279</v>
      </c>
      <c r="K4084" s="38" t="n">
        <f aca="false">Sens!$K$4083*tax</f>
        <v>32.9551709568794</v>
      </c>
      <c r="L4084" s="38" t="n">
        <f aca="false">Sens!$L$4083*tax</f>
        <v>36.8719869095905</v>
      </c>
      <c r="M4084" s="38" t="n">
        <f aca="false">Sens!$M$4083*tax</f>
        <v>40.9907143231851</v>
      </c>
      <c r="N4084" s="38" t="n">
        <f aca="false">Q!$N$37</f>
        <v>7.231</v>
      </c>
      <c r="O4084" s="38" t="n">
        <f aca="false">Q!$O$37</f>
        <v>11.856</v>
      </c>
    </row>
    <row r="4085" customFormat="false" ht="15" hidden="false" customHeight="false" outlineLevel="0" collapsed="false">
      <c r="A4085" s="3" t="s">
        <v>509</v>
      </c>
      <c r="B4085" s="8" t="s">
        <v>73</v>
      </c>
      <c r="C4085" s="38" t="n">
        <f aca="false">Q!$D$38</f>
        <v>59.248</v>
      </c>
      <c r="D4085" s="38" t="n">
        <f aca="false">Q!$E$38</f>
        <v>77.67</v>
      </c>
      <c r="E4085" s="38" t="n">
        <f aca="false">Q!$P$38</f>
        <v>92.902</v>
      </c>
      <c r="F4085" s="38" t="n">
        <f aca="false">Sens!$F$4083-Sens!$F$4084</f>
        <v>48.9433718146785</v>
      </c>
      <c r="G4085" s="38" t="n">
        <f aca="false">Sens!$E$4085+Sens!$F$4085</f>
        <v>141.845371814679</v>
      </c>
      <c r="H4085" s="38" t="n">
        <f aca="false">Sens!$H$4083-Sens!$H$4084</f>
        <v>108.14765648131</v>
      </c>
      <c r="I4085" s="38" t="n">
        <f aca="false">Sens!$I$4083-Sens!$I$4084</f>
        <v>125.813454724237</v>
      </c>
      <c r="J4085" s="38" t="n">
        <f aca="false">Sens!$J$4083-Sens!$J$4084</f>
        <v>142.405216891562</v>
      </c>
      <c r="K4085" s="38" t="n">
        <f aca="false">Sens!$K$4083-Sens!$K$4084</f>
        <v>156.895684982763</v>
      </c>
      <c r="L4085" s="38" t="n">
        <f aca="false">Sens!$L$4083-Sens!$L$4084</f>
        <v>175.543184115937</v>
      </c>
      <c r="M4085" s="38" t="n">
        <f aca="false">Sens!$M$4083-Sens!$M$4084</f>
        <v>195.151959918034</v>
      </c>
      <c r="N4085" s="38" t="n">
        <f aca="false">Q!$N$38</f>
        <v>35.291</v>
      </c>
      <c r="O4085" s="38" t="n">
        <f aca="false">Q!$O$38</f>
        <v>42.379</v>
      </c>
    </row>
    <row r="4086" customFormat="false" ht="17.15" hidden="false" customHeight="false" outlineLevel="0" collapsed="false">
      <c r="A4086" s="5" t="s">
        <v>512</v>
      </c>
      <c r="B4086" s="5" t="s">
        <v>33</v>
      </c>
      <c r="C4086" s="22" t="n">
        <f aca="false">Q!$D$41</f>
        <v>10.721</v>
      </c>
      <c r="D4086" s="22" t="n">
        <f aca="false">Q!$E$41</f>
        <v>10.827</v>
      </c>
      <c r="E4086" s="22" t="n">
        <f aca="false">(Q!$L$41+Q!$M$41)/2</f>
        <v>10.8885</v>
      </c>
      <c r="F4086" s="22" t="n">
        <f aca="false">Sens!$G$4086</f>
        <v>10.924806</v>
      </c>
      <c r="G4086" s="22" t="n">
        <f aca="false">Q!$M$41*(1+sh_g*0.25)</f>
        <v>10.924806</v>
      </c>
      <c r="H4086" s="22" t="n">
        <f aca="false">Sens!$G$4086*(1+sh_g)</f>
        <v>11.012204448</v>
      </c>
      <c r="I4086" s="22" t="n">
        <f aca="false">Sens!$H$4086*(1+sh_g)</f>
        <v>11.100302083584</v>
      </c>
      <c r="J4086" s="22" t="n">
        <f aca="false">Sens!$I$4086*(1+sh_g)</f>
        <v>11.1891045002527</v>
      </c>
      <c r="K4086" s="22" t="n">
        <f aca="false">Sens!$J$4086*(1+sh_g)</f>
        <v>11.2786173362547</v>
      </c>
      <c r="L4086" s="22" t="n">
        <f aca="false">Sens!$K$4086*(1+sh_g)</f>
        <v>11.3688462749447</v>
      </c>
      <c r="M4086" s="22" t="n">
        <f aca="false">Sens!$L$4086*(1+sh_g)</f>
        <v>11.4597970451443</v>
      </c>
      <c r="P4086" s="5" t="s">
        <v>704</v>
      </c>
    </row>
    <row r="4087" customFormat="false" ht="17.15" hidden="false" customHeight="false" outlineLevel="0" collapsed="false">
      <c r="A4087" s="42" t="s">
        <v>705</v>
      </c>
      <c r="B4087" s="13" t="s">
        <v>27</v>
      </c>
      <c r="C4087" s="43" t="n">
        <f aca="false">Sens!$C$4085/Sens!$C$4086</f>
        <v>5.52635015390355</v>
      </c>
      <c r="D4087" s="43" t="n">
        <f aca="false">Sens!$D$4085/Sens!$D$4086</f>
        <v>7.1737323358271</v>
      </c>
      <c r="E4087" s="43" t="n">
        <f aca="false">Sens!$E$4085/Sens!$E$4086</f>
        <v>8.53212104513937</v>
      </c>
      <c r="F4087" s="13"/>
      <c r="G4087" s="43" t="n">
        <f aca="false">Sens!$G$4085/Sens!$G$4086</f>
        <v>12.9837886196495</v>
      </c>
      <c r="H4087" s="43" t="n">
        <f aca="false">Sens!$H$4085/Sens!$H$4086</f>
        <v>9.82070910433845</v>
      </c>
      <c r="I4087" s="43" t="n">
        <f aca="false">Sens!$I$4085/Sens!$I$4086</f>
        <v>11.3342370123692</v>
      </c>
      <c r="J4087" s="43" t="n">
        <f aca="false">Sens!$J$4085/Sens!$J$4086</f>
        <v>12.7271326215915</v>
      </c>
      <c r="K4087" s="43" t="n">
        <f aca="false">Sens!$K$4085/Sens!$K$4086</f>
        <v>13.9108970811899</v>
      </c>
      <c r="L4087" s="43" t="n">
        <f aca="false">Sens!$L$4085/Sens!$L$4086</f>
        <v>15.4407210609232</v>
      </c>
      <c r="M4087" s="43" t="n">
        <f aca="false">Sens!$M$4085/Sens!$M$4086</f>
        <v>17.0292684197861</v>
      </c>
      <c r="N4087" s="13"/>
      <c r="O4087" s="13"/>
    </row>
    <row r="4088" customFormat="false" ht="17.15" hidden="false" customHeight="false" outlineLevel="0" collapsed="false">
      <c r="A4088" s="0" t="s">
        <v>706</v>
      </c>
      <c r="B4088" s="0" t="s">
        <v>27</v>
      </c>
      <c r="C4088" s="30" t="n">
        <f aca="false">(Sens!$C$4085-Sens!$C$4082*(1-tax))/Sens!$C$4086</f>
        <v>5.33926775917445</v>
      </c>
      <c r="D4088" s="30" t="n">
        <f aca="false">(Sens!$D$4085-Sens!$D$4082*(1-tax))/Sens!$D$4086</f>
        <v>5.67691812755503</v>
      </c>
      <c r="E4088" s="30" t="n">
        <f aca="false">(Sens!$E$4085-Sens!$E$4082*(1-tax))/Sens!$E$4086</f>
        <v>3.10602057006846</v>
      </c>
      <c r="G4088" s="30" t="n">
        <f aca="false">(Sens!$G$4085-Sens!$G$4082*(1-tax))/Sens!$G$4086</f>
        <v>7.57572050175252</v>
      </c>
      <c r="H4088" s="30" t="n">
        <f aca="false">(Sens!$H$4085-Sens!$H$4082*(1-tax))/Sens!$H$4086</f>
        <v>9.82070910433845</v>
      </c>
      <c r="I4088" s="30" t="n">
        <f aca="false">(Sens!$I$4085-Sens!$I$4082*(1-tax))/Sens!$I$4086</f>
        <v>11.3342370123692</v>
      </c>
      <c r="J4088" s="30" t="n">
        <f aca="false">(Sens!$J$4085-Sens!$J$4082*(1-tax))/Sens!$J$4086</f>
        <v>12.7271326215915</v>
      </c>
      <c r="K4088" s="30" t="n">
        <f aca="false">(Sens!$K$4085-Sens!$K$4082*(1-tax))/Sens!$K$4086</f>
        <v>13.9108970811899</v>
      </c>
      <c r="L4088" s="30" t="n">
        <f aca="false">(Sens!$L$4085-Sens!$L$4082*(1-tax))/Sens!$L$4086</f>
        <v>15.4407210609232</v>
      </c>
      <c r="M4088" s="30" t="n">
        <f aca="false">(Sens!$M$4085-Sens!$M$4082*(1-tax))/Sens!$M$4086</f>
        <v>17.0292684197861</v>
      </c>
      <c r="P4088" s="5" t="s">
        <v>707</v>
      </c>
    </row>
    <row r="4089" customFormat="false" ht="17.15" hidden="false" customHeight="false" outlineLevel="0" collapsed="false">
      <c r="A4089" s="0" t="s">
        <v>708</v>
      </c>
      <c r="B4089" s="0" t="s">
        <v>52</v>
      </c>
      <c r="H4089" s="12" t="n">
        <f aca="false">Sens!$H$4087/Sens!$G$4087-1</f>
        <v>-0.2436176071539</v>
      </c>
      <c r="I4089" s="12" t="n">
        <f aca="false">Sens!$I$4087/Sens!$H$4087-1</f>
        <v>0.154115949464604</v>
      </c>
      <c r="J4089" s="12" t="n">
        <f aca="false">Sens!$J$4087/Sens!$I$4087-1</f>
        <v>0.122892754730832</v>
      </c>
      <c r="K4089" s="12" t="n">
        <f aca="false">Sens!$K$4087/Sens!$J$4087-1</f>
        <v>0.0930110885770294</v>
      </c>
      <c r="L4089" s="12" t="n">
        <f aca="false">Sens!$L$4087/Sens!$K$4087-1</f>
        <v>0.109973064339748</v>
      </c>
      <c r="M4089" s="12" t="n">
        <f aca="false">Sens!$M$4087/Sens!$L$4087-1</f>
        <v>0.102880387036013</v>
      </c>
    </row>
    <row r="4092" customFormat="false" ht="19.4" hidden="false" customHeight="false" outlineLevel="0" collapsed="false">
      <c r="A4092" s="31" t="s">
        <v>1131</v>
      </c>
    </row>
    <row r="4093" customFormat="false" ht="17.15" hidden="false" customHeight="false" outlineLevel="0" collapsed="false">
      <c r="A4093" s="6" t="s">
        <v>16</v>
      </c>
      <c r="B4093" s="6" t="s">
        <v>17</v>
      </c>
      <c r="C4093" s="20" t="s">
        <v>457</v>
      </c>
      <c r="D4093" s="20" t="s">
        <v>458</v>
      </c>
      <c r="E4093" s="20" t="s">
        <v>540</v>
      </c>
      <c r="F4093" s="20" t="s">
        <v>541</v>
      </c>
      <c r="G4093" s="20" t="s">
        <v>542</v>
      </c>
      <c r="H4093" s="20" t="s">
        <v>543</v>
      </c>
      <c r="I4093" s="20" t="s">
        <v>544</v>
      </c>
      <c r="J4093" s="20" t="s">
        <v>545</v>
      </c>
      <c r="K4093" s="20" t="s">
        <v>546</v>
      </c>
      <c r="L4093" s="20" t="s">
        <v>547</v>
      </c>
      <c r="M4093" s="20" t="s">
        <v>548</v>
      </c>
      <c r="N4093" s="20" t="s">
        <v>549</v>
      </c>
      <c r="O4093" s="20" t="s">
        <v>550</v>
      </c>
      <c r="P4093" s="6" t="s">
        <v>23</v>
      </c>
      <c r="R4093" s="20" t="n">
        <v>2023</v>
      </c>
      <c r="S4093" s="20" t="n">
        <v>2024</v>
      </c>
      <c r="T4093" s="20" t="n">
        <v>2025</v>
      </c>
      <c r="U4093" s="20" t="n">
        <v>2026</v>
      </c>
      <c r="V4093" s="20" t="n">
        <v>2027</v>
      </c>
      <c r="W4093" s="20" t="n">
        <v>2028</v>
      </c>
      <c r="X4093" s="20" t="n">
        <v>2029</v>
      </c>
      <c r="Y4093" s="20" t="n">
        <v>2030</v>
      </c>
      <c r="Z4093" s="20" t="n">
        <v>2031</v>
      </c>
      <c r="AA4093" s="20" t="n">
        <v>2032</v>
      </c>
    </row>
    <row r="4094" customFormat="false" ht="15" hidden="false" customHeight="false" outlineLevel="0" collapsed="false">
      <c r="A4094" s="5" t="s">
        <v>509</v>
      </c>
      <c r="B4094" s="0" t="s">
        <v>73</v>
      </c>
      <c r="C4094" s="38" t="n">
        <f aca="false">Sens!$C$4085</f>
        <v>59.248</v>
      </c>
      <c r="D4094" s="38" t="n">
        <f aca="false">Sens!$D$4085</f>
        <v>77.67</v>
      </c>
      <c r="E4094" s="38" t="n">
        <f aca="false">Sens!$E$4085</f>
        <v>92.902</v>
      </c>
      <c r="F4094" s="38" t="n">
        <f aca="false">Sens!$F$4085</f>
        <v>48.9433718146785</v>
      </c>
      <c r="G4094" s="38" t="n">
        <f aca="false">Sens!$G$4085</f>
        <v>141.845371814679</v>
      </c>
      <c r="H4094" s="38" t="n">
        <f aca="false">Sens!$H$4085</f>
        <v>108.14765648131</v>
      </c>
      <c r="I4094" s="38" t="n">
        <f aca="false">Sens!$I$4085</f>
        <v>125.813454724237</v>
      </c>
      <c r="J4094" s="38" t="n">
        <f aca="false">Sens!$J$4085</f>
        <v>142.405216891562</v>
      </c>
      <c r="K4094" s="38" t="n">
        <f aca="false">Sens!$K$4085</f>
        <v>156.895684982763</v>
      </c>
      <c r="L4094" s="38" t="n">
        <f aca="false">Sens!$L$4085</f>
        <v>175.543184115937</v>
      </c>
      <c r="M4094" s="38" t="n">
        <f aca="false">Sens!$M$4085</f>
        <v>195.151959918034</v>
      </c>
    </row>
    <row r="4095" customFormat="false" ht="17.15" hidden="false" customHeight="false" outlineLevel="0" collapsed="false">
      <c r="A4095" s="5" t="s">
        <v>730</v>
      </c>
      <c r="B4095" s="0" t="s">
        <v>73</v>
      </c>
      <c r="C4095" s="38" t="n">
        <f aca="false">Sens!$C$4073</f>
        <v>32.067</v>
      </c>
      <c r="D4095" s="38" t="n">
        <f aca="false">Sens!$D$4073</f>
        <v>41.86</v>
      </c>
      <c r="E4095" s="38" t="n">
        <f aca="false">Sens!$E$4073</f>
        <v>26.703</v>
      </c>
      <c r="F4095" s="38" t="n">
        <f aca="false">Sens!$F$4073</f>
        <v>30.6103857251209</v>
      </c>
      <c r="G4095" s="38" t="n">
        <f aca="false">Sens!$G$4073</f>
        <v>57.3133857251209</v>
      </c>
      <c r="H4095" s="38" t="n">
        <f aca="false">Sens!$H$4073</f>
        <v>87.6845218193838</v>
      </c>
      <c r="I4095" s="38" t="n">
        <f aca="false">Sens!$I$4073</f>
        <v>122.294769708638</v>
      </c>
      <c r="J4095" s="38" t="n">
        <f aca="false">Sens!$J$4073</f>
        <v>157.133962573221</v>
      </c>
      <c r="K4095" s="38" t="n">
        <f aca="false">Sens!$K$4073</f>
        <v>191.350633353599</v>
      </c>
      <c r="L4095" s="38" t="n">
        <f aca="false">Sens!$L$4073</f>
        <v>223.909238335354</v>
      </c>
      <c r="M4095" s="38" t="n">
        <f aca="false">Sens!$M$4073</f>
        <v>257.576319867276</v>
      </c>
    </row>
    <row r="4096" customFormat="false" ht="15" hidden="false" customHeight="false" outlineLevel="0" collapsed="false">
      <c r="A4096" s="5" t="s">
        <v>731</v>
      </c>
      <c r="B4096" s="0" t="s">
        <v>73</v>
      </c>
      <c r="C4096" s="38" t="n">
        <f aca="false">Q!$D$48</f>
        <v>22.011</v>
      </c>
      <c r="D4096" s="38" t="n">
        <f aca="false">Q!$E$48</f>
        <v>19.467</v>
      </c>
      <c r="E4096" s="38" t="n">
        <f aca="false">Q!$P$48</f>
        <v>10.07</v>
      </c>
      <c r="F4096" s="38" t="n">
        <f aca="false">sbc_r*Sens!$F$4017</f>
        <v>11.2170714500462</v>
      </c>
      <c r="G4096" s="38" t="n">
        <f aca="false">Sens!$E$4096+Sens!$F$4096</f>
        <v>21.2870714500462</v>
      </c>
      <c r="H4096" s="38" t="n">
        <f aca="false">sbc_r*Sens!$H$4017</f>
        <v>24.1772394325528</v>
      </c>
      <c r="I4096" s="38" t="n">
        <f aca="false">sbc_r*Sens!$I$4017</f>
        <v>27.6495284422397</v>
      </c>
      <c r="J4096" s="38" t="n">
        <f aca="false">sbc_r*Sens!$J$4017</f>
        <v>30.9042211184633</v>
      </c>
      <c r="K4096" s="38" t="n">
        <f aca="false">sbc_r*Sens!$K$4017</f>
        <v>33.8004145402678</v>
      </c>
      <c r="L4096" s="38" t="n">
        <f aca="false">sbc_r*Sens!$L$4017</f>
        <v>36.8322537652494</v>
      </c>
      <c r="M4096" s="38" t="n">
        <f aca="false">sbc_r*Sens!$M$4017</f>
        <v>40.0097627968013</v>
      </c>
    </row>
    <row r="4097" customFormat="false" ht="17.15" hidden="false" customHeight="false" outlineLevel="0" collapsed="false">
      <c r="A4097" s="5" t="s">
        <v>732</v>
      </c>
      <c r="B4097" s="0" t="s">
        <v>73</v>
      </c>
      <c r="C4097" s="38" t="n">
        <f aca="false">Q!$D$44-Sens!$C$4094-Sens!$C$4095-Sens!$C$4096</f>
        <v>2.551</v>
      </c>
      <c r="D4097" s="38" t="n">
        <f aca="false">Q!$E$44-Sens!$D$4094-Sens!$D$4095-Sens!$D$4096</f>
        <v>0.51700000000001</v>
      </c>
      <c r="E4097" s="38" t="n">
        <f aca="false">Q!$P$44-Sens!$E$4094-Sens!$E$4095-Sens!$E$4096</f>
        <v>-58.256</v>
      </c>
      <c r="F4097" s="38" t="n">
        <f aca="false">wc_2h26+oth_r*Sens!$F$4017</f>
        <v>7.34599241893378</v>
      </c>
      <c r="G4097" s="38" t="n">
        <f aca="false">Sens!$E$4097+Sens!$F$4097</f>
        <v>-50.9100075810662</v>
      </c>
      <c r="H4097" s="38" t="n">
        <f aca="false">oth_r*Sens!$H$4017</f>
        <v>11.6369707537667</v>
      </c>
      <c r="I4097" s="38" t="n">
        <f aca="false">oth_r*Sens!$I$4017</f>
        <v>13.3082502961262</v>
      </c>
      <c r="J4097" s="38" t="n">
        <f aca="false">oth_r*Sens!$J$4017</f>
        <v>14.8747965344332</v>
      </c>
      <c r="K4097" s="38" t="n">
        <f aca="false">oth_r*Sens!$K$4017</f>
        <v>16.2687901804328</v>
      </c>
      <c r="L4097" s="38" t="n">
        <f aca="false">oth_r*Sens!$L$4017</f>
        <v>17.7280727627002</v>
      </c>
      <c r="M4097" s="38" t="n">
        <f aca="false">oth_r*Sens!$M$4017</f>
        <v>19.2574690270319</v>
      </c>
      <c r="P4097" s="8" t="s">
        <v>733</v>
      </c>
    </row>
    <row r="4098" customFormat="false" ht="15" hidden="false" customHeight="false" outlineLevel="0" collapsed="false">
      <c r="A4098" s="3" t="s">
        <v>515</v>
      </c>
      <c r="B4098" s="8" t="s">
        <v>73</v>
      </c>
      <c r="C4098" s="38" t="n">
        <f aca="false">Q!$D$44</f>
        <v>115.877</v>
      </c>
      <c r="D4098" s="38" t="n">
        <f aca="false">Q!$E$44</f>
        <v>139.514</v>
      </c>
      <c r="E4098" s="38" t="n">
        <f aca="false">Q!$P$44</f>
        <v>71.419</v>
      </c>
      <c r="F4098" s="38" t="n">
        <f aca="false">Sens!$F$4094+Sens!$F$4095+Sens!$F$4096+Sens!$F$4097</f>
        <v>98.1168214087795</v>
      </c>
      <c r="G4098" s="38" t="n">
        <f aca="false">Sens!$E$4098+Sens!$F$4098</f>
        <v>169.535821408779</v>
      </c>
      <c r="H4098" s="38" t="n">
        <f aca="false">Sens!$H$4094+Sens!$H$4095+Sens!$H$4096+Sens!$H$4097</f>
        <v>231.646388487013</v>
      </c>
      <c r="I4098" s="38" t="n">
        <f aca="false">Sens!$I$4094+Sens!$I$4095+Sens!$I$4096+Sens!$I$4097</f>
        <v>289.066003171241</v>
      </c>
      <c r="J4098" s="38" t="n">
        <f aca="false">Sens!$J$4094+Sens!$J$4095+Sens!$J$4096+Sens!$J$4097</f>
        <v>345.318197117679</v>
      </c>
      <c r="K4098" s="38" t="n">
        <f aca="false">Sens!$K$4094+Sens!$K$4095+Sens!$K$4096+Sens!$K$4097</f>
        <v>398.315523057063</v>
      </c>
      <c r="L4098" s="38" t="n">
        <f aca="false">Sens!$L$4094+Sens!$L$4095+Sens!$L$4096+Sens!$L$4097</f>
        <v>454.012748979241</v>
      </c>
      <c r="M4098" s="38" t="n">
        <f aca="false">Sens!$M$4094+Sens!$M$4095+Sens!$M$4096+Sens!$M$4097</f>
        <v>511.995511609143</v>
      </c>
    </row>
    <row r="4099" customFormat="false" ht="17.15" hidden="false" customHeight="false" outlineLevel="0" collapsed="false">
      <c r="A4099" s="5" t="s">
        <v>734</v>
      </c>
      <c r="B4099" s="0" t="s">
        <v>73</v>
      </c>
      <c r="C4099" s="38" t="n">
        <f aca="false">Sens!$C$3987</f>
        <v>25.2781053077374</v>
      </c>
      <c r="D4099" s="38" t="n">
        <f aca="false">Sens!$D$3987</f>
        <v>69.5686316310026</v>
      </c>
      <c r="E4099" s="38" t="n">
        <f aca="false">Sens!$E$3987</f>
        <v>64.1899206485108</v>
      </c>
      <c r="F4099" s="38" t="n">
        <f aca="false">Sens!$F$3987</f>
        <v>96.2481299895</v>
      </c>
      <c r="G4099" s="38" t="n">
        <f aca="false">Sens!$G$3987</f>
        <v>160.438050638011</v>
      </c>
      <c r="H4099" s="38" t="n">
        <f aca="false">Sens!$H$3987</f>
        <v>198.57136494475</v>
      </c>
      <c r="I4099" s="38" t="n">
        <f aca="false">Sens!$I$3987</f>
        <v>204.6464699105</v>
      </c>
      <c r="J4099" s="38" t="n">
        <f aca="false">Sens!$J$3987</f>
        <v>209.8832381105</v>
      </c>
      <c r="K4099" s="38" t="n">
        <f aca="false">Sens!$K$3987</f>
        <v>215.1200063105</v>
      </c>
      <c r="L4099" s="38" t="n">
        <f aca="false">Sens!$L$3987</f>
        <v>251.7773837105</v>
      </c>
      <c r="M4099" s="38" t="n">
        <f aca="false">Sens!$M$3987</f>
        <v>311.87584476575</v>
      </c>
    </row>
    <row r="4100" customFormat="false" ht="17.15" hidden="false" customHeight="false" outlineLevel="0" collapsed="false">
      <c r="A4100" s="5" t="s">
        <v>735</v>
      </c>
      <c r="B4100" s="0" t="s">
        <v>73</v>
      </c>
      <c r="C4100" s="38" t="n">
        <f aca="false">cx_awso*Sens!$C$4015</f>
        <v>21.0469989286053</v>
      </c>
      <c r="D4100" s="38" t="n">
        <f aca="false">cx_awso*Sens!$D$4015</f>
        <v>24.0042459822698</v>
      </c>
      <c r="E4100" s="38" t="n">
        <f aca="false">cx_awso*Sens!$E$4015</f>
        <v>14.261729404886</v>
      </c>
      <c r="F4100" s="38" t="n">
        <f aca="false">cx_awso*Sens!$F$4015</f>
        <v>15.7190020837331</v>
      </c>
      <c r="G4100" s="38" t="n">
        <f aca="false">Sens!$E$4100+Sens!$F$4100</f>
        <v>29.9807314886191</v>
      </c>
      <c r="H4100" s="38" t="n">
        <f aca="false">cx_awso*Sens!$H$4015</f>
        <v>36.1787121536283</v>
      </c>
      <c r="I4100" s="38" t="n">
        <f aca="false">cx_awso*Sens!$I$4015</f>
        <v>42.1296794430021</v>
      </c>
      <c r="J4100" s="38" t="n">
        <f aca="false">cx_awso*Sens!$J$4015</f>
        <v>47.279781889299</v>
      </c>
      <c r="K4100" s="38" t="n">
        <f aca="false">cx_awso*Sens!$K$4015</f>
        <v>51.0621644404429</v>
      </c>
      <c r="L4100" s="38" t="n">
        <f aca="false">cx_awso*Sens!$L$4015</f>
        <v>55.1471375956783</v>
      </c>
      <c r="M4100" s="38" t="n">
        <f aca="false">cx_awso*Sens!$M$4015</f>
        <v>59.5589086033326</v>
      </c>
    </row>
    <row r="4101" customFormat="false" ht="17.15" hidden="false" customHeight="false" outlineLevel="0" collapsed="false">
      <c r="A4101" s="5" t="s">
        <v>736</v>
      </c>
      <c r="B4101" s="0" t="s">
        <v>73</v>
      </c>
      <c r="C4101" s="38" t="n">
        <f aca="false">Q!$D$46-Sens!$C$4099-Sens!$C$4100</f>
        <v>31.3328957636573</v>
      </c>
      <c r="D4101" s="38" t="n">
        <f aca="false">Q!$E$46-Sens!$D$4099-Sens!$D$4100</f>
        <v>34.7471223867276</v>
      </c>
      <c r="E4101" s="38" t="n">
        <f aca="false">Q!$P$46-Sens!$E$4099-Sens!$E$4100</f>
        <v>17.8583499466032</v>
      </c>
      <c r="F4101" s="38" t="n">
        <f aca="false">cx_rt*Sens!$F$3951</f>
        <v>21.0855744229195</v>
      </c>
      <c r="G4101" s="38" t="n">
        <f aca="false">Sens!$E$4101+Sens!$F$4101</f>
        <v>38.9439243695228</v>
      </c>
      <c r="H4101" s="38" t="n">
        <f aca="false">cx_rt*Sens!$H$3951</f>
        <v>43.1200434029767</v>
      </c>
      <c r="I4101" s="38" t="n">
        <f aca="false">cx_rt*Sens!$I$3951</f>
        <v>47.1583152318763</v>
      </c>
      <c r="J4101" s="38" t="n">
        <f aca="false">cx_rt*Sens!$J$3951</f>
        <v>50.9060281137911</v>
      </c>
      <c r="K4101" s="38" t="n">
        <f aca="false">cx_rt*Sens!$K$3951</f>
        <v>54.2035645673053</v>
      </c>
      <c r="L4101" s="38" t="n">
        <f aca="false">cx_rt*Sens!$L$3951</f>
        <v>57.7318979121519</v>
      </c>
      <c r="M4101" s="38" t="n">
        <f aca="false">cx_rt*Sens!$M$3951</f>
        <v>61.5084196557756</v>
      </c>
    </row>
    <row r="4102" customFormat="false" ht="15" hidden="false" customHeight="false" outlineLevel="0" collapsed="false">
      <c r="A4102" s="3" t="s">
        <v>737</v>
      </c>
      <c r="B4102" s="8" t="s">
        <v>73</v>
      </c>
      <c r="C4102" s="38" t="n">
        <f aca="false">Q!$D$46</f>
        <v>77.658</v>
      </c>
      <c r="D4102" s="38" t="n">
        <f aca="false">Q!$E$46</f>
        <v>128.32</v>
      </c>
      <c r="E4102" s="38" t="n">
        <f aca="false">Q!$P$46</f>
        <v>96.31</v>
      </c>
      <c r="F4102" s="38" t="n">
        <f aca="false">Sens!$F$4099+Sens!$F$4100+Sens!$F$4101</f>
        <v>133.052706496153</v>
      </c>
      <c r="G4102" s="38" t="n">
        <f aca="false">Sens!$E$4102+Sens!$F$4102</f>
        <v>229.362706496153</v>
      </c>
      <c r="H4102" s="38" t="n">
        <f aca="false">Sens!$H$4099+Sens!$H$4100+Sens!$H$4101</f>
        <v>277.870120501355</v>
      </c>
      <c r="I4102" s="38" t="n">
        <f aca="false">Sens!$I$4099+Sens!$I$4100+Sens!$I$4101</f>
        <v>293.934464585378</v>
      </c>
      <c r="J4102" s="38" t="n">
        <f aca="false">Sens!$J$4099+Sens!$J$4100+Sens!$J$4101</f>
        <v>308.06904811359</v>
      </c>
      <c r="K4102" s="38" t="n">
        <f aca="false">Sens!$K$4099+Sens!$K$4100+Sens!$K$4101</f>
        <v>320.385735318248</v>
      </c>
      <c r="L4102" s="38" t="n">
        <f aca="false">Sens!$L$4099+Sens!$L$4100+Sens!$L$4101</f>
        <v>364.65641921833</v>
      </c>
      <c r="M4102" s="38" t="n">
        <f aca="false">Sens!$M$4099+Sens!$M$4100+Sens!$M$4101</f>
        <v>432.943173024858</v>
      </c>
    </row>
    <row r="4103" customFormat="false" ht="17.15" hidden="false" customHeight="false" outlineLevel="0" collapsed="false">
      <c r="A4103" s="5" t="s">
        <v>523</v>
      </c>
      <c r="B4103" s="0" t="s">
        <v>73</v>
      </c>
      <c r="C4103" s="38" t="n">
        <f aca="false">Q!$D$50</f>
        <v>2.043</v>
      </c>
      <c r="D4103" s="38" t="n">
        <f aca="false">Q!$E$50</f>
        <v>1.557</v>
      </c>
      <c r="E4103" s="38" t="n">
        <f aca="false">lease_pr/2</f>
        <v>0.8</v>
      </c>
      <c r="F4103" s="38" t="n">
        <f aca="false">lease_pr/2</f>
        <v>0.8</v>
      </c>
      <c r="G4103" s="38" t="n">
        <f aca="false">Sens!$E$4103+Sens!$F$4103</f>
        <v>1.6</v>
      </c>
      <c r="H4103" s="38" t="n">
        <f aca="false">lease_pr</f>
        <v>1.6</v>
      </c>
      <c r="I4103" s="38" t="n">
        <f aca="false">lease_pr</f>
        <v>1.6</v>
      </c>
      <c r="J4103" s="38" t="n">
        <f aca="false">lease_pr</f>
        <v>1.6</v>
      </c>
      <c r="K4103" s="38" t="n">
        <f aca="false">lease_pr</f>
        <v>1.6</v>
      </c>
      <c r="L4103" s="38" t="n">
        <f aca="false">lease_pr</f>
        <v>1.6</v>
      </c>
      <c r="M4103" s="38" t="n">
        <f aca="false">lease_pr</f>
        <v>1.6</v>
      </c>
      <c r="P4103" s="8" t="s">
        <v>738</v>
      </c>
    </row>
    <row r="4104" customFormat="false" ht="15" hidden="false" customHeight="false" outlineLevel="0" collapsed="false">
      <c r="A4104" s="46" t="s">
        <v>739</v>
      </c>
      <c r="B4104" s="13" t="s">
        <v>73</v>
      </c>
      <c r="C4104" s="47" t="n">
        <f aca="false">Sens!$C$4098-Sens!$C$4102-Sens!$C$4103</f>
        <v>36.176</v>
      </c>
      <c r="D4104" s="47" t="n">
        <f aca="false">Sens!$D$4098-Sens!$D$4102-Sens!$D$4103</f>
        <v>9.63700000000002</v>
      </c>
      <c r="E4104" s="47" t="n">
        <f aca="false">Sens!$E$4098-Sens!$E$4102-Sens!$E$4103</f>
        <v>-25.691</v>
      </c>
      <c r="F4104" s="47" t="n">
        <f aca="false">Sens!$F$4098-Sens!$F$4102-Sens!$F$4103</f>
        <v>-35.7358850873731</v>
      </c>
      <c r="G4104" s="47" t="n">
        <f aca="false">Sens!$G$4098-Sens!$G$4102-Sens!$G$4103</f>
        <v>-61.4268850873731</v>
      </c>
      <c r="H4104" s="47" t="n">
        <f aca="false">Sens!$H$4098-Sens!$H$4102-Sens!$H$4103</f>
        <v>-47.8237320143419</v>
      </c>
      <c r="I4104" s="47" t="n">
        <f aca="false">Sens!$I$4098-Sens!$I$4102-Sens!$I$4103</f>
        <v>-6.46846141413747</v>
      </c>
      <c r="J4104" s="47" t="n">
        <f aca="false">Sens!$J$4098-Sens!$J$4102-Sens!$J$4103</f>
        <v>35.6491490040889</v>
      </c>
      <c r="K4104" s="47" t="n">
        <f aca="false">Sens!$K$4098-Sens!$K$4102-Sens!$K$4103</f>
        <v>76.3297877388151</v>
      </c>
      <c r="L4104" s="47" t="n">
        <f aca="false">Sens!$L$4098-Sens!$L$4102-Sens!$L$4103</f>
        <v>87.7563297609113</v>
      </c>
      <c r="M4104" s="47" t="n">
        <f aca="false">Sens!$M$4098-Sens!$M$4102-Sens!$M$4103</f>
        <v>77.4523385842851</v>
      </c>
      <c r="N4104" s="13"/>
      <c r="O4104" s="13"/>
    </row>
    <row r="4105" customFormat="false" ht="17.15" hidden="false" customHeight="false" outlineLevel="0" collapsed="false">
      <c r="A4105" s="5" t="s">
        <v>740</v>
      </c>
      <c r="B4105" s="0" t="s">
        <v>73</v>
      </c>
      <c r="C4105" s="38" t="n">
        <f aca="false">dps*Sens!$C$4086</f>
        <v>0</v>
      </c>
      <c r="D4105" s="38" t="n">
        <f aca="false">dps*Sens!$D$4086</f>
        <v>0</v>
      </c>
      <c r="E4105" s="38" t="n">
        <f aca="false">dps*Sens!$E$4086</f>
        <v>0</v>
      </c>
      <c r="F4105" s="38" t="n">
        <f aca="false">0</f>
        <v>0</v>
      </c>
      <c r="G4105" s="38" t="n">
        <f aca="false">dps*Sens!$G$4086</f>
        <v>0</v>
      </c>
      <c r="H4105" s="38" t="n">
        <f aca="false">dps*Sens!$H$4086</f>
        <v>0</v>
      </c>
      <c r="I4105" s="38" t="n">
        <f aca="false">dps*Sens!$I$4086</f>
        <v>0</v>
      </c>
      <c r="J4105" s="38" t="n">
        <f aca="false">dps*Sens!$J$4086</f>
        <v>0</v>
      </c>
      <c r="K4105" s="38" t="n">
        <f aca="false">dps*Sens!$K$4086</f>
        <v>0</v>
      </c>
      <c r="L4105" s="38" t="n">
        <f aca="false">dps*Sens!$L$4086</f>
        <v>0</v>
      </c>
      <c r="M4105" s="38" t="n">
        <f aca="false">dps*Sens!$M$4086</f>
        <v>0</v>
      </c>
      <c r="P4105" s="8" t="s">
        <v>741</v>
      </c>
    </row>
    <row r="4106" customFormat="false" ht="17.15" hidden="false" customHeight="false" outlineLevel="0" collapsed="false">
      <c r="A4106" s="5" t="s">
        <v>742</v>
      </c>
      <c r="B4106" s="0" t="s">
        <v>73</v>
      </c>
      <c r="C4106" s="38" t="n">
        <f aca="false">0</f>
        <v>0</v>
      </c>
      <c r="D4106" s="38" t="n">
        <f aca="false">0</f>
        <v>0</v>
      </c>
      <c r="E4106" s="38" t="n">
        <f aca="false">0</f>
        <v>0</v>
      </c>
      <c r="F4106" s="38" t="n">
        <f aca="false">0</f>
        <v>0</v>
      </c>
      <c r="G4106" s="38" t="n">
        <f aca="false">0</f>
        <v>0</v>
      </c>
      <c r="H4106" s="38" t="n">
        <f aca="false">0</f>
        <v>0</v>
      </c>
      <c r="I4106" s="38" t="n">
        <f aca="false">0</f>
        <v>0</v>
      </c>
      <c r="J4106" s="38" t="n">
        <f aca="false">0</f>
        <v>0</v>
      </c>
      <c r="K4106" s="38" t="n">
        <f aca="false">0</f>
        <v>0</v>
      </c>
      <c r="L4106" s="38" t="n">
        <f aca="false">0</f>
        <v>0</v>
      </c>
      <c r="M4106" s="38" t="n">
        <f aca="false">0</f>
        <v>0</v>
      </c>
      <c r="P4106" s="8" t="s">
        <v>743</v>
      </c>
    </row>
    <row r="4107" customFormat="false" ht="15" hidden="false" customHeight="false" outlineLevel="0" collapsed="false">
      <c r="A4107" s="3" t="s">
        <v>744</v>
      </c>
      <c r="B4107" s="8" t="s">
        <v>73</v>
      </c>
      <c r="C4107" s="38" t="n">
        <f aca="false">Sens!$C$4104-Sens!$C$4105</f>
        <v>36.176</v>
      </c>
      <c r="D4107" s="38" t="n">
        <f aca="false">Sens!$D$4104-Sens!$D$4105</f>
        <v>9.63700000000002</v>
      </c>
      <c r="E4107" s="38" t="n">
        <f aca="false">Sens!$E$4104-Sens!$E$4105</f>
        <v>-25.691</v>
      </c>
      <c r="F4107" s="38" t="n">
        <f aca="false">Sens!$F$4104-Sens!$F$4105</f>
        <v>-35.7358850873731</v>
      </c>
      <c r="G4107" s="38" t="n">
        <f aca="false">Sens!$G$4104-Sens!$G$4105</f>
        <v>-61.4268850873731</v>
      </c>
      <c r="H4107" s="38" t="n">
        <f aca="false">Sens!$H$4104-Sens!$H$4105</f>
        <v>-47.8237320143419</v>
      </c>
      <c r="I4107" s="38" t="n">
        <f aca="false">Sens!$I$4104-Sens!$I$4105</f>
        <v>-6.46846141413747</v>
      </c>
      <c r="J4107" s="38" t="n">
        <f aca="false">Sens!$J$4104-Sens!$J$4105</f>
        <v>35.6491490040889</v>
      </c>
      <c r="K4107" s="38" t="n">
        <f aca="false">Sens!$K$4104-Sens!$K$4105</f>
        <v>76.3297877388151</v>
      </c>
      <c r="L4107" s="38" t="n">
        <f aca="false">Sens!$L$4104-Sens!$L$4105</f>
        <v>87.7563297609113</v>
      </c>
      <c r="M4107" s="38" t="n">
        <f aca="false">Sens!$M$4104-Sens!$M$4105</f>
        <v>77.4523385842851</v>
      </c>
    </row>
    <row r="4108" customFormat="false" ht="17.15" hidden="false" customHeight="false" outlineLevel="0" collapsed="false">
      <c r="A4108" s="5" t="s">
        <v>745</v>
      </c>
      <c r="B4108" s="0" t="s">
        <v>73</v>
      </c>
      <c r="E4108" s="38" t="n">
        <f aca="false">Q!$P$53</f>
        <v>39.767</v>
      </c>
      <c r="F4108" s="38" t="n">
        <f aca="false">inv_2h26</f>
        <v>21.3</v>
      </c>
      <c r="G4108" s="38" t="n">
        <f aca="false">Sens!$E$4108+Sens!$F$4108</f>
        <v>61.067</v>
      </c>
      <c r="H4108" s="41" t="n">
        <v>0</v>
      </c>
      <c r="I4108" s="41" t="n">
        <v>0</v>
      </c>
      <c r="J4108" s="41" t="n">
        <v>0</v>
      </c>
      <c r="K4108" s="41" t="n">
        <v>0</v>
      </c>
      <c r="L4108" s="41" t="n">
        <v>0</v>
      </c>
      <c r="M4108" s="41" t="n">
        <v>0</v>
      </c>
    </row>
    <row r="4109" customFormat="false" ht="17.15" hidden="false" customHeight="false" outlineLevel="0" collapsed="false">
      <c r="A4109" s="5" t="s">
        <v>746</v>
      </c>
      <c r="B4109" s="0" t="s">
        <v>73</v>
      </c>
      <c r="F4109" s="38" t="n">
        <f aca="false">iss_2h26</f>
        <v>29.25</v>
      </c>
      <c r="G4109" s="38" t="n">
        <f aca="false">Sens!$F$4109</f>
        <v>29.25</v>
      </c>
      <c r="H4109" s="41" t="n">
        <v>0</v>
      </c>
      <c r="I4109" s="41" t="n">
        <v>0</v>
      </c>
      <c r="J4109" s="41" t="n">
        <v>0</v>
      </c>
      <c r="K4109" s="41" t="n">
        <v>0</v>
      </c>
      <c r="L4109" s="41" t="n">
        <v>0</v>
      </c>
      <c r="M4109" s="41" t="n">
        <v>0</v>
      </c>
    </row>
    <row r="4110" customFormat="false" ht="17.15" hidden="false" customHeight="false" outlineLevel="0" collapsed="false">
      <c r="A4110" s="5" t="s">
        <v>747</v>
      </c>
      <c r="B4110" s="0" t="s">
        <v>73</v>
      </c>
      <c r="F4110" s="38" t="n">
        <f aca="false">cash_q2</f>
        <v>122.988</v>
      </c>
      <c r="G4110" s="38" t="n">
        <f aca="false">cash_q2</f>
        <v>122.988</v>
      </c>
      <c r="H4110" s="38" t="n">
        <f aca="false">Sens!$G$4113</f>
        <v>95.2021149126269</v>
      </c>
      <c r="I4110" s="38" t="n">
        <f aca="false">Sens!$H$4113</f>
        <v>50</v>
      </c>
      <c r="J4110" s="38" t="n">
        <f aca="false">Sens!$I$4113</f>
        <v>50</v>
      </c>
      <c r="K4110" s="38" t="n">
        <f aca="false">Sens!$J$4113</f>
        <v>85.6491490040889</v>
      </c>
      <c r="L4110" s="38" t="n">
        <f aca="false">Sens!$K$4113</f>
        <v>161.978936742904</v>
      </c>
      <c r="M4110" s="38" t="n">
        <f aca="false">Sens!$L$4113</f>
        <v>249.735266503815</v>
      </c>
    </row>
    <row r="4111" customFormat="false" ht="15" hidden="false" customHeight="false" outlineLevel="0" collapsed="false">
      <c r="A4111" s="5" t="s">
        <v>748</v>
      </c>
      <c r="B4111" s="0" t="s">
        <v>73</v>
      </c>
      <c r="F4111" s="38" t="n">
        <f aca="false">Sens!$F$4110+Sens!$F$4107-Sens!$F$4106-Sens!$F$4108+Sens!$F$4109</f>
        <v>95.2021149126269</v>
      </c>
      <c r="H4111" s="38" t="n">
        <f aca="false">Sens!$H$4110+Sens!$H$4107-Sens!$H$4106-Sens!$H$4108+Sens!$H$4109</f>
        <v>47.378382898285</v>
      </c>
      <c r="I4111" s="38" t="n">
        <f aca="false">Sens!$I$4110+Sens!$I$4107-Sens!$I$4106-Sens!$I$4108+Sens!$I$4109</f>
        <v>43.5315385858625</v>
      </c>
      <c r="J4111" s="38" t="n">
        <f aca="false">Sens!$J$4110+Sens!$J$4107-Sens!$J$4106-Sens!$J$4108+Sens!$J$4109</f>
        <v>85.6491490040889</v>
      </c>
      <c r="K4111" s="38" t="n">
        <f aca="false">Sens!$K$4110+Sens!$K$4107-Sens!$K$4106-Sens!$K$4108+Sens!$K$4109</f>
        <v>161.978936742904</v>
      </c>
      <c r="L4111" s="38" t="n">
        <f aca="false">Sens!$L$4110+Sens!$L$4107-Sens!$L$4106-Sens!$L$4108+Sens!$L$4109</f>
        <v>249.735266503815</v>
      </c>
      <c r="M4111" s="38" t="n">
        <f aca="false">Sens!$M$4110+Sens!$M$4107-Sens!$M$4106-Sens!$M$4108+Sens!$M$4109</f>
        <v>327.1876050881</v>
      </c>
    </row>
    <row r="4112" customFormat="false" ht="17.15" hidden="false" customHeight="false" outlineLevel="0" collapsed="false">
      <c r="A4112" s="5" t="s">
        <v>749</v>
      </c>
      <c r="B4112" s="0" t="s">
        <v>73</v>
      </c>
      <c r="F4112" s="38" t="n">
        <f aca="false">MAX(0,min_cash-Sens!$F$4111)</f>
        <v>0</v>
      </c>
      <c r="G4112" s="38" t="n">
        <f aca="false">Sens!$F$4112</f>
        <v>0</v>
      </c>
      <c r="H4112" s="38" t="n">
        <f aca="false">MAX(0,min_cash-Sens!$H$4111)</f>
        <v>2.62161710171498</v>
      </c>
      <c r="I4112" s="38" t="n">
        <f aca="false">MAX(0,min_cash-Sens!$I$4111)</f>
        <v>6.46846141413747</v>
      </c>
      <c r="J4112" s="38" t="n">
        <f aca="false">MAX(0,min_cash-Sens!$J$4111)</f>
        <v>0</v>
      </c>
      <c r="K4112" s="38" t="n">
        <f aca="false">MAX(0,min_cash-Sens!$K$4111)</f>
        <v>0</v>
      </c>
      <c r="L4112" s="38" t="n">
        <f aca="false">MAX(0,min_cash-Sens!$L$4111)</f>
        <v>0</v>
      </c>
      <c r="M4112" s="38" t="n">
        <f aca="false">MAX(0,min_cash-Sens!$M$4111)</f>
        <v>0</v>
      </c>
      <c r="P4112" s="5" t="s">
        <v>750</v>
      </c>
    </row>
    <row r="4113" customFormat="false" ht="15" hidden="false" customHeight="false" outlineLevel="0" collapsed="false">
      <c r="A4113" s="5" t="s">
        <v>751</v>
      </c>
      <c r="B4113" s="0" t="s">
        <v>73</v>
      </c>
      <c r="D4113" s="38" t="n">
        <f aca="false">Q!$E$61</f>
        <v>123.029</v>
      </c>
      <c r="E4113" s="38" t="n">
        <f aca="false">Q!$M$61</f>
        <v>122.988</v>
      </c>
      <c r="F4113" s="38" t="n">
        <f aca="false">Sens!$F$4111+Sens!$F$4112</f>
        <v>95.2021149126269</v>
      </c>
      <c r="G4113" s="38" t="n">
        <f aca="false">Sens!$F$4113</f>
        <v>95.2021149126269</v>
      </c>
      <c r="H4113" s="38" t="n">
        <f aca="false">Sens!$H$4111+Sens!$H$4112</f>
        <v>50</v>
      </c>
      <c r="I4113" s="38" t="n">
        <f aca="false">Sens!$I$4111+Sens!$I$4112</f>
        <v>50</v>
      </c>
      <c r="J4113" s="38" t="n">
        <f aca="false">Sens!$J$4111+Sens!$J$4112</f>
        <v>85.6491490040889</v>
      </c>
      <c r="K4113" s="38" t="n">
        <f aca="false">Sens!$K$4111+Sens!$K$4112</f>
        <v>161.978936742904</v>
      </c>
      <c r="L4113" s="38" t="n">
        <f aca="false">Sens!$L$4111+Sens!$L$4112</f>
        <v>249.735266503815</v>
      </c>
      <c r="M4113" s="38" t="n">
        <f aca="false">Sens!$M$4111+Sens!$M$4112</f>
        <v>327.1876050881</v>
      </c>
    </row>
    <row r="4114" customFormat="false" ht="15" hidden="false" customHeight="false" outlineLevel="0" collapsed="false">
      <c r="A4114" s="5" t="s">
        <v>752</v>
      </c>
      <c r="B4114" s="0" t="s">
        <v>73</v>
      </c>
      <c r="D4114" s="38" t="n">
        <f aca="false">Q!$E$62</f>
        <v>68.836</v>
      </c>
      <c r="E4114" s="38" t="n">
        <f aca="false">Q!$M$62</f>
        <v>132.995</v>
      </c>
      <c r="F4114" s="38" t="n">
        <f aca="false">debt_q2+Sens!$F$4109+Sens!$F$4112</f>
        <v>162.245</v>
      </c>
      <c r="G4114" s="38" t="n">
        <f aca="false">Sens!$F$4114</f>
        <v>162.245</v>
      </c>
      <c r="H4114" s="38" t="n">
        <f aca="false">Sens!$G$4114+Sens!$H$4112</f>
        <v>164.866617101715</v>
      </c>
      <c r="I4114" s="38" t="n">
        <f aca="false">Sens!$H$4114+Sens!$I$4112</f>
        <v>171.335078515852</v>
      </c>
      <c r="J4114" s="38" t="n">
        <f aca="false">Sens!$I$4114+Sens!$J$4112</f>
        <v>171.335078515852</v>
      </c>
      <c r="K4114" s="38" t="n">
        <f aca="false">Sens!$J$4114+Sens!$K$4112</f>
        <v>171.335078515852</v>
      </c>
      <c r="L4114" s="38" t="n">
        <f aca="false">Sens!$K$4114+Sens!$L$4112</f>
        <v>171.335078515852</v>
      </c>
      <c r="M4114" s="38" t="n">
        <f aca="false">Sens!$L$4114+Sens!$M$4112</f>
        <v>171.335078515852</v>
      </c>
    </row>
    <row r="4115" customFormat="false" ht="15" hidden="false" customHeight="false" outlineLevel="0" collapsed="false">
      <c r="A4115" s="5" t="s">
        <v>753</v>
      </c>
      <c r="B4115" s="0" t="s">
        <v>73</v>
      </c>
      <c r="D4115" s="38" t="n">
        <f aca="false">Sens!$D$4114-Sens!$D$4113</f>
        <v>-54.193</v>
      </c>
      <c r="E4115" s="38" t="n">
        <f aca="false">Sens!$E$4114-Sens!$E$4113</f>
        <v>10.007</v>
      </c>
      <c r="F4115" s="38" t="n">
        <f aca="false">Sens!$F$4114-Sens!$F$4113</f>
        <v>67.0428850873731</v>
      </c>
      <c r="G4115" s="38" t="n">
        <f aca="false">Sens!$G$4114-Sens!$G$4113</f>
        <v>67.0428850873731</v>
      </c>
      <c r="H4115" s="38" t="n">
        <f aca="false">Sens!$H$4114-Sens!$H$4113</f>
        <v>114.866617101715</v>
      </c>
      <c r="I4115" s="38" t="n">
        <f aca="false">Sens!$I$4114-Sens!$I$4113</f>
        <v>121.335078515852</v>
      </c>
      <c r="J4115" s="38" t="n">
        <f aca="false">Sens!$J$4114-Sens!$J$4113</f>
        <v>85.6859295117636</v>
      </c>
      <c r="K4115" s="38" t="n">
        <f aca="false">Sens!$K$4114-Sens!$K$4113</f>
        <v>9.35614177294849</v>
      </c>
      <c r="L4115" s="38" t="n">
        <f aca="false">Sens!$L$4114-Sens!$L$4113</f>
        <v>-78.4001879879628</v>
      </c>
      <c r="M4115" s="38" t="n">
        <f aca="false">Sens!$M$4114-Sens!$M$4113</f>
        <v>-155.852526572248</v>
      </c>
    </row>
    <row r="4116" customFormat="false" ht="17.15" hidden="false" customHeight="false" outlineLevel="0" collapsed="false">
      <c r="A4116" s="5" t="s">
        <v>754</v>
      </c>
      <c r="B4116" s="0" t="s">
        <v>73</v>
      </c>
      <c r="F4116" s="38" t="n">
        <f aca="false">debt_q2*kd_book*0.5+iss_2h26*kd_new*0.25</f>
        <v>3.24888964316061</v>
      </c>
      <c r="H4116" s="38" t="n">
        <f aca="false">debt_q2*kd_book+(Sens!$G$4114-debt_q2)*kd_new</f>
        <v>7.42354178632123</v>
      </c>
      <c r="I4116" s="38" t="n">
        <f aca="false">debt_q2*kd_book+(Sens!$H$4114-debt_q2)*kd_new</f>
        <v>7.58949014885979</v>
      </c>
      <c r="J4116" s="38" t="n">
        <f aca="false">debt_q2*kd_book+(Sens!$I$4114-debt_q2)*kd_new</f>
        <v>7.99894375637469</v>
      </c>
      <c r="K4116" s="38" t="n">
        <f aca="false">debt_q2*kd_book+(Sens!$J$4114-debt_q2)*kd_new</f>
        <v>7.99894375637469</v>
      </c>
      <c r="L4116" s="38" t="n">
        <f aca="false">debt_q2*kd_book+(Sens!$K$4114-debt_q2)*kd_new</f>
        <v>7.99894375637469</v>
      </c>
      <c r="M4116" s="38" t="n">
        <f aca="false">debt_q2*kd_book+(Sens!$L$4114-debt_q2)*kd_new</f>
        <v>7.99894375637469</v>
      </c>
    </row>
    <row r="4117" customFormat="false" ht="17.15" hidden="false" customHeight="false" outlineLevel="0" collapsed="false">
      <c r="A4117" s="5" t="s">
        <v>755</v>
      </c>
      <c r="B4117" s="0" t="s">
        <v>73</v>
      </c>
      <c r="F4117" s="38" t="n">
        <f aca="false">cash_q2*y_cash*0.5</f>
        <v>2.59</v>
      </c>
      <c r="H4117" s="38" t="n">
        <f aca="false">Sens!$G$4113*y_cash</f>
        <v>4.00971603121774</v>
      </c>
      <c r="I4117" s="38" t="n">
        <f aca="false">Sens!$H$4113*y_cash</f>
        <v>2.10589651022864</v>
      </c>
      <c r="J4117" s="38" t="n">
        <f aca="false">Sens!$I$4113*y_cash</f>
        <v>2.10589651022864</v>
      </c>
      <c r="K4117" s="38" t="n">
        <f aca="false">Sens!$J$4113*y_cash</f>
        <v>3.60736487983527</v>
      </c>
      <c r="L4117" s="38" t="n">
        <f aca="false">Sens!$K$4113*y_cash</f>
        <v>6.82221755234854</v>
      </c>
      <c r="M4117" s="38" t="n">
        <f aca="false">Sens!$L$4113*y_cash</f>
        <v>10.5183325242281</v>
      </c>
    </row>
    <row r="4118" customFormat="false" ht="17.15" hidden="false" customHeight="false" outlineLevel="0" collapsed="false">
      <c r="A4118" s="46" t="s">
        <v>756</v>
      </c>
      <c r="B4118" s="13" t="s">
        <v>73</v>
      </c>
      <c r="C4118" s="13"/>
      <c r="D4118" s="13"/>
      <c r="E4118" s="13"/>
      <c r="F4118" s="13"/>
      <c r="G4118" s="47" t="n">
        <f aca="false">SUM(Sens!$G$4107:$K$4107)</f>
        <v>-3.74014177294853</v>
      </c>
      <c r="H4118" s="13"/>
      <c r="I4118" s="13"/>
      <c r="J4118" s="13"/>
      <c r="K4118" s="13"/>
      <c r="L4118" s="13"/>
      <c r="M4118" s="13"/>
      <c r="N4118" s="13"/>
      <c r="O4118" s="13"/>
    </row>
    <row r="4119" customFormat="false" ht="17.15" hidden="false" customHeight="false" outlineLevel="0" collapsed="false">
      <c r="A4119" s="0" t="s">
        <v>723</v>
      </c>
      <c r="B4119" s="0" t="s">
        <v>73</v>
      </c>
      <c r="G4119" s="38" t="n">
        <f aca="false">SUM(Sens!$G$4112:$K$4112)</f>
        <v>9.09007851585245</v>
      </c>
    </row>
    <row r="4122" customFormat="false" ht="19.4" hidden="false" customHeight="false" outlineLevel="0" collapsed="false">
      <c r="A4122" s="31" t="s">
        <v>1132</v>
      </c>
    </row>
    <row r="4123" customFormat="false" ht="17.15" hidden="false" customHeight="false" outlineLevel="0" collapsed="false">
      <c r="A4123" s="6" t="s">
        <v>16</v>
      </c>
      <c r="B4123" s="6" t="s">
        <v>17</v>
      </c>
      <c r="C4123" s="20" t="s">
        <v>457</v>
      </c>
      <c r="D4123" s="20" t="s">
        <v>458</v>
      </c>
      <c r="E4123" s="20" t="s">
        <v>540</v>
      </c>
      <c r="F4123" s="20" t="s">
        <v>541</v>
      </c>
      <c r="G4123" s="20" t="s">
        <v>542</v>
      </c>
      <c r="H4123" s="20" t="s">
        <v>543</v>
      </c>
      <c r="I4123" s="20" t="s">
        <v>544</v>
      </c>
      <c r="J4123" s="20" t="s">
        <v>545</v>
      </c>
      <c r="K4123" s="20" t="s">
        <v>546</v>
      </c>
      <c r="L4123" s="20" t="s">
        <v>547</v>
      </c>
      <c r="M4123" s="20" t="s">
        <v>548</v>
      </c>
      <c r="N4123" s="20" t="s">
        <v>549</v>
      </c>
      <c r="O4123" s="20" t="s">
        <v>550</v>
      </c>
      <c r="P4123" s="6" t="s">
        <v>23</v>
      </c>
      <c r="R4123" s="20" t="n">
        <v>2023</v>
      </c>
      <c r="S4123" s="20" t="n">
        <v>2024</v>
      </c>
      <c r="T4123" s="20" t="n">
        <v>2025</v>
      </c>
      <c r="U4123" s="20" t="n">
        <v>2026</v>
      </c>
      <c r="V4123" s="20" t="n">
        <v>2027</v>
      </c>
      <c r="W4123" s="20" t="n">
        <v>2028</v>
      </c>
      <c r="X4123" s="20" t="n">
        <v>2029</v>
      </c>
      <c r="Y4123" s="20" t="n">
        <v>2030</v>
      </c>
      <c r="Z4123" s="20" t="n">
        <v>2031</v>
      </c>
      <c r="AA4123" s="20" t="n">
        <v>2032</v>
      </c>
    </row>
    <row r="4124" customFormat="false" ht="17.15" hidden="false" customHeight="false" outlineLevel="0" collapsed="false">
      <c r="A4124" s="1" t="s">
        <v>851</v>
      </c>
    </row>
    <row r="4125" customFormat="false" ht="17.15" hidden="false" customHeight="false" outlineLevel="0" collapsed="false">
      <c r="A4125" s="0" t="s">
        <v>852</v>
      </c>
      <c r="B4125" s="0" t="s">
        <v>73</v>
      </c>
      <c r="H4125" s="38" t="n">
        <f aca="false">Sens!$H$4061*(1-tax)</f>
        <v>110.968894908747</v>
      </c>
      <c r="I4125" s="38" t="n">
        <f aca="false">Sens!$I$4061*(1-tax)</f>
        <v>130.345181356925</v>
      </c>
      <c r="J4125" s="38" t="n">
        <f aca="false">Sens!$J$4061*(1-tax)</f>
        <v>147.27532232113</v>
      </c>
      <c r="K4125" s="38" t="n">
        <f aca="false">Sens!$K$4061*(1-tax)</f>
        <v>160.5249537189</v>
      </c>
      <c r="L4125" s="38" t="n">
        <f aca="false">Sens!$L$4061*(1-tax)</f>
        <v>176.515648858875</v>
      </c>
      <c r="M4125" s="38" t="n">
        <f aca="false">Sens!$M$4061*(1-tax)</f>
        <v>193.069898056823</v>
      </c>
    </row>
    <row r="4126" customFormat="false" ht="15" hidden="false" customHeight="false" outlineLevel="0" collapsed="false">
      <c r="A4126" s="5" t="s">
        <v>853</v>
      </c>
      <c r="B4126" s="0" t="s">
        <v>73</v>
      </c>
      <c r="H4126" s="38" t="n">
        <f aca="false">Sens!$H$4073</f>
        <v>87.6845218193838</v>
      </c>
      <c r="I4126" s="38" t="n">
        <f aca="false">Sens!$I$4073</f>
        <v>122.294769708638</v>
      </c>
      <c r="J4126" s="38" t="n">
        <f aca="false">Sens!$J$4073</f>
        <v>157.133962573221</v>
      </c>
      <c r="K4126" s="38" t="n">
        <f aca="false">Sens!$K$4073</f>
        <v>191.350633353599</v>
      </c>
      <c r="L4126" s="38" t="n">
        <f aca="false">Sens!$L$4073</f>
        <v>223.909238335354</v>
      </c>
      <c r="M4126" s="38" t="n">
        <f aca="false">Sens!$M$4073</f>
        <v>257.576319867276</v>
      </c>
    </row>
    <row r="4127" customFormat="false" ht="15" hidden="false" customHeight="false" outlineLevel="0" collapsed="false">
      <c r="A4127" s="5" t="s">
        <v>854</v>
      </c>
      <c r="B4127" s="0" t="s">
        <v>73</v>
      </c>
      <c r="H4127" s="38" t="n">
        <f aca="false">Sens!$H$4102</f>
        <v>277.870120501355</v>
      </c>
      <c r="I4127" s="38" t="n">
        <f aca="false">Sens!$I$4102</f>
        <v>293.934464585378</v>
      </c>
      <c r="J4127" s="38" t="n">
        <f aca="false">Sens!$J$4102</f>
        <v>308.06904811359</v>
      </c>
      <c r="K4127" s="38" t="n">
        <f aca="false">Sens!$K$4102</f>
        <v>320.385735318248</v>
      </c>
      <c r="L4127" s="38" t="n">
        <f aca="false">Sens!$L$4102</f>
        <v>364.65641921833</v>
      </c>
      <c r="M4127" s="38" t="n">
        <f aca="false">Sens!$M$4102</f>
        <v>432.943173024858</v>
      </c>
    </row>
    <row r="4128" customFormat="false" ht="15" hidden="false" customHeight="false" outlineLevel="0" collapsed="false">
      <c r="A4128" s="5" t="s">
        <v>855</v>
      </c>
      <c r="B4128" s="0" t="s">
        <v>73</v>
      </c>
      <c r="H4128" s="38" t="n">
        <f aca="false">Sens!$H$4103</f>
        <v>1.6</v>
      </c>
      <c r="I4128" s="38" t="n">
        <f aca="false">Sens!$I$4103</f>
        <v>1.6</v>
      </c>
      <c r="J4128" s="38" t="n">
        <f aca="false">Sens!$J$4103</f>
        <v>1.6</v>
      </c>
      <c r="K4128" s="38" t="n">
        <f aca="false">Sens!$K$4103</f>
        <v>1.6</v>
      </c>
      <c r="L4128" s="38" t="n">
        <f aca="false">Sens!$L$4103</f>
        <v>1.6</v>
      </c>
      <c r="M4128" s="38" t="n">
        <f aca="false">Sens!$M$4103</f>
        <v>1.6</v>
      </c>
    </row>
    <row r="4129" customFormat="false" ht="15" hidden="false" customHeight="false" outlineLevel="0" collapsed="false">
      <c r="A4129" s="5" t="s">
        <v>856</v>
      </c>
      <c r="B4129" s="0" t="s">
        <v>73</v>
      </c>
      <c r="H4129" s="38" t="n">
        <f aca="false">Sens!$H$4097</f>
        <v>11.6369707537667</v>
      </c>
      <c r="I4129" s="38" t="n">
        <f aca="false">Sens!$I$4097</f>
        <v>13.3082502961262</v>
      </c>
      <c r="J4129" s="38" t="n">
        <f aca="false">Sens!$J$4097</f>
        <v>14.8747965344332</v>
      </c>
      <c r="K4129" s="38" t="n">
        <f aca="false">Sens!$K$4097</f>
        <v>16.2687901804328</v>
      </c>
      <c r="L4129" s="38" t="n">
        <f aca="false">Sens!$L$4097</f>
        <v>17.7280727627002</v>
      </c>
      <c r="M4129" s="38" t="n">
        <f aca="false">Sens!$M$4097</f>
        <v>19.2574690270319</v>
      </c>
    </row>
    <row r="4130" customFormat="false" ht="17.15" hidden="false" customHeight="false" outlineLevel="0" collapsed="false">
      <c r="A4130" s="1" t="s">
        <v>857</v>
      </c>
      <c r="B4130" s="8" t="s">
        <v>73</v>
      </c>
      <c r="H4130" s="38" t="n">
        <f aca="false">Sens!$H$4125+Sens!$H$4126-Sens!$H$4127-Sens!$H$4128+Sens!$H$4129</f>
        <v>-69.1797330194575</v>
      </c>
      <c r="I4130" s="38" t="n">
        <f aca="false">Sens!$I$4125+Sens!$I$4126-Sens!$I$4127-Sens!$I$4128+Sens!$I$4129</f>
        <v>-29.5862632236898</v>
      </c>
      <c r="J4130" s="38" t="n">
        <f aca="false">Sens!$J$4125+Sens!$J$4126-Sens!$J$4127-Sens!$J$4128+Sens!$J$4129</f>
        <v>9.61503331519402</v>
      </c>
      <c r="K4130" s="38" t="n">
        <f aca="false">Sens!$K$4125+Sens!$K$4126-Sens!$K$4127-Sens!$K$4128+Sens!$K$4129</f>
        <v>46.1586419346837</v>
      </c>
      <c r="L4130" s="38" t="n">
        <f aca="false">Sens!$L$4125+Sens!$L$4126-Sens!$L$4127-Sens!$L$4128+Sens!$L$4129</f>
        <v>51.8965407385996</v>
      </c>
      <c r="M4130" s="38" t="n">
        <f aca="false">Sens!$M$4125+Sens!$M$4126-Sens!$M$4127-Sens!$M$4128+Sens!$M$4129</f>
        <v>35.3605139262725</v>
      </c>
    </row>
    <row r="4131" customFormat="false" ht="15" hidden="false" customHeight="false" outlineLevel="0" collapsed="false">
      <c r="A4131" s="5" t="s">
        <v>858</v>
      </c>
      <c r="B4131" s="0" t="s">
        <v>57</v>
      </c>
      <c r="H4131" s="51" t="n">
        <f aca="false">1/(1+wacc)^(2027-2026-0.5)</f>
        <v>0.942858177653364</v>
      </c>
      <c r="I4131" s="51" t="n">
        <f aca="false">1/(1+wacc)^(2028-2026-0.5)</f>
        <v>0.838183517758688</v>
      </c>
      <c r="J4131" s="51" t="n">
        <f aca="false">1/(1+wacc)^(2029-2026-0.5)</f>
        <v>0.745129677074952</v>
      </c>
      <c r="K4131" s="51" t="n">
        <f aca="false">1/(1+wacc)^(2030-2026-0.5)</f>
        <v>0.662406530186232</v>
      </c>
      <c r="L4131" s="51" t="n">
        <f aca="false">1/(1+wacc)^(2031-2026-0.5)</f>
        <v>0.588867179409399</v>
      </c>
      <c r="M4131" s="51" t="n">
        <f aca="false">1/(1+wacc)^(2032-2026-0.5)</f>
        <v>0.52349205387225</v>
      </c>
    </row>
    <row r="4132" customFormat="false" ht="15" hidden="false" customHeight="false" outlineLevel="0" collapsed="false">
      <c r="A4132" s="5" t="s">
        <v>859</v>
      </c>
      <c r="B4132" s="0" t="s">
        <v>73</v>
      </c>
      <c r="H4132" s="38" t="n">
        <f aca="false">Sens!$H$4130*Sens!$H$4131</f>
        <v>-65.2266770052719</v>
      </c>
      <c r="I4132" s="38" t="n">
        <f aca="false">Sens!$I$4130*Sens!$I$4131</f>
        <v>-24.7987181861668</v>
      </c>
      <c r="J4132" s="38" t="n">
        <f aca="false">Sens!$J$4130*Sens!$J$4131</f>
        <v>7.16444666921542</v>
      </c>
      <c r="K4132" s="38" t="n">
        <f aca="false">Sens!$K$4130*Sens!$K$4131</f>
        <v>30.5757858420625</v>
      </c>
      <c r="L4132" s="38" t="n">
        <f aca="false">Sens!$L$4130*Sens!$L$4131</f>
        <v>30.5601695658441</v>
      </c>
      <c r="M4132" s="38" t="n">
        <f aca="false">Sens!$M$4130*Sens!$M$4131</f>
        <v>18.5109480612427</v>
      </c>
    </row>
    <row r="4133" customFormat="false" ht="15" hidden="false" customHeight="false" outlineLevel="0" collapsed="false">
      <c r="A4133" s="5" t="s">
        <v>860</v>
      </c>
      <c r="B4133" s="0" t="s">
        <v>73</v>
      </c>
      <c r="C4133" s="38" t="n">
        <f aca="false">SUM(Sens!$H$4132:$M$4132)</f>
        <v>-3.21404505307399</v>
      </c>
    </row>
    <row r="4134" customFormat="false" ht="17.15" hidden="false" customHeight="false" outlineLevel="0" collapsed="false">
      <c r="A4134" s="5" t="s">
        <v>861</v>
      </c>
      <c r="B4134" s="0" t="s">
        <v>73</v>
      </c>
      <c r="C4134" s="38" t="n">
        <f aca="false">Sens!$M$4125*(1+tg)*(1-tg/ronic)/(wacc-tg)</f>
        <v>1592.38966416603</v>
      </c>
    </row>
    <row r="4135" customFormat="false" ht="15" hidden="false" customHeight="false" outlineLevel="0" collapsed="false">
      <c r="A4135" s="5" t="s">
        <v>862</v>
      </c>
      <c r="B4135" s="0" t="s">
        <v>73</v>
      </c>
      <c r="C4135" s="38" t="n">
        <f aca="false">Sens!$C$4134/(1+wacc)^6</f>
        <v>785.969722133988</v>
      </c>
    </row>
    <row r="4136" customFormat="false" ht="17.15" hidden="false" customHeight="false" outlineLevel="0" collapsed="false">
      <c r="A4136" s="5" t="s">
        <v>863</v>
      </c>
      <c r="B4136" s="0" t="s">
        <v>73</v>
      </c>
      <c r="C4136" s="38" t="n">
        <f aca="false">Sens!$C$4133+Sens!$C$4135</f>
        <v>782.755677080914</v>
      </c>
    </row>
    <row r="4137" customFormat="false" ht="17.15" hidden="false" customHeight="false" outlineLevel="0" collapsed="false">
      <c r="A4137" s="5" t="s">
        <v>864</v>
      </c>
      <c r="B4137" s="0" t="s">
        <v>52</v>
      </c>
      <c r="C4137" s="12" t="n">
        <f aca="false">Sens!$C$4135/Sens!$C$4136</f>
        <v>1.00410606418731</v>
      </c>
    </row>
    <row r="4138" customFormat="false" ht="17.15" hidden="false" customHeight="false" outlineLevel="0" collapsed="false">
      <c r="A4138" s="5" t="s">
        <v>865</v>
      </c>
      <c r="B4138" s="0" t="s">
        <v>73</v>
      </c>
      <c r="C4138" s="38" t="n">
        <f aca="false">Sens!$G$4115</f>
        <v>67.0428850873731</v>
      </c>
    </row>
    <row r="4139" customFormat="false" ht="17.15" hidden="false" customHeight="false" outlineLevel="0" collapsed="false">
      <c r="A4139" s="5" t="s">
        <v>866</v>
      </c>
      <c r="B4139" s="0" t="s">
        <v>73</v>
      </c>
      <c r="C4139" s="38" t="n">
        <f aca="false">(ant_val*ant_sh+oai_val*oai_sh)*(1-liq_disc)</f>
        <v>178.944</v>
      </c>
    </row>
    <row r="4140" customFormat="false" ht="15" hidden="false" customHeight="false" outlineLevel="0" collapsed="false">
      <c r="A4140" s="5" t="s">
        <v>867</v>
      </c>
      <c r="B4140" s="0" t="s">
        <v>73</v>
      </c>
      <c r="C4140" s="38" t="n">
        <f aca="false">Sens!$C$4136-Sens!$C$4138+Sens!$C$4139</f>
        <v>894.65679199354</v>
      </c>
    </row>
    <row r="4141" customFormat="false" ht="17.15" hidden="false" customHeight="false" outlineLevel="0" collapsed="false">
      <c r="A4141" s="5" t="s">
        <v>868</v>
      </c>
      <c r="B4141" s="0" t="s">
        <v>27</v>
      </c>
      <c r="C4141" s="30" t="n">
        <f aca="false">Sens!$C$4140/sh_val</f>
        <v>81.1089142152744</v>
      </c>
    </row>
    <row r="4142" customFormat="false" ht="17.15" hidden="false" customHeight="false" outlineLevel="0" collapsed="false">
      <c r="A4142" s="1" t="s">
        <v>869</v>
      </c>
      <c r="B4142" s="8" t="s">
        <v>27</v>
      </c>
      <c r="C4142" s="30" t="n">
        <f aca="false">Sens!$C$4141*(1+ke)^tp_yf</f>
        <v>89.580328306024</v>
      </c>
    </row>
    <row r="4143" customFormat="false" ht="17.15" hidden="false" customHeight="false" outlineLevel="0" collapsed="false">
      <c r="A4143" s="3" t="s">
        <v>870</v>
      </c>
    </row>
    <row r="4144" customFormat="false" ht="17.15" hidden="false" customHeight="false" outlineLevel="0" collapsed="false">
      <c r="A4144" s="5" t="s">
        <v>871</v>
      </c>
      <c r="B4144" s="0" t="s">
        <v>73</v>
      </c>
      <c r="C4144" s="38" t="n">
        <f aca="false">0.25*Sens!$H$4074+0.75*Sens!$I$4074</f>
        <v>57.5541093268329</v>
      </c>
    </row>
    <row r="4145" customFormat="false" ht="15" hidden="false" customHeight="false" outlineLevel="0" collapsed="false">
      <c r="A4145" s="5" t="s">
        <v>872</v>
      </c>
      <c r="B4145" s="0" t="s">
        <v>57</v>
      </c>
      <c r="C4145" s="30" t="n">
        <f aca="false">m_ads*m_x</f>
        <v>9.11</v>
      </c>
    </row>
    <row r="4146" customFormat="false" ht="17.15" hidden="false" customHeight="false" outlineLevel="0" collapsed="false">
      <c r="A4146" s="5" t="s">
        <v>873</v>
      </c>
      <c r="B4146" s="0" t="s">
        <v>73</v>
      </c>
      <c r="C4146" s="38" t="n">
        <f aca="false">Sens!$C$4144*Sens!$C$4145</f>
        <v>524.317935967448</v>
      </c>
    </row>
    <row r="4147" customFormat="false" ht="17.15" hidden="false" customHeight="false" outlineLevel="0" collapsed="false">
      <c r="A4147" s="5" t="s">
        <v>874</v>
      </c>
      <c r="B4147" s="0" t="s">
        <v>73</v>
      </c>
      <c r="C4147" s="38" t="n">
        <f aca="false">0.25*Sens!$H$4075+0.75*Sens!$I$4075</f>
        <v>28.0799331249373</v>
      </c>
    </row>
    <row r="4148" customFormat="false" ht="15" hidden="false" customHeight="false" outlineLevel="0" collapsed="false">
      <c r="A4148" s="5" t="s">
        <v>875</v>
      </c>
      <c r="B4148" s="0" t="s">
        <v>57</v>
      </c>
      <c r="C4148" s="30" t="n">
        <f aca="false">m_retail*m_x</f>
        <v>17.72</v>
      </c>
    </row>
    <row r="4149" customFormat="false" ht="17.15" hidden="false" customHeight="false" outlineLevel="0" collapsed="false">
      <c r="A4149" s="5" t="s">
        <v>876</v>
      </c>
      <c r="B4149" s="0" t="s">
        <v>73</v>
      </c>
      <c r="C4149" s="38" t="n">
        <f aca="false">Sens!$C$4147*Sens!$C$4148</f>
        <v>497.576414973889</v>
      </c>
    </row>
    <row r="4150" customFormat="false" ht="17.15" hidden="false" customHeight="false" outlineLevel="0" collapsed="false">
      <c r="A4150" s="0" t="s">
        <v>877</v>
      </c>
      <c r="B4150" s="0" t="s">
        <v>73</v>
      </c>
      <c r="C4150" s="38" t="n">
        <f aca="false">0.25*Sens!$H$4076+0.75*Sens!$I$4076</f>
        <v>107.575398943098</v>
      </c>
    </row>
    <row r="4151" customFormat="false" ht="17.15" hidden="false" customHeight="false" outlineLevel="0" collapsed="false">
      <c r="A4151" s="0" t="s">
        <v>878</v>
      </c>
      <c r="B4151" s="0" t="s">
        <v>57</v>
      </c>
      <c r="C4151" s="30" t="n">
        <f aca="false">m_cloud*m_x</f>
        <v>13.82</v>
      </c>
    </row>
    <row r="4152" customFormat="false" ht="17.15" hidden="false" customHeight="false" outlineLevel="0" collapsed="false">
      <c r="A4152" s="0" t="s">
        <v>879</v>
      </c>
      <c r="B4152" s="0" t="s">
        <v>73</v>
      </c>
      <c r="C4152" s="38" t="n">
        <f aca="false">Sens!$C$4150*Sens!$C$4151</f>
        <v>1486.69201339361</v>
      </c>
    </row>
    <row r="4153" customFormat="false" ht="17.15" hidden="false" customHeight="false" outlineLevel="0" collapsed="false">
      <c r="A4153" s="0" t="s">
        <v>880</v>
      </c>
      <c r="B4153" s="0" t="s">
        <v>73</v>
      </c>
      <c r="C4153" s="38" t="n">
        <f aca="false">0.25*Sens!$H$4077+0.75*Sens!$I$4077</f>
        <v>72.2947701247864</v>
      </c>
    </row>
    <row r="4154" customFormat="false" ht="17.15" hidden="false" customHeight="false" outlineLevel="0" collapsed="false">
      <c r="A4154" s="0" t="s">
        <v>881</v>
      </c>
      <c r="B4154" s="0" t="s">
        <v>57</v>
      </c>
      <c r="C4154" s="30" t="n">
        <f aca="false">m_ai</f>
        <v>6</v>
      </c>
    </row>
    <row r="4155" customFormat="false" ht="17.15" hidden="false" customHeight="false" outlineLevel="0" collapsed="false">
      <c r="A4155" s="0" t="s">
        <v>882</v>
      </c>
      <c r="B4155" s="0" t="s">
        <v>73</v>
      </c>
      <c r="C4155" s="38" t="n">
        <f aca="false">Sens!$C$4153*Sens!$C$4154</f>
        <v>433.768620748718</v>
      </c>
    </row>
    <row r="4156" customFormat="false" ht="17.15" hidden="false" customHeight="false" outlineLevel="0" collapsed="false">
      <c r="A4156" s="5" t="s">
        <v>883</v>
      </c>
      <c r="B4156" s="0" t="s">
        <v>73</v>
      </c>
      <c r="C4156" s="38" t="n">
        <f aca="false">Sens!$C$4146+Sens!$C$4149+Sens!$C$4152+Sens!$C$4155</f>
        <v>2942.35498508367</v>
      </c>
    </row>
    <row r="4157" customFormat="false" ht="17.15" hidden="false" customHeight="false" outlineLevel="0" collapsed="false">
      <c r="A4157" s="5" t="s">
        <v>884</v>
      </c>
      <c r="B4157" s="0" t="s">
        <v>73</v>
      </c>
      <c r="C4157" s="38" t="n">
        <f aca="false">Sens!$H$4115</f>
        <v>114.866617101715</v>
      </c>
    </row>
    <row r="4158" customFormat="false" ht="15" hidden="false" customHeight="false" outlineLevel="0" collapsed="false">
      <c r="A4158" s="5" t="s">
        <v>885</v>
      </c>
      <c r="B4158" s="0" t="s">
        <v>73</v>
      </c>
      <c r="C4158" s="38" t="n">
        <f aca="false">Sens!$C$4156-Sens!$C$4157+Sens!$C$4139</f>
        <v>3006.43236798195</v>
      </c>
    </row>
    <row r="4159" customFormat="false" ht="15" hidden="false" customHeight="false" outlineLevel="0" collapsed="false">
      <c r="A4159" s="3" t="s">
        <v>886</v>
      </c>
      <c r="B4159" s="8" t="s">
        <v>27</v>
      </c>
      <c r="C4159" s="30" t="n">
        <f aca="false">Sens!$C$4158/sh_val</f>
        <v>272.560905154826</v>
      </c>
    </row>
    <row r="4160" customFormat="false" ht="17.15" hidden="false" customHeight="false" outlineLevel="0" collapsed="false">
      <c r="A4160" s="46" t="s">
        <v>887</v>
      </c>
      <c r="B4160" s="13" t="s">
        <v>27</v>
      </c>
      <c r="C4160" s="43" t="n">
        <f aca="false">w_dcf*Sens!$C$4142+(1-w_dcf)*Sens!$C$4159</f>
        <v>181.070616730425</v>
      </c>
      <c r="D4160" s="13"/>
      <c r="E4160" s="13"/>
      <c r="F4160" s="13"/>
      <c r="G4160" s="13"/>
      <c r="H4160" s="13"/>
      <c r="I4160" s="13"/>
      <c r="J4160" s="13"/>
      <c r="K4160" s="13"/>
      <c r="L4160" s="13"/>
      <c r="M4160" s="13"/>
      <c r="N4160" s="13"/>
      <c r="O4160" s="13"/>
    </row>
    <row r="4161" customFormat="false" ht="17.15" hidden="false" customHeight="false" outlineLevel="0" collapsed="false">
      <c r="A4161" s="5" t="s">
        <v>888</v>
      </c>
      <c r="B4161" s="0" t="s">
        <v>27</v>
      </c>
      <c r="C4161" s="30" t="n">
        <f aca="false">0.45*Sens!$C$4142+0.55*Sens!$C$4159</f>
        <v>190.219645572865</v>
      </c>
    </row>
    <row r="4164" customFormat="false" ht="19.4" hidden="false" customHeight="false" outlineLevel="0" collapsed="false">
      <c r="A4164" s="31" t="s">
        <v>1133</v>
      </c>
    </row>
    <row r="4165" customFormat="false" ht="17.15" hidden="false" customHeight="false" outlineLevel="0" collapsed="false">
      <c r="A4165" s="6" t="s">
        <v>16</v>
      </c>
      <c r="B4165" s="6" t="s">
        <v>17</v>
      </c>
      <c r="C4165" s="20" t="s">
        <v>457</v>
      </c>
      <c r="D4165" s="20" t="s">
        <v>458</v>
      </c>
      <c r="E4165" s="20" t="s">
        <v>540</v>
      </c>
      <c r="F4165" s="20" t="s">
        <v>541</v>
      </c>
      <c r="G4165" s="20" t="s">
        <v>542</v>
      </c>
      <c r="H4165" s="20" t="s">
        <v>543</v>
      </c>
      <c r="I4165" s="20" t="s">
        <v>544</v>
      </c>
      <c r="J4165" s="20" t="s">
        <v>545</v>
      </c>
      <c r="K4165" s="20" t="s">
        <v>546</v>
      </c>
      <c r="L4165" s="20" t="s">
        <v>547</v>
      </c>
      <c r="M4165" s="20" t="s">
        <v>548</v>
      </c>
      <c r="N4165" s="20" t="s">
        <v>549</v>
      </c>
      <c r="O4165" s="20" t="s">
        <v>550</v>
      </c>
      <c r="P4165" s="6" t="s">
        <v>23</v>
      </c>
      <c r="R4165" s="20" t="n">
        <v>2023</v>
      </c>
      <c r="S4165" s="20" t="n">
        <v>2024</v>
      </c>
      <c r="T4165" s="20" t="n">
        <v>2025</v>
      </c>
      <c r="U4165" s="20" t="n">
        <v>2026</v>
      </c>
      <c r="V4165" s="20" t="n">
        <v>2027</v>
      </c>
      <c r="W4165" s="20" t="n">
        <v>2028</v>
      </c>
      <c r="X4165" s="20" t="n">
        <v>2029</v>
      </c>
      <c r="Y4165" s="20" t="n">
        <v>2030</v>
      </c>
      <c r="Z4165" s="20" t="n">
        <v>2031</v>
      </c>
      <c r="AA4165" s="20" t="n">
        <v>2032</v>
      </c>
    </row>
    <row r="4166" customFormat="false" ht="17.15" hidden="false" customHeight="false" outlineLevel="0" collapsed="false">
      <c r="A4166" s="1" t="s">
        <v>620</v>
      </c>
    </row>
    <row r="4167" customFormat="false" ht="17.15" hidden="false" customHeight="false" outlineLevel="0" collapsed="false">
      <c r="A4167" s="0" t="s">
        <v>479</v>
      </c>
      <c r="B4167" s="0" t="s">
        <v>73</v>
      </c>
      <c r="C4167" s="38" t="n">
        <f aca="false">Q!$D$10</f>
        <v>247.029</v>
      </c>
      <c r="D4167" s="38" t="n">
        <f aca="false">Q!$E$10</f>
        <v>269.287</v>
      </c>
      <c r="E4167" s="38" t="n">
        <f aca="false">Q!$P$10</f>
        <v>134.686</v>
      </c>
      <c r="F4167" s="38" t="n">
        <f aca="false">Sens!$O$4167*(1+Sens!$F$4168)-pd_amt*Q!$O$10/(Q!$O$10+Q!$O$12)</f>
        <v>160.728085930082</v>
      </c>
      <c r="G4167" s="38" t="n">
        <f aca="false">Sens!$E$4167+Sens!$F$4167</f>
        <v>295.414085930082</v>
      </c>
      <c r="H4167" s="38" t="n">
        <f aca="false">Sens!$G$4167*(1+Sens!$H$4168)</f>
        <v>320.828163943375</v>
      </c>
      <c r="I4167" s="38" t="n">
        <f aca="false">Sens!$H$4167*(1+Sens!$I$4168)</f>
        <v>344.575578072228</v>
      </c>
      <c r="J4167" s="38" t="n">
        <f aca="false">Sens!$I$4167*(1+Sens!$J$4168)</f>
        <v>365.942555779681</v>
      </c>
      <c r="K4167" s="38" t="n">
        <f aca="false">Sens!$J$4167*(1+Sens!$K$4168)</f>
        <v>384.239683568665</v>
      </c>
      <c r="L4167" s="38" t="n">
        <f aca="false">Sens!$K$4167*(1+Sens!$L$4168)</f>
        <v>403.451667747098</v>
      </c>
      <c r="M4167" s="38" t="n">
        <f aca="false">Sens!$L$4167*(1+Sens!$M$4168)</f>
        <v>423.624251134453</v>
      </c>
      <c r="N4167" s="38" t="n">
        <f aca="false">Q!$N$10</f>
        <v>118.892</v>
      </c>
      <c r="O4167" s="38" t="n">
        <f aca="false">Q!$O$10</f>
        <v>150.395</v>
      </c>
      <c r="P4167" s="8" t="s">
        <v>621</v>
      </c>
    </row>
    <row r="4168" customFormat="false" ht="17.15" hidden="false" customHeight="false" outlineLevel="0" collapsed="false">
      <c r="A4168" s="0" t="s">
        <v>622</v>
      </c>
      <c r="B4168" s="0" t="s">
        <v>52</v>
      </c>
      <c r="E4168" s="12" t="n">
        <f aca="false">Sens!$E$4167/Sens!$N$4167-1</f>
        <v>0.132843252699929</v>
      </c>
      <c r="F4168" s="12" t="n">
        <f aca="false">Sens!$O$4167/(Q!$F$10+Q!$G$10)-1</f>
        <v>0.0980382135842941</v>
      </c>
      <c r="G4168" s="12" t="n">
        <f aca="false">Sens!$G$4167/Sens!$D$4167-1</f>
        <v>0.0970231980380869</v>
      </c>
      <c r="H4168" s="12" t="n">
        <f aca="false">Sens!$F$4168+(g_os-Sens!$F$4168)*1/4</f>
        <v>0.0860286601882206</v>
      </c>
      <c r="I4168" s="12" t="n">
        <f aca="false">Sens!$F$4168+(g_os-Sens!$F$4168)*2/4</f>
        <v>0.074019106792147</v>
      </c>
      <c r="J4168" s="12" t="n">
        <f aca="false">Sens!$F$4168+(g_os-Sens!$F$4168)*3/4</f>
        <v>0.0620095533960735</v>
      </c>
      <c r="K4168" s="12" t="n">
        <f aca="false">Sens!$F$4168+(g_os-Sens!$F$4168)*4/4</f>
        <v>0.05</v>
      </c>
      <c r="L4168" s="12" t="n">
        <f aca="false">g_os</f>
        <v>0.05</v>
      </c>
      <c r="M4168" s="12" t="n">
        <f aca="false">g_os</f>
        <v>0.05</v>
      </c>
      <c r="P4168" s="8" t="s">
        <v>623</v>
      </c>
    </row>
    <row r="4169" customFormat="false" ht="17.15" hidden="false" customHeight="false" outlineLevel="0" collapsed="false">
      <c r="A4169" s="0" t="s">
        <v>480</v>
      </c>
      <c r="B4169" s="0" t="s">
        <v>73</v>
      </c>
      <c r="C4169" s="38" t="n">
        <f aca="false">Q!$D$11</f>
        <v>21.215</v>
      </c>
      <c r="D4169" s="38" t="n">
        <f aca="false">Q!$E$11</f>
        <v>22.561</v>
      </c>
      <c r="E4169" s="38" t="n">
        <f aca="false">Q!$P$11</f>
        <v>11.579</v>
      </c>
      <c r="F4169" s="38" t="n">
        <f aca="false">Sens!$O$4169*(1+Sens!$F$4170)</f>
        <v>12.0952613121125</v>
      </c>
      <c r="G4169" s="38" t="n">
        <f aca="false">Sens!$E$4169+Sens!$F$4169</f>
        <v>23.6742613121125</v>
      </c>
      <c r="H4169" s="38" t="n">
        <f aca="false">Sens!$G$4169*(1+Sens!$H$4170)</f>
        <v>24.8803243963206</v>
      </c>
      <c r="I4169" s="38" t="n">
        <f aca="false">Sens!$H$4169*(1+Sens!$I$4170)</f>
        <v>25.9741308664154</v>
      </c>
      <c r="J4169" s="38" t="n">
        <f aca="false">Sens!$I$4169*(1+Sens!$J$4170)</f>
        <v>26.9346894124267</v>
      </c>
      <c r="K4169" s="38" t="n">
        <f aca="false">Sens!$J$4169*(1+Sens!$K$4170)</f>
        <v>27.7427300947995</v>
      </c>
      <c r="L4169" s="38" t="n">
        <f aca="false">Sens!$K$4169*(1+Sens!$L$4170)</f>
        <v>28.5750119976435</v>
      </c>
      <c r="M4169" s="38" t="n">
        <f aca="false">Sens!$L$4169*(1+Sens!$M$4170)</f>
        <v>29.4322623575728</v>
      </c>
      <c r="N4169" s="38" t="n">
        <f aca="false">Q!$N$11</f>
        <v>11.128</v>
      </c>
      <c r="O4169" s="38" t="n">
        <f aca="false">Q!$O$11</f>
        <v>11.433</v>
      </c>
      <c r="P4169" s="8" t="s">
        <v>621</v>
      </c>
    </row>
    <row r="4170" customFormat="false" ht="17.15" hidden="false" customHeight="false" outlineLevel="0" collapsed="false">
      <c r="A4170" s="0" t="s">
        <v>624</v>
      </c>
      <c r="B4170" s="0" t="s">
        <v>52</v>
      </c>
      <c r="E4170" s="12" t="n">
        <f aca="false">Sens!$E$4169/Sens!$N$4169-1</f>
        <v>0.0405283968368082</v>
      </c>
      <c r="F4170" s="12" t="n">
        <f aca="false">Sens!$O$4169/(Q!$F$11+Q!$G$11)-1</f>
        <v>0.0579254187100955</v>
      </c>
      <c r="G4170" s="12" t="n">
        <f aca="false">Sens!$G$4169/Sens!$D$4169-1</f>
        <v>0.0493445021103904</v>
      </c>
      <c r="H4170" s="12" t="n">
        <f aca="false">Sens!$F$4170+(g_ps-Sens!$F$4170)*1/4</f>
        <v>0.0509440640325716</v>
      </c>
      <c r="I4170" s="12" t="n">
        <f aca="false">Sens!$F$4170+(g_ps-Sens!$F$4170)*2/4</f>
        <v>0.0439627093550477</v>
      </c>
      <c r="J4170" s="12" t="n">
        <f aca="false">Sens!$F$4170+(g_ps-Sens!$F$4170)*3/4</f>
        <v>0.0369813546775239</v>
      </c>
      <c r="K4170" s="12" t="n">
        <f aca="false">Sens!$F$4170+(g_ps-Sens!$F$4170)*4/4</f>
        <v>0.03</v>
      </c>
      <c r="L4170" s="12" t="n">
        <f aca="false">g_ps</f>
        <v>0.03</v>
      </c>
      <c r="M4170" s="12" t="n">
        <f aca="false">g_ps</f>
        <v>0.03</v>
      </c>
      <c r="P4170" s="8" t="s">
        <v>625</v>
      </c>
    </row>
    <row r="4171" customFormat="false" ht="17.15" hidden="false" customHeight="false" outlineLevel="0" collapsed="false">
      <c r="A4171" s="0" t="s">
        <v>481</v>
      </c>
      <c r="B4171" s="0" t="s">
        <v>73</v>
      </c>
      <c r="C4171" s="38" t="n">
        <f aca="false">Q!$D$12</f>
        <v>156.146</v>
      </c>
      <c r="D4171" s="38" t="n">
        <f aca="false">Q!$E$12</f>
        <v>172.162</v>
      </c>
      <c r="E4171" s="38" t="n">
        <f aca="false">Q!$P$12</f>
        <v>88.358</v>
      </c>
      <c r="F4171" s="38" t="n">
        <f aca="false">Sens!$O$4171*(1+Sens!$F$4172)-pd_amt*Q!$O$12/(Q!$O$10+Q!$O$12)</f>
        <v>103.62028337149</v>
      </c>
      <c r="G4171" s="38" t="n">
        <f aca="false">Sens!$E$4171+Sens!$F$4171</f>
        <v>191.97828337149</v>
      </c>
      <c r="H4171" s="38" t="n">
        <f aca="false">Sens!$G$4171*(1+Sens!$H$4172)</f>
        <v>212.128608444755</v>
      </c>
      <c r="I4171" s="38" t="n">
        <f aca="false">Sens!$H$4171*(1+Sens!$I$4172)</f>
        <v>231.92183134134</v>
      </c>
      <c r="J4171" s="38" t="n">
        <f aca="false">Sens!$I$4171*(1+Sens!$J$4172)</f>
        <v>250.859136487863</v>
      </c>
      <c r="K4171" s="38" t="n">
        <f aca="false">Sens!$J$4171*(1+Sens!$K$4172)</f>
        <v>268.419276042014</v>
      </c>
      <c r="L4171" s="38" t="n">
        <f aca="false">Sens!$K$4171*(1+Sens!$L$4172)</f>
        <v>287.208625364954</v>
      </c>
      <c r="M4171" s="38" t="n">
        <f aca="false">Sens!$L$4171*(1+Sens!$M$4172)</f>
        <v>307.313229140501</v>
      </c>
      <c r="N4171" s="38" t="n">
        <f aca="false">Q!$N$12</f>
        <v>76.86</v>
      </c>
      <c r="O4171" s="38" t="n">
        <f aca="false">Q!$O$12</f>
        <v>95.302</v>
      </c>
      <c r="P4171" s="8" t="s">
        <v>621</v>
      </c>
    </row>
    <row r="4172" customFormat="false" ht="17.15" hidden="false" customHeight="false" outlineLevel="0" collapsed="false">
      <c r="A4172" s="0" t="s">
        <v>626</v>
      </c>
      <c r="B4172" s="0" t="s">
        <v>52</v>
      </c>
      <c r="E4172" s="12" t="n">
        <f aca="false">Sens!$E$4171/Sens!$N$4171-1</f>
        <v>0.1495966692688</v>
      </c>
      <c r="F4172" s="12" t="n">
        <f aca="false">Sens!$O$4171/(Q!$F$12+Q!$G$12)-1</f>
        <v>0.11661530890813</v>
      </c>
      <c r="G4172" s="12" t="n">
        <f aca="false">Sens!$G$4171/Sens!$D$4171-1</f>
        <v>0.115102539303041</v>
      </c>
      <c r="H4172" s="12" t="n">
        <f aca="false">Sens!$F$4172+(g_sp-Sens!$F$4172)*1/4</f>
        <v>0.104961481681098</v>
      </c>
      <c r="I4172" s="12" t="n">
        <f aca="false">Sens!$F$4172+(g_sp-Sens!$F$4172)*2/4</f>
        <v>0.0933076544540651</v>
      </c>
      <c r="J4172" s="12" t="n">
        <f aca="false">Sens!$F$4172+(g_sp-Sens!$F$4172)*3/4</f>
        <v>0.0816538272270325</v>
      </c>
      <c r="K4172" s="12" t="n">
        <f aca="false">Sens!$F$4172+(g_sp-Sens!$F$4172)*4/4</f>
        <v>0.07</v>
      </c>
      <c r="L4172" s="12" t="n">
        <f aca="false">g_sp</f>
        <v>0.07</v>
      </c>
      <c r="M4172" s="12" t="n">
        <f aca="false">g_sp</f>
        <v>0.07</v>
      </c>
      <c r="P4172" s="8" t="s">
        <v>627</v>
      </c>
    </row>
    <row r="4173" customFormat="false" ht="17.15" hidden="false" customHeight="false" outlineLevel="0" collapsed="false">
      <c r="A4173" s="0" t="s">
        <v>482</v>
      </c>
      <c r="B4173" s="0" t="s">
        <v>73</v>
      </c>
      <c r="C4173" s="38" t="n">
        <f aca="false">Q!$D$13</f>
        <v>56.214</v>
      </c>
      <c r="D4173" s="38" t="n">
        <f aca="false">Q!$E$13</f>
        <v>68.635</v>
      </c>
      <c r="E4173" s="38" t="n">
        <f aca="false">Q!$P$13</f>
        <v>37.052</v>
      </c>
      <c r="F4173" s="38" t="n">
        <f aca="false">Sens!$O$4173*(1+Sens!$F$4174)</f>
        <v>48.1533381827382</v>
      </c>
      <c r="G4173" s="38" t="n">
        <f aca="false">Sens!$E$4173+Sens!$F$4173</f>
        <v>85.2053381827382</v>
      </c>
      <c r="H4173" s="38" t="n">
        <f aca="false">Sens!$G$4173*(1+Sens!$H$4174)</f>
        <v>102.29336185894</v>
      </c>
      <c r="I4173" s="38" t="n">
        <f aca="false">Sens!$H$4173*(1+Sens!$I$4174)</f>
        <v>119.379837585241</v>
      </c>
      <c r="J4173" s="38" t="n">
        <f aca="false">Sens!$I$4173*(1+Sens!$J$4174)</f>
        <v>135.319079048844</v>
      </c>
      <c r="K4173" s="38" t="n">
        <f aca="false">Sens!$J$4173*(1+Sens!$K$4174)</f>
        <v>148.850986953729</v>
      </c>
      <c r="L4173" s="38" t="n">
        <f aca="false">Sens!$K$4173*(1+Sens!$L$4174)</f>
        <v>163.736085649102</v>
      </c>
      <c r="M4173" s="38" t="n">
        <f aca="false">Sens!$L$4173*(1+Sens!$M$4174)</f>
        <v>180.109694214012</v>
      </c>
      <c r="N4173" s="38" t="n">
        <f aca="false">Q!$N$13</f>
        <v>29.615</v>
      </c>
      <c r="O4173" s="38" t="n">
        <f aca="false">Q!$O$13</f>
        <v>39.02</v>
      </c>
      <c r="P4173" s="8" t="s">
        <v>621</v>
      </c>
    </row>
    <row r="4174" customFormat="false" ht="17.15" hidden="false" customHeight="false" outlineLevel="0" collapsed="false">
      <c r="A4174" s="0" t="s">
        <v>628</v>
      </c>
      <c r="B4174" s="0" t="s">
        <v>52</v>
      </c>
      <c r="E4174" s="12" t="n">
        <f aca="false">Sens!$E$4173/Sens!$N$4173-1</f>
        <v>0.25112274185379</v>
      </c>
      <c r="F4174" s="12" t="n">
        <f aca="false">Sens!$O$4173/(Q!$F$13+Q!$G$13)-1</f>
        <v>0.234068123596572</v>
      </c>
      <c r="G4174" s="12" t="n">
        <f aca="false">Sens!$G$4173/Sens!$D$4173-1</f>
        <v>0.241426942270536</v>
      </c>
      <c r="H4174" s="12" t="n">
        <f aca="false">Sens!$F$4174+(g_ad-Sens!$F$4174)*1/4</f>
        <v>0.200551092697429</v>
      </c>
      <c r="I4174" s="12" t="n">
        <f aca="false">Sens!$F$4174+(g_ad-Sens!$F$4174)*2/4</f>
        <v>0.167034061798286</v>
      </c>
      <c r="J4174" s="12" t="n">
        <f aca="false">Sens!$F$4174+(g_ad-Sens!$F$4174)*3/4</f>
        <v>0.133517030899143</v>
      </c>
      <c r="K4174" s="12" t="n">
        <f aca="false">Sens!$F$4174+(g_ad-Sens!$F$4174)*4/4</f>
        <v>0.1</v>
      </c>
      <c r="L4174" s="12" t="n">
        <f aca="false">g_ad</f>
        <v>0.1</v>
      </c>
      <c r="M4174" s="12" t="n">
        <f aca="false">g_ad</f>
        <v>0.1</v>
      </c>
      <c r="P4174" s="8" t="s">
        <v>629</v>
      </c>
    </row>
    <row r="4175" customFormat="false" ht="17.15" hidden="false" customHeight="false" outlineLevel="0" collapsed="false">
      <c r="A4175" s="0" t="s">
        <v>483</v>
      </c>
      <c r="B4175" s="0" t="s">
        <v>73</v>
      </c>
      <c r="C4175" s="38" t="n">
        <f aca="false">Q!$D$14</f>
        <v>44.374</v>
      </c>
      <c r="D4175" s="38" t="n">
        <f aca="false">Q!$E$14</f>
        <v>49.619</v>
      </c>
      <c r="E4175" s="38" t="n">
        <f aca="false">Q!$P$14</f>
        <v>27.157</v>
      </c>
      <c r="F4175" s="38" t="n">
        <f aca="false">Sens!$O$4175*(1+Sens!$F$4176)</f>
        <v>28.9776360923374</v>
      </c>
      <c r="G4175" s="38" t="n">
        <f aca="false">Sens!$E$4175+Sens!$F$4175</f>
        <v>56.1346360923374</v>
      </c>
      <c r="H4175" s="38" t="n">
        <f aca="false">Sens!$G$4175*(1+Sens!$H$4176)</f>
        <v>62.4937078946075</v>
      </c>
      <c r="I4175" s="38" t="n">
        <f aca="false">Sens!$H$4175*(1+Sens!$I$4176)</f>
        <v>68.6715233062498</v>
      </c>
      <c r="J4175" s="38" t="n">
        <f aca="false">Sens!$I$4175*(1+Sens!$J$4176)</f>
        <v>74.4692882949818</v>
      </c>
      <c r="K4175" s="38" t="n">
        <f aca="false">Sens!$J$4175*(1+Sens!$K$4176)</f>
        <v>79.6821384756306</v>
      </c>
      <c r="L4175" s="38" t="n">
        <f aca="false">Sens!$K$4175*(1+Sens!$L$4176)</f>
        <v>85.2598881689247</v>
      </c>
      <c r="M4175" s="38" t="n">
        <f aca="false">Sens!$L$4175*(1+Sens!$M$4176)</f>
        <v>91.2280803407494</v>
      </c>
      <c r="N4175" s="38" t="n">
        <f aca="false">Q!$N$14</f>
        <v>23.923</v>
      </c>
      <c r="O4175" s="38" t="n">
        <f aca="false">Q!$O$14</f>
        <v>25.696</v>
      </c>
      <c r="P4175" s="8" t="s">
        <v>621</v>
      </c>
    </row>
    <row r="4176" customFormat="false" ht="17.15" hidden="false" customHeight="false" outlineLevel="0" collapsed="false">
      <c r="A4176" s="0" t="s">
        <v>630</v>
      </c>
      <c r="B4176" s="0" t="s">
        <v>52</v>
      </c>
      <c r="E4176" s="12" t="n">
        <f aca="false">Sens!$E$4175/Sens!$N$4175-1</f>
        <v>0.135183714417088</v>
      </c>
      <c r="F4176" s="12" t="n">
        <f aca="false">Sens!$O$4175/(Q!$F$14+Q!$G$14)-1</f>
        <v>0.127709997366804</v>
      </c>
      <c r="G4176" s="12" t="n">
        <f aca="false">Sens!$G$4175/Sens!$D$4175-1</f>
        <v>0.131313329416905</v>
      </c>
      <c r="H4176" s="12" t="n">
        <f aca="false">Sens!$F$4176+(g_sub-Sens!$F$4176)*1/4</f>
        <v>0.113282498025103</v>
      </c>
      <c r="I4176" s="12" t="n">
        <f aca="false">Sens!$F$4176+(g_sub-Sens!$F$4176)*2/4</f>
        <v>0.0988549986834021</v>
      </c>
      <c r="J4176" s="12" t="n">
        <f aca="false">Sens!$F$4176+(g_sub-Sens!$F$4176)*3/4</f>
        <v>0.084427499341701</v>
      </c>
      <c r="K4176" s="12" t="n">
        <f aca="false">Sens!$F$4176+(g_sub-Sens!$F$4176)*4/4</f>
        <v>0.07</v>
      </c>
      <c r="L4176" s="12" t="n">
        <f aca="false">g_sub</f>
        <v>0.07</v>
      </c>
      <c r="M4176" s="12" t="n">
        <f aca="false">g_sub</f>
        <v>0.07</v>
      </c>
      <c r="P4176" s="8" t="s">
        <v>631</v>
      </c>
    </row>
    <row r="4177" customFormat="false" ht="17.15" hidden="false" customHeight="false" outlineLevel="0" collapsed="false">
      <c r="A4177" s="0" t="s">
        <v>484</v>
      </c>
      <c r="B4177" s="0" t="s">
        <v>73</v>
      </c>
      <c r="C4177" s="38" t="n">
        <f aca="false">Q!$D$15</f>
        <v>5.425</v>
      </c>
      <c r="D4177" s="38" t="n">
        <f aca="false">Q!$E$15</f>
        <v>5.935</v>
      </c>
      <c r="E4177" s="38" t="n">
        <f aca="false">Q!$P$15</f>
        <v>3.474</v>
      </c>
      <c r="F4177" s="38" t="n">
        <f aca="false">Sens!$O$4177*(1+Sens!$F$4178)</f>
        <v>3.36182431966931</v>
      </c>
      <c r="G4177" s="38" t="n">
        <f aca="false">Sens!$E$4177+Sens!$F$4177</f>
        <v>6.83582431966931</v>
      </c>
      <c r="H4177" s="38" t="n">
        <f aca="false">Sens!$G$4177*(1+Sens!$H$4178)</f>
        <v>7.31157108370141</v>
      </c>
      <c r="I4177" s="38" t="n">
        <f aca="false">Sens!$H$4177*(1+Sens!$I$4178)</f>
        <v>7.77266852639815</v>
      </c>
      <c r="J4177" s="38" t="n">
        <f aca="false">Sens!$I$4177*(1+Sens!$J$4178)</f>
        <v>8.2120733019884</v>
      </c>
      <c r="K4177" s="38" t="n">
        <f aca="false">Sens!$J$4177*(1+Sens!$K$4178)</f>
        <v>8.62267696708783</v>
      </c>
      <c r="L4177" s="38" t="n">
        <f aca="false">Sens!$K$4177*(1+Sens!$L$4178)</f>
        <v>9.05381081544222</v>
      </c>
      <c r="M4177" s="38" t="n">
        <f aca="false">Sens!$L$4177*(1+Sens!$M$4178)</f>
        <v>9.50650135621433</v>
      </c>
      <c r="N4177" s="38" t="n">
        <f aca="false">Q!$N$15</f>
        <v>2.811</v>
      </c>
      <c r="O4177" s="38" t="n">
        <f aca="false">Q!$O$15</f>
        <v>3.124</v>
      </c>
      <c r="P4177" s="8" t="s">
        <v>621</v>
      </c>
    </row>
    <row r="4178" customFormat="false" ht="17.15" hidden="false" customHeight="false" outlineLevel="0" collapsed="false">
      <c r="A4178" s="0" t="s">
        <v>632</v>
      </c>
      <c r="B4178" s="0" t="s">
        <v>52</v>
      </c>
      <c r="E4178" s="12" t="n">
        <f aca="false">Sens!$E$4177/Sens!$N$4177-1</f>
        <v>0.235859124866596</v>
      </c>
      <c r="F4178" s="12" t="n">
        <f aca="false">Sens!$O$4177/(Q!$F$15+Q!$G$15)-1</f>
        <v>0.0761281433000345</v>
      </c>
      <c r="G4178" s="12" t="n">
        <f aca="false">Sens!$G$4177/Sens!$D$4177-1</f>
        <v>0.151781688234087</v>
      </c>
      <c r="H4178" s="12" t="n">
        <f aca="false">Sens!$F$4178+(g_ot-Sens!$F$4178)*1/4</f>
        <v>0.0695961074750259</v>
      </c>
      <c r="I4178" s="12" t="n">
        <f aca="false">Sens!$F$4178+(g_ot-Sens!$F$4178)*2/4</f>
        <v>0.0630640716500172</v>
      </c>
      <c r="J4178" s="12" t="n">
        <f aca="false">Sens!$F$4178+(g_ot-Sens!$F$4178)*3/4</f>
        <v>0.0565320358250086</v>
      </c>
      <c r="K4178" s="12" t="n">
        <f aca="false">Sens!$F$4178+(g_ot-Sens!$F$4178)*4/4</f>
        <v>0.05</v>
      </c>
      <c r="L4178" s="12" t="n">
        <f aca="false">g_ot</f>
        <v>0.05</v>
      </c>
      <c r="M4178" s="12" t="n">
        <f aca="false">g_ot</f>
        <v>0.05</v>
      </c>
      <c r="P4178" s="8" t="s">
        <v>633</v>
      </c>
    </row>
    <row r="4179" customFormat="false" ht="17.15" hidden="false" customHeight="false" outlineLevel="0" collapsed="false">
      <c r="A4179" s="3" t="s">
        <v>634</v>
      </c>
      <c r="B4179" s="8" t="s">
        <v>73</v>
      </c>
      <c r="C4179" s="38" t="n">
        <f aca="false">Sens!$C$4167+Sens!$C$4169+Sens!$C$4171+Sens!$C$4173+Sens!$C$4175+Sens!$C$4177</f>
        <v>530.403</v>
      </c>
      <c r="D4179" s="38" t="n">
        <f aca="false">Sens!$D$4167+Sens!$D$4169+Sens!$D$4171+Sens!$D$4173+Sens!$D$4175+Sens!$D$4177</f>
        <v>588.199</v>
      </c>
      <c r="E4179" s="38" t="n">
        <f aca="false">Sens!$E$4167+Sens!$E$4169+Sens!$E$4171+Sens!$E$4173+Sens!$E$4175+Sens!$E$4177</f>
        <v>302.306</v>
      </c>
      <c r="F4179" s="38" t="n">
        <f aca="false">Sens!$F$4167+Sens!$F$4169+Sens!$F$4171+Sens!$F$4173+Sens!$F$4175+Sens!$F$4177</f>
        <v>356.93642920843</v>
      </c>
      <c r="G4179" s="38" t="n">
        <f aca="false">Sens!$G$4167+Sens!$G$4169+Sens!$G$4171+Sens!$G$4173+Sens!$G$4175+Sens!$G$4177</f>
        <v>659.24242920843</v>
      </c>
      <c r="H4179" s="38" t="n">
        <f aca="false">Sens!$H$4167+Sens!$H$4169+Sens!$H$4171+Sens!$H$4173+Sens!$H$4175+Sens!$H$4177</f>
        <v>729.935737621701</v>
      </c>
      <c r="I4179" s="38" t="n">
        <f aca="false">Sens!$I$4167+Sens!$I$4169+Sens!$I$4171+Sens!$I$4173+Sens!$I$4175+Sens!$I$4177</f>
        <v>798.295569697873</v>
      </c>
      <c r="J4179" s="38" t="n">
        <f aca="false">Sens!$J$4167+Sens!$J$4169+Sens!$J$4171+Sens!$J$4173+Sens!$J$4175+Sens!$J$4177</f>
        <v>861.736822325785</v>
      </c>
      <c r="K4179" s="38" t="n">
        <f aca="false">Sens!$K$4167+Sens!$K$4169+Sens!$K$4171+Sens!$K$4173+Sens!$K$4175+Sens!$K$4177</f>
        <v>917.557492101925</v>
      </c>
      <c r="L4179" s="38" t="n">
        <f aca="false">Sens!$L$4167+Sens!$L$4169+Sens!$L$4171+Sens!$L$4173+Sens!$L$4175+Sens!$L$4177</f>
        <v>977.285089743165</v>
      </c>
      <c r="M4179" s="38" t="n">
        <f aca="false">Sens!$M$4167+Sens!$M$4169+Sens!$M$4171+Sens!$M$4173+Sens!$M$4175+Sens!$M$4177</f>
        <v>1041.2140185435</v>
      </c>
      <c r="N4179" s="38" t="n">
        <f aca="false">Sens!$N$4167+Sens!$N$4169+Sens!$N$4171+Sens!$N$4173+Sens!$N$4175+Sens!$N$4177</f>
        <v>263.229</v>
      </c>
      <c r="O4179" s="38" t="n">
        <f aca="false">Sens!$O$4167+Sens!$O$4169+Sens!$O$4171+Sens!$O$4173+Sens!$O$4175+Sens!$O$4177</f>
        <v>324.97</v>
      </c>
    </row>
    <row r="4180" customFormat="false" ht="17.15" hidden="false" customHeight="false" outlineLevel="0" collapsed="false">
      <c r="A4180" s="5" t="s">
        <v>635</v>
      </c>
      <c r="B4180" s="0" t="s">
        <v>52</v>
      </c>
      <c r="C4180" s="12" t="n">
        <f aca="false">Q!$D$5/(Q!$D$5+Q!$D$6)</f>
        <v>0.730570905519011</v>
      </c>
      <c r="D4180" s="12" t="n">
        <f aca="false">Q!$E$5/(Q!$E$5+Q!$E$6)</f>
        <v>0.724763217890544</v>
      </c>
      <c r="E4180" s="12" t="n">
        <f aca="false">Q!$P$5/(Q!$P$5+Q!$P$6)</f>
        <v>0.728797972914861</v>
      </c>
      <c r="F4180" s="12" t="n">
        <f aca="false">Sens!$O$4180</f>
        <v>0.718066283041511</v>
      </c>
      <c r="G4180" s="12" t="n">
        <f aca="false">Sens!$G$4181/Sens!$G$4179</f>
        <v>0.722987468473627</v>
      </c>
      <c r="H4180" s="12" t="n">
        <f aca="false">Sens!$G$4180</f>
        <v>0.722987468473627</v>
      </c>
      <c r="I4180" s="12" t="n">
        <f aca="false">Sens!$G$4180</f>
        <v>0.722987468473627</v>
      </c>
      <c r="J4180" s="12" t="n">
        <f aca="false">Sens!$G$4180</f>
        <v>0.722987468473627</v>
      </c>
      <c r="K4180" s="12" t="n">
        <f aca="false">Sens!$G$4180</f>
        <v>0.722987468473627</v>
      </c>
      <c r="L4180" s="12" t="n">
        <f aca="false">Sens!$G$4180</f>
        <v>0.722987468473627</v>
      </c>
      <c r="M4180" s="12" t="n">
        <f aca="false">Sens!$G$4180</f>
        <v>0.722987468473627</v>
      </c>
      <c r="N4180" s="12" t="n">
        <f aca="false">Q!$N$5/(Q!$N$5+Q!$N$6)</f>
        <v>0.733030935041352</v>
      </c>
      <c r="O4180" s="12" t="n">
        <f aca="false">Q!$O$5/(Q!$O$5+Q!$O$6)</f>
        <v>0.718066283041511</v>
      </c>
      <c r="P4180" s="8" t="s">
        <v>636</v>
      </c>
    </row>
    <row r="4181" customFormat="false" ht="17.15" hidden="false" customHeight="false" outlineLevel="0" collapsed="false">
      <c r="A4181" s="1" t="s">
        <v>472</v>
      </c>
      <c r="B4181" s="8" t="s">
        <v>73</v>
      </c>
      <c r="C4181" s="38" t="n">
        <f aca="false">Q!$D$5</f>
        <v>387.497</v>
      </c>
      <c r="D4181" s="38" t="n">
        <f aca="false">Q!$E$5</f>
        <v>426.305</v>
      </c>
      <c r="E4181" s="38" t="n">
        <f aca="false">Q!$P$5</f>
        <v>220.32</v>
      </c>
      <c r="F4181" s="38" t="n">
        <f aca="false">Sens!$F$4179*Sens!$F$4180</f>
        <v>256.304015003807</v>
      </c>
      <c r="G4181" s="38" t="n">
        <f aca="false">Sens!$E$4181+Sens!$F$4181</f>
        <v>476.624015003807</v>
      </c>
      <c r="H4181" s="38" t="n">
        <f aca="false">Sens!$H$4179*Sens!$H$4180</f>
        <v>527.734391091543</v>
      </c>
      <c r="I4181" s="38" t="n">
        <f aca="false">Sens!$I$4179*Sens!$I$4180</f>
        <v>577.157693029577</v>
      </c>
      <c r="J4181" s="38" t="n">
        <f aca="false">Sens!$J$4179*Sens!$J$4180</f>
        <v>623.024923663827</v>
      </c>
      <c r="K4181" s="38" t="n">
        <f aca="false">Sens!$K$4179*Sens!$K$4180</f>
        <v>663.382568393781</v>
      </c>
      <c r="L4181" s="38" t="n">
        <f aca="false">Sens!$L$4179*Sens!$L$4180</f>
        <v>706.564873010432</v>
      </c>
      <c r="M4181" s="38" t="n">
        <f aca="false">Sens!$M$4179*Sens!$M$4180</f>
        <v>752.784687406019</v>
      </c>
      <c r="N4181" s="38" t="n">
        <f aca="false">Q!$N$5</f>
        <v>192.955</v>
      </c>
      <c r="O4181" s="38" t="n">
        <f aca="false">Q!$O$5</f>
        <v>233.35</v>
      </c>
      <c r="P4181" s="5" t="s">
        <v>637</v>
      </c>
    </row>
    <row r="4182" customFormat="false" ht="17.15" hidden="false" customHeight="false" outlineLevel="0" collapsed="false">
      <c r="A4182" s="1" t="s">
        <v>475</v>
      </c>
      <c r="B4182" s="8" t="s">
        <v>73</v>
      </c>
      <c r="C4182" s="38" t="n">
        <f aca="false">Q!$D$6</f>
        <v>142.906</v>
      </c>
      <c r="D4182" s="38" t="n">
        <f aca="false">Q!$E$6</f>
        <v>161.894</v>
      </c>
      <c r="E4182" s="38" t="n">
        <f aca="false">Q!$P$6</f>
        <v>81.986</v>
      </c>
      <c r="F4182" s="38" t="n">
        <f aca="false">Sens!$F$4179*(1-Sens!$F$4180)</f>
        <v>100.632414204623</v>
      </c>
      <c r="G4182" s="38" t="n">
        <f aca="false">Sens!$E$4182+Sens!$F$4182</f>
        <v>182.618414204623</v>
      </c>
      <c r="H4182" s="38" t="n">
        <f aca="false">Sens!$H$4179*(1-Sens!$H$4180)</f>
        <v>202.201346530158</v>
      </c>
      <c r="I4182" s="38" t="n">
        <f aca="false">Sens!$I$4179*(1-Sens!$I$4180)</f>
        <v>221.137876668296</v>
      </c>
      <c r="J4182" s="38" t="n">
        <f aca="false">Sens!$J$4179*(1-Sens!$J$4180)</f>
        <v>238.711898661958</v>
      </c>
      <c r="K4182" s="38" t="n">
        <f aca="false">Sens!$K$4179*(1-Sens!$K$4180)</f>
        <v>254.174923708144</v>
      </c>
      <c r="L4182" s="38" t="n">
        <f aca="false">Sens!$L$4179*(1-Sens!$L$4180)</f>
        <v>270.720216732733</v>
      </c>
      <c r="M4182" s="38" t="n">
        <f aca="false">Sens!$M$4179*(1-Sens!$M$4180)</f>
        <v>288.429331137484</v>
      </c>
      <c r="N4182" s="38" t="n">
        <f aca="false">Q!$N$6</f>
        <v>70.274</v>
      </c>
      <c r="O4182" s="38" t="n">
        <f aca="false">Q!$O$6</f>
        <v>91.62</v>
      </c>
      <c r="P4182" s="5" t="s">
        <v>638</v>
      </c>
    </row>
    <row r="4183" customFormat="false" ht="17.15" hidden="false" customHeight="false" outlineLevel="0" collapsed="false">
      <c r="A4183" s="5" t="s">
        <v>639</v>
      </c>
      <c r="B4183" s="0" t="s">
        <v>73</v>
      </c>
      <c r="C4183" s="38" t="n">
        <f aca="false">Sens!$C$4173*Sens!$C$4180</f>
        <v>41.0683128828457</v>
      </c>
      <c r="D4183" s="38" t="n">
        <f aca="false">Sens!$D$4173*Sens!$D$4180</f>
        <v>49.7441234599175</v>
      </c>
      <c r="E4183" s="38" t="n">
        <f aca="false">Sens!$E$4173*Sens!$E$4180</f>
        <v>27.0034224924414</v>
      </c>
      <c r="F4183" s="38" t="n">
        <f aca="false">Sens!$F$4173*Sens!$F$4180</f>
        <v>34.5772885649197</v>
      </c>
      <c r="G4183" s="38" t="n">
        <f aca="false">Sens!$G$4173*Sens!$G$4180</f>
        <v>61.6023917531772</v>
      </c>
      <c r="H4183" s="38" t="n">
        <f aca="false">Sens!$H$4173*Sens!$H$4180</f>
        <v>73.9568187320519</v>
      </c>
      <c r="I4183" s="38" t="n">
        <f aca="false">Sens!$I$4173*Sens!$I$4180</f>
        <v>86.3101265625461</v>
      </c>
      <c r="J4183" s="38" t="n">
        <f aca="false">Sens!$J$4173*Sens!$J$4180</f>
        <v>97.8339983977065</v>
      </c>
      <c r="K4183" s="38" t="n">
        <f aca="false">Sens!$K$4173*Sens!$K$4180</f>
        <v>107.617398237477</v>
      </c>
      <c r="L4183" s="38" t="n">
        <f aca="false">Sens!$L$4173*Sens!$L$4180</f>
        <v>118.379138061225</v>
      </c>
      <c r="M4183" s="38" t="n">
        <f aca="false">Sens!$M$4173*Sens!$M$4180</f>
        <v>130.217051867347</v>
      </c>
      <c r="N4183" s="38" t="n">
        <f aca="false">Sens!$N$4173*Sens!$N$4180</f>
        <v>21.7087111412496</v>
      </c>
      <c r="O4183" s="38" t="n">
        <f aca="false">Sens!$O$4173*Sens!$O$4180</f>
        <v>28.0189463642798</v>
      </c>
      <c r="P4183" s="5" t="s">
        <v>640</v>
      </c>
    </row>
    <row r="4184" customFormat="false" ht="15" hidden="false" customHeight="false" outlineLevel="0" collapsed="false">
      <c r="A4184" s="5" t="s">
        <v>641</v>
      </c>
      <c r="B4184" s="0" t="s">
        <v>73</v>
      </c>
      <c r="C4184" s="38" t="n">
        <f aca="false">Sens!$C$4173-Sens!$C$4183</f>
        <v>15.1456871171543</v>
      </c>
      <c r="D4184" s="38" t="n">
        <f aca="false">Sens!$D$4173-Sens!$D$4183</f>
        <v>18.8908765400825</v>
      </c>
      <c r="E4184" s="38" t="n">
        <f aca="false">Sens!$E$4173-Sens!$E$4183</f>
        <v>10.0485775075586</v>
      </c>
      <c r="F4184" s="38" t="n">
        <f aca="false">Sens!$F$4173-Sens!$F$4183</f>
        <v>13.5760496178185</v>
      </c>
      <c r="G4184" s="38" t="n">
        <f aca="false">Sens!$G$4173-Sens!$G$4183</f>
        <v>23.6029464295611</v>
      </c>
      <c r="H4184" s="38" t="n">
        <f aca="false">Sens!$H$4173-Sens!$H$4183</f>
        <v>28.3365431268884</v>
      </c>
      <c r="I4184" s="38" t="n">
        <f aca="false">Sens!$I$4173-Sens!$I$4183</f>
        <v>33.0697110226949</v>
      </c>
      <c r="J4184" s="38" t="n">
        <f aca="false">Sens!$J$4173-Sens!$J$4183</f>
        <v>37.4850806511378</v>
      </c>
      <c r="K4184" s="38" t="n">
        <f aca="false">Sens!$K$4173-Sens!$K$4183</f>
        <v>41.2335887162515</v>
      </c>
      <c r="L4184" s="38" t="n">
        <f aca="false">Sens!$L$4173-Sens!$L$4183</f>
        <v>45.3569475878767</v>
      </c>
      <c r="M4184" s="38" t="n">
        <f aca="false">Sens!$M$4173-Sens!$M$4183</f>
        <v>49.8926423466644</v>
      </c>
      <c r="N4184" s="38" t="n">
        <f aca="false">Sens!$N$4173-Sens!$N$4183</f>
        <v>7.90628885875037</v>
      </c>
      <c r="O4184" s="38" t="n">
        <f aca="false">Sens!$O$4173-Sens!$O$4183</f>
        <v>11.0010536357202</v>
      </c>
    </row>
    <row r="4185" customFormat="false" ht="19.4" hidden="false" customHeight="false" outlineLevel="0" collapsed="false">
      <c r="A4185" s="31" t="s">
        <v>1134</v>
      </c>
    </row>
    <row r="4186" customFormat="false" ht="17.15" hidden="false" customHeight="false" outlineLevel="0" collapsed="false">
      <c r="A4186" s="6" t="s">
        <v>16</v>
      </c>
      <c r="B4186" s="6" t="s">
        <v>17</v>
      </c>
      <c r="C4186" s="20" t="s">
        <v>457</v>
      </c>
      <c r="D4186" s="20" t="s">
        <v>458</v>
      </c>
      <c r="E4186" s="20" t="s">
        <v>540</v>
      </c>
      <c r="F4186" s="20" t="s">
        <v>541</v>
      </c>
      <c r="G4186" s="20" t="s">
        <v>542</v>
      </c>
      <c r="H4186" s="20" t="s">
        <v>543</v>
      </c>
      <c r="I4186" s="20" t="s">
        <v>544</v>
      </c>
      <c r="J4186" s="20" t="s">
        <v>545</v>
      </c>
      <c r="K4186" s="20" t="s">
        <v>546</v>
      </c>
      <c r="L4186" s="20" t="s">
        <v>547</v>
      </c>
      <c r="M4186" s="20" t="s">
        <v>548</v>
      </c>
      <c r="N4186" s="20" t="s">
        <v>549</v>
      </c>
      <c r="O4186" s="20" t="s">
        <v>550</v>
      </c>
      <c r="P4186" s="6" t="s">
        <v>23</v>
      </c>
      <c r="R4186" s="20" t="n">
        <v>2023</v>
      </c>
      <c r="S4186" s="20" t="n">
        <v>2024</v>
      </c>
      <c r="T4186" s="20" t="n">
        <v>2025</v>
      </c>
      <c r="U4186" s="20" t="n">
        <v>2026</v>
      </c>
      <c r="V4186" s="20" t="n">
        <v>2027</v>
      </c>
      <c r="W4186" s="20" t="n">
        <v>2028</v>
      </c>
      <c r="X4186" s="20" t="n">
        <v>2029</v>
      </c>
      <c r="Y4186" s="20" t="n">
        <v>2030</v>
      </c>
      <c r="Z4186" s="20" t="n">
        <v>2031</v>
      </c>
      <c r="AA4186" s="20" t="n">
        <v>2032</v>
      </c>
    </row>
    <row r="4187" customFormat="false" ht="17.15" hidden="false" customHeight="false" outlineLevel="0" collapsed="false">
      <c r="A4187" s="1" t="s">
        <v>551</v>
      </c>
    </row>
    <row r="4188" customFormat="false" ht="17.15" hidden="false" customHeight="false" outlineLevel="0" collapsed="false">
      <c r="A4188" s="14" t="s">
        <v>552</v>
      </c>
      <c r="B4188" s="13" t="s">
        <v>108</v>
      </c>
      <c r="C4188" s="32" t="n">
        <f aca="false">mw_ye24</f>
        <v>360</v>
      </c>
      <c r="D4188" s="32" t="n">
        <f aca="false">mw_ye25</f>
        <v>1440</v>
      </c>
      <c r="E4188" s="32" t="n">
        <f aca="false">mw_open</f>
        <v>2080</v>
      </c>
      <c r="F4188" s="32" t="n">
        <f aca="false">Sens!$E$4188+pace_B*0.5</f>
        <v>3897.15</v>
      </c>
      <c r="G4188" s="32" t="n">
        <f aca="false">Sens!$F$4188</f>
        <v>3897.15</v>
      </c>
      <c r="H4188" s="32" t="n">
        <f aca="false">Sens!$G$4188+pace_B</f>
        <v>7531.45</v>
      </c>
      <c r="I4188" s="32" t="n">
        <f aca="false">Sens!$H$4188+pace_B</f>
        <v>11165.75</v>
      </c>
      <c r="J4188" s="32" t="n">
        <f aca="false">Sens!$I$4188+pace_B</f>
        <v>14800.05</v>
      </c>
      <c r="K4188" s="32" t="n">
        <f aca="false">Sens!$J$4188+pace_B</f>
        <v>18434.35</v>
      </c>
      <c r="L4188" s="32" t="n">
        <f aca="false">Sens!$K$4188+pace_B</f>
        <v>22068.65</v>
      </c>
      <c r="M4188" s="32" t="n">
        <f aca="false">Sens!$L$4188+pace_B</f>
        <v>25702.95</v>
      </c>
      <c r="N4188" s="32" t="n">
        <f aca="false">(mw_ye24+mw_ye25)/2</f>
        <v>900</v>
      </c>
      <c r="O4188" s="32" t="n">
        <f aca="false">mw_ye25</f>
        <v>1440</v>
      </c>
      <c r="P4188" s="5" t="s">
        <v>553</v>
      </c>
    </row>
    <row r="4189" customFormat="false" ht="17.15" hidden="false" customHeight="false" outlineLevel="0" collapsed="false">
      <c r="A4189" s="5" t="s">
        <v>554</v>
      </c>
      <c r="B4189" s="0" t="s">
        <v>108</v>
      </c>
      <c r="C4189" s="33" t="n">
        <f aca="false">(mw_ye23+mw_ye24)/2</f>
        <v>240</v>
      </c>
      <c r="D4189" s="33" t="n">
        <f aca="false">(Sens!$C$4188+Sens!$D$4188)/2</f>
        <v>900</v>
      </c>
      <c r="E4189" s="33" t="n">
        <f aca="false">(Sens!$D$4188+Sens!$E$4188)/2</f>
        <v>1760</v>
      </c>
      <c r="F4189" s="33" t="n">
        <f aca="false">(Sens!$E$4188+Sens!$F$4188)/2</f>
        <v>2988.575</v>
      </c>
      <c r="G4189" s="33" t="n">
        <f aca="false">(Sens!$E$4189+Sens!$F$4189)/2</f>
        <v>2374.2875</v>
      </c>
      <c r="H4189" s="33" t="n">
        <f aca="false">(Sens!$G$4188+Sens!$H$4188)/2</f>
        <v>5714.3</v>
      </c>
      <c r="I4189" s="33" t="n">
        <f aca="false">(Sens!$H$4188+Sens!$I$4188)/2</f>
        <v>9348.6</v>
      </c>
      <c r="J4189" s="33" t="n">
        <f aca="false">(Sens!$I$4188+Sens!$J$4188)/2</f>
        <v>12982.9</v>
      </c>
      <c r="K4189" s="33" t="n">
        <f aca="false">(Sens!$J$4188+Sens!$K$4188)/2</f>
        <v>16617.2</v>
      </c>
      <c r="L4189" s="33" t="n">
        <f aca="false">(Sens!$K$4188+Sens!$L$4188)/2</f>
        <v>20251.5</v>
      </c>
      <c r="M4189" s="33" t="n">
        <f aca="false">(Sens!$L$4188+Sens!$M$4188)/2</f>
        <v>23885.8</v>
      </c>
      <c r="N4189" s="33" t="n">
        <f aca="false">(Sens!$C$4188+Sens!$N$4188)/2</f>
        <v>630</v>
      </c>
      <c r="O4189" s="33" t="n">
        <f aca="false">(Sens!$N$4188+Sens!$O$4188)/2</f>
        <v>1170</v>
      </c>
    </row>
    <row r="4190" customFormat="false" ht="15" hidden="false" customHeight="false" outlineLevel="0" collapsed="false">
      <c r="A4190" s="5" t="s">
        <v>555</v>
      </c>
      <c r="B4190" s="5" t="s">
        <v>102</v>
      </c>
      <c r="C4190" s="34" t="n">
        <v>1</v>
      </c>
      <c r="D4190" s="34" t="n">
        <v>1</v>
      </c>
      <c r="E4190" s="34" t="n">
        <v>0.5</v>
      </c>
      <c r="F4190" s="34" t="n">
        <v>0.5</v>
      </c>
      <c r="G4190" s="34" t="n">
        <v>1</v>
      </c>
      <c r="H4190" s="34" t="n">
        <v>1</v>
      </c>
      <c r="I4190" s="34" t="n">
        <v>1</v>
      </c>
      <c r="J4190" s="34" t="n">
        <v>1</v>
      </c>
      <c r="K4190" s="34" t="n">
        <v>1</v>
      </c>
      <c r="L4190" s="34" t="n">
        <v>1</v>
      </c>
      <c r="M4190" s="34" t="n">
        <v>1</v>
      </c>
      <c r="N4190" s="34" t="n">
        <v>0.5</v>
      </c>
      <c r="O4190" s="34" t="n">
        <v>0.5</v>
      </c>
    </row>
    <row r="4191" customFormat="false" ht="17.15" hidden="false" customHeight="false" outlineLevel="0" collapsed="false">
      <c r="A4191" s="5" t="s">
        <v>556</v>
      </c>
      <c r="B4191" s="0" t="s">
        <v>108</v>
      </c>
      <c r="C4191" s="33" t="n">
        <f aca="false">Sens!$C$4188-mw_ye23</f>
        <v>240</v>
      </c>
      <c r="D4191" s="33" t="n">
        <f aca="false">Sens!$D$4188-Sens!$C$4188</f>
        <v>1080</v>
      </c>
      <c r="E4191" s="33" t="n">
        <f aca="false">Sens!$E$4188-Sens!$D$4188</f>
        <v>640</v>
      </c>
      <c r="F4191" s="33" t="n">
        <f aca="false">Sens!$F$4188-Sens!$E$4188</f>
        <v>1817.15</v>
      </c>
      <c r="G4191" s="33" t="n">
        <f aca="false">Sens!$E$4191+Sens!$F$4191</f>
        <v>2457.15</v>
      </c>
      <c r="H4191" s="33" t="n">
        <f aca="false">Sens!$H$4188-Sens!$G$4188</f>
        <v>3634.3</v>
      </c>
      <c r="I4191" s="33" t="n">
        <f aca="false">Sens!$I$4188-Sens!$H$4188</f>
        <v>3634.3</v>
      </c>
      <c r="J4191" s="33" t="n">
        <f aca="false">Sens!$J$4188-Sens!$I$4188</f>
        <v>3634.3</v>
      </c>
      <c r="K4191" s="33" t="n">
        <f aca="false">Sens!$K$4188-Sens!$J$4188</f>
        <v>3634.3</v>
      </c>
      <c r="L4191" s="33" t="n">
        <f aca="false">Sens!$L$4188-Sens!$K$4188</f>
        <v>3634.3</v>
      </c>
      <c r="M4191" s="33" t="n">
        <f aca="false">Sens!$M$4188-Sens!$L$4188</f>
        <v>3634.3</v>
      </c>
      <c r="N4191" s="33" t="n">
        <f aca="false">Sens!$N$4188-Sens!$C$4188</f>
        <v>540</v>
      </c>
      <c r="O4191" s="33" t="n">
        <f aca="false">Sens!$O$4188-Sens!$N$4188</f>
        <v>540</v>
      </c>
    </row>
    <row r="4192" customFormat="false" ht="17.15" hidden="false" customHeight="false" outlineLevel="0" collapsed="false">
      <c r="A4192" s="5" t="s">
        <v>557</v>
      </c>
      <c r="B4192" s="0" t="s">
        <v>108</v>
      </c>
      <c r="C4192" s="33" t="n">
        <f aca="false">Sens!$C$4191/ext_sh</f>
        <v>300</v>
      </c>
      <c r="D4192" s="33" t="n">
        <f aca="false">Sens!$D$4191/ext_sh</f>
        <v>1350</v>
      </c>
      <c r="E4192" s="33" t="n">
        <f aca="false">Sens!$E$4191/ext_sh</f>
        <v>800</v>
      </c>
      <c r="F4192" s="33" t="n">
        <f aca="false">Sens!$F$4191/ext_sh</f>
        <v>2271.4375</v>
      </c>
      <c r="G4192" s="33" t="n">
        <f aca="false">Sens!$G$4191/ext_sh</f>
        <v>3071.4375</v>
      </c>
      <c r="H4192" s="33" t="n">
        <f aca="false">Sens!$H$4191/ext_sh</f>
        <v>4542.875</v>
      </c>
      <c r="I4192" s="33" t="n">
        <f aca="false">Sens!$I$4191/ext_sh</f>
        <v>4542.875</v>
      </c>
      <c r="J4192" s="33" t="n">
        <f aca="false">Sens!$J$4191/ext_sh</f>
        <v>4542.875</v>
      </c>
      <c r="K4192" s="33" t="n">
        <f aca="false">Sens!$K$4191/ext_sh</f>
        <v>4542.875</v>
      </c>
      <c r="L4192" s="33" t="n">
        <f aca="false">Sens!$L$4191/ext_sh</f>
        <v>4542.875</v>
      </c>
      <c r="M4192" s="33" t="n">
        <f aca="false">Sens!$M$4191/ext_sh</f>
        <v>4542.875</v>
      </c>
      <c r="N4192" s="33" t="n">
        <f aca="false">Sens!$N$4191/ext_sh</f>
        <v>675</v>
      </c>
      <c r="O4192" s="33" t="n">
        <f aca="false">Sens!$O$4191/ext_sh</f>
        <v>675</v>
      </c>
      <c r="P4192" s="8" t="s">
        <v>558</v>
      </c>
      <c r="R4192" s="33" t="n">
        <f aca="false">mw_ye23/ext_sh</f>
        <v>150</v>
      </c>
      <c r="S4192" s="33" t="n">
        <f aca="false">Sens!$C$4192</f>
        <v>300</v>
      </c>
      <c r="T4192" s="33" t="n">
        <f aca="false">Sens!$D$4192</f>
        <v>1350</v>
      </c>
      <c r="U4192" s="33" t="n">
        <f aca="false">Sens!$G$4192</f>
        <v>3071.4375</v>
      </c>
      <c r="V4192" s="33" t="n">
        <f aca="false">Sens!$H$4192</f>
        <v>4542.875</v>
      </c>
      <c r="W4192" s="33" t="n">
        <f aca="false">Sens!$I$4192</f>
        <v>4542.875</v>
      </c>
      <c r="X4192" s="33" t="n">
        <f aca="false">Sens!$J$4192</f>
        <v>4542.875</v>
      </c>
      <c r="Y4192" s="33" t="n">
        <f aca="false">Sens!$K$4192</f>
        <v>4542.875</v>
      </c>
      <c r="Z4192" s="33" t="n">
        <f aca="false">Sens!$L$4192</f>
        <v>4542.875</v>
      </c>
      <c r="AA4192" s="33" t="n">
        <f aca="false">Sens!$M$4192</f>
        <v>4542.875</v>
      </c>
    </row>
    <row r="4193" customFormat="false" ht="17.15" hidden="false" customHeight="false" outlineLevel="0" collapsed="false">
      <c r="A4193" s="1" t="s">
        <v>559</v>
      </c>
    </row>
    <row r="4194" customFormat="false" ht="17.15" hidden="false" customHeight="false" outlineLevel="0" collapsed="false">
      <c r="A4194" s="0" t="s">
        <v>560</v>
      </c>
      <c r="B4194" s="0" t="s">
        <v>52</v>
      </c>
      <c r="F4194" s="35" t="n">
        <f aca="false">na_vr26</f>
        <v>0</v>
      </c>
      <c r="G4194" s="35" t="n">
        <f aca="false">na_vr26</f>
        <v>0</v>
      </c>
      <c r="H4194" s="35" t="n">
        <f aca="false">na_vr27</f>
        <v>0.5</v>
      </c>
      <c r="I4194" s="35" t="n">
        <f aca="false">na_vr28</f>
        <v>1</v>
      </c>
      <c r="J4194" s="35" t="n">
        <f aca="false">na_vr28</f>
        <v>1</v>
      </c>
      <c r="K4194" s="35" t="n">
        <f aca="false">na_vr28</f>
        <v>1</v>
      </c>
      <c r="L4194" s="35" t="n">
        <f aca="false">na_vr28</f>
        <v>1</v>
      </c>
      <c r="M4194" s="35" t="n">
        <f aca="false">na_vr28</f>
        <v>1</v>
      </c>
    </row>
    <row r="4195" customFormat="false" ht="17.15" hidden="false" customHeight="false" outlineLevel="0" collapsed="false">
      <c r="A4195" s="5" t="s">
        <v>561</v>
      </c>
      <c r="B4195" s="0" t="s">
        <v>151</v>
      </c>
      <c r="F4195" s="36" t="n">
        <f aca="false">cust_sh*tk_he_gb300*cf_chip+(1-cust_sh)*((1-Sens!$F$4194)*tk_he_gb300+Sens!$F$4194*tk_he_vr200)</f>
        <v>10.8864110021101</v>
      </c>
      <c r="G4195" s="36" t="n">
        <f aca="false">cust_sh*tk_he_gb300*cf_chip+(1-cust_sh)*((1-Sens!$G$4194)*tk_he_gb300+Sens!$G$4194*tk_he_vr200)</f>
        <v>10.8864110021101</v>
      </c>
      <c r="H4195" s="36" t="n">
        <f aca="false">cust_sh*tk_he_gb300*cf_chip+(1-cust_sh)*((1-Sens!$H$4194)*tk_he_gb300+Sens!$H$4194*tk_he_vr200)</f>
        <v>11.2211760027286</v>
      </c>
      <c r="I4195" s="36" t="n">
        <f aca="false">cust_sh*tk_he_gb300*cf_chip+(1-cust_sh)*((1-Sens!$I$4194)*tk_he_gb300+Sens!$I$4194*tk_he_vr200)</f>
        <v>11.5559410033471</v>
      </c>
      <c r="J4195" s="36" t="n">
        <f aca="false">cust_sh*tk_he_gb300*cf_chip+(1-cust_sh)*((1-Sens!$J$4194)*tk_he_gb300+Sens!$J$4194*tk_he_vr200)</f>
        <v>11.5559410033471</v>
      </c>
      <c r="K4195" s="36" t="n">
        <f aca="false">cust_sh*tk_he_gb300*cf_chip+(1-cust_sh)*((1-Sens!$K$4194)*tk_he_gb300+Sens!$K$4194*tk_he_vr200)</f>
        <v>11.5559410033471</v>
      </c>
      <c r="L4195" s="36" t="n">
        <f aca="false">cust_sh*tk_he_gb300*cf_chip+(1-cust_sh)*((1-Sens!$L$4194)*tk_he_gb300+Sens!$L$4194*tk_he_vr200)</f>
        <v>11.5559410033471</v>
      </c>
      <c r="M4195" s="36" t="n">
        <f aca="false">cust_sh*tk_he_gb300*cf_chip+(1-cust_sh)*((1-Sens!$M$4194)*tk_he_gb300+Sens!$M$4194*tk_he_vr200)</f>
        <v>11.5559410033471</v>
      </c>
    </row>
    <row r="4196" customFormat="false" ht="17.15" hidden="false" customHeight="false" outlineLevel="0" collapsed="false">
      <c r="A4196" s="5" t="s">
        <v>562</v>
      </c>
      <c r="B4196" s="0" t="s">
        <v>151</v>
      </c>
      <c r="F4196" s="36" t="n">
        <f aca="false">cust_sh*tk_ox_gb300+(1-cust_sh)*((1-Sens!$F$4194)*tk_ox_gb300+Sens!$F$4194*tk_ox_vr200)</f>
        <v>1.98263481314457</v>
      </c>
      <c r="G4196" s="36" t="n">
        <f aca="false">cust_sh*tk_ox_gb300+(1-cust_sh)*((1-Sens!$G$4194)*tk_ox_gb300+Sens!$G$4194*tk_ox_vr200)</f>
        <v>1.98263481314457</v>
      </c>
      <c r="H4196" s="36" t="n">
        <f aca="false">cust_sh*tk_ox_gb300+(1-cust_sh)*((1-Sens!$H$4194)*tk_ox_gb300+Sens!$H$4194*tk_ox_vr200)</f>
        <v>2.01034999693694</v>
      </c>
      <c r="I4196" s="36" t="n">
        <f aca="false">cust_sh*tk_ox_gb300+(1-cust_sh)*((1-Sens!$I$4194)*tk_ox_gb300+Sens!$I$4194*tk_ox_vr200)</f>
        <v>2.0380651807293</v>
      </c>
      <c r="J4196" s="36" t="n">
        <f aca="false">cust_sh*tk_ox_gb300+(1-cust_sh)*((1-Sens!$J$4194)*tk_ox_gb300+Sens!$J$4194*tk_ox_vr200)</f>
        <v>2.0380651807293</v>
      </c>
      <c r="K4196" s="36" t="n">
        <f aca="false">cust_sh*tk_ox_gb300+(1-cust_sh)*((1-Sens!$K$4194)*tk_ox_gb300+Sens!$K$4194*tk_ox_vr200)</f>
        <v>2.0380651807293</v>
      </c>
      <c r="L4196" s="36" t="n">
        <f aca="false">cust_sh*tk_ox_gb300+(1-cust_sh)*((1-Sens!$L$4194)*tk_ox_gb300+Sens!$L$4194*tk_ox_vr200)</f>
        <v>2.0380651807293</v>
      </c>
      <c r="M4196" s="36" t="n">
        <f aca="false">cust_sh*tk_ox_gb300+(1-cust_sh)*((1-Sens!$M$4194)*tk_ox_gb300+Sens!$M$4194*tk_ox_vr200)</f>
        <v>2.0380651807293</v>
      </c>
    </row>
    <row r="4197" customFormat="false" ht="17.15" hidden="false" customHeight="false" outlineLevel="0" collapsed="false">
      <c r="A4197" s="5" t="s">
        <v>563</v>
      </c>
      <c r="B4197" s="0" t="s">
        <v>170</v>
      </c>
      <c r="F4197" s="36" t="n">
        <f aca="false">cust_sh*tk_cx_gb300*cf_cx+(1-cust_sh)*((1-Sens!$F$4194)*tk_cx_gb300+Sens!$F$4194*tk_cx_vr200)</f>
        <v>32.237224</v>
      </c>
      <c r="G4197" s="36" t="n">
        <f aca="false">cust_sh*tk_cx_gb300*cf_cx+(1-cust_sh)*((1-Sens!$G$4194)*tk_cx_gb300+Sens!$G$4194*tk_cx_vr200)</f>
        <v>32.237224</v>
      </c>
      <c r="H4197" s="36" t="n">
        <f aca="false">cust_sh*tk_cx_gb300*cf_cx+(1-cust_sh)*((1-Sens!$H$4194)*tk_cx_gb300+Sens!$H$4194*tk_cx_vr200)</f>
        <v>33.574506</v>
      </c>
      <c r="I4197" s="36" t="n">
        <f aca="false">cust_sh*tk_cx_gb300*cf_cx+(1-cust_sh)*((1-Sens!$I$4194)*tk_cx_gb300+Sens!$I$4194*tk_cx_vr200)</f>
        <v>34.911788</v>
      </c>
      <c r="J4197" s="36" t="n">
        <f aca="false">cust_sh*tk_cx_gb300*cf_cx+(1-cust_sh)*((1-Sens!$J$4194)*tk_cx_gb300+Sens!$J$4194*tk_cx_vr200)</f>
        <v>34.911788</v>
      </c>
      <c r="K4197" s="36" t="n">
        <f aca="false">cust_sh*tk_cx_gb300*cf_cx+(1-cust_sh)*((1-Sens!$K$4194)*tk_cx_gb300+Sens!$K$4194*tk_cx_vr200)</f>
        <v>34.911788</v>
      </c>
      <c r="L4197" s="36" t="n">
        <f aca="false">cust_sh*tk_cx_gb300*cf_cx+(1-cust_sh)*((1-Sens!$L$4194)*tk_cx_gb300+Sens!$L$4194*tk_cx_vr200)</f>
        <v>34.911788</v>
      </c>
      <c r="M4197" s="36" t="n">
        <f aca="false">cust_sh*tk_cx_gb300*cf_cx+(1-cust_sh)*((1-Sens!$M$4194)*tk_cx_gb300+Sens!$M$4194*tk_cx_vr200)</f>
        <v>34.911788</v>
      </c>
    </row>
    <row r="4198" customFormat="false" ht="17.15" hidden="false" customHeight="false" outlineLevel="0" collapsed="false">
      <c r="A4198" s="5" t="s">
        <v>564</v>
      </c>
      <c r="B4198" s="0" t="s">
        <v>108</v>
      </c>
      <c r="F4198" s="33" t="n">
        <f aca="false">Sens!$F$4188-mw_open</f>
        <v>1817.15</v>
      </c>
      <c r="G4198" s="33" t="n">
        <f aca="false">Sens!$F$4198</f>
        <v>1817.15</v>
      </c>
      <c r="H4198" s="33" t="n">
        <f aca="false">Sens!$H$4188-mw_open</f>
        <v>5451.45</v>
      </c>
      <c r="I4198" s="33" t="n">
        <f aca="false">Sens!$I$4188-mw_open</f>
        <v>9085.75</v>
      </c>
      <c r="J4198" s="33" t="n">
        <f aca="false">Sens!$J$4188-mw_open</f>
        <v>12720.05</v>
      </c>
      <c r="K4198" s="33" t="n">
        <f aca="false">Sens!$K$4188-mw_open</f>
        <v>16354.35</v>
      </c>
      <c r="L4198" s="33" t="n">
        <f aca="false">Sens!$L$4188-mw_open</f>
        <v>19988.65</v>
      </c>
      <c r="M4198" s="33" t="n">
        <f aca="false">Sens!$M$4188-mw_open</f>
        <v>23622.95</v>
      </c>
    </row>
    <row r="4199" customFormat="false" ht="17.15" hidden="false" customHeight="false" outlineLevel="0" collapsed="false">
      <c r="A4199" s="0" t="s">
        <v>565</v>
      </c>
      <c r="B4199" s="0" t="s">
        <v>566</v>
      </c>
      <c r="F4199" s="33" t="n">
        <f aca="false">Sens!$F$4191*Sens!$F$4195</f>
        <v>19782.2417524844</v>
      </c>
      <c r="G4199" s="33" t="n">
        <f aca="false">Sens!$F$4199</f>
        <v>19782.2417524844</v>
      </c>
      <c r="H4199" s="33" t="n">
        <f aca="false">Sens!$G$4199+Sens!$H$4191*Sens!$H$4195</f>
        <v>60563.3616992009</v>
      </c>
      <c r="I4199" s="33" t="n">
        <f aca="false">Sens!$H$4199+Sens!$I$4191*Sens!$I$4195</f>
        <v>102561.118087665</v>
      </c>
      <c r="J4199" s="33" t="n">
        <f aca="false">Sens!$I$4199+Sens!$J$4191*Sens!$J$4195</f>
        <v>144558.87447613</v>
      </c>
      <c r="K4199" s="33" t="n">
        <f aca="false">Sens!$J$4199+Sens!$K$4191*Sens!$K$4195</f>
        <v>186556.630864594</v>
      </c>
      <c r="L4199" s="33" t="n">
        <f aca="false">Sens!$K$4199+Sens!$L$4191*Sens!$L$4195</f>
        <v>228554.387253058</v>
      </c>
      <c r="M4199" s="33" t="n">
        <f aca="false">Sens!$L$4199+Sens!$M$4191*Sens!$M$4195</f>
        <v>270552.143641523</v>
      </c>
    </row>
    <row r="4200" customFormat="false" ht="17.15" hidden="false" customHeight="false" outlineLevel="0" collapsed="false">
      <c r="A4200" s="0" t="s">
        <v>567</v>
      </c>
      <c r="B4200" s="0" t="s">
        <v>566</v>
      </c>
      <c r="F4200" s="33" t="n">
        <f aca="false">Sens!$F$4191*Sens!$F$4196</f>
        <v>3602.74485070566</v>
      </c>
      <c r="G4200" s="33" t="n">
        <f aca="false">Sens!$F$4200</f>
        <v>3602.74485070566</v>
      </c>
      <c r="H4200" s="33" t="n">
        <f aca="false">Sens!$G$4200+Sens!$H$4191*Sens!$H$4196</f>
        <v>10908.9598445736</v>
      </c>
      <c r="I4200" s="33" t="n">
        <f aca="false">Sens!$H$4200+Sens!$I$4191*Sens!$I$4196</f>
        <v>18315.9001308981</v>
      </c>
      <c r="J4200" s="33" t="n">
        <f aca="false">Sens!$I$4200+Sens!$J$4191*Sens!$J$4196</f>
        <v>25722.8404172225</v>
      </c>
      <c r="K4200" s="33" t="n">
        <f aca="false">Sens!$J$4200+Sens!$K$4191*Sens!$K$4196</f>
        <v>33129.780703547</v>
      </c>
      <c r="L4200" s="33" t="n">
        <f aca="false">Sens!$K$4200+Sens!$L$4191*Sens!$L$4196</f>
        <v>40536.7209898715</v>
      </c>
      <c r="M4200" s="33" t="n">
        <f aca="false">Sens!$L$4200+Sens!$M$4191*Sens!$M$4196</f>
        <v>47943.661276196</v>
      </c>
    </row>
    <row r="4201" customFormat="false" ht="17.15" hidden="false" customHeight="false" outlineLevel="0" collapsed="false">
      <c r="A4201" s="5" t="s">
        <v>568</v>
      </c>
      <c r="B4201" s="0" t="s">
        <v>151</v>
      </c>
      <c r="F4201" s="36" t="n">
        <f aca="false">IF(Sens!$F$4198&gt;0,Sens!$F$4199/Sens!$F$4198,Sens!$F$4195)</f>
        <v>10.8864110021101</v>
      </c>
      <c r="G4201" s="36" t="n">
        <f aca="false">IF(Sens!$G$4198&gt;0,Sens!$G$4199/Sens!$G$4198,Sens!$G$4195)</f>
        <v>10.8864110021101</v>
      </c>
      <c r="H4201" s="36" t="n">
        <f aca="false">IF(Sens!$H$4198&gt;0,Sens!$H$4199/Sens!$H$4198,Sens!$H$4195)</f>
        <v>11.1095876691891</v>
      </c>
      <c r="I4201" s="36" t="n">
        <f aca="false">IF(Sens!$I$4198&gt;0,Sens!$I$4199/Sens!$I$4198,Sens!$I$4195)</f>
        <v>11.2881290028523</v>
      </c>
      <c r="J4201" s="36" t="n">
        <f aca="false">IF(Sens!$J$4198&gt;0,Sens!$J$4199/Sens!$J$4198,Sens!$J$4195)</f>
        <v>11.3646467172794</v>
      </c>
      <c r="K4201" s="36" t="n">
        <f aca="false">IF(Sens!$K$4198&gt;0,Sens!$K$4199/Sens!$K$4198,Sens!$K$4195)</f>
        <v>11.4071565586278</v>
      </c>
      <c r="L4201" s="36" t="n">
        <f aca="false">IF(Sens!$L$4198&gt;0,Sens!$L$4199/Sens!$L$4198,Sens!$L$4195)</f>
        <v>11.4342082758495</v>
      </c>
      <c r="M4201" s="36" t="n">
        <f aca="false">IF(Sens!$M$4198&gt;0,Sens!$M$4199/Sens!$M$4198,Sens!$M$4195)</f>
        <v>11.4529363877722</v>
      </c>
    </row>
    <row r="4202" customFormat="false" ht="17.15" hidden="false" customHeight="false" outlineLevel="0" collapsed="false">
      <c r="A4202" s="5" t="s">
        <v>569</v>
      </c>
      <c r="B4202" s="0" t="s">
        <v>151</v>
      </c>
      <c r="F4202" s="36" t="n">
        <f aca="false">IF(Sens!$F$4198&gt;0,Sens!$F$4200/Sens!$F$4198,Sens!$F$4196)</f>
        <v>1.98263481314457</v>
      </c>
      <c r="G4202" s="36" t="n">
        <f aca="false">IF(Sens!$G$4198&gt;0,Sens!$G$4200/Sens!$G$4198,Sens!$G$4196)</f>
        <v>1.98263481314457</v>
      </c>
      <c r="H4202" s="36" t="n">
        <f aca="false">IF(Sens!$H$4198&gt;0,Sens!$H$4200/Sens!$H$4198,Sens!$H$4196)</f>
        <v>2.00111160233948</v>
      </c>
      <c r="I4202" s="36" t="n">
        <f aca="false">IF(Sens!$I$4198&gt;0,Sens!$I$4200/Sens!$I$4198,Sens!$I$4196)</f>
        <v>2.01589303369541</v>
      </c>
      <c r="J4202" s="36" t="n">
        <f aca="false">IF(Sens!$J$4198&gt;0,Sens!$J$4200/Sens!$J$4198,Sens!$J$4196)</f>
        <v>2.02222793284795</v>
      </c>
      <c r="K4202" s="36" t="n">
        <f aca="false">IF(Sens!$K$4198&gt;0,Sens!$K$4200/Sens!$K$4198,Sens!$K$4196)</f>
        <v>2.02574732126603</v>
      </c>
      <c r="L4202" s="36" t="n">
        <f aca="false">IF(Sens!$L$4198&gt;0,Sens!$L$4200/Sens!$L$4198,Sens!$L$4196)</f>
        <v>2.02798693207753</v>
      </c>
      <c r="M4202" s="36" t="n">
        <f aca="false">IF(Sens!$M$4198&gt;0,Sens!$M$4200/Sens!$M$4198,Sens!$M$4196)</f>
        <v>2.02953743187011</v>
      </c>
    </row>
    <row r="4203" customFormat="false" ht="17.15" hidden="false" customHeight="false" outlineLevel="0" collapsed="false">
      <c r="A4203" s="14" t="s">
        <v>570</v>
      </c>
      <c r="B4203" s="13" t="s">
        <v>151</v>
      </c>
      <c r="C4203" s="13"/>
      <c r="D4203" s="13"/>
      <c r="E4203" s="13"/>
      <c r="F4203" s="37" t="n">
        <f aca="false">Sens!$F$4201*k_B</f>
        <v>10.7987645808025</v>
      </c>
      <c r="G4203" s="37" t="n">
        <f aca="false">Sens!$G$4201*k_B</f>
        <v>10.7987645808025</v>
      </c>
      <c r="H4203" s="37" t="n">
        <f aca="false">Sens!$H$4201*k_B</f>
        <v>11.0201444540452</v>
      </c>
      <c r="I4203" s="37" t="n">
        <f aca="false">Sens!$I$4201*k_B</f>
        <v>11.1972483526393</v>
      </c>
      <c r="J4203" s="37" t="n">
        <f aca="false">Sens!$J$4201*k_B</f>
        <v>11.2731500234653</v>
      </c>
      <c r="K4203" s="37" t="n">
        <f aca="false">Sens!$K$4201*k_B</f>
        <v>11.3153176183687</v>
      </c>
      <c r="L4203" s="37" t="n">
        <f aca="false">Sens!$L$4201*k_B</f>
        <v>11.3421515423981</v>
      </c>
      <c r="M4203" s="37" t="n">
        <f aca="false">Sens!$M$4201*k_B</f>
        <v>11.3607288744184</v>
      </c>
      <c r="N4203" s="13"/>
      <c r="O4203" s="13"/>
      <c r="P4203" s="5" t="s">
        <v>571</v>
      </c>
    </row>
    <row r="4204" customFormat="false" ht="17.15" hidden="false" customHeight="false" outlineLevel="0" collapsed="false">
      <c r="A4204" s="5" t="s">
        <v>572</v>
      </c>
      <c r="B4204" s="0" t="s">
        <v>108</v>
      </c>
      <c r="F4204" s="33" t="n">
        <f aca="false">Sens!$F$4198/2</f>
        <v>908.575</v>
      </c>
      <c r="H4204" s="33" t="n">
        <f aca="false">(Sens!$G$4198+Sens!$H$4198)/2</f>
        <v>3634.3</v>
      </c>
      <c r="I4204" s="33" t="n">
        <f aca="false">(Sens!$H$4198+Sens!$I$4198)/2</f>
        <v>7268.6</v>
      </c>
      <c r="J4204" s="33" t="n">
        <f aca="false">(Sens!$I$4198+Sens!$J$4198)/2</f>
        <v>10902.9</v>
      </c>
      <c r="K4204" s="33" t="n">
        <f aca="false">(Sens!$J$4198+Sens!$K$4198)/2</f>
        <v>14537.2</v>
      </c>
      <c r="L4204" s="33" t="n">
        <f aca="false">(Sens!$K$4198+Sens!$L$4198)/2</f>
        <v>18171.5</v>
      </c>
      <c r="M4204" s="33" t="n">
        <f aca="false">(Sens!$L$4198+Sens!$M$4198)/2</f>
        <v>21805.8</v>
      </c>
    </row>
    <row r="4205" customFormat="false" ht="17.15" hidden="false" customHeight="false" outlineLevel="0" collapsed="false">
      <c r="A4205" s="1" t="s">
        <v>573</v>
      </c>
    </row>
    <row r="4206" customFormat="false" ht="17.15" hidden="false" customHeight="false" outlineLevel="0" collapsed="false">
      <c r="A4206" s="1" t="s">
        <v>574</v>
      </c>
      <c r="B4206" s="8" t="s">
        <v>73</v>
      </c>
      <c r="C4206" s="38" t="n">
        <f aca="false">Sens!$C$4189*rpm_open*Sens!$C$4190/1000</f>
        <v>2.32100535697364</v>
      </c>
      <c r="D4206" s="38" t="n">
        <f aca="false">Sens!$D$4189*rpm_open*Sens!$D$4190/1000</f>
        <v>8.70377008865116</v>
      </c>
      <c r="E4206" s="38" t="n">
        <f aca="false">Sens!$E$4189*rpm_open*Sens!$E$4190/1000</f>
        <v>8.51035297557002</v>
      </c>
      <c r="F4206" s="38" t="n">
        <f aca="false">(mw_open*rpm_open+Sens!$F$4204*Sens!$F$4203)*Sens!$F$4190/1000</f>
        <v>14.9634336447205</v>
      </c>
      <c r="G4206" s="38" t="n">
        <f aca="false">Sens!$E$4206+Sens!$F$4206</f>
        <v>23.4737866202905</v>
      </c>
      <c r="H4206" s="38" t="n">
        <f aca="false">(mw_open*rpm_open+Sens!$H$4204*Sens!$H$4203)/1000</f>
        <v>60.1658907497746</v>
      </c>
      <c r="I4206" s="38" t="n">
        <f aca="false">(mw_open*rpm_open+Sens!$I$4204*Sens!$I$4203)/1000</f>
        <v>101.503699136432</v>
      </c>
      <c r="J4206" s="38" t="n">
        <f aca="false">(mw_open*rpm_open+Sens!$J$4204*Sens!$J$4203)/1000</f>
        <v>143.025407151278</v>
      </c>
      <c r="K4206" s="38" t="n">
        <f aca="false">(mw_open*rpm_open+Sens!$K$4204*Sens!$K$4203)/1000</f>
        <v>184.608415042187</v>
      </c>
      <c r="L4206" s="38" t="n">
        <f aca="false">(mw_open*rpm_open+Sens!$L$4204*Sens!$L$4203)/1000</f>
        <v>226.219286513125</v>
      </c>
      <c r="M4206" s="38" t="n">
        <f aca="false">(mw_open*rpm_open+Sens!$M$4204*Sens!$M$4203)/1000</f>
        <v>267.845161450232</v>
      </c>
      <c r="N4206" s="38" t="n">
        <f aca="false">Sens!$N$4189*rpm_open*Sens!$N$4190/1000</f>
        <v>3.04631953102791</v>
      </c>
      <c r="O4206" s="38" t="n">
        <f aca="false">Sens!$O$4189*rpm_open*Sens!$O$4190/1000</f>
        <v>5.65745055762326</v>
      </c>
      <c r="P4206" s="5" t="s">
        <v>575</v>
      </c>
    </row>
    <row r="4207" customFormat="false" ht="17.15" hidden="false" customHeight="false" outlineLevel="0" collapsed="false">
      <c r="A4207" s="5" t="s">
        <v>576</v>
      </c>
      <c r="B4207" s="0" t="s">
        <v>151</v>
      </c>
      <c r="C4207" s="36" t="n">
        <f aca="false">Sens!$C$4206*1000/(Sens!$C$4189*Sens!$C$4190)</f>
        <v>9.67085565405685</v>
      </c>
      <c r="D4207" s="36" t="n">
        <f aca="false">Sens!$D$4206*1000/(Sens!$D$4189*Sens!$D$4190)</f>
        <v>9.67085565405685</v>
      </c>
      <c r="E4207" s="36" t="n">
        <f aca="false">Sens!$E$4206*1000/(Sens!$E$4189*Sens!$E$4190)</f>
        <v>9.67085565405685</v>
      </c>
      <c r="F4207" s="36" t="n">
        <f aca="false">Sens!$F$4206*1000/(Sens!$F$4189*Sens!$F$4190)</f>
        <v>10.0137581588017</v>
      </c>
      <c r="G4207" s="36" t="n">
        <f aca="false">Sens!$G$4206*1000/(Sens!$G$4189*Sens!$G$4190)</f>
        <v>9.88666562928478</v>
      </c>
      <c r="H4207" s="36" t="n">
        <f aca="false">Sens!$H$4206*1000/(Sens!$H$4189*Sens!$H$4190)</f>
        <v>10.5290045586992</v>
      </c>
      <c r="I4207" s="36" t="n">
        <f aca="false">Sens!$I$4206*1000/(Sens!$I$4189*Sens!$I$4190)</f>
        <v>10.8576363451674</v>
      </c>
      <c r="J4207" s="36" t="n">
        <f aca="false">Sens!$J$4206*1000/(Sens!$J$4189*Sens!$J$4190)</f>
        <v>11.0164452588619</v>
      </c>
      <c r="K4207" s="36" t="n">
        <f aca="false">Sens!$K$4206*1000/(Sens!$K$4189*Sens!$K$4190)</f>
        <v>11.1094778327388</v>
      </c>
      <c r="L4207" s="36" t="n">
        <f aca="false">Sens!$L$4206*1000/(Sens!$L$4189*Sens!$L$4190)</f>
        <v>11.1704953466718</v>
      </c>
      <c r="M4207" s="36" t="n">
        <f aca="false">Sens!$M$4206*1000/(Sens!$M$4189*Sens!$M$4190)</f>
        <v>11.2135729785158</v>
      </c>
      <c r="N4207" s="36" t="n">
        <f aca="false">Sens!$N$4206*1000/(Sens!$N$4189*Sens!$N$4190)</f>
        <v>9.67085565405685</v>
      </c>
      <c r="O4207" s="36" t="n">
        <f aca="false">Sens!$O$4206*1000/(Sens!$O$4189*Sens!$O$4190)</f>
        <v>9.67085565405685</v>
      </c>
    </row>
    <row r="4208" customFormat="false" ht="17.15" hidden="false" customHeight="false" outlineLevel="0" collapsed="false">
      <c r="A4208" s="0" t="s">
        <v>577</v>
      </c>
      <c r="B4208" s="0" t="s">
        <v>73</v>
      </c>
      <c r="C4208" s="38" t="n">
        <f aca="false">Sens!$C$4189/ext_sh*(ox_open+rent_mw)*Sens!$C$4190/1000</f>
        <v>0.642569210675032</v>
      </c>
      <c r="D4208" s="38" t="n">
        <f aca="false">Sens!$D$4189/ext_sh*(ox_open+rent_mw)*Sens!$D$4190/1000</f>
        <v>2.40963454003137</v>
      </c>
      <c r="E4208" s="38" t="n">
        <f aca="false">Sens!$E$4189/ext_sh*(ox_open+rent_mw)*Sens!$E$4190/1000</f>
        <v>2.35608710580845</v>
      </c>
      <c r="F4208" s="38" t="n">
        <f aca="false">((mw_open*ox_open+Sens!$F$4204*Sens!$F$4202)/ext_sh+Sens!$F$4189/ext_sh*rent_mw)*Sens!$F$4190/1000</f>
        <v>4.05421991106232</v>
      </c>
      <c r="G4208" s="38" t="n">
        <f aca="false">Sens!$E$4208+Sens!$F$4208</f>
        <v>6.41030701687077</v>
      </c>
      <c r="H4208" s="38" t="n">
        <f aca="false">((mw_open*ox_open+Sens!$H$4204*Sens!$H$4202)/ext_sh+Sens!$H$4189/ext_sh*rent_mw)*Sens!$H$4190/1000</f>
        <v>15.8108975546616</v>
      </c>
      <c r="I4208" s="38" t="n">
        <f aca="false">((mw_open*ox_open+Sens!$I$4204*Sens!$I$4202)/ext_sh+Sens!$I$4189/ext_sh*rent_mw)*Sens!$I$4190/1000</f>
        <v>26.1871623400817</v>
      </c>
      <c r="J4208" s="38" t="n">
        <f aca="false">((mw_open*ox_open+Sens!$J$4204*Sens!$J$4202)/ext_sh+Sens!$J$4189/ext_sh*rent_mw)*Sens!$J$4190/1000</f>
        <v>36.5826128954935</v>
      </c>
      <c r="K4208" s="38" t="n">
        <f aca="false">((mw_open*ox_open+Sens!$K$4204*Sens!$K$4202)/ext_sh+Sens!$K$4189/ext_sh*rent_mw)*Sens!$K$4190/1000</f>
        <v>46.9844587075692</v>
      </c>
      <c r="L4208" s="38" t="n">
        <f aca="false">((mw_open*ox_open+Sens!$L$4204*Sens!$L$4202)/ext_sh+Sens!$L$4189/ext_sh*rent_mw)*Sens!$L$4190/1000</f>
        <v>57.3892114544922</v>
      </c>
      <c r="M4208" s="38" t="n">
        <f aca="false">((mw_open*ox_open+Sens!$M$4204*Sens!$M$4202)/ext_sh+Sens!$M$4189/ext_sh*rent_mw)*Sens!$M$4190/1000</f>
        <v>67.7955294740252</v>
      </c>
      <c r="N4208" s="38" t="n">
        <f aca="false">Sens!$N$4189/ext_sh*(ox_open+rent_mw)*Sens!$N$4190/1000</f>
        <v>0.84337208901098</v>
      </c>
      <c r="O4208" s="38" t="n">
        <f aca="false">Sens!$O$4189/ext_sh*(ox_open+rent_mw)*Sens!$O$4190/1000</f>
        <v>1.56626245102039</v>
      </c>
    </row>
    <row r="4209" customFormat="false" ht="17.15" hidden="false" customHeight="false" outlineLevel="0" collapsed="false">
      <c r="A4209" s="0" t="s">
        <v>578</v>
      </c>
      <c r="B4209" s="0" t="s">
        <v>73</v>
      </c>
      <c r="C4209" s="38" t="n">
        <f aca="false">Q!$D$7</f>
        <v>107.556</v>
      </c>
      <c r="D4209" s="38" t="n">
        <f aca="false">Q!$E$7</f>
        <v>128.725</v>
      </c>
      <c r="E4209" s="38" t="n">
        <f aca="false">Q!$P$7</f>
        <v>79.819</v>
      </c>
      <c r="N4209" s="38" t="n">
        <f aca="false">Q!$N$7</f>
        <v>60.14</v>
      </c>
      <c r="O4209" s="38" t="n">
        <f aca="false">Q!$O$7</f>
        <v>68.585</v>
      </c>
    </row>
    <row r="4210" customFormat="false" ht="17.15" hidden="false" customHeight="false" outlineLevel="0" collapsed="false">
      <c r="A4210" s="1" t="s">
        <v>579</v>
      </c>
      <c r="B4210" s="8" t="s">
        <v>73</v>
      </c>
      <c r="C4210" s="38" t="n">
        <f aca="false">Sens!$C$4209-Sens!$C$4206</f>
        <v>105.234994643026</v>
      </c>
      <c r="D4210" s="38" t="n">
        <f aca="false">Sens!$D$4209-Sens!$D$4206</f>
        <v>120.021229911349</v>
      </c>
      <c r="E4210" s="38" t="n">
        <f aca="false">Sens!$E$4209-Sens!$E$4206</f>
        <v>71.30864702443</v>
      </c>
      <c r="F4210" s="38" t="n">
        <f aca="false">Sens!$O$4210*(1+Sens!$F$4211)</f>
        <v>78.5950104186653</v>
      </c>
      <c r="G4210" s="38" t="n">
        <f aca="false">Sens!$E$4210+Sens!$F$4210</f>
        <v>149.903657443095</v>
      </c>
      <c r="H4210" s="38" t="n">
        <f aca="false">Sens!$G$4210*(1+Sens!$H$4211)</f>
        <v>180.893560768142</v>
      </c>
      <c r="I4210" s="38" t="n">
        <f aca="false">Sens!$H$4210*(1+Sens!$I$4211)</f>
        <v>210.64839721501</v>
      </c>
      <c r="J4210" s="38" t="n">
        <f aca="false">Sens!$I$4210*(1+Sens!$J$4211)</f>
        <v>236.398909446495</v>
      </c>
      <c r="K4210" s="38" t="n">
        <f aca="false">Sens!$J$4210*(1+Sens!$K$4211)</f>
        <v>255.310822202215</v>
      </c>
      <c r="L4210" s="38" t="n">
        <f aca="false">Sens!$K$4210*(1+Sens!$L$4211)</f>
        <v>275.735687978392</v>
      </c>
      <c r="M4210" s="38" t="n">
        <f aca="false">Sens!$L$4210*(1+Sens!$M$4211)</f>
        <v>297.794543016663</v>
      </c>
      <c r="N4210" s="38" t="n">
        <f aca="false">Sens!$N$4209-Sens!$N$4206</f>
        <v>57.0936804689721</v>
      </c>
      <c r="O4210" s="38" t="n">
        <f aca="false">Sens!$O$4209-Sens!$O$4206</f>
        <v>62.9275494423768</v>
      </c>
      <c r="P4210" s="5" t="s">
        <v>580</v>
      </c>
    </row>
    <row r="4211" customFormat="false" ht="17.15" hidden="false" customHeight="false" outlineLevel="0" collapsed="false">
      <c r="A4211" s="0" t="s">
        <v>581</v>
      </c>
      <c r="B4211" s="0" t="s">
        <v>52</v>
      </c>
      <c r="E4211" s="12" t="n">
        <f aca="false">Sens!$E$4210/Sens!$N$4210-1</f>
        <v>0.248976181579029</v>
      </c>
      <c r="F4211" s="12" t="n">
        <f aca="false">Sens!$E$4211</f>
        <v>0.248976181579029</v>
      </c>
      <c r="G4211" s="12" t="n">
        <f aca="false">Sens!$G$4210/Sens!$D$4210-1</f>
        <v>0.248976181579029</v>
      </c>
      <c r="H4211" s="12" t="n">
        <f aca="false">Sens!$E$4211+(g_awso_lt-Sens!$E$4211)*1/4</f>
        <v>0.206732136184272</v>
      </c>
      <c r="I4211" s="12" t="n">
        <f aca="false">Sens!$E$4211+(g_awso_lt-Sens!$E$4211)*2/4</f>
        <v>0.164488090789515</v>
      </c>
      <c r="J4211" s="12" t="n">
        <f aca="false">Sens!$E$4211+(g_awso_lt-Sens!$E$4211)*3/4</f>
        <v>0.122244045394757</v>
      </c>
      <c r="K4211" s="12" t="n">
        <f aca="false">Sens!$E$4211+(g_awso_lt-Sens!$E$4211)*4/4</f>
        <v>0.08</v>
      </c>
      <c r="L4211" s="12" t="n">
        <f aca="false">g_awso_lt</f>
        <v>0.08</v>
      </c>
      <c r="M4211" s="12" t="n">
        <f aca="false">g_awso_lt</f>
        <v>0.08</v>
      </c>
      <c r="P4211" s="8" t="s">
        <v>582</v>
      </c>
    </row>
    <row r="4212" customFormat="false" ht="17.15" hidden="false" customHeight="false" outlineLevel="0" collapsed="false">
      <c r="A4212" s="1" t="s">
        <v>583</v>
      </c>
    </row>
    <row r="4213" customFormat="false" ht="17.15" hidden="false" customHeight="false" outlineLevel="0" collapsed="false">
      <c r="A4213" s="0" t="s">
        <v>584</v>
      </c>
      <c r="B4213" s="0" t="s">
        <v>73</v>
      </c>
      <c r="F4213" s="38" t="n">
        <f aca="false">cx_rt*Sens!$F$4179+cx_awso*Sens!$F$4210</f>
        <v>36.8045765066526</v>
      </c>
    </row>
    <row r="4214" customFormat="false" ht="17.15" hidden="false" customHeight="false" outlineLevel="0" collapsed="false">
      <c r="A4214" s="0" t="s">
        <v>585</v>
      </c>
      <c r="B4214" s="0" t="s">
        <v>52</v>
      </c>
      <c r="C4214" s="12" t="n">
        <f aca="false">tk_cx_h100/(tk_cx_h100+tk_fac*(1-colo_sh))</f>
        <v>0.730756458006641</v>
      </c>
      <c r="D4214" s="12" t="n">
        <f aca="false">tk_cx_h100/(tk_cx_h100+tk_fac*(1-colo_sh))</f>
        <v>0.730756458006641</v>
      </c>
      <c r="E4214" s="12" t="n">
        <f aca="false">Sens!$F$4214</f>
        <v>0.760792334328868</v>
      </c>
      <c r="F4214" s="12" t="n">
        <f aca="false">Sens!$F$4197/(Sens!$F$4197+tk_fac*(1-colo_sh))</f>
        <v>0.760792334328868</v>
      </c>
      <c r="G4214" s="12" t="n">
        <f aca="false">Sens!$G$4197/(Sens!$G$4197+tk_fac*(1-colo_sh))</f>
        <v>0.760792334328868</v>
      </c>
      <c r="H4214" s="12" t="n">
        <f aca="false">Sens!$H$4197/(Sens!$H$4197+tk_fac*(1-colo_sh))</f>
        <v>0.768110668862996</v>
      </c>
      <c r="I4214" s="12" t="n">
        <f aca="false">Sens!$I$4197/(Sens!$I$4197+tk_fac*(1-colo_sh))</f>
        <v>0.77499450139483</v>
      </c>
      <c r="J4214" s="12" t="n">
        <f aca="false">Sens!$J$4197/(Sens!$J$4197+tk_fac*(1-colo_sh))</f>
        <v>0.77499450139483</v>
      </c>
      <c r="K4214" s="12" t="n">
        <f aca="false">Sens!$K$4197/(Sens!$K$4197+tk_fac*(1-colo_sh))</f>
        <v>0.77499450139483</v>
      </c>
      <c r="L4214" s="12" t="n">
        <f aca="false">Sens!$L$4197/(Sens!$L$4197+tk_fac*(1-colo_sh))</f>
        <v>0.77499450139483</v>
      </c>
      <c r="M4214" s="12" t="n">
        <f aca="false">Sens!$M$4197/(Sens!$M$4197+tk_fac*(1-colo_sh))</f>
        <v>0.77499450139483</v>
      </c>
    </row>
    <row r="4215" customFormat="false" ht="17.15" hidden="false" customHeight="false" outlineLevel="0" collapsed="false">
      <c r="A4215" s="1" t="s">
        <v>586</v>
      </c>
      <c r="B4215" s="8" t="s">
        <v>73</v>
      </c>
      <c r="C4215" s="38" t="n">
        <f aca="false">Q!$D$46-cx_rt*Q!$D$16-cx_awso*Sens!$C$4210</f>
        <v>25.2781053077374</v>
      </c>
      <c r="D4215" s="38" t="n">
        <f aca="false">Q!$E$46-cx_rt*Q!$E$16-cx_awso*Sens!$D$4210</f>
        <v>69.5686316310026</v>
      </c>
      <c r="E4215" s="38" t="n">
        <f aca="false">Q!$P$46-cx_rt*Q!$P$16-cx_awso*Sens!$E$4210</f>
        <v>64.1899206485108</v>
      </c>
      <c r="F4215" s="38" t="n">
        <f aca="false">MAX(Sens!$F$4192*(Sens!$F$4197+tk_fac*(1-colo_sh))/1000,capex_g26-Q!$P$46-Sens!$F$4213)</f>
        <v>96.2481299895</v>
      </c>
      <c r="G4215" s="38" t="n">
        <f aca="false">Sens!$E$4215+Sens!$F$4215</f>
        <v>160.438050638011</v>
      </c>
      <c r="H4215" s="38" t="n">
        <f aca="false">Sens!$H$4192*(Sens!$H$4197+tk_fac*(1-colo_sh))/1000+Sens!$H$4216</f>
        <v>198.57136494475</v>
      </c>
      <c r="I4215" s="38" t="n">
        <f aca="false">Sens!$I$4192*(Sens!$I$4197+tk_fac*(1-colo_sh))/1000+Sens!$I$4216</f>
        <v>204.6464699105</v>
      </c>
      <c r="J4215" s="38" t="n">
        <f aca="false">Sens!$J$4192*(Sens!$J$4197+tk_fac*(1-colo_sh))/1000+Sens!$J$4216</f>
        <v>209.8832381105</v>
      </c>
      <c r="K4215" s="38" t="n">
        <f aca="false">Sens!$K$4192*(Sens!$K$4197+tk_fac*(1-colo_sh))/1000+Sens!$K$4216</f>
        <v>215.1200063105</v>
      </c>
      <c r="L4215" s="38" t="n">
        <f aca="false">Sens!$L$4192*(Sens!$L$4197+tk_fac*(1-colo_sh))/1000+Sens!$L$4216</f>
        <v>251.7773837105</v>
      </c>
      <c r="M4215" s="38" t="n">
        <f aca="false">Sens!$M$4192*(Sens!$M$4197+tk_fac*(1-colo_sh))/1000+Sens!$M$4216</f>
        <v>311.87584476575</v>
      </c>
      <c r="P4215" s="5" t="s">
        <v>587</v>
      </c>
      <c r="R4215" s="38" t="n">
        <f aca="false">Q!$C$46-cx_rt*Q!$C$16-cx_awso*(Q!$C$7-mw_ye23/2*rpm_open/1000)</f>
        <v>1.50429979529945</v>
      </c>
      <c r="S4215" s="38" t="n">
        <f aca="false">Sens!$C$4215</f>
        <v>25.2781053077374</v>
      </c>
      <c r="T4215" s="38" t="n">
        <f aca="false">Sens!$D$4215</f>
        <v>69.5686316310026</v>
      </c>
      <c r="U4215" s="38" t="n">
        <f aca="false">Sens!$G$4215</f>
        <v>160.438050638011</v>
      </c>
      <c r="V4215" s="38" t="n">
        <f aca="false">Sens!$H$4215</f>
        <v>198.57136494475</v>
      </c>
      <c r="W4215" s="38" t="n">
        <f aca="false">Sens!$I$4215</f>
        <v>204.6464699105</v>
      </c>
      <c r="X4215" s="38" t="n">
        <f aca="false">Sens!$J$4215</f>
        <v>209.8832381105</v>
      </c>
      <c r="Y4215" s="38" t="n">
        <f aca="false">Sens!$K$4215</f>
        <v>215.1200063105</v>
      </c>
      <c r="Z4215" s="38" t="n">
        <f aca="false">Sens!$L$4215</f>
        <v>251.7773837105</v>
      </c>
      <c r="AA4215" s="38" t="n">
        <f aca="false">Sens!$M$4215</f>
        <v>311.87584476575</v>
      </c>
    </row>
    <row r="4216" customFormat="false" ht="17.15" hidden="false" customHeight="false" outlineLevel="0" collapsed="false">
      <c r="A4216" s="0" t="s">
        <v>588</v>
      </c>
      <c r="B4216" s="0" t="s">
        <v>73</v>
      </c>
      <c r="H4216" s="38" t="n">
        <f aca="false">SUMPRODUCT(--(Sens!$R$4186:$AA$4186=2027-tk_life),Sens!$R$4192:$AA$4192)*Sens!$H$4197/1000</f>
        <v>0</v>
      </c>
      <c r="I4216" s="38" t="n">
        <f aca="false">SUMPRODUCT(--(Sens!$R$4186:$AA$4186=2028-tk_life),Sens!$R$4192:$AA$4192)*Sens!$I$4197/1000</f>
        <v>0</v>
      </c>
      <c r="J4216" s="38" t="n">
        <f aca="false">SUMPRODUCT(--(Sens!$R$4186:$AA$4186=2029-tk_life),Sens!$R$4192:$AA$4192)*Sens!$J$4197/1000</f>
        <v>5.2367682</v>
      </c>
      <c r="K4216" s="38" t="n">
        <f aca="false">SUMPRODUCT(--(Sens!$R$4186:$AA$4186=2030-tk_life),Sens!$R$4192:$AA$4192)*Sens!$K$4197/1000</f>
        <v>10.4735364</v>
      </c>
      <c r="L4216" s="38" t="n">
        <f aca="false">SUMPRODUCT(--(Sens!$R$4186:$AA$4186=2031-tk_life),Sens!$R$4192:$AA$4192)*Sens!$L$4197/1000</f>
        <v>47.1309138</v>
      </c>
      <c r="M4216" s="38" t="n">
        <f aca="false">SUMPRODUCT(--(Sens!$R$4186:$AA$4186=2032-tk_life),Sens!$R$4192:$AA$4192)*Sens!$M$4197/1000</f>
        <v>107.22937485525</v>
      </c>
    </row>
    <row r="4217" customFormat="false" ht="17.15" hidden="false" customHeight="false" outlineLevel="0" collapsed="false">
      <c r="A4217" s="5" t="s">
        <v>589</v>
      </c>
      <c r="B4217" s="0" t="s">
        <v>73</v>
      </c>
      <c r="C4217" s="38" t="n">
        <f aca="false">Sens!$C$4215*Sens!$C$4214</f>
        <v>18.472138699801</v>
      </c>
      <c r="D4217" s="38" t="n">
        <f aca="false">Sens!$D$4215*Sens!$D$4214</f>
        <v>50.8377268390402</v>
      </c>
      <c r="E4217" s="38" t="n">
        <f aca="false">Sens!$E$4215*Sens!$E$4214</f>
        <v>48.8351995705653</v>
      </c>
      <c r="F4217" s="38" t="n">
        <f aca="false">Sens!$F$4215*Sens!$F$4214</f>
        <v>73.2248394895</v>
      </c>
      <c r="G4217" s="38" t="n">
        <f aca="false">Sens!$E$4217+Sens!$F$4217</f>
        <v>122.060039060065</v>
      </c>
      <c r="H4217" s="38" t="n">
        <f aca="false">(Sens!$H$4215-Sens!$H$4216)*Sens!$H$4214+Sens!$H$4216</f>
        <v>152.52478394475</v>
      </c>
      <c r="I4217" s="38" t="n">
        <f aca="false">(Sens!$I$4215-Sens!$I$4216)*Sens!$I$4214+Sens!$I$4216</f>
        <v>158.5998889105</v>
      </c>
      <c r="J4217" s="38" t="n">
        <f aca="false">(Sens!$J$4215-Sens!$J$4216)*Sens!$J$4214+Sens!$J$4216</f>
        <v>163.8366571105</v>
      </c>
      <c r="K4217" s="38" t="n">
        <f aca="false">(Sens!$K$4215-Sens!$K$4216)*Sens!$K$4214+Sens!$K$4216</f>
        <v>169.0734253105</v>
      </c>
      <c r="L4217" s="38" t="n">
        <f aca="false">(Sens!$L$4215-Sens!$L$4216)*Sens!$L$4214+Sens!$L$4216</f>
        <v>205.7308027105</v>
      </c>
      <c r="M4217" s="38" t="n">
        <f aca="false">(Sens!$M$4215-Sens!$M$4216)*Sens!$M$4214+Sens!$M$4216</f>
        <v>265.82926376575</v>
      </c>
      <c r="R4217" s="38" t="n">
        <f aca="false">Sens!$R$4215*Sens!$C$4214</f>
        <v>1.09927679019314</v>
      </c>
      <c r="S4217" s="38" t="n">
        <f aca="false">Sens!$C$4217</f>
        <v>18.472138699801</v>
      </c>
      <c r="T4217" s="38" t="n">
        <f aca="false">Sens!$D$4217</f>
        <v>50.8377268390402</v>
      </c>
      <c r="U4217" s="38" t="n">
        <f aca="false">Sens!$G$4217</f>
        <v>122.060039060065</v>
      </c>
      <c r="V4217" s="38" t="n">
        <f aca="false">Sens!$H$4217</f>
        <v>152.52478394475</v>
      </c>
      <c r="W4217" s="38" t="n">
        <f aca="false">Sens!$I$4217</f>
        <v>158.5998889105</v>
      </c>
      <c r="X4217" s="38" t="n">
        <f aca="false">Sens!$J$4217</f>
        <v>163.8366571105</v>
      </c>
      <c r="Y4217" s="38" t="n">
        <f aca="false">Sens!$K$4217</f>
        <v>169.0734253105</v>
      </c>
      <c r="Z4217" s="38" t="n">
        <f aca="false">Sens!$L$4217</f>
        <v>205.7308027105</v>
      </c>
      <c r="AA4217" s="38" t="n">
        <f aca="false">Sens!$M$4217</f>
        <v>265.82926376575</v>
      </c>
    </row>
    <row r="4218" customFormat="false" ht="15" hidden="false" customHeight="false" outlineLevel="0" collapsed="false">
      <c r="A4218" s="5" t="s">
        <v>590</v>
      </c>
      <c r="B4218" s="0" t="s">
        <v>73</v>
      </c>
      <c r="R4218" s="38" t="n">
        <f aca="false">Sens!$R$4215-Sens!$R$4217</f>
        <v>0.405023005106309</v>
      </c>
      <c r="S4218" s="38" t="n">
        <f aca="false">Sens!$S$4215-Sens!$S$4217</f>
        <v>6.80596660793636</v>
      </c>
      <c r="T4218" s="38" t="n">
        <f aca="false">Sens!$T$4215-Sens!$T$4217</f>
        <v>18.7309047919624</v>
      </c>
      <c r="U4218" s="38" t="n">
        <f aca="false">Sens!$U$4215-Sens!$U$4217</f>
        <v>38.3780115779455</v>
      </c>
      <c r="V4218" s="38" t="n">
        <f aca="false">Sens!$V$4215-Sens!$V$4217</f>
        <v>46.046581</v>
      </c>
      <c r="W4218" s="38" t="n">
        <f aca="false">Sens!$W$4215-Sens!$W$4217</f>
        <v>46.046581</v>
      </c>
      <c r="X4218" s="38" t="n">
        <f aca="false">Sens!$X$4215-Sens!$X$4217</f>
        <v>46.046581</v>
      </c>
      <c r="Y4218" s="38" t="n">
        <f aca="false">Sens!$Y$4215-Sens!$Y$4217</f>
        <v>46.046581</v>
      </c>
      <c r="Z4218" s="38" t="n">
        <f aca="false">Sens!$Z$4215-Sens!$Z$4217</f>
        <v>46.046581</v>
      </c>
      <c r="AA4218" s="38" t="n">
        <f aca="false">Sens!$AA$4215-Sens!$AA$4217</f>
        <v>46.046581</v>
      </c>
    </row>
    <row r="4219" customFormat="false" ht="17.15" hidden="false" customHeight="false" outlineLevel="0" collapsed="false">
      <c r="A4219" s="0" t="s">
        <v>591</v>
      </c>
      <c r="B4219" s="0" t="s">
        <v>73</v>
      </c>
      <c r="C4219" s="38" t="n">
        <f aca="false">Sens!$S$4219</f>
        <v>0.183212798365523</v>
      </c>
      <c r="D4219" s="38" t="n">
        <f aca="false">Sens!$T$4219</f>
        <v>3.2619025816657</v>
      </c>
      <c r="E4219" s="38" t="n">
        <f aca="false">Sens!$G$4219/2</f>
        <v>5.86742852741953</v>
      </c>
      <c r="F4219" s="38" t="n">
        <f aca="false">Sens!$G$4219/2</f>
        <v>5.86742852741953</v>
      </c>
      <c r="G4219" s="38" t="n">
        <f aca="false">Sens!$U$4219</f>
        <v>11.7348570548391</v>
      </c>
      <c r="H4219" s="38" t="n">
        <f aca="false">Sens!$V$4219</f>
        <v>32.0781968981833</v>
      </c>
      <c r="I4219" s="38" t="n">
        <f aca="false">Sens!$W$4219</f>
        <v>57.4989942223083</v>
      </c>
      <c r="J4219" s="38" t="n">
        <f aca="false">Sens!$X$4219</f>
        <v>83.932309040725</v>
      </c>
      <c r="K4219" s="38" t="n">
        <f aca="false">Sens!$Y$4219</f>
        <v>111.055205760776</v>
      </c>
      <c r="L4219" s="38" t="n">
        <f aca="false">Sens!$Z$4219</f>
        <v>136.155420195893</v>
      </c>
      <c r="M4219" s="38" t="n">
        <f aca="false">Sens!$AA$4219</f>
        <v>161.970932841136</v>
      </c>
      <c r="N4219" s="38" t="n">
        <f aca="false">Sens!$D$4219/2</f>
        <v>1.63095129083285</v>
      </c>
      <c r="O4219" s="38" t="n">
        <f aca="false">Sens!$D$4219/2</f>
        <v>1.63095129083285</v>
      </c>
      <c r="R4219" s="38" t="n">
        <f aca="false">SUMPRODUCT(--(Sens!$R$4186:$AA$4186&lt;Sens!R$4186),--(Sens!$R$4186:$AA$4186&gt;=Sens!R$4186-tk_life),Sens!$R$4217:$AA$4217)/tk_life</f>
        <v>0</v>
      </c>
      <c r="S4219" s="38" t="n">
        <f aca="false">SUMPRODUCT(--(Sens!$R$4186:$AA$4186&lt;Sens!S$4186),--(Sens!$R$4186:$AA$4186&gt;=Sens!S$4186-tk_life),Sens!$R$4217:$AA$4217)/tk_life</f>
        <v>0.183212798365523</v>
      </c>
      <c r="T4219" s="38" t="n">
        <f aca="false">SUMPRODUCT(--(Sens!$R$4186:$AA$4186&lt;Sens!T$4186),--(Sens!$R$4186:$AA$4186&gt;=Sens!T$4186-tk_life),Sens!$R$4217:$AA$4217)/tk_life</f>
        <v>3.2619025816657</v>
      </c>
      <c r="U4219" s="38" t="n">
        <f aca="false">SUMPRODUCT(--(Sens!$R$4186:$AA$4186&lt;Sens!U$4186),--(Sens!$R$4186:$AA$4186&gt;=Sens!U$4186-tk_life),Sens!$R$4217:$AA$4217)/tk_life</f>
        <v>11.7348570548391</v>
      </c>
      <c r="V4219" s="38" t="n">
        <f aca="false">SUMPRODUCT(--(Sens!$R$4186:$AA$4186&lt;Sens!V$4186),--(Sens!$R$4186:$AA$4186&gt;=Sens!V$4186-tk_life),Sens!$R$4217:$AA$4217)/tk_life</f>
        <v>32.0781968981833</v>
      </c>
      <c r="W4219" s="38" t="n">
        <f aca="false">SUMPRODUCT(--(Sens!$R$4186:$AA$4186&lt;Sens!W$4186),--(Sens!$R$4186:$AA$4186&gt;=Sens!W$4186-tk_life),Sens!$R$4217:$AA$4217)/tk_life</f>
        <v>57.4989942223083</v>
      </c>
      <c r="X4219" s="38" t="n">
        <f aca="false">SUMPRODUCT(--(Sens!$R$4186:$AA$4186&lt;Sens!X$4186),--(Sens!$R$4186:$AA$4186&gt;=Sens!X$4186-tk_life),Sens!$R$4217:$AA$4217)/tk_life</f>
        <v>83.932309040725</v>
      </c>
      <c r="Y4219" s="38" t="n">
        <f aca="false">SUMPRODUCT(--(Sens!$R$4186:$AA$4186&lt;Sens!Y$4186),--(Sens!$R$4186:$AA$4186&gt;=Sens!Y$4186-tk_life),Sens!$R$4217:$AA$4217)/tk_life</f>
        <v>111.055205760776</v>
      </c>
      <c r="Z4219" s="38" t="n">
        <f aca="false">SUMPRODUCT(--(Sens!$R$4186:$AA$4186&lt;Sens!Z$4186),--(Sens!$R$4186:$AA$4186&gt;=Sens!Z$4186-tk_life),Sens!$R$4217:$AA$4217)/tk_life</f>
        <v>136.155420195893</v>
      </c>
      <c r="AA4219" s="38" t="n">
        <f aca="false">SUMPRODUCT(--(Sens!$R$4186:$AA$4186&lt;Sens!AA$4186),--(Sens!$R$4186:$AA$4186&gt;=Sens!AA$4186-tk_life),Sens!$R$4217:$AA$4217)/tk_life</f>
        <v>161.970932841136</v>
      </c>
    </row>
    <row r="4220" customFormat="false" ht="17.15" hidden="false" customHeight="false" outlineLevel="0" collapsed="false">
      <c r="A4220" s="0" t="s">
        <v>592</v>
      </c>
      <c r="B4220" s="0" t="s">
        <v>73</v>
      </c>
      <c r="C4220" s="38" t="n">
        <f aca="false">Sens!$S$4220</f>
        <v>0.0202511502553155</v>
      </c>
      <c r="D4220" s="38" t="n">
        <f aca="false">Sens!$T$4220</f>
        <v>0.360549480652134</v>
      </c>
      <c r="E4220" s="38" t="n">
        <f aca="false">Sens!$G$4220/2</f>
        <v>0.648547360125127</v>
      </c>
      <c r="F4220" s="38" t="n">
        <f aca="false">Sens!$G$4220/2</f>
        <v>0.648547360125127</v>
      </c>
      <c r="G4220" s="38" t="n">
        <f aca="false">Sens!$U$4220</f>
        <v>1.29709472025025</v>
      </c>
      <c r="H4220" s="38" t="n">
        <f aca="false">Sens!$V$4220</f>
        <v>3.21599529914753</v>
      </c>
      <c r="I4220" s="38" t="n">
        <f aca="false">Sens!$W$4220</f>
        <v>5.51832434914753</v>
      </c>
      <c r="J4220" s="38" t="n">
        <f aca="false">Sens!$X$4220</f>
        <v>7.82065339914753</v>
      </c>
      <c r="K4220" s="38" t="n">
        <f aca="false">Sens!$Y$4220</f>
        <v>10.1229824491475</v>
      </c>
      <c r="L4220" s="38" t="n">
        <f aca="false">Sens!$Z$4220</f>
        <v>12.4253114991475</v>
      </c>
      <c r="M4220" s="38" t="n">
        <f aca="false">Sens!$AA$4220</f>
        <v>14.7276405491475</v>
      </c>
      <c r="N4220" s="38" t="n">
        <f aca="false">Sens!$D$4220/2</f>
        <v>0.180274740326067</v>
      </c>
      <c r="O4220" s="38" t="n">
        <f aca="false">Sens!$D$4220/2</f>
        <v>0.180274740326067</v>
      </c>
      <c r="R4220" s="38" t="n">
        <f aca="false">SUMPRODUCT(--(Sens!$R$4186:$AA$4186&lt;Sens!R$4186),Sens!$R$4218:$AA$4218)/fac_life</f>
        <v>0</v>
      </c>
      <c r="S4220" s="38" t="n">
        <f aca="false">SUMPRODUCT(--(Sens!$R$4186:$AA$4186&lt;Sens!S$4186),Sens!$R$4218:$AA$4218)/fac_life</f>
        <v>0.0202511502553155</v>
      </c>
      <c r="T4220" s="38" t="n">
        <f aca="false">SUMPRODUCT(--(Sens!$R$4186:$AA$4186&lt;Sens!T$4186),Sens!$R$4218:$AA$4218)/fac_life</f>
        <v>0.360549480652134</v>
      </c>
      <c r="U4220" s="38" t="n">
        <f aca="false">SUMPRODUCT(--(Sens!$R$4186:$AA$4186&lt;Sens!U$4186),Sens!$R$4218:$AA$4218)/fac_life</f>
        <v>1.29709472025025</v>
      </c>
      <c r="V4220" s="38" t="n">
        <f aca="false">SUMPRODUCT(--(Sens!$R$4186:$AA$4186&lt;Sens!V$4186),Sens!$R$4218:$AA$4218)/fac_life</f>
        <v>3.21599529914753</v>
      </c>
      <c r="W4220" s="38" t="n">
        <f aca="false">SUMPRODUCT(--(Sens!$R$4186:$AA$4186&lt;Sens!W$4186),Sens!$R$4218:$AA$4218)/fac_life</f>
        <v>5.51832434914753</v>
      </c>
      <c r="X4220" s="38" t="n">
        <f aca="false">SUMPRODUCT(--(Sens!$R$4186:$AA$4186&lt;Sens!X$4186),Sens!$R$4218:$AA$4218)/fac_life</f>
        <v>7.82065339914753</v>
      </c>
      <c r="Y4220" s="38" t="n">
        <f aca="false">SUMPRODUCT(--(Sens!$R$4186:$AA$4186&lt;Sens!Y$4186),Sens!$R$4218:$AA$4218)/fac_life</f>
        <v>10.1229824491475</v>
      </c>
      <c r="Z4220" s="38" t="n">
        <f aca="false">SUMPRODUCT(--(Sens!$R$4186:$AA$4186&lt;Sens!Z$4186),Sens!$R$4218:$AA$4218)/fac_life</f>
        <v>12.4253114991475</v>
      </c>
      <c r="AA4220" s="38" t="n">
        <f aca="false">SUMPRODUCT(--(Sens!$R$4186:$AA$4186&lt;Sens!AA$4186),Sens!$R$4218:$AA$4218)/fac_life</f>
        <v>14.7276405491475</v>
      </c>
    </row>
    <row r="4221" customFormat="false" ht="17.15" hidden="false" customHeight="false" outlineLevel="0" collapsed="false">
      <c r="A4221" s="1" t="s">
        <v>593</v>
      </c>
      <c r="B4221" s="8" t="s">
        <v>73</v>
      </c>
      <c r="C4221" s="38" t="n">
        <f aca="false">Sens!$C$4219+Sens!$C$4220</f>
        <v>0.203463948620839</v>
      </c>
      <c r="D4221" s="38" t="n">
        <f aca="false">Sens!$D$4219+Sens!$D$4220</f>
        <v>3.62245206231783</v>
      </c>
      <c r="E4221" s="38" t="n">
        <f aca="false">Sens!$E$4219+Sens!$E$4220</f>
        <v>6.51597588754466</v>
      </c>
      <c r="F4221" s="38" t="n">
        <f aca="false">Sens!$F$4219+Sens!$F$4220</f>
        <v>6.51597588754466</v>
      </c>
      <c r="G4221" s="38" t="n">
        <f aca="false">Sens!$G$4219+Sens!$G$4220</f>
        <v>13.0319517750893</v>
      </c>
      <c r="H4221" s="38" t="n">
        <f aca="false">Sens!$H$4219+Sens!$H$4220</f>
        <v>35.2941921973308</v>
      </c>
      <c r="I4221" s="38" t="n">
        <f aca="false">Sens!$I$4219+Sens!$I$4220</f>
        <v>63.0173185714558</v>
      </c>
      <c r="J4221" s="38" t="n">
        <f aca="false">Sens!$J$4219+Sens!$J$4220</f>
        <v>91.7529624398725</v>
      </c>
      <c r="K4221" s="38" t="n">
        <f aca="false">Sens!$K$4219+Sens!$K$4220</f>
        <v>121.178188209924</v>
      </c>
      <c r="L4221" s="38" t="n">
        <f aca="false">Sens!$L$4219+Sens!$L$4220</f>
        <v>148.58073169504</v>
      </c>
      <c r="M4221" s="38" t="n">
        <f aca="false">Sens!$M$4219+Sens!$M$4220</f>
        <v>176.698573390283</v>
      </c>
      <c r="N4221" s="38" t="n">
        <f aca="false">Sens!$N$4219+Sens!$N$4220</f>
        <v>1.81122603115892</v>
      </c>
      <c r="O4221" s="38" t="n">
        <f aca="false">Sens!$O$4219+Sens!$O$4220</f>
        <v>1.81122603115892</v>
      </c>
      <c r="R4221" s="38" t="n">
        <f aca="false">Sens!$R$4219+Sens!$R$4220</f>
        <v>0</v>
      </c>
      <c r="S4221" s="38" t="n">
        <f aca="false">Sens!$S$4219+Sens!$S$4220</f>
        <v>0.203463948620839</v>
      </c>
      <c r="T4221" s="38" t="n">
        <f aca="false">Sens!$T$4219+Sens!$T$4220</f>
        <v>3.62245206231783</v>
      </c>
      <c r="U4221" s="38" t="n">
        <f aca="false">Sens!$U$4219+Sens!$U$4220</f>
        <v>13.0319517750893</v>
      </c>
      <c r="V4221" s="38" t="n">
        <f aca="false">Sens!$V$4219+Sens!$V$4220</f>
        <v>35.2941921973308</v>
      </c>
      <c r="W4221" s="38" t="n">
        <f aca="false">Sens!$W$4219+Sens!$W$4220</f>
        <v>63.0173185714558</v>
      </c>
      <c r="X4221" s="38" t="n">
        <f aca="false">Sens!$X$4219+Sens!$X$4220</f>
        <v>91.7529624398725</v>
      </c>
      <c r="Y4221" s="38" t="n">
        <f aca="false">Sens!$Y$4219+Sens!$Y$4220</f>
        <v>121.178188209924</v>
      </c>
      <c r="Z4221" s="38" t="n">
        <f aca="false">Sens!$Z$4219+Sens!$Z$4220</f>
        <v>148.58073169504</v>
      </c>
      <c r="AA4221" s="38" t="n">
        <f aca="false">Sens!$AA$4219+Sens!$AA$4220</f>
        <v>176.698573390283</v>
      </c>
    </row>
    <row r="4222" customFormat="false" ht="17.15" hidden="false" customHeight="false" outlineLevel="0" collapsed="false">
      <c r="A4222" s="0" t="s">
        <v>594</v>
      </c>
      <c r="B4222" s="0" t="s">
        <v>73</v>
      </c>
      <c r="C4222" s="38" t="n">
        <f aca="false">Sens!$S$4222</f>
        <v>26.578941154416</v>
      </c>
      <c r="D4222" s="38" t="n">
        <f aca="false">Sens!$T$4222</f>
        <v>92.5251207231008</v>
      </c>
      <c r="G4222" s="38" t="n">
        <f aca="false">Sens!$U$4222</f>
        <v>239.931219586022</v>
      </c>
      <c r="H4222" s="38" t="n">
        <f aca="false">Sens!$V$4222</f>
        <v>403.208392333442</v>
      </c>
      <c r="I4222" s="38" t="n">
        <f aca="false">Sens!$W$4222</f>
        <v>544.837543672486</v>
      </c>
      <c r="J4222" s="38" t="n">
        <f aca="false">Sens!$X$4222</f>
        <v>662.967819343113</v>
      </c>
      <c r="K4222" s="38" t="n">
        <f aca="false">Sens!$Y$4222</f>
        <v>756.90963744369</v>
      </c>
      <c r="L4222" s="38" t="n">
        <f aca="false">Sens!$Z$4222</f>
        <v>860.10628945915</v>
      </c>
      <c r="M4222" s="38" t="n">
        <f aca="false">Sens!$AA$4222</f>
        <v>995.283560834616</v>
      </c>
      <c r="R4222" s="38" t="n">
        <f aca="false">SUM(Sens!$R$4215:$R$4215)-SUM(Sens!$R$4221:$R$4221)</f>
        <v>1.50429979529945</v>
      </c>
      <c r="S4222" s="38" t="n">
        <f aca="false">SUM(Sens!$R$4215:$S$4215)-SUM(Sens!$R$4221:$S$4221)</f>
        <v>26.578941154416</v>
      </c>
      <c r="T4222" s="38" t="n">
        <f aca="false">SUM(Sens!$R$4215:$T$4215)-SUM(Sens!$R$4221:$T$4221)</f>
        <v>92.5251207231008</v>
      </c>
      <c r="U4222" s="38" t="n">
        <f aca="false">SUM(Sens!$R$4215:$U$4215)-SUM(Sens!$R$4221:$U$4221)</f>
        <v>239.931219586022</v>
      </c>
      <c r="V4222" s="38" t="n">
        <f aca="false">SUM(Sens!$R$4215:$V$4215)-SUM(Sens!$R$4221:$V$4221)</f>
        <v>403.208392333442</v>
      </c>
      <c r="W4222" s="38" t="n">
        <f aca="false">SUM(Sens!$R$4215:$W$4215)-SUM(Sens!$R$4221:$W$4221)</f>
        <v>544.837543672486</v>
      </c>
      <c r="X4222" s="38" t="n">
        <f aca="false">SUM(Sens!$R$4215:$X$4215)-SUM(Sens!$R$4221:$X$4221)</f>
        <v>662.967819343113</v>
      </c>
      <c r="Y4222" s="38" t="n">
        <f aca="false">SUM(Sens!$R$4215:$Y$4215)-SUM(Sens!$R$4221:$Y$4221)</f>
        <v>756.90963744369</v>
      </c>
      <c r="Z4222" s="38" t="n">
        <f aca="false">SUM(Sens!$R$4215:$Z$4215)-SUM(Sens!$R$4221:$Z$4221)</f>
        <v>860.10628945915</v>
      </c>
      <c r="AA4222" s="38" t="n">
        <f aca="false">SUM(Sens!$R$4215:$AA$4215)-SUM(Sens!$R$4221:$AA$4221)</f>
        <v>995.283560834616</v>
      </c>
    </row>
    <row r="4223" customFormat="false" ht="17.15" hidden="false" customHeight="false" outlineLevel="0" collapsed="false">
      <c r="A4223" s="1" t="s">
        <v>595</v>
      </c>
    </row>
    <row r="4224" customFormat="false" ht="17.15" hidden="false" customHeight="false" outlineLevel="0" collapsed="false">
      <c r="A4224" s="0" t="s">
        <v>596</v>
      </c>
      <c r="B4224" s="0" t="s">
        <v>73</v>
      </c>
      <c r="C4224" s="38" t="n">
        <f aca="false">Sens!$C$4206-ext_sh*Sens!$C$4208</f>
        <v>1.80694998843362</v>
      </c>
      <c r="D4224" s="38" t="n">
        <f aca="false">Sens!$D$4206-ext_sh*Sens!$D$4208</f>
        <v>6.77606245662607</v>
      </c>
      <c r="E4224" s="38" t="n">
        <f aca="false">Sens!$E$4206-ext_sh*Sens!$E$4208</f>
        <v>6.62548329092326</v>
      </c>
      <c r="F4224" s="38" t="n">
        <f aca="false">Sens!$F$4206-ext_sh*Sens!$F$4208</f>
        <v>11.7200577158706</v>
      </c>
      <c r="G4224" s="38" t="n">
        <f aca="false">Sens!$G$4206-ext_sh*Sens!$G$4208</f>
        <v>18.3455410067939</v>
      </c>
      <c r="H4224" s="38" t="n">
        <f aca="false">Sens!$H$4206-ext_sh*Sens!$H$4208</f>
        <v>47.5171727060453</v>
      </c>
      <c r="I4224" s="38" t="n">
        <f aca="false">Sens!$I$4206-ext_sh*Sens!$I$4208</f>
        <v>80.5539692643667</v>
      </c>
      <c r="J4224" s="38" t="n">
        <f aca="false">Sens!$J$4206-ext_sh*Sens!$J$4208</f>
        <v>113.759316834883</v>
      </c>
      <c r="K4224" s="38" t="n">
        <f aca="false">Sens!$K$4206-ext_sh*Sens!$K$4208</f>
        <v>147.020848076132</v>
      </c>
      <c r="L4224" s="38" t="n">
        <f aca="false">Sens!$L$4206-ext_sh*Sens!$L$4208</f>
        <v>180.307917349531</v>
      </c>
      <c r="M4224" s="38" t="n">
        <f aca="false">Sens!$M$4206-ext_sh*Sens!$M$4208</f>
        <v>213.608737871012</v>
      </c>
      <c r="N4224" s="38" t="n">
        <f aca="false">Sens!$N$4206-ext_sh*Sens!$N$4208</f>
        <v>2.37162185981912</v>
      </c>
      <c r="O4224" s="38" t="n">
        <f aca="false">Sens!$O$4206-ext_sh*Sens!$O$4208</f>
        <v>4.40444059680694</v>
      </c>
    </row>
    <row r="4225" customFormat="false" ht="17.15" hidden="false" customHeight="false" outlineLevel="0" collapsed="false">
      <c r="A4225" s="1" t="s">
        <v>597</v>
      </c>
      <c r="B4225" s="8" t="s">
        <v>73</v>
      </c>
      <c r="C4225" s="38" t="n">
        <f aca="false">Sens!$C$4224-ext_sh*Sens!$C$4221</f>
        <v>1.64417882953695</v>
      </c>
      <c r="D4225" s="38" t="n">
        <f aca="false">Sens!$D$4224-ext_sh*Sens!$D$4221</f>
        <v>3.8781008067718</v>
      </c>
      <c r="E4225" s="38" t="n">
        <f aca="false">Sens!$E$4224-ext_sh*Sens!$E$4221</f>
        <v>1.41270258088753</v>
      </c>
      <c r="F4225" s="38" t="n">
        <f aca="false">Sens!$F$4224-ext_sh*Sens!$F$4221</f>
        <v>6.50727700583486</v>
      </c>
      <c r="G4225" s="38" t="n">
        <f aca="false">Sens!$G$4224-ext_sh*Sens!$G$4221</f>
        <v>7.9199795867224</v>
      </c>
      <c r="H4225" s="38" t="n">
        <f aca="false">Sens!$H$4224-ext_sh*Sens!$H$4221</f>
        <v>19.2818189481807</v>
      </c>
      <c r="I4225" s="38" t="n">
        <f aca="false">Sens!$I$4224-ext_sh*Sens!$I$4221</f>
        <v>30.140114407202</v>
      </c>
      <c r="J4225" s="38" t="n">
        <f aca="false">Sens!$J$4224-ext_sh*Sens!$J$4221</f>
        <v>40.3569468829854</v>
      </c>
      <c r="K4225" s="38" t="n">
        <f aca="false">Sens!$K$4224-ext_sh*Sens!$K$4221</f>
        <v>50.0782975081929</v>
      </c>
      <c r="L4225" s="38" t="n">
        <f aca="false">Sens!$L$4224-ext_sh*Sens!$L$4221</f>
        <v>61.443331993499</v>
      </c>
      <c r="M4225" s="38" t="n">
        <f aca="false">Sens!$M$4224-ext_sh*Sens!$M$4221</f>
        <v>72.2498791587849</v>
      </c>
      <c r="N4225" s="38" t="n">
        <f aca="false">Sens!$N$4224-ext_sh*Sens!$N$4221</f>
        <v>0.92264103489199</v>
      </c>
      <c r="O4225" s="38" t="n">
        <f aca="false">Sens!$O$4224-ext_sh*Sens!$O$4221</f>
        <v>2.95545977187981</v>
      </c>
    </row>
    <row r="4226" customFormat="false" ht="17.15" hidden="false" customHeight="false" outlineLevel="0" collapsed="false">
      <c r="A4226" s="0" t="s">
        <v>598</v>
      </c>
      <c r="B4226" s="0" t="s">
        <v>52</v>
      </c>
      <c r="C4226" s="12" t="n">
        <f aca="false">Sens!$C$4225/Sens!$C$4206</f>
        <v>0.708390794789371</v>
      </c>
      <c r="D4226" s="12" t="n">
        <f aca="false">Sens!$D$4225/Sens!$D$4206</f>
        <v>0.445565630441968</v>
      </c>
      <c r="E4226" s="12" t="n">
        <f aca="false">Sens!$E$4225/Sens!$E$4206</f>
        <v>0.165998118402711</v>
      </c>
      <c r="F4226" s="12" t="n">
        <f aca="false">Sens!$F$4225/Sens!$F$4206</f>
        <v>0.434878595403858</v>
      </c>
      <c r="G4226" s="12" t="n">
        <f aca="false">Sens!$G$4225/Sens!$G$4206</f>
        <v>0.3373967615381</v>
      </c>
      <c r="H4226" s="12" t="n">
        <f aca="false">Sens!$H$4225/Sens!$H$4206</f>
        <v>0.320477578041224</v>
      </c>
      <c r="I4226" s="12" t="n">
        <f aca="false">Sens!$I$4225/Sens!$I$4206</f>
        <v>0.296936118226494</v>
      </c>
      <c r="J4226" s="12" t="n">
        <f aca="false">Sens!$J$4225/Sens!$J$4206</f>
        <v>0.282166278613001</v>
      </c>
      <c r="K4226" s="12" t="n">
        <f aca="false">Sens!$K$4225/Sens!$K$4206</f>
        <v>0.271267685694333</v>
      </c>
      <c r="L4226" s="12" t="n">
        <f aca="false">Sens!$L$4225/Sens!$L$4206</f>
        <v>0.27160960915653</v>
      </c>
      <c r="M4226" s="12" t="n">
        <f aca="false">Sens!$M$4225/Sens!$M$4206</f>
        <v>0.26974494804234</v>
      </c>
      <c r="N4226" s="12" t="n">
        <f aca="false">Sens!$N$4225/Sens!$N$4206</f>
        <v>0.302870734830849</v>
      </c>
      <c r="O4226" s="12" t="n">
        <f aca="false">Sens!$O$4225/Sens!$O$4206</f>
        <v>0.52240134346334</v>
      </c>
    </row>
    <row r="4227" customFormat="false" ht="17.15" hidden="false" customHeight="false" outlineLevel="0" collapsed="false">
      <c r="A4227" s="5" t="s">
        <v>599</v>
      </c>
      <c r="B4227" s="0" t="s">
        <v>73</v>
      </c>
      <c r="C4227" s="38" t="n">
        <f aca="false">rd2*(1-ext_sh)/ext_sh*Sens!$C$4189*he_open*Sens!$C$4190/1000</f>
        <v>0</v>
      </c>
      <c r="D4227" s="38" t="n">
        <f aca="false">rd2*(1-ext_sh)/ext_sh*Sens!$D$4189*he_open*Sens!$D$4190/1000</f>
        <v>0</v>
      </c>
      <c r="E4227" s="38" t="n">
        <f aca="false">rd2*(1-ext_sh)/ext_sh*Sens!$E$4189*he_open*Sens!$E$4190/1000</f>
        <v>0</v>
      </c>
      <c r="F4227" s="38" t="n">
        <f aca="false">rd2*(1-ext_sh)/ext_sh*(mw_open*he_open+Sens!$F$4204*Sens!$F$4201)*Sens!$F$4190/1000</f>
        <v>0</v>
      </c>
      <c r="G4227" s="38" t="n">
        <f aca="false">Sens!$E$4227+Sens!$F$4227</f>
        <v>0</v>
      </c>
      <c r="H4227" s="38" t="n">
        <f aca="false">rd2*(1-ext_sh)/ext_sh*(mw_open*he_open+Sens!$H$4204*Sens!$H$4201)*Sens!$H$4190/1000</f>
        <v>0</v>
      </c>
      <c r="I4227" s="38" t="n">
        <f aca="false">rd2*(1-ext_sh)/ext_sh*(mw_open*he_open+Sens!$I$4204*Sens!$I$4201)*Sens!$I$4190/1000</f>
        <v>0</v>
      </c>
      <c r="J4227" s="38" t="n">
        <f aca="false">rd2*(1-ext_sh)/ext_sh*(mw_open*he_open+Sens!$J$4204*Sens!$J$4201)*Sens!$J$4190/1000</f>
        <v>0</v>
      </c>
      <c r="K4227" s="38" t="n">
        <f aca="false">rd2*(1-ext_sh)/ext_sh*(mw_open*he_open+Sens!$K$4204*Sens!$K$4201)*Sens!$K$4190/1000</f>
        <v>0</v>
      </c>
      <c r="L4227" s="38" t="n">
        <f aca="false">rd2*(1-ext_sh)/ext_sh*(mw_open*he_open+Sens!$L$4204*Sens!$L$4201)*Sens!$L$4190/1000</f>
        <v>0</v>
      </c>
      <c r="M4227" s="38" t="n">
        <f aca="false">rd2*(1-ext_sh)/ext_sh*(mw_open*he_open+Sens!$M$4204*Sens!$M$4201)*Sens!$M$4190/1000</f>
        <v>0</v>
      </c>
      <c r="N4227" s="38" t="n">
        <f aca="false">rd2*(1-ext_sh)/ext_sh*Sens!$N$4189*he_open*Sens!$N$4190/1000</f>
        <v>0</v>
      </c>
      <c r="O4227" s="38" t="n">
        <f aca="false">rd2*(1-ext_sh)/ext_sh*Sens!$O$4189*he_open*Sens!$O$4190/1000</f>
        <v>0</v>
      </c>
      <c r="P4227" s="8" t="s">
        <v>600</v>
      </c>
    </row>
    <row r="4228" customFormat="false" ht="17.15" hidden="false" customHeight="false" outlineLevel="0" collapsed="false">
      <c r="A4228" s="5" t="s">
        <v>601</v>
      </c>
      <c r="B4228" s="0" t="s">
        <v>73</v>
      </c>
      <c r="C4228" s="38" t="n">
        <f aca="false">(1-ext_sh)*(Sens!$C$4208+Sens!$C$4221)-Sens!$C$4227</f>
        <v>0.169206631859174</v>
      </c>
      <c r="D4228" s="38" t="n">
        <f aca="false">(1-ext_sh)*(Sens!$D$4208+Sens!$D$4221)-Sens!$D$4227</f>
        <v>1.20641732046984</v>
      </c>
      <c r="E4228" s="38" t="n">
        <f aca="false">(1-ext_sh)*(Sens!$E$4208+Sens!$E$4221)-Sens!$E$4227</f>
        <v>1.77441259867062</v>
      </c>
      <c r="F4228" s="38" t="n">
        <f aca="false">(1-ext_sh)*(Sens!$F$4208+Sens!$F$4221)-Sens!$F$4227</f>
        <v>2.1140391597214</v>
      </c>
      <c r="G4228" s="38" t="n">
        <f aca="false">(1-ext_sh)*(Sens!$G$4208+Sens!$G$4221)-Sens!$G$4227</f>
        <v>3.88845175839202</v>
      </c>
      <c r="H4228" s="38" t="n">
        <f aca="false">(1-ext_sh)*(Sens!$H$4208+Sens!$H$4221)-Sens!$H$4227</f>
        <v>10.2210179503985</v>
      </c>
      <c r="I4228" s="38" t="n">
        <f aca="false">(1-ext_sh)*(Sens!$I$4208+Sens!$I$4221)-Sens!$I$4227</f>
        <v>17.8408961823075</v>
      </c>
      <c r="J4228" s="38" t="n">
        <f aca="false">(1-ext_sh)*(Sens!$J$4208+Sens!$J$4221)-Sens!$J$4227</f>
        <v>25.6671150670732</v>
      </c>
      <c r="K4228" s="38" t="n">
        <f aca="false">(1-ext_sh)*(Sens!$K$4208+Sens!$K$4221)-Sens!$K$4227</f>
        <v>33.6325293834986</v>
      </c>
      <c r="L4228" s="38" t="n">
        <f aca="false">(1-ext_sh)*(Sens!$L$4208+Sens!$L$4221)-Sens!$L$4227</f>
        <v>41.1939886299065</v>
      </c>
      <c r="M4228" s="38" t="n">
        <f aca="false">(1-ext_sh)*(Sens!$M$4208+Sens!$M$4221)-Sens!$M$4227</f>
        <v>48.8988205728617</v>
      </c>
      <c r="N4228" s="38" t="n">
        <f aca="false">(1-ext_sh)*(Sens!$N$4208+Sens!$N$4221)-Sens!$N$4227</f>
        <v>0.530919624033979</v>
      </c>
      <c r="O4228" s="38" t="n">
        <f aca="false">(1-ext_sh)*(Sens!$O$4208+Sens!$O$4221)-Sens!$O$4227</f>
        <v>0.675497696435861</v>
      </c>
    </row>
    <row r="4229" customFormat="false" ht="17.15" hidden="false" customHeight="false" outlineLevel="0" collapsed="false">
      <c r="A4229" s="0" t="s">
        <v>602</v>
      </c>
      <c r="B4229" s="0" t="s">
        <v>73</v>
      </c>
      <c r="C4229" s="38" t="n">
        <f aca="false">Q!$D$24</f>
        <v>39.834</v>
      </c>
      <c r="D4229" s="38" t="n">
        <f aca="false">Q!$E$24</f>
        <v>45.606</v>
      </c>
      <c r="E4229" s="38" t="n">
        <f aca="false">Q!$P$24</f>
        <v>30.782</v>
      </c>
      <c r="N4229" s="38" t="n">
        <f aca="false">Q!$N$24</f>
        <v>21.707</v>
      </c>
      <c r="O4229" s="38" t="n">
        <f aca="false">Q!$O$24</f>
        <v>23.899</v>
      </c>
    </row>
    <row r="4230" customFormat="false" ht="17.15" hidden="false" customHeight="false" outlineLevel="0" collapsed="false">
      <c r="A4230" s="0" t="s">
        <v>603</v>
      </c>
      <c r="B4230" s="0" t="s">
        <v>73</v>
      </c>
      <c r="C4230" s="38" t="n">
        <f aca="false">Sens!$C$4229-Sens!$C$4225</f>
        <v>38.1898211704631</v>
      </c>
      <c r="D4230" s="38" t="n">
        <f aca="false">Sens!$D$4229-Sens!$D$4225</f>
        <v>41.7278991932282</v>
      </c>
      <c r="E4230" s="38" t="n">
        <f aca="false">Sens!$E$4229-Sens!$E$4225</f>
        <v>29.3692974191125</v>
      </c>
      <c r="F4230" s="38" t="n">
        <f aca="false">Sens!$F$4210*Sens!$F$4231</f>
        <v>29.458060516894</v>
      </c>
      <c r="G4230" s="38" t="n">
        <f aca="false">Sens!$E$4230+Sens!$F$4230</f>
        <v>58.8273579360065</v>
      </c>
      <c r="H4230" s="38" t="n">
        <f aca="false">Sens!$H$4210*Sens!$H$4231</f>
        <v>67.8004040185081</v>
      </c>
      <c r="I4230" s="38" t="n">
        <f aca="false">Sens!$I$4210*Sens!$I$4231</f>
        <v>78.9527630302702</v>
      </c>
      <c r="J4230" s="38" t="n">
        <f aca="false">Sens!$J$4210*Sens!$J$4231</f>
        <v>88.6042681781841</v>
      </c>
      <c r="K4230" s="38" t="n">
        <f aca="false">Sens!$K$4210*Sens!$K$4231</f>
        <v>95.6926096324389</v>
      </c>
      <c r="L4230" s="38" t="n">
        <f aca="false">Sens!$L$4210*Sens!$L$4231</f>
        <v>103.348018403034</v>
      </c>
      <c r="M4230" s="38" t="n">
        <f aca="false">Sens!$M$4210*Sens!$M$4231</f>
        <v>111.615859875277</v>
      </c>
      <c r="N4230" s="38" t="n">
        <f aca="false">Sens!$N$4229-Sens!$N$4225</f>
        <v>20.784358965108</v>
      </c>
      <c r="O4230" s="38" t="n">
        <f aca="false">Sens!$O$4229-Sens!$O$4225</f>
        <v>20.9435402281202</v>
      </c>
      <c r="P4230" s="5" t="s">
        <v>604</v>
      </c>
    </row>
    <row r="4231" customFormat="false" ht="17.15" hidden="false" customHeight="false" outlineLevel="0" collapsed="false">
      <c r="A4231" s="0" t="s">
        <v>605</v>
      </c>
      <c r="B4231" s="0" t="s">
        <v>52</v>
      </c>
      <c r="C4231" s="12" t="n">
        <f aca="false">Sens!$C$4230/Sens!$C$4210</f>
        <v>0.362900395443635</v>
      </c>
      <c r="D4231" s="12" t="n">
        <f aca="false">Sens!$D$4230/Sens!$D$4210</f>
        <v>0.34767098474203</v>
      </c>
      <c r="E4231" s="12" t="n">
        <f aca="false">Sens!$E$4230/Sens!$E$4210</f>
        <v>0.411861655558416</v>
      </c>
      <c r="F4231" s="12" t="n">
        <f aca="false">(Sens!$O$4230+Sens!$E$4230)/(Sens!$O$4210+Sens!$E$4210)</f>
        <v>0.37480827803158</v>
      </c>
      <c r="G4231" s="12" t="n">
        <f aca="false">Sens!$G$4230/Sens!$G$4210</f>
        <v>0.392434440489471</v>
      </c>
      <c r="H4231" s="12" t="n">
        <f aca="false">Sens!$F$4231</f>
        <v>0.37480827803158</v>
      </c>
      <c r="I4231" s="12" t="n">
        <f aca="false">Sens!$F$4231</f>
        <v>0.37480827803158</v>
      </c>
      <c r="J4231" s="12" t="n">
        <f aca="false">Sens!$F$4231</f>
        <v>0.37480827803158</v>
      </c>
      <c r="K4231" s="12" t="n">
        <f aca="false">Sens!$F$4231</f>
        <v>0.37480827803158</v>
      </c>
      <c r="L4231" s="12" t="n">
        <f aca="false">Sens!$F$4231</f>
        <v>0.37480827803158</v>
      </c>
      <c r="M4231" s="12" t="n">
        <f aca="false">Sens!$F$4231</f>
        <v>0.37480827803158</v>
      </c>
      <c r="N4231" s="12" t="n">
        <f aca="false">Sens!$N$4230/Sens!$N$4210</f>
        <v>0.364039571356823</v>
      </c>
      <c r="O4231" s="12" t="n">
        <f aca="false">Sens!$O$4230/Sens!$O$4210</f>
        <v>0.332819892300086</v>
      </c>
      <c r="P4231" s="8" t="s">
        <v>606</v>
      </c>
    </row>
    <row r="4232" customFormat="false" ht="17.15" hidden="false" customHeight="false" outlineLevel="0" collapsed="false">
      <c r="A4232" s="0" t="s">
        <v>607</v>
      </c>
      <c r="B4232" s="0" t="s">
        <v>52</v>
      </c>
      <c r="D4232" s="12" t="n">
        <f aca="false">(Q!$E$31-ext_sh*Sens!$D$4221)/Sens!$D$4210</f>
        <v>0.154572973163571</v>
      </c>
    </row>
    <row r="4233" customFormat="false" ht="17.15" hidden="false" customHeight="false" outlineLevel="0" collapsed="false">
      <c r="A4233" s="0" t="s">
        <v>608</v>
      </c>
      <c r="B4233" s="0" t="s">
        <v>73</v>
      </c>
      <c r="C4233" s="38" t="n">
        <f aca="false">Q!$D$31</f>
        <v>13.32</v>
      </c>
      <c r="D4233" s="38" t="n">
        <f aca="false">Q!$E$31</f>
        <v>21.45</v>
      </c>
      <c r="E4233" s="38" t="n">
        <f aca="false">Q!$P$31</f>
        <v>15.353</v>
      </c>
      <c r="F4233" s="38" t="n">
        <f aca="false">ext_sh*Sens!$F$4221+Sens!$D$4232*Sens!$F$4210</f>
        <v>17.3614451462707</v>
      </c>
      <c r="G4233" s="38" t="n">
        <f aca="false">Sens!$E$4233+Sens!$F$4233</f>
        <v>32.7144451462707</v>
      </c>
      <c r="H4233" s="38" t="n">
        <f aca="false">ext_sh*Sens!$H$4221+Sens!$D$4232*Sens!$H$4210</f>
        <v>56.1966092719415</v>
      </c>
      <c r="I4233" s="38" t="n">
        <f aca="false">ext_sh*Sens!$I$4221+Sens!$D$4232*Sens!$I$4210</f>
        <v>82.9744039068297</v>
      </c>
      <c r="J4233" s="38" t="n">
        <f aca="false">ext_sh*Sens!$J$4221+Sens!$D$4232*Sens!$J$4210</f>
        <v>109.943252237669</v>
      </c>
      <c r="K4233" s="38" t="n">
        <f aca="false">ext_sh*Sens!$K$4221+Sens!$D$4232*Sens!$K$4210</f>
        <v>136.406703436571</v>
      </c>
      <c r="L4233" s="38" t="n">
        <f aca="false">ext_sh*Sens!$L$4221+Sens!$D$4232*Sens!$L$4210</f>
        <v>161.485870454155</v>
      </c>
      <c r="M4233" s="38" t="n">
        <f aca="false">ext_sh*Sens!$M$4221+Sens!$D$4232*Sens!$M$4210</f>
        <v>187.389846618199</v>
      </c>
      <c r="N4233" s="38" t="n">
        <f aca="false">Q!$N$31</f>
        <v>9.234</v>
      </c>
      <c r="O4233" s="38" t="n">
        <f aca="false">Q!$O$31</f>
        <v>12.216</v>
      </c>
    </row>
    <row r="4234" customFormat="false" ht="17.15" hidden="false" customHeight="false" outlineLevel="0" collapsed="false">
      <c r="A4234" s="1" t="s">
        <v>609</v>
      </c>
    </row>
    <row r="4235" customFormat="false" ht="17.15" hidden="false" customHeight="false" outlineLevel="0" collapsed="false">
      <c r="A4235" s="14" t="s">
        <v>610</v>
      </c>
      <c r="B4235" s="13" t="s">
        <v>52</v>
      </c>
      <c r="C4235" s="13"/>
      <c r="D4235" s="13"/>
      <c r="E4235" s="13"/>
      <c r="F4235" s="13"/>
      <c r="G4235" s="16" t="n">
        <f aca="false">Sens!$G$4225*(1-tax)/(ext_sh*(Sens!$D$4222+Sens!$G$4222)/2)</f>
        <v>0.0492184452944045</v>
      </c>
      <c r="H4235" s="16" t="n">
        <f aca="false">Sens!$H$4225*(1-tax)/(ext_sh*(Sens!$G$4222+Sens!$H$4222)/2)</f>
        <v>0.0619414246858107</v>
      </c>
      <c r="I4235" s="16" t="n">
        <f aca="false">Sens!$I$4225*(1-tax)/(ext_sh*(Sens!$H$4222+Sens!$I$4222)/2)</f>
        <v>0.0656831488051666</v>
      </c>
      <c r="J4235" s="16" t="n">
        <f aca="false">Sens!$J$4225*(1-tax)/(ext_sh*(Sens!$I$4222+Sens!$J$4222)/2)</f>
        <v>0.0690334849962116</v>
      </c>
      <c r="K4235" s="16" t="n">
        <f aca="false">Sens!$K$4225*(1-tax)/(ext_sh*(Sens!$J$4222+Sens!$K$4222)/2)</f>
        <v>0.0728680488295485</v>
      </c>
      <c r="L4235" s="16" t="n">
        <f aca="false">Sens!$L$4225*(1-tax)/(ext_sh*(Sens!$K$4222+Sens!$L$4222)/2)</f>
        <v>0.0785052878122331</v>
      </c>
      <c r="M4235" s="16" t="n">
        <f aca="false">Sens!$M$4225*(1-tax)/(ext_sh*(Sens!$L$4222+Sens!$M$4222)/2)</f>
        <v>0.0804526580722741</v>
      </c>
      <c r="N4235" s="13"/>
      <c r="O4235" s="13"/>
      <c r="P4235" s="8" t="s">
        <v>611</v>
      </c>
    </row>
    <row r="4236" customFormat="false" ht="17.15" hidden="false" customHeight="false" outlineLevel="0" collapsed="false">
      <c r="A4236" s="5" t="s">
        <v>612</v>
      </c>
      <c r="B4236" s="0" t="s">
        <v>57</v>
      </c>
      <c r="H4236" s="36" t="n">
        <f aca="false">Sens!$H$4206*1000/(mw_open*he_open+Sens!$H$4204*Sens!$H$4201)</f>
        <v>0.991949006767191</v>
      </c>
      <c r="I4236" s="36" t="n">
        <f aca="false">Sens!$I$4206*1000/(mw_open*he_open+Sens!$I$4204*Sens!$I$4201)</f>
        <v>0.991949006767191</v>
      </c>
      <c r="J4236" s="36" t="n">
        <f aca="false">Sens!$J$4206*1000/(mw_open*he_open+Sens!$J$4204*Sens!$J$4201)</f>
        <v>0.991949006767191</v>
      </c>
      <c r="K4236" s="36" t="n">
        <f aca="false">Sens!$K$4206*1000/(mw_open*he_open+Sens!$K$4204*Sens!$K$4201)</f>
        <v>0.991949006767191</v>
      </c>
      <c r="L4236" s="36" t="n">
        <f aca="false">Sens!$L$4206*1000/(mw_open*he_open+Sens!$L$4204*Sens!$L$4201)</f>
        <v>0.991949006767191</v>
      </c>
      <c r="M4236" s="36" t="n">
        <f aca="false">Sens!$M$4206*1000/(mw_open*he_open+Sens!$M$4204*Sens!$M$4201)</f>
        <v>0.991949006767192</v>
      </c>
    </row>
    <row r="4237" customFormat="false" ht="17.15" hidden="false" customHeight="false" outlineLevel="0" collapsed="false">
      <c r="A4237" s="5" t="s">
        <v>613</v>
      </c>
      <c r="B4237" s="0" t="s">
        <v>57</v>
      </c>
      <c r="H4237" s="36" t="n">
        <f aca="false">Sens!$H$4236*(Sens!$H$4206+wacc*ext_sh*(Sens!$G$4222+Sens!$H$4222)/2/(1-tax)-Sens!$H$4225)/Sens!$H$4206</f>
        <v>1.3149781212103</v>
      </c>
      <c r="I4237" s="36" t="n">
        <f aca="false">Sens!$I$4236*(Sens!$I$4206+wacc*ext_sh*(Sens!$H$4222+Sens!$I$4222)/2/(1-tax)-Sens!$I$4225)/Sens!$I$4206</f>
        <v>1.25742005569107</v>
      </c>
      <c r="J4237" s="36" t="n">
        <f aca="false">Sens!$J$4236*(Sens!$J$4206+wacc*ext_sh*(Sens!$I$4222+Sens!$J$4222)/2/(1-tax)-Sens!$J$4225)/Sens!$J$4206</f>
        <v>1.21838845868559</v>
      </c>
      <c r="K4237" s="36" t="n">
        <f aca="false">Sens!$K$4236*(Sens!$K$4206+wacc*ext_sh*(Sens!$J$4222+Sens!$K$4222)/2/(1-tax)-Sens!$K$4225)/Sens!$K$4206</f>
        <v>1.18402644209548</v>
      </c>
      <c r="L4237" s="36" t="n">
        <f aca="false">Sens!$L$4236*(Sens!$L$4206+wacc*ext_sh*(Sens!$K$4222+Sens!$L$4222)/2/(1-tax)-Sens!$L$4225)/Sens!$L$4206</f>
        <v>1.15111215322059</v>
      </c>
      <c r="M4237" s="36" t="n">
        <f aca="false">Sens!$M$4236*(Sens!$M$4206+wacc*ext_sh*(Sens!$L$4222+Sens!$M$4222)/2/(1-tax)-Sens!$M$4225)/Sens!$M$4206</f>
        <v>1.1397166845677</v>
      </c>
    </row>
    <row r="4238" customFormat="false" ht="17.15" hidden="false" customHeight="false" outlineLevel="0" collapsed="false">
      <c r="A4238" s="5" t="s">
        <v>614</v>
      </c>
      <c r="B4238" s="0" t="s">
        <v>52</v>
      </c>
      <c r="C4238" s="12" t="n">
        <f aca="false">Sens!$C$4207/tk_pq</f>
        <v>0.195316432429398</v>
      </c>
      <c r="D4238" s="12" t="n">
        <f aca="false">Sens!$D$4207/tk_pq</f>
        <v>0.195316432429398</v>
      </c>
      <c r="E4238" s="12" t="n">
        <f aca="false">Sens!$E$4207/tk_pq</f>
        <v>0.195316432429398</v>
      </c>
      <c r="F4238" s="12" t="n">
        <f aca="false">Sens!$F$4207/tk_pq</f>
        <v>0.202241827274866</v>
      </c>
      <c r="G4238" s="12" t="n">
        <f aca="false">Sens!$G$4207/tk_pq</f>
        <v>0.199675016194063</v>
      </c>
      <c r="H4238" s="12" t="n">
        <f aca="false">Sens!$H$4207/tk_pq</f>
        <v>0.212647947710325</v>
      </c>
      <c r="I4238" s="12" t="n">
        <f aca="false">Sens!$I$4207/tk_pq</f>
        <v>0.219285125475351</v>
      </c>
      <c r="J4238" s="12" t="n">
        <f aca="false">Sens!$J$4207/tk_pq</f>
        <v>0.222492493217189</v>
      </c>
      <c r="K4238" s="12" t="n">
        <f aca="false">Sens!$K$4207/tk_pq</f>
        <v>0.224371415939166</v>
      </c>
      <c r="L4238" s="12" t="n">
        <f aca="false">Sens!$L$4207/tk_pq</f>
        <v>0.225603749825993</v>
      </c>
      <c r="M4238" s="12" t="n">
        <f aca="false">Sens!$M$4207/tk_pq</f>
        <v>0.22647376274628</v>
      </c>
      <c r="N4238" s="12" t="n">
        <f aca="false">Sens!$N$4207/tk_pq</f>
        <v>0.195316432429398</v>
      </c>
      <c r="O4238" s="12" t="n">
        <f aca="false">Sens!$O$4207/tk_pq</f>
        <v>0.195316432429398</v>
      </c>
      <c r="P4238" s="5" t="s">
        <v>615</v>
      </c>
    </row>
    <row r="4241" customFormat="false" ht="17.15" hidden="false" customHeight="false" outlineLevel="0" collapsed="false">
      <c r="A4241" s="1" t="s">
        <v>642</v>
      </c>
    </row>
    <row r="4242" customFormat="false" ht="17.15" hidden="false" customHeight="false" outlineLevel="0" collapsed="false">
      <c r="A4242" s="0" t="s">
        <v>643</v>
      </c>
      <c r="B4242" s="0" t="s">
        <v>73</v>
      </c>
      <c r="C4242" s="38" t="n">
        <f aca="false">Sens!$C$4206</f>
        <v>2.32100535697364</v>
      </c>
      <c r="D4242" s="38" t="n">
        <f aca="false">Sens!$D$4206</f>
        <v>8.70377008865116</v>
      </c>
      <c r="E4242" s="38" t="n">
        <f aca="false">Sens!$E$4206</f>
        <v>8.51035297557002</v>
      </c>
      <c r="F4242" s="38" t="n">
        <f aca="false">Sens!$F$4206</f>
        <v>14.9634336447205</v>
      </c>
      <c r="G4242" s="38" t="n">
        <f aca="false">Sens!$G$4206</f>
        <v>23.4737866202905</v>
      </c>
      <c r="H4242" s="38" t="n">
        <f aca="false">Sens!$H$4206</f>
        <v>60.1658907497746</v>
      </c>
      <c r="I4242" s="38" t="n">
        <f aca="false">Sens!$I$4206</f>
        <v>101.503699136432</v>
      </c>
      <c r="J4242" s="38" t="n">
        <f aca="false">Sens!$J$4206</f>
        <v>143.025407151278</v>
      </c>
      <c r="K4242" s="38" t="n">
        <f aca="false">Sens!$K$4206</f>
        <v>184.608415042187</v>
      </c>
      <c r="L4242" s="38" t="n">
        <f aca="false">Sens!$L$4206</f>
        <v>226.219286513125</v>
      </c>
      <c r="M4242" s="38" t="n">
        <f aca="false">Sens!$M$4206</f>
        <v>267.845161450232</v>
      </c>
      <c r="N4242" s="38" t="n">
        <f aca="false">Sens!$N$4206</f>
        <v>3.04631953102791</v>
      </c>
      <c r="O4242" s="38" t="n">
        <f aca="false">Sens!$O$4206</f>
        <v>5.65745055762326</v>
      </c>
      <c r="P4242" s="8" t="s">
        <v>644</v>
      </c>
    </row>
    <row r="4243" customFormat="false" ht="17.15" hidden="false" customHeight="false" outlineLevel="0" collapsed="false">
      <c r="A4243" s="0" t="s">
        <v>645</v>
      </c>
      <c r="B4243" s="0" t="s">
        <v>73</v>
      </c>
      <c r="C4243" s="38" t="n">
        <f aca="false">Sens!$C$4210</f>
        <v>105.234994643026</v>
      </c>
      <c r="D4243" s="38" t="n">
        <f aca="false">Sens!$D$4210</f>
        <v>120.021229911349</v>
      </c>
      <c r="E4243" s="38" t="n">
        <f aca="false">Sens!$E$4210</f>
        <v>71.30864702443</v>
      </c>
      <c r="F4243" s="38" t="n">
        <f aca="false">Sens!$F$4210</f>
        <v>78.5950104186653</v>
      </c>
      <c r="G4243" s="38" t="n">
        <f aca="false">Sens!$G$4210</f>
        <v>149.903657443095</v>
      </c>
      <c r="H4243" s="38" t="n">
        <f aca="false">Sens!$H$4210</f>
        <v>180.893560768142</v>
      </c>
      <c r="I4243" s="38" t="n">
        <f aca="false">Sens!$I$4210</f>
        <v>210.64839721501</v>
      </c>
      <c r="J4243" s="38" t="n">
        <f aca="false">Sens!$J$4210</f>
        <v>236.398909446495</v>
      </c>
      <c r="K4243" s="38" t="n">
        <f aca="false">Sens!$K$4210</f>
        <v>255.310822202215</v>
      </c>
      <c r="L4243" s="38" t="n">
        <f aca="false">Sens!$L$4210</f>
        <v>275.735687978392</v>
      </c>
      <c r="M4243" s="38" t="n">
        <f aca="false">Sens!$M$4210</f>
        <v>297.794543016663</v>
      </c>
      <c r="N4243" s="38" t="n">
        <f aca="false">Sens!$N$4210</f>
        <v>57.0936804689721</v>
      </c>
      <c r="O4243" s="38" t="n">
        <f aca="false">Sens!$O$4210</f>
        <v>62.9275494423768</v>
      </c>
      <c r="P4243" s="8" t="s">
        <v>644</v>
      </c>
    </row>
    <row r="4244" customFormat="false" ht="17.15" hidden="false" customHeight="false" outlineLevel="0" collapsed="false">
      <c r="A4244" s="1" t="s">
        <v>476</v>
      </c>
      <c r="B4244" s="8" t="s">
        <v>73</v>
      </c>
      <c r="C4244" s="38" t="n">
        <f aca="false">Q!$D$7</f>
        <v>107.556</v>
      </c>
      <c r="D4244" s="38" t="n">
        <f aca="false">Q!$E$7</f>
        <v>128.725</v>
      </c>
      <c r="E4244" s="38" t="n">
        <f aca="false">Q!$P$7</f>
        <v>79.819</v>
      </c>
      <c r="F4244" s="38" t="n">
        <f aca="false">Sens!$F$4242+Sens!$F$4243</f>
        <v>93.5584440633857</v>
      </c>
      <c r="G4244" s="38" t="n">
        <f aca="false">Sens!$G$4242+Sens!$G$4243</f>
        <v>173.377444063386</v>
      </c>
      <c r="H4244" s="38" t="n">
        <f aca="false">Sens!$H$4242+Sens!$H$4243</f>
        <v>241.059451517916</v>
      </c>
      <c r="I4244" s="38" t="n">
        <f aca="false">Sens!$I$4242+Sens!$I$4243</f>
        <v>312.152096351442</v>
      </c>
      <c r="J4244" s="38" t="n">
        <f aca="false">Sens!$J$4242+Sens!$J$4243</f>
        <v>379.424316597773</v>
      </c>
      <c r="K4244" s="38" t="n">
        <f aca="false">Sens!$K$4242+Sens!$K$4243</f>
        <v>439.919237244402</v>
      </c>
      <c r="L4244" s="38" t="n">
        <f aca="false">Sens!$L$4242+Sens!$L$4243</f>
        <v>501.954974491517</v>
      </c>
      <c r="M4244" s="38" t="n">
        <f aca="false">Sens!$M$4242+Sens!$M$4243</f>
        <v>565.639704466895</v>
      </c>
      <c r="N4244" s="38" t="n">
        <f aca="false">Q!$N$7</f>
        <v>60.14</v>
      </c>
      <c r="O4244" s="38" t="n">
        <f aca="false">Q!$O$7</f>
        <v>68.585</v>
      </c>
      <c r="P4244" s="5" t="s">
        <v>646</v>
      </c>
    </row>
    <row r="4245" customFormat="false" ht="15" hidden="false" customHeight="false" outlineLevel="0" collapsed="false">
      <c r="A4245" s="3" t="s">
        <v>647</v>
      </c>
      <c r="B4245" s="8" t="s">
        <v>73</v>
      </c>
      <c r="C4245" s="38" t="n">
        <f aca="false">Q!$D$8</f>
        <v>637.959</v>
      </c>
      <c r="D4245" s="38" t="n">
        <f aca="false">Q!$E$8</f>
        <v>716.924</v>
      </c>
      <c r="E4245" s="38" t="n">
        <f aca="false">Q!$P$8</f>
        <v>382.125</v>
      </c>
      <c r="F4245" s="38" t="n">
        <f aca="false">Sens!$F$4179+Sens!$F$4244</f>
        <v>450.494873271816</v>
      </c>
      <c r="G4245" s="38" t="n">
        <f aca="false">Sens!$G$4179+Sens!$G$4244</f>
        <v>832.619873271816</v>
      </c>
      <c r="H4245" s="38" t="n">
        <f aca="false">Sens!$H$4179+Sens!$H$4244</f>
        <v>970.995189139617</v>
      </c>
      <c r="I4245" s="38" t="n">
        <f aca="false">Sens!$I$4179+Sens!$I$4244</f>
        <v>1110.44766604932</v>
      </c>
      <c r="J4245" s="38" t="n">
        <f aca="false">Sens!$J$4179+Sens!$J$4244</f>
        <v>1241.16113892356</v>
      </c>
      <c r="K4245" s="38" t="n">
        <f aca="false">Sens!$K$4179+Sens!$K$4244</f>
        <v>1357.47672934633</v>
      </c>
      <c r="L4245" s="38" t="n">
        <f aca="false">Sens!$L$4179+Sens!$L$4244</f>
        <v>1479.24006423468</v>
      </c>
      <c r="M4245" s="38" t="n">
        <f aca="false">Sens!$M$4179+Sens!$M$4244</f>
        <v>1606.8537230104</v>
      </c>
      <c r="N4245" s="38" t="n">
        <f aca="false">Q!$N$8</f>
        <v>323.369</v>
      </c>
      <c r="O4245" s="38" t="n">
        <f aca="false">Q!$O$8</f>
        <v>393.555</v>
      </c>
    </row>
    <row r="4246" customFormat="false" ht="17.15" hidden="false" customHeight="false" outlineLevel="0" collapsed="false">
      <c r="A4246" s="24" t="s">
        <v>655</v>
      </c>
      <c r="B4246" s="25" t="s">
        <v>73</v>
      </c>
      <c r="C4246" s="39" t="n">
        <f aca="false">Sens!$C$4179-(Sens!$C$4181+Sens!$C$4182)</f>
        <v>0</v>
      </c>
      <c r="D4246" s="39" t="n">
        <f aca="false">Sens!$D$4179-(Sens!$D$4181+Sens!$D$4182)</f>
        <v>0</v>
      </c>
      <c r="E4246" s="39" t="n">
        <f aca="false">Sens!$E$4179-(Sens!$E$4181+Sens!$E$4182)</f>
        <v>0</v>
      </c>
      <c r="F4246" s="39" t="n">
        <f aca="false">Sens!$F$4179-(Sens!$F$4181+Sens!$F$4182)</f>
        <v>0</v>
      </c>
      <c r="G4246" s="39" t="n">
        <f aca="false">Sens!$G$4179-(Sens!$G$4181+Sens!$G$4182)</f>
        <v>0</v>
      </c>
      <c r="H4246" s="39" t="n">
        <f aca="false">Sens!$H$4179-(Sens!$H$4181+Sens!$H$4182)</f>
        <v>0</v>
      </c>
      <c r="I4246" s="39" t="n">
        <f aca="false">Sens!$I$4179-(Sens!$I$4181+Sens!$I$4182)</f>
        <v>0</v>
      </c>
      <c r="J4246" s="39" t="n">
        <f aca="false">Sens!$J$4179-(Sens!$J$4181+Sens!$J$4182)</f>
        <v>0</v>
      </c>
      <c r="K4246" s="39" t="n">
        <f aca="false">Sens!$K$4179-(Sens!$K$4181+Sens!$K$4182)</f>
        <v>0</v>
      </c>
      <c r="L4246" s="39" t="n">
        <f aca="false">Sens!$L$4179-(Sens!$L$4181+Sens!$L$4182)</f>
        <v>0</v>
      </c>
      <c r="M4246" s="39" t="n">
        <f aca="false">Sens!$M$4179-(Sens!$M$4181+Sens!$M$4182)</f>
        <v>0</v>
      </c>
      <c r="N4246" s="39" t="n">
        <f aca="false">Sens!$N$4179-(Sens!$N$4181+Sens!$N$4182)</f>
        <v>0</v>
      </c>
      <c r="O4246" s="39" t="n">
        <f aca="false">Sens!$O$4179-(Sens!$O$4181+Sens!$O$4182)</f>
        <v>0</v>
      </c>
    </row>
    <row r="4247" customFormat="false" ht="17.15" hidden="false" customHeight="false" outlineLevel="0" collapsed="false">
      <c r="A4247" s="24" t="s">
        <v>656</v>
      </c>
      <c r="B4247" s="25" t="s">
        <v>73</v>
      </c>
      <c r="C4247" s="39" t="n">
        <f aca="false">Sens!$C$4242+Sens!$C$4243-Sens!$C$4244</f>
        <v>0</v>
      </c>
      <c r="D4247" s="39" t="n">
        <f aca="false">Sens!$D$4242+Sens!$D$4243-Sens!$D$4244</f>
        <v>0</v>
      </c>
      <c r="E4247" s="39" t="n">
        <f aca="false">Sens!$E$4242+Sens!$E$4243-Sens!$E$4244</f>
        <v>0</v>
      </c>
      <c r="F4247" s="39" t="n">
        <f aca="false">Sens!$F$4242+Sens!$F$4243-Sens!$F$4244</f>
        <v>0</v>
      </c>
      <c r="G4247" s="39" t="n">
        <f aca="false">Sens!$G$4242+Sens!$G$4243-Sens!$G$4244</f>
        <v>0</v>
      </c>
      <c r="H4247" s="39" t="n">
        <f aca="false">Sens!$H$4242+Sens!$H$4243-Sens!$H$4244</f>
        <v>0</v>
      </c>
      <c r="I4247" s="39" t="n">
        <f aca="false">Sens!$I$4242+Sens!$I$4243-Sens!$I$4244</f>
        <v>0</v>
      </c>
      <c r="J4247" s="39" t="n">
        <f aca="false">Sens!$J$4242+Sens!$J$4243-Sens!$J$4244</f>
        <v>0</v>
      </c>
      <c r="K4247" s="39" t="n">
        <f aca="false">Sens!$K$4242+Sens!$K$4243-Sens!$K$4244</f>
        <v>0</v>
      </c>
      <c r="L4247" s="39" t="n">
        <f aca="false">Sens!$L$4242+Sens!$L$4243-Sens!$L$4244</f>
        <v>0</v>
      </c>
      <c r="M4247" s="39" t="n">
        <f aca="false">Sens!$M$4242+Sens!$M$4243-Sens!$M$4244</f>
        <v>0</v>
      </c>
      <c r="N4247" s="39" t="n">
        <f aca="false">Sens!$N$4242+Sens!$N$4243-Sens!$N$4244</f>
        <v>0</v>
      </c>
      <c r="O4247" s="39" t="n">
        <f aca="false">Sens!$O$4242+Sens!$O$4243-Sens!$O$4244</f>
        <v>0</v>
      </c>
    </row>
    <row r="4248" customFormat="false" ht="17.15" hidden="false" customHeight="false" outlineLevel="0" collapsed="false">
      <c r="A4248" s="24" t="s">
        <v>657</v>
      </c>
      <c r="B4248" s="25" t="s">
        <v>73</v>
      </c>
      <c r="C4248" s="39" t="n">
        <f aca="false">Sens!$C$4181+Sens!$C$4182+Sens!$C$4244-Sens!$C$4245</f>
        <v>0</v>
      </c>
      <c r="D4248" s="39" t="n">
        <f aca="false">Sens!$D$4181+Sens!$D$4182+Sens!$D$4244-Sens!$D$4245</f>
        <v>0</v>
      </c>
      <c r="E4248" s="39" t="n">
        <f aca="false">Sens!$E$4181+Sens!$E$4182+Sens!$E$4244-Sens!$E$4245</f>
        <v>0</v>
      </c>
      <c r="F4248" s="39" t="n">
        <f aca="false">Sens!$F$4181+Sens!$F$4182+Sens!$F$4244-Sens!$F$4245</f>
        <v>0</v>
      </c>
      <c r="G4248" s="39" t="n">
        <f aca="false">Sens!$G$4181+Sens!$G$4182+Sens!$G$4244-Sens!$G$4245</f>
        <v>0</v>
      </c>
      <c r="H4248" s="39" t="n">
        <f aca="false">Sens!$H$4181+Sens!$H$4182+Sens!$H$4244-Sens!$H$4245</f>
        <v>0</v>
      </c>
      <c r="I4248" s="39" t="n">
        <f aca="false">Sens!$I$4181+Sens!$I$4182+Sens!$I$4244-Sens!$I$4245</f>
        <v>0</v>
      </c>
      <c r="J4248" s="39" t="n">
        <f aca="false">Sens!$J$4181+Sens!$J$4182+Sens!$J$4244-Sens!$J$4245</f>
        <v>0</v>
      </c>
      <c r="K4248" s="39" t="n">
        <f aca="false">Sens!$K$4181+Sens!$K$4182+Sens!$K$4244-Sens!$K$4245</f>
        <v>0</v>
      </c>
      <c r="L4248" s="39" t="n">
        <f aca="false">Sens!$L$4181+Sens!$L$4182+Sens!$L$4244-Sens!$L$4245</f>
        <v>0</v>
      </c>
      <c r="M4248" s="39" t="n">
        <f aca="false">Sens!$M$4181+Sens!$M$4182+Sens!$M$4244-Sens!$M$4245</f>
        <v>0</v>
      </c>
      <c r="N4248" s="39" t="n">
        <f aca="false">Sens!$N$4181+Sens!$N$4182+Sens!$N$4244-Sens!$N$4245</f>
        <v>0</v>
      </c>
      <c r="O4248" s="39" t="n">
        <f aca="false">Sens!$O$4181+Sens!$O$4182+Sens!$O$4244-Sens!$O$4245</f>
        <v>0</v>
      </c>
    </row>
    <row r="4249" customFormat="false" ht="15" hidden="false" customHeight="false" outlineLevel="0" collapsed="false">
      <c r="A4249" s="5" t="s">
        <v>651</v>
      </c>
      <c r="B4249" s="0" t="s">
        <v>52</v>
      </c>
      <c r="G4249" s="12" t="n">
        <f aca="false">Sens!$G$4245/Sens!$D$4245-1</f>
        <v>0.161378156222718</v>
      </c>
      <c r="H4249" s="12" t="n">
        <f aca="false">Sens!$H$4245/Sens!$G$4245-1</f>
        <v>0.166192665236357</v>
      </c>
      <c r="I4249" s="12" t="n">
        <f aca="false">Sens!$I$4245/Sens!$H$4245-1</f>
        <v>0.143618092519351</v>
      </c>
      <c r="J4249" s="12" t="n">
        <f aca="false">Sens!$J$4245/Sens!$I$4245-1</f>
        <v>0.117712411733268</v>
      </c>
      <c r="K4249" s="12" t="n">
        <f aca="false">Sens!$K$4245/Sens!$J$4245-1</f>
        <v>0.0937151404237868</v>
      </c>
      <c r="L4249" s="12" t="n">
        <f aca="false">Sens!$L$4245/Sens!$K$4245-1</f>
        <v>0.0896982852494186</v>
      </c>
      <c r="M4249" s="12" t="n">
        <f aca="false">Sens!$M$4245/Sens!$L$4245-1</f>
        <v>0.0862697420528154</v>
      </c>
    </row>
    <row r="4250" customFormat="false" ht="17.15" hidden="false" customHeight="false" outlineLevel="0" collapsed="false">
      <c r="A4250" s="0" t="s">
        <v>652</v>
      </c>
      <c r="B4250" s="0" t="s">
        <v>52</v>
      </c>
      <c r="C4250" s="12" t="n">
        <f aca="false">Sens!$C$4244/Sens!$C$4245</f>
        <v>0.168593906504964</v>
      </c>
      <c r="D4250" s="12" t="n">
        <f aca="false">Sens!$D$4244/Sens!$D$4245</f>
        <v>0.179551807444025</v>
      </c>
      <c r="E4250" s="12" t="n">
        <f aca="false">Sens!$E$4244/Sens!$E$4245</f>
        <v>0.208881910369643</v>
      </c>
      <c r="F4250" s="12" t="n">
        <f aca="false">Sens!$F$4244/Sens!$F$4245</f>
        <v>0.207679264769203</v>
      </c>
      <c r="G4250" s="12" t="n">
        <f aca="false">Sens!$G$4244/Sens!$G$4245</f>
        <v>0.208231210458731</v>
      </c>
      <c r="H4250" s="12" t="n">
        <f aca="false">Sens!$H$4244/Sens!$H$4245</f>
        <v>0.248260191414043</v>
      </c>
      <c r="I4250" s="12" t="n">
        <f aca="false">Sens!$I$4244/Sens!$I$4245</f>
        <v>0.28110473450946</v>
      </c>
      <c r="J4250" s="12" t="n">
        <f aca="false">Sens!$J$4244/Sens!$J$4245</f>
        <v>0.30570109287086</v>
      </c>
      <c r="K4250" s="12" t="n">
        <f aca="false">Sens!$K$4244/Sens!$K$4245</f>
        <v>0.324071291782835</v>
      </c>
      <c r="L4250" s="12" t="n">
        <f aca="false">Sens!$L$4244/Sens!$L$4245</f>
        <v>0.339333003903741</v>
      </c>
      <c r="M4250" s="12" t="n">
        <f aca="false">Sens!$M$4244/Sens!$M$4245</f>
        <v>0.3520169237354</v>
      </c>
      <c r="N4250" s="12" t="n">
        <f aca="false">Sens!$N$4244/Sens!$N$4245</f>
        <v>0.185979484737251</v>
      </c>
      <c r="O4250" s="12" t="n">
        <f aca="false">Sens!$O$4244/Sens!$O$4245</f>
        <v>0.174270432341096</v>
      </c>
    </row>
    <row r="4251" customFormat="false" ht="17.15" hidden="false" customHeight="false" outlineLevel="0" collapsed="false">
      <c r="A4251" s="0" t="s">
        <v>653</v>
      </c>
      <c r="B4251" s="0" t="s">
        <v>52</v>
      </c>
      <c r="C4251" s="12" t="n">
        <f aca="false">Sens!$C$4242/Sens!$C$4244</f>
        <v>0.0215795060896058</v>
      </c>
      <c r="D4251" s="12" t="n">
        <f aca="false">Sens!$D$4242/Sens!$D$4244</f>
        <v>0.0676152269462122</v>
      </c>
      <c r="E4251" s="12" t="n">
        <f aca="false">Sens!$E$4242/Sens!$E$4244</f>
        <v>0.106620641395783</v>
      </c>
      <c r="F4251" s="12" t="n">
        <f aca="false">Sens!$F$4242/Sens!$F$4244</f>
        <v>0.159936751776064</v>
      </c>
      <c r="G4251" s="12" t="n">
        <f aca="false">Sens!$G$4242/Sens!$G$4244</f>
        <v>0.135391237003751</v>
      </c>
      <c r="H4251" s="12" t="n">
        <f aca="false">Sens!$H$4242/Sens!$H$4244</f>
        <v>0.249589428545194</v>
      </c>
      <c r="I4251" s="12" t="n">
        <f aca="false">Sens!$I$4242/Sens!$I$4244</f>
        <v>0.325173850577483</v>
      </c>
      <c r="J4251" s="12" t="n">
        <f aca="false">Sens!$J$4242/Sens!$J$4244</f>
        <v>0.376953718817392</v>
      </c>
      <c r="K4251" s="12" t="n">
        <f aca="false">Sens!$K$4242/Sens!$K$4244</f>
        <v>0.419641605578676</v>
      </c>
      <c r="L4251" s="12" t="n">
        <f aca="false">Sens!$L$4242/Sens!$L$4244</f>
        <v>0.450676451094615</v>
      </c>
      <c r="M4251" s="12" t="n">
        <f aca="false">Sens!$M$4242/Sens!$M$4244</f>
        <v>0.473526096798086</v>
      </c>
      <c r="N4251" s="12" t="n">
        <f aca="false">Sens!$N$4242/Sens!$N$4244</f>
        <v>0.0506537999838362</v>
      </c>
      <c r="O4251" s="12" t="n">
        <f aca="false">Sens!$O$4242/Sens!$O$4244</f>
        <v>0.0824881615167056</v>
      </c>
    </row>
    <row r="4254" customFormat="false" ht="19.4" hidden="false" customHeight="false" outlineLevel="0" collapsed="false">
      <c r="A4254" s="31" t="s">
        <v>1135</v>
      </c>
    </row>
    <row r="4255" customFormat="false" ht="17.15" hidden="false" customHeight="false" outlineLevel="0" collapsed="false">
      <c r="A4255" s="6" t="s">
        <v>16</v>
      </c>
      <c r="B4255" s="6" t="s">
        <v>17</v>
      </c>
      <c r="C4255" s="20" t="s">
        <v>457</v>
      </c>
      <c r="D4255" s="20" t="s">
        <v>458</v>
      </c>
      <c r="E4255" s="20" t="s">
        <v>540</v>
      </c>
      <c r="F4255" s="20" t="s">
        <v>541</v>
      </c>
      <c r="G4255" s="20" t="s">
        <v>542</v>
      </c>
      <c r="H4255" s="20" t="s">
        <v>543</v>
      </c>
      <c r="I4255" s="20" t="s">
        <v>544</v>
      </c>
      <c r="J4255" s="20" t="s">
        <v>545</v>
      </c>
      <c r="K4255" s="20" t="s">
        <v>546</v>
      </c>
      <c r="L4255" s="20" t="s">
        <v>547</v>
      </c>
      <c r="M4255" s="20" t="s">
        <v>548</v>
      </c>
      <c r="N4255" s="20" t="s">
        <v>549</v>
      </c>
      <c r="O4255" s="20" t="s">
        <v>550</v>
      </c>
      <c r="P4255" s="6" t="s">
        <v>23</v>
      </c>
      <c r="R4255" s="20" t="n">
        <v>2023</v>
      </c>
      <c r="S4255" s="20" t="n">
        <v>2024</v>
      </c>
      <c r="T4255" s="20" t="n">
        <v>2025</v>
      </c>
      <c r="U4255" s="20" t="n">
        <v>2026</v>
      </c>
      <c r="V4255" s="20" t="n">
        <v>2027</v>
      </c>
      <c r="W4255" s="20" t="n">
        <v>2028</v>
      </c>
      <c r="X4255" s="20" t="n">
        <v>2029</v>
      </c>
      <c r="Y4255" s="20" t="n">
        <v>2030</v>
      </c>
      <c r="Z4255" s="20" t="n">
        <v>2031</v>
      </c>
      <c r="AA4255" s="20" t="n">
        <v>2032</v>
      </c>
    </row>
    <row r="4256" customFormat="false" ht="17.15" hidden="false" customHeight="false" outlineLevel="0" collapsed="false">
      <c r="A4256" s="1" t="s">
        <v>668</v>
      </c>
    </row>
    <row r="4257" customFormat="false" ht="15" hidden="false" customHeight="false" outlineLevel="0" collapsed="false">
      <c r="A4257" s="0" t="s">
        <v>479</v>
      </c>
      <c r="B4257" s="0" t="s">
        <v>73</v>
      </c>
      <c r="C4257" s="38" t="n">
        <f aca="false">Sens!$C$4167</f>
        <v>247.029</v>
      </c>
      <c r="D4257" s="38" t="n">
        <f aca="false">Sens!$D$4167</f>
        <v>269.287</v>
      </c>
      <c r="E4257" s="38" t="n">
        <f aca="false">Sens!$E$4167</f>
        <v>134.686</v>
      </c>
      <c r="F4257" s="38" t="n">
        <f aca="false">Sens!$F$4167</f>
        <v>160.728085930082</v>
      </c>
      <c r="G4257" s="38" t="n">
        <f aca="false">Sens!$G$4167</f>
        <v>295.414085930082</v>
      </c>
      <c r="H4257" s="38" t="n">
        <f aca="false">Sens!$H$4167</f>
        <v>320.828163943375</v>
      </c>
      <c r="I4257" s="38" t="n">
        <f aca="false">Sens!$I$4167</f>
        <v>344.575578072228</v>
      </c>
      <c r="J4257" s="38" t="n">
        <f aca="false">Sens!$J$4167</f>
        <v>365.942555779681</v>
      </c>
      <c r="K4257" s="38" t="n">
        <f aca="false">Sens!$K$4167</f>
        <v>384.239683568665</v>
      </c>
      <c r="L4257" s="38" t="n">
        <f aca="false">Sens!$L$4167</f>
        <v>403.451667747098</v>
      </c>
      <c r="M4257" s="38" t="n">
        <f aca="false">Sens!$M$4167</f>
        <v>423.624251134453</v>
      </c>
      <c r="N4257" s="38" t="n">
        <f aca="false">Sens!$N$4167</f>
        <v>118.892</v>
      </c>
      <c r="O4257" s="38" t="n">
        <f aca="false">Sens!$O$4167</f>
        <v>150.395</v>
      </c>
    </row>
    <row r="4258" customFormat="false" ht="15" hidden="false" customHeight="false" outlineLevel="0" collapsed="false">
      <c r="A4258" s="0" t="s">
        <v>480</v>
      </c>
      <c r="B4258" s="0" t="s">
        <v>73</v>
      </c>
      <c r="C4258" s="38" t="n">
        <f aca="false">Sens!$C$4169</f>
        <v>21.215</v>
      </c>
      <c r="D4258" s="38" t="n">
        <f aca="false">Sens!$D$4169</f>
        <v>22.561</v>
      </c>
      <c r="E4258" s="38" t="n">
        <f aca="false">Sens!$E$4169</f>
        <v>11.579</v>
      </c>
      <c r="F4258" s="38" t="n">
        <f aca="false">Sens!$F$4169</f>
        <v>12.0952613121125</v>
      </c>
      <c r="G4258" s="38" t="n">
        <f aca="false">Sens!$G$4169</f>
        <v>23.6742613121125</v>
      </c>
      <c r="H4258" s="38" t="n">
        <f aca="false">Sens!$H$4169</f>
        <v>24.8803243963206</v>
      </c>
      <c r="I4258" s="38" t="n">
        <f aca="false">Sens!$I$4169</f>
        <v>25.9741308664154</v>
      </c>
      <c r="J4258" s="38" t="n">
        <f aca="false">Sens!$J$4169</f>
        <v>26.9346894124267</v>
      </c>
      <c r="K4258" s="38" t="n">
        <f aca="false">Sens!$K$4169</f>
        <v>27.7427300947995</v>
      </c>
      <c r="L4258" s="38" t="n">
        <f aca="false">Sens!$L$4169</f>
        <v>28.5750119976435</v>
      </c>
      <c r="M4258" s="38" t="n">
        <f aca="false">Sens!$M$4169</f>
        <v>29.4322623575728</v>
      </c>
      <c r="N4258" s="38" t="n">
        <f aca="false">Sens!$N$4169</f>
        <v>11.128</v>
      </c>
      <c r="O4258" s="38" t="n">
        <f aca="false">Sens!$O$4169</f>
        <v>11.433</v>
      </c>
    </row>
    <row r="4259" customFormat="false" ht="15" hidden="false" customHeight="false" outlineLevel="0" collapsed="false">
      <c r="A4259" s="0" t="s">
        <v>481</v>
      </c>
      <c r="B4259" s="0" t="s">
        <v>73</v>
      </c>
      <c r="C4259" s="38" t="n">
        <f aca="false">Sens!$C$4171</f>
        <v>156.146</v>
      </c>
      <c r="D4259" s="38" t="n">
        <f aca="false">Sens!$D$4171</f>
        <v>172.162</v>
      </c>
      <c r="E4259" s="38" t="n">
        <f aca="false">Sens!$E$4171</f>
        <v>88.358</v>
      </c>
      <c r="F4259" s="38" t="n">
        <f aca="false">Sens!$F$4171</f>
        <v>103.62028337149</v>
      </c>
      <c r="G4259" s="38" t="n">
        <f aca="false">Sens!$G$4171</f>
        <v>191.97828337149</v>
      </c>
      <c r="H4259" s="38" t="n">
        <f aca="false">Sens!$H$4171</f>
        <v>212.128608444755</v>
      </c>
      <c r="I4259" s="38" t="n">
        <f aca="false">Sens!$I$4171</f>
        <v>231.92183134134</v>
      </c>
      <c r="J4259" s="38" t="n">
        <f aca="false">Sens!$J$4171</f>
        <v>250.859136487863</v>
      </c>
      <c r="K4259" s="38" t="n">
        <f aca="false">Sens!$K$4171</f>
        <v>268.419276042014</v>
      </c>
      <c r="L4259" s="38" t="n">
        <f aca="false">Sens!$L$4171</f>
        <v>287.208625364954</v>
      </c>
      <c r="M4259" s="38" t="n">
        <f aca="false">Sens!$M$4171</f>
        <v>307.313229140501</v>
      </c>
      <c r="N4259" s="38" t="n">
        <f aca="false">Sens!$N$4171</f>
        <v>76.86</v>
      </c>
      <c r="O4259" s="38" t="n">
        <f aca="false">Sens!$O$4171</f>
        <v>95.302</v>
      </c>
    </row>
    <row r="4260" customFormat="false" ht="15" hidden="false" customHeight="false" outlineLevel="0" collapsed="false">
      <c r="A4260" s="0" t="s">
        <v>482</v>
      </c>
      <c r="B4260" s="0" t="s">
        <v>73</v>
      </c>
      <c r="C4260" s="38" t="n">
        <f aca="false">Sens!$C$4173</f>
        <v>56.214</v>
      </c>
      <c r="D4260" s="38" t="n">
        <f aca="false">Sens!$D$4173</f>
        <v>68.635</v>
      </c>
      <c r="E4260" s="38" t="n">
        <f aca="false">Sens!$E$4173</f>
        <v>37.052</v>
      </c>
      <c r="F4260" s="38" t="n">
        <f aca="false">Sens!$F$4173</f>
        <v>48.1533381827382</v>
      </c>
      <c r="G4260" s="38" t="n">
        <f aca="false">Sens!$G$4173</f>
        <v>85.2053381827382</v>
      </c>
      <c r="H4260" s="38" t="n">
        <f aca="false">Sens!$H$4173</f>
        <v>102.29336185894</v>
      </c>
      <c r="I4260" s="38" t="n">
        <f aca="false">Sens!$I$4173</f>
        <v>119.379837585241</v>
      </c>
      <c r="J4260" s="38" t="n">
        <f aca="false">Sens!$J$4173</f>
        <v>135.319079048844</v>
      </c>
      <c r="K4260" s="38" t="n">
        <f aca="false">Sens!$K$4173</f>
        <v>148.850986953729</v>
      </c>
      <c r="L4260" s="38" t="n">
        <f aca="false">Sens!$L$4173</f>
        <v>163.736085649102</v>
      </c>
      <c r="M4260" s="38" t="n">
        <f aca="false">Sens!$M$4173</f>
        <v>180.109694214012</v>
      </c>
      <c r="N4260" s="38" t="n">
        <f aca="false">Sens!$N$4173</f>
        <v>29.615</v>
      </c>
      <c r="O4260" s="38" t="n">
        <f aca="false">Sens!$O$4173</f>
        <v>39.02</v>
      </c>
    </row>
    <row r="4261" customFormat="false" ht="15" hidden="false" customHeight="false" outlineLevel="0" collapsed="false">
      <c r="A4261" s="0" t="s">
        <v>483</v>
      </c>
      <c r="B4261" s="0" t="s">
        <v>73</v>
      </c>
      <c r="C4261" s="38" t="n">
        <f aca="false">Sens!$C$4175</f>
        <v>44.374</v>
      </c>
      <c r="D4261" s="38" t="n">
        <f aca="false">Sens!$D$4175</f>
        <v>49.619</v>
      </c>
      <c r="E4261" s="38" t="n">
        <f aca="false">Sens!$E$4175</f>
        <v>27.157</v>
      </c>
      <c r="F4261" s="38" t="n">
        <f aca="false">Sens!$F$4175</f>
        <v>28.9776360923374</v>
      </c>
      <c r="G4261" s="38" t="n">
        <f aca="false">Sens!$G$4175</f>
        <v>56.1346360923374</v>
      </c>
      <c r="H4261" s="38" t="n">
        <f aca="false">Sens!$H$4175</f>
        <v>62.4937078946075</v>
      </c>
      <c r="I4261" s="38" t="n">
        <f aca="false">Sens!$I$4175</f>
        <v>68.6715233062498</v>
      </c>
      <c r="J4261" s="38" t="n">
        <f aca="false">Sens!$J$4175</f>
        <v>74.4692882949818</v>
      </c>
      <c r="K4261" s="38" t="n">
        <f aca="false">Sens!$K$4175</f>
        <v>79.6821384756306</v>
      </c>
      <c r="L4261" s="38" t="n">
        <f aca="false">Sens!$L$4175</f>
        <v>85.2598881689247</v>
      </c>
      <c r="M4261" s="38" t="n">
        <f aca="false">Sens!$M$4175</f>
        <v>91.2280803407494</v>
      </c>
      <c r="N4261" s="38" t="n">
        <f aca="false">Sens!$N$4175</f>
        <v>23.923</v>
      </c>
      <c r="O4261" s="38" t="n">
        <f aca="false">Sens!$O$4175</f>
        <v>25.696</v>
      </c>
    </row>
    <row r="4262" customFormat="false" ht="15" hidden="false" customHeight="false" outlineLevel="0" collapsed="false">
      <c r="A4262" s="0" t="s">
        <v>484</v>
      </c>
      <c r="B4262" s="0" t="s">
        <v>73</v>
      </c>
      <c r="C4262" s="38" t="n">
        <f aca="false">Sens!$C$4177</f>
        <v>5.425</v>
      </c>
      <c r="D4262" s="38" t="n">
        <f aca="false">Sens!$D$4177</f>
        <v>5.935</v>
      </c>
      <c r="E4262" s="38" t="n">
        <f aca="false">Sens!$E$4177</f>
        <v>3.474</v>
      </c>
      <c r="F4262" s="38" t="n">
        <f aca="false">Sens!$F$4177</f>
        <v>3.36182431966931</v>
      </c>
      <c r="G4262" s="38" t="n">
        <f aca="false">Sens!$G$4177</f>
        <v>6.83582431966931</v>
      </c>
      <c r="H4262" s="38" t="n">
        <f aca="false">Sens!$H$4177</f>
        <v>7.31157108370141</v>
      </c>
      <c r="I4262" s="38" t="n">
        <f aca="false">Sens!$I$4177</f>
        <v>7.77266852639815</v>
      </c>
      <c r="J4262" s="38" t="n">
        <f aca="false">Sens!$J$4177</f>
        <v>8.2120733019884</v>
      </c>
      <c r="K4262" s="38" t="n">
        <f aca="false">Sens!$K$4177</f>
        <v>8.62267696708783</v>
      </c>
      <c r="L4262" s="38" t="n">
        <f aca="false">Sens!$L$4177</f>
        <v>9.05381081544222</v>
      </c>
      <c r="M4262" s="38" t="n">
        <f aca="false">Sens!$M$4177</f>
        <v>9.50650135621433</v>
      </c>
      <c r="N4262" s="38" t="n">
        <f aca="false">Sens!$N$4177</f>
        <v>2.811</v>
      </c>
      <c r="O4262" s="38" t="n">
        <f aca="false">Sens!$O$4177</f>
        <v>3.124</v>
      </c>
    </row>
    <row r="4263" customFormat="false" ht="17.15" hidden="false" customHeight="false" outlineLevel="0" collapsed="false">
      <c r="A4263" s="0" t="s">
        <v>669</v>
      </c>
      <c r="B4263" s="0" t="s">
        <v>73</v>
      </c>
      <c r="C4263" s="38" t="n">
        <f aca="false">Sens!$C$4244</f>
        <v>107.556</v>
      </c>
      <c r="D4263" s="38" t="n">
        <f aca="false">Sens!$D$4244</f>
        <v>128.725</v>
      </c>
      <c r="E4263" s="38" t="n">
        <f aca="false">Sens!$E$4244</f>
        <v>79.819</v>
      </c>
      <c r="F4263" s="38" t="n">
        <f aca="false">Sens!$F$4244</f>
        <v>93.5584440633857</v>
      </c>
      <c r="G4263" s="38" t="n">
        <f aca="false">Sens!$G$4244</f>
        <v>173.377444063386</v>
      </c>
      <c r="H4263" s="38" t="n">
        <f aca="false">Sens!$H$4244</f>
        <v>241.059451517916</v>
      </c>
      <c r="I4263" s="38" t="n">
        <f aca="false">Sens!$I$4244</f>
        <v>312.152096351442</v>
      </c>
      <c r="J4263" s="38" t="n">
        <f aca="false">Sens!$J$4244</f>
        <v>379.424316597773</v>
      </c>
      <c r="K4263" s="38" t="n">
        <f aca="false">Sens!$K$4244</f>
        <v>439.919237244402</v>
      </c>
      <c r="L4263" s="38" t="n">
        <f aca="false">Sens!$L$4244</f>
        <v>501.954974491517</v>
      </c>
      <c r="M4263" s="38" t="n">
        <f aca="false">Sens!$M$4244</f>
        <v>565.639704466895</v>
      </c>
      <c r="N4263" s="38" t="n">
        <f aca="false">Sens!$N$4244</f>
        <v>60.14</v>
      </c>
      <c r="O4263" s="38" t="n">
        <f aca="false">Sens!$O$4244</f>
        <v>68.585</v>
      </c>
    </row>
    <row r="4264" customFormat="false" ht="15" hidden="false" customHeight="false" outlineLevel="0" collapsed="false">
      <c r="A4264" s="1" t="s">
        <v>472</v>
      </c>
      <c r="B4264" s="8" t="s">
        <v>73</v>
      </c>
      <c r="C4264" s="38" t="n">
        <f aca="false">Sens!$C$4181</f>
        <v>387.497</v>
      </c>
      <c r="D4264" s="38" t="n">
        <f aca="false">Sens!$D$4181</f>
        <v>426.305</v>
      </c>
      <c r="E4264" s="38" t="n">
        <f aca="false">Sens!$E$4181</f>
        <v>220.32</v>
      </c>
      <c r="F4264" s="38" t="n">
        <f aca="false">Sens!$F$4181</f>
        <v>256.304015003807</v>
      </c>
      <c r="G4264" s="38" t="n">
        <f aca="false">Sens!$G$4181</f>
        <v>476.624015003807</v>
      </c>
      <c r="H4264" s="38" t="n">
        <f aca="false">Sens!$H$4181</f>
        <v>527.734391091543</v>
      </c>
      <c r="I4264" s="38" t="n">
        <f aca="false">Sens!$I$4181</f>
        <v>577.157693029577</v>
      </c>
      <c r="J4264" s="38" t="n">
        <f aca="false">Sens!$J$4181</f>
        <v>623.024923663827</v>
      </c>
      <c r="K4264" s="38" t="n">
        <f aca="false">Sens!$K$4181</f>
        <v>663.382568393781</v>
      </c>
      <c r="L4264" s="38" t="n">
        <f aca="false">Sens!$L$4181</f>
        <v>706.564873010432</v>
      </c>
      <c r="M4264" s="38" t="n">
        <f aca="false">Sens!$M$4181</f>
        <v>752.784687406019</v>
      </c>
      <c r="N4264" s="38" t="n">
        <f aca="false">Sens!$N$4181</f>
        <v>192.955</v>
      </c>
      <c r="O4264" s="38" t="n">
        <f aca="false">Sens!$O$4181</f>
        <v>233.35</v>
      </c>
    </row>
    <row r="4265" customFormat="false" ht="15" hidden="false" customHeight="false" outlineLevel="0" collapsed="false">
      <c r="A4265" s="1" t="s">
        <v>475</v>
      </c>
      <c r="B4265" s="8" t="s">
        <v>73</v>
      </c>
      <c r="C4265" s="38" t="n">
        <f aca="false">Sens!$C$4182</f>
        <v>142.906</v>
      </c>
      <c r="D4265" s="38" t="n">
        <f aca="false">Sens!$D$4182</f>
        <v>161.894</v>
      </c>
      <c r="E4265" s="38" t="n">
        <f aca="false">Sens!$E$4182</f>
        <v>81.986</v>
      </c>
      <c r="F4265" s="38" t="n">
        <f aca="false">Sens!$F$4182</f>
        <v>100.632414204623</v>
      </c>
      <c r="G4265" s="38" t="n">
        <f aca="false">Sens!$G$4182</f>
        <v>182.618414204623</v>
      </c>
      <c r="H4265" s="38" t="n">
        <f aca="false">Sens!$H$4182</f>
        <v>202.201346530158</v>
      </c>
      <c r="I4265" s="38" t="n">
        <f aca="false">Sens!$I$4182</f>
        <v>221.137876668296</v>
      </c>
      <c r="J4265" s="38" t="n">
        <f aca="false">Sens!$J$4182</f>
        <v>238.711898661958</v>
      </c>
      <c r="K4265" s="38" t="n">
        <f aca="false">Sens!$K$4182</f>
        <v>254.174923708144</v>
      </c>
      <c r="L4265" s="38" t="n">
        <f aca="false">Sens!$L$4182</f>
        <v>270.720216732733</v>
      </c>
      <c r="M4265" s="38" t="n">
        <f aca="false">Sens!$M$4182</f>
        <v>288.429331137484</v>
      </c>
      <c r="N4265" s="38" t="n">
        <f aca="false">Sens!$N$4182</f>
        <v>70.274</v>
      </c>
      <c r="O4265" s="38" t="n">
        <f aca="false">Sens!$O$4182</f>
        <v>91.62</v>
      </c>
    </row>
    <row r="4266" customFormat="false" ht="15" hidden="false" customHeight="false" outlineLevel="0" collapsed="false">
      <c r="A4266" s="1" t="s">
        <v>476</v>
      </c>
      <c r="B4266" s="8" t="s">
        <v>73</v>
      </c>
      <c r="C4266" s="38" t="n">
        <f aca="false">Sens!$C$4244</f>
        <v>107.556</v>
      </c>
      <c r="D4266" s="38" t="n">
        <f aca="false">Sens!$D$4244</f>
        <v>128.725</v>
      </c>
      <c r="E4266" s="38" t="n">
        <f aca="false">Sens!$E$4244</f>
        <v>79.819</v>
      </c>
      <c r="F4266" s="38" t="n">
        <f aca="false">Sens!$F$4244</f>
        <v>93.5584440633857</v>
      </c>
      <c r="G4266" s="38" t="n">
        <f aca="false">Sens!$G$4244</f>
        <v>173.377444063386</v>
      </c>
      <c r="H4266" s="38" t="n">
        <f aca="false">Sens!$H$4244</f>
        <v>241.059451517916</v>
      </c>
      <c r="I4266" s="38" t="n">
        <f aca="false">Sens!$I$4244</f>
        <v>312.152096351442</v>
      </c>
      <c r="J4266" s="38" t="n">
        <f aca="false">Sens!$J$4244</f>
        <v>379.424316597773</v>
      </c>
      <c r="K4266" s="38" t="n">
        <f aca="false">Sens!$K$4244</f>
        <v>439.919237244402</v>
      </c>
      <c r="L4266" s="38" t="n">
        <f aca="false">Sens!$L$4244</f>
        <v>501.954974491517</v>
      </c>
      <c r="M4266" s="38" t="n">
        <f aca="false">Sens!$M$4244</f>
        <v>565.639704466895</v>
      </c>
      <c r="N4266" s="38" t="n">
        <f aca="false">Sens!$N$4244</f>
        <v>60.14</v>
      </c>
      <c r="O4266" s="38" t="n">
        <f aca="false">Sens!$O$4244</f>
        <v>68.585</v>
      </c>
    </row>
    <row r="4267" customFormat="false" ht="17.15" hidden="false" customHeight="false" outlineLevel="0" collapsed="false">
      <c r="A4267" s="0" t="s">
        <v>643</v>
      </c>
      <c r="B4267" s="0" t="s">
        <v>73</v>
      </c>
      <c r="C4267" s="38" t="n">
        <f aca="false">Sens!$C$4242</f>
        <v>2.32100535697364</v>
      </c>
      <c r="D4267" s="38" t="n">
        <f aca="false">Sens!$D$4242</f>
        <v>8.70377008865116</v>
      </c>
      <c r="E4267" s="38" t="n">
        <f aca="false">Sens!$E$4242</f>
        <v>8.51035297557002</v>
      </c>
      <c r="F4267" s="38" t="n">
        <f aca="false">Sens!$F$4242</f>
        <v>14.9634336447205</v>
      </c>
      <c r="G4267" s="38" t="n">
        <f aca="false">Sens!$G$4242</f>
        <v>23.4737866202905</v>
      </c>
      <c r="H4267" s="38" t="n">
        <f aca="false">Sens!$H$4242</f>
        <v>60.1658907497746</v>
      </c>
      <c r="I4267" s="38" t="n">
        <f aca="false">Sens!$I$4242</f>
        <v>101.503699136432</v>
      </c>
      <c r="J4267" s="38" t="n">
        <f aca="false">Sens!$J$4242</f>
        <v>143.025407151278</v>
      </c>
      <c r="K4267" s="38" t="n">
        <f aca="false">Sens!$K$4242</f>
        <v>184.608415042187</v>
      </c>
      <c r="L4267" s="38" t="n">
        <f aca="false">Sens!$L$4242</f>
        <v>226.219286513125</v>
      </c>
      <c r="M4267" s="38" t="n">
        <f aca="false">Sens!$M$4242</f>
        <v>267.845161450232</v>
      </c>
      <c r="N4267" s="38" t="n">
        <f aca="false">Sens!$N$4242</f>
        <v>3.04631953102791</v>
      </c>
      <c r="O4267" s="38" t="n">
        <f aca="false">Sens!$O$4242</f>
        <v>5.65745055762326</v>
      </c>
    </row>
    <row r="4268" customFormat="false" ht="17.15" hidden="false" customHeight="false" outlineLevel="0" collapsed="false">
      <c r="A4268" s="0" t="s">
        <v>645</v>
      </c>
      <c r="B4268" s="0" t="s">
        <v>73</v>
      </c>
      <c r="C4268" s="38" t="n">
        <f aca="false">Sens!$C$4243</f>
        <v>105.234994643026</v>
      </c>
      <c r="D4268" s="38" t="n">
        <f aca="false">Sens!$D$4243</f>
        <v>120.021229911349</v>
      </c>
      <c r="E4268" s="38" t="n">
        <f aca="false">Sens!$E$4243</f>
        <v>71.30864702443</v>
      </c>
      <c r="F4268" s="38" t="n">
        <f aca="false">Sens!$F$4243</f>
        <v>78.5950104186653</v>
      </c>
      <c r="G4268" s="38" t="n">
        <f aca="false">Sens!$G$4243</f>
        <v>149.903657443095</v>
      </c>
      <c r="H4268" s="38" t="n">
        <f aca="false">Sens!$H$4243</f>
        <v>180.893560768142</v>
      </c>
      <c r="I4268" s="38" t="n">
        <f aca="false">Sens!$I$4243</f>
        <v>210.64839721501</v>
      </c>
      <c r="J4268" s="38" t="n">
        <f aca="false">Sens!$J$4243</f>
        <v>236.398909446495</v>
      </c>
      <c r="K4268" s="38" t="n">
        <f aca="false">Sens!$K$4243</f>
        <v>255.310822202215</v>
      </c>
      <c r="L4268" s="38" t="n">
        <f aca="false">Sens!$L$4243</f>
        <v>275.735687978392</v>
      </c>
      <c r="M4268" s="38" t="n">
        <f aca="false">Sens!$M$4243</f>
        <v>297.794543016663</v>
      </c>
      <c r="N4268" s="38" t="n">
        <f aca="false">Sens!$N$4243</f>
        <v>57.0936804689721</v>
      </c>
      <c r="O4268" s="38" t="n">
        <f aca="false">Sens!$O$4243</f>
        <v>62.9275494423768</v>
      </c>
    </row>
    <row r="4269" customFormat="false" ht="15" hidden="false" customHeight="false" outlineLevel="0" collapsed="false">
      <c r="A4269" s="3" t="s">
        <v>477</v>
      </c>
      <c r="B4269" s="8" t="s">
        <v>73</v>
      </c>
      <c r="C4269" s="38" t="n">
        <f aca="false">Sens!$C$4245</f>
        <v>637.959</v>
      </c>
      <c r="D4269" s="38" t="n">
        <f aca="false">Sens!$D$4245</f>
        <v>716.924</v>
      </c>
      <c r="E4269" s="38" t="n">
        <f aca="false">Sens!$E$4245</f>
        <v>382.125</v>
      </c>
      <c r="F4269" s="38" t="n">
        <f aca="false">Sens!$F$4245</f>
        <v>450.494873271816</v>
      </c>
      <c r="G4269" s="38" t="n">
        <f aca="false">Sens!$G$4245</f>
        <v>832.619873271816</v>
      </c>
      <c r="H4269" s="38" t="n">
        <f aca="false">Sens!$H$4245</f>
        <v>970.995189139617</v>
      </c>
      <c r="I4269" s="38" t="n">
        <f aca="false">Sens!$I$4245</f>
        <v>1110.44766604932</v>
      </c>
      <c r="J4269" s="38" t="n">
        <f aca="false">Sens!$J$4245</f>
        <v>1241.16113892356</v>
      </c>
      <c r="K4269" s="38" t="n">
        <f aca="false">Sens!$K$4245</f>
        <v>1357.47672934633</v>
      </c>
      <c r="L4269" s="38" t="n">
        <f aca="false">Sens!$L$4245</f>
        <v>1479.24006423468</v>
      </c>
      <c r="M4269" s="38" t="n">
        <f aca="false">Sens!$M$4245</f>
        <v>1606.8537230104</v>
      </c>
      <c r="N4269" s="38" t="n">
        <f aca="false">Sens!$N$4245</f>
        <v>323.369</v>
      </c>
      <c r="O4269" s="38" t="n">
        <f aca="false">Sens!$O$4245</f>
        <v>393.555</v>
      </c>
    </row>
    <row r="4270" customFormat="false" ht="17.15" hidden="false" customHeight="false" outlineLevel="0" collapsed="false">
      <c r="A4270" s="24" t="s">
        <v>655</v>
      </c>
      <c r="B4270" s="25" t="s">
        <v>73</v>
      </c>
      <c r="C4270" s="39" t="n">
        <f aca="false">Sens!$C$4257+Sens!$C$4258+Sens!$C$4259+Sens!$C$4260+Sens!$C$4261+Sens!$C$4262-(Sens!$C$4264+Sens!$C$4265)</f>
        <v>0</v>
      </c>
      <c r="D4270" s="39" t="n">
        <f aca="false">Sens!$D$4257+Sens!$D$4258+Sens!$D$4259+Sens!$D$4260+Sens!$D$4261+Sens!$D$4262-(Sens!$D$4264+Sens!$D$4265)</f>
        <v>0</v>
      </c>
      <c r="E4270" s="39" t="n">
        <f aca="false">Sens!$E$4257+Sens!$E$4258+Sens!$E$4259+Sens!$E$4260+Sens!$E$4261+Sens!$E$4262-(Sens!$E$4264+Sens!$E$4265)</f>
        <v>0</v>
      </c>
      <c r="F4270" s="39" t="n">
        <f aca="false">Sens!$F$4257+Sens!$F$4258+Sens!$F$4259+Sens!$F$4260+Sens!$F$4261+Sens!$F$4262-(Sens!$F$4264+Sens!$F$4265)</f>
        <v>0</v>
      </c>
      <c r="G4270" s="39" t="n">
        <f aca="false">Sens!$G$4257+Sens!$G$4258+Sens!$G$4259+Sens!$G$4260+Sens!$G$4261+Sens!$G$4262-(Sens!$G$4264+Sens!$G$4265)</f>
        <v>0</v>
      </c>
      <c r="H4270" s="39" t="n">
        <f aca="false">Sens!$H$4257+Sens!$H$4258+Sens!$H$4259+Sens!$H$4260+Sens!$H$4261+Sens!$H$4262-(Sens!$H$4264+Sens!$H$4265)</f>
        <v>0</v>
      </c>
      <c r="I4270" s="39" t="n">
        <f aca="false">Sens!$I$4257+Sens!$I$4258+Sens!$I$4259+Sens!$I$4260+Sens!$I$4261+Sens!$I$4262-(Sens!$I$4264+Sens!$I$4265)</f>
        <v>0</v>
      </c>
      <c r="J4270" s="39" t="n">
        <f aca="false">Sens!$J$4257+Sens!$J$4258+Sens!$J$4259+Sens!$J$4260+Sens!$J$4261+Sens!$J$4262-(Sens!$J$4264+Sens!$J$4265)</f>
        <v>0</v>
      </c>
      <c r="K4270" s="39" t="n">
        <f aca="false">Sens!$K$4257+Sens!$K$4258+Sens!$K$4259+Sens!$K$4260+Sens!$K$4261+Sens!$K$4262-(Sens!$K$4264+Sens!$K$4265)</f>
        <v>0</v>
      </c>
      <c r="L4270" s="39" t="n">
        <f aca="false">Sens!$L$4257+Sens!$L$4258+Sens!$L$4259+Sens!$L$4260+Sens!$L$4261+Sens!$L$4262-(Sens!$L$4264+Sens!$L$4265)</f>
        <v>0</v>
      </c>
      <c r="M4270" s="39" t="n">
        <f aca="false">Sens!$M$4257+Sens!$M$4258+Sens!$M$4259+Sens!$M$4260+Sens!$M$4261+Sens!$M$4262-(Sens!$M$4264+Sens!$M$4265)</f>
        <v>0</v>
      </c>
      <c r="N4270" s="39" t="n">
        <f aca="false">Sens!$N$4257+Sens!$N$4258+Sens!$N$4259+Sens!$N$4260+Sens!$N$4261+Sens!$N$4262-(Sens!$N$4264+Sens!$N$4265)</f>
        <v>0</v>
      </c>
      <c r="O4270" s="39" t="n">
        <f aca="false">Sens!$O$4257+Sens!$O$4258+Sens!$O$4259+Sens!$O$4260+Sens!$O$4261+Sens!$O$4262-(Sens!$O$4264+Sens!$O$4265)</f>
        <v>0</v>
      </c>
    </row>
    <row r="4271" customFormat="false" ht="17.15" hidden="false" customHeight="false" outlineLevel="0" collapsed="false">
      <c r="A4271" s="24" t="s">
        <v>656</v>
      </c>
      <c r="B4271" s="25" t="s">
        <v>73</v>
      </c>
      <c r="C4271" s="39" t="n">
        <f aca="false">Sens!$C$4267+Sens!$C$4268-Sens!$C$4266</f>
        <v>0</v>
      </c>
      <c r="D4271" s="39" t="n">
        <f aca="false">Sens!$D$4267+Sens!$D$4268-Sens!$D$4266</f>
        <v>0</v>
      </c>
      <c r="E4271" s="39" t="n">
        <f aca="false">Sens!$E$4267+Sens!$E$4268-Sens!$E$4266</f>
        <v>0</v>
      </c>
      <c r="F4271" s="39" t="n">
        <f aca="false">Sens!$F$4267+Sens!$F$4268-Sens!$F$4266</f>
        <v>0</v>
      </c>
      <c r="G4271" s="39" t="n">
        <f aca="false">Sens!$G$4267+Sens!$G$4268-Sens!$G$4266</f>
        <v>0</v>
      </c>
      <c r="H4271" s="39" t="n">
        <f aca="false">Sens!$H$4267+Sens!$H$4268-Sens!$H$4266</f>
        <v>0</v>
      </c>
      <c r="I4271" s="39" t="n">
        <f aca="false">Sens!$I$4267+Sens!$I$4268-Sens!$I$4266</f>
        <v>0</v>
      </c>
      <c r="J4271" s="39" t="n">
        <f aca="false">Sens!$J$4267+Sens!$J$4268-Sens!$J$4266</f>
        <v>0</v>
      </c>
      <c r="K4271" s="39" t="n">
        <f aca="false">Sens!$K$4267+Sens!$K$4268-Sens!$K$4266</f>
        <v>0</v>
      </c>
      <c r="L4271" s="39" t="n">
        <f aca="false">Sens!$L$4267+Sens!$L$4268-Sens!$L$4266</f>
        <v>0</v>
      </c>
      <c r="M4271" s="39" t="n">
        <f aca="false">Sens!$M$4267+Sens!$M$4268-Sens!$M$4266</f>
        <v>0</v>
      </c>
      <c r="N4271" s="39" t="n">
        <f aca="false">Sens!$N$4267+Sens!$N$4268-Sens!$N$4266</f>
        <v>0</v>
      </c>
      <c r="O4271" s="39" t="n">
        <f aca="false">Sens!$O$4267+Sens!$O$4268-Sens!$O$4266</f>
        <v>0</v>
      </c>
    </row>
    <row r="4272" customFormat="false" ht="17.15" hidden="false" customHeight="false" outlineLevel="0" collapsed="false">
      <c r="A4272" s="24" t="s">
        <v>710</v>
      </c>
      <c r="B4272" s="25" t="s">
        <v>73</v>
      </c>
      <c r="C4272" s="39" t="n">
        <f aca="false">Sens!$C$4257+Sens!$C$4258+Sens!$C$4259+Sens!$C$4260+Sens!$C$4261+Sens!$C$4262+Sens!$C$4263-Sens!$C$4269</f>
        <v>0</v>
      </c>
      <c r="D4272" s="39" t="n">
        <f aca="false">Sens!$D$4257+Sens!$D$4258+Sens!$D$4259+Sens!$D$4260+Sens!$D$4261+Sens!$D$4262+Sens!$D$4263-Sens!$D$4269</f>
        <v>0</v>
      </c>
      <c r="E4272" s="39" t="n">
        <f aca="false">Sens!$E$4257+Sens!$E$4258+Sens!$E$4259+Sens!$E$4260+Sens!$E$4261+Sens!$E$4262+Sens!$E$4263-Sens!$E$4269</f>
        <v>0</v>
      </c>
      <c r="F4272" s="39" t="n">
        <f aca="false">Sens!$F$4257+Sens!$F$4258+Sens!$F$4259+Sens!$F$4260+Sens!$F$4261+Sens!$F$4262+Sens!$F$4263-Sens!$F$4269</f>
        <v>0</v>
      </c>
      <c r="G4272" s="39" t="n">
        <f aca="false">Sens!$G$4257+Sens!$G$4258+Sens!$G$4259+Sens!$G$4260+Sens!$G$4261+Sens!$G$4262+Sens!$G$4263-Sens!$G$4269</f>
        <v>0</v>
      </c>
      <c r="H4272" s="39" t="n">
        <f aca="false">Sens!$H$4257+Sens!$H$4258+Sens!$H$4259+Sens!$H$4260+Sens!$H$4261+Sens!$H$4262+Sens!$H$4263-Sens!$H$4269</f>
        <v>0</v>
      </c>
      <c r="I4272" s="39" t="n">
        <f aca="false">Sens!$I$4257+Sens!$I$4258+Sens!$I$4259+Sens!$I$4260+Sens!$I$4261+Sens!$I$4262+Sens!$I$4263-Sens!$I$4269</f>
        <v>0</v>
      </c>
      <c r="J4272" s="39" t="n">
        <f aca="false">Sens!$J$4257+Sens!$J$4258+Sens!$J$4259+Sens!$J$4260+Sens!$J$4261+Sens!$J$4262+Sens!$J$4263-Sens!$J$4269</f>
        <v>0</v>
      </c>
      <c r="K4272" s="39" t="n">
        <f aca="false">Sens!$K$4257+Sens!$K$4258+Sens!$K$4259+Sens!$K$4260+Sens!$K$4261+Sens!$K$4262+Sens!$K$4263-Sens!$K$4269</f>
        <v>0</v>
      </c>
      <c r="L4272" s="39" t="n">
        <f aca="false">Sens!$L$4257+Sens!$L$4258+Sens!$L$4259+Sens!$L$4260+Sens!$L$4261+Sens!$L$4262+Sens!$L$4263-Sens!$L$4269</f>
        <v>0</v>
      </c>
      <c r="M4272" s="39" t="n">
        <f aca="false">Sens!$M$4257+Sens!$M$4258+Sens!$M$4259+Sens!$M$4260+Sens!$M$4261+Sens!$M$4262+Sens!$M$4263-Sens!$M$4269</f>
        <v>0</v>
      </c>
      <c r="N4272" s="39" t="n">
        <f aca="false">Sens!$N$4257+Sens!$N$4258+Sens!$N$4259+Sens!$N$4260+Sens!$N$4261+Sens!$N$4262+Sens!$N$4263-Sens!$N$4269</f>
        <v>0</v>
      </c>
      <c r="O4272" s="39" t="n">
        <f aca="false">Sens!$O$4257+Sens!$O$4258+Sens!$O$4259+Sens!$O$4260+Sens!$O$4261+Sens!$O$4262+Sens!$O$4263-Sens!$O$4269</f>
        <v>0</v>
      </c>
    </row>
    <row r="4273" customFormat="false" ht="17.15" hidden="false" customHeight="false" outlineLevel="0" collapsed="false">
      <c r="A4273" s="24" t="s">
        <v>657</v>
      </c>
      <c r="B4273" s="25" t="s">
        <v>73</v>
      </c>
      <c r="C4273" s="39" t="n">
        <f aca="false">Sens!$C$4264+Sens!$C$4265+Sens!$C$4266-Sens!$C$4269</f>
        <v>0</v>
      </c>
      <c r="D4273" s="39" t="n">
        <f aca="false">Sens!$D$4264+Sens!$D$4265+Sens!$D$4266-Sens!$D$4269</f>
        <v>0</v>
      </c>
      <c r="E4273" s="39" t="n">
        <f aca="false">Sens!$E$4264+Sens!$E$4265+Sens!$E$4266-Sens!$E$4269</f>
        <v>0</v>
      </c>
      <c r="F4273" s="39" t="n">
        <f aca="false">Sens!$F$4264+Sens!$F$4265+Sens!$F$4266-Sens!$F$4269</f>
        <v>0</v>
      </c>
      <c r="G4273" s="39" t="n">
        <f aca="false">Sens!$G$4264+Sens!$G$4265+Sens!$G$4266-Sens!$G$4269</f>
        <v>0</v>
      </c>
      <c r="H4273" s="39" t="n">
        <f aca="false">Sens!$H$4264+Sens!$H$4265+Sens!$H$4266-Sens!$H$4269</f>
        <v>0</v>
      </c>
      <c r="I4273" s="39" t="n">
        <f aca="false">Sens!$I$4264+Sens!$I$4265+Sens!$I$4266-Sens!$I$4269</f>
        <v>0</v>
      </c>
      <c r="J4273" s="39" t="n">
        <f aca="false">Sens!$J$4264+Sens!$J$4265+Sens!$J$4266-Sens!$J$4269</f>
        <v>0</v>
      </c>
      <c r="K4273" s="39" t="n">
        <f aca="false">Sens!$K$4264+Sens!$K$4265+Sens!$K$4266-Sens!$K$4269</f>
        <v>0</v>
      </c>
      <c r="L4273" s="39" t="n">
        <f aca="false">Sens!$L$4264+Sens!$L$4265+Sens!$L$4266-Sens!$L$4269</f>
        <v>0</v>
      </c>
      <c r="M4273" s="39" t="n">
        <f aca="false">Sens!$M$4264+Sens!$M$4265+Sens!$M$4266-Sens!$M$4269</f>
        <v>0</v>
      </c>
      <c r="N4273" s="39" t="n">
        <f aca="false">Sens!$N$4264+Sens!$N$4265+Sens!$N$4266-Sens!$N$4269</f>
        <v>0</v>
      </c>
      <c r="O4273" s="39" t="n">
        <f aca="false">Sens!$O$4264+Sens!$O$4265+Sens!$O$4266-Sens!$O$4269</f>
        <v>0</v>
      </c>
    </row>
    <row r="4274" customFormat="false" ht="17.15" hidden="false" customHeight="false" outlineLevel="0" collapsed="false">
      <c r="A4274" s="1" t="s">
        <v>671</v>
      </c>
    </row>
    <row r="4275" customFormat="false" ht="17.15" hidden="false" customHeight="false" outlineLevel="0" collapsed="false">
      <c r="A4275" s="0" t="s">
        <v>672</v>
      </c>
      <c r="B4275" s="0" t="s">
        <v>73</v>
      </c>
      <c r="C4275" s="38" t="n">
        <f aca="false">Sens!$C$4183*m_ad</f>
        <v>20.5341564414228</v>
      </c>
      <c r="D4275" s="38" t="n">
        <f aca="false">Sens!$D$4183*m_ad</f>
        <v>24.8720617299587</v>
      </c>
      <c r="E4275" s="38" t="n">
        <f aca="false">Sens!$E$4183*m_ad</f>
        <v>13.5017112462207</v>
      </c>
      <c r="F4275" s="38" t="n">
        <f aca="false">Sens!$F$4183*m_ad</f>
        <v>17.2886442824599</v>
      </c>
      <c r="G4275" s="38" t="n">
        <f aca="false">Sens!$G$4183*m_ad</f>
        <v>30.8011958765886</v>
      </c>
      <c r="H4275" s="38" t="n">
        <f aca="false">Sens!$H$4183*m_ad</f>
        <v>36.978409366026</v>
      </c>
      <c r="I4275" s="38" t="n">
        <f aca="false">Sens!$I$4183*m_ad</f>
        <v>43.155063281273</v>
      </c>
      <c r="J4275" s="38" t="n">
        <f aca="false">Sens!$J$4183*m_ad</f>
        <v>48.9169991988532</v>
      </c>
      <c r="K4275" s="38" t="n">
        <f aca="false">Sens!$K$4183*m_ad</f>
        <v>53.8086991187386</v>
      </c>
      <c r="L4275" s="38" t="n">
        <f aca="false">Sens!$L$4183*m_ad</f>
        <v>59.1895690306124</v>
      </c>
      <c r="M4275" s="38" t="n">
        <f aca="false">Sens!$M$4183*m_ad</f>
        <v>65.1085259336737</v>
      </c>
      <c r="N4275" s="38" t="n">
        <f aca="false">Sens!$N$4183*m_ad</f>
        <v>10.8543555706248</v>
      </c>
      <c r="O4275" s="38" t="n">
        <f aca="false">Sens!$O$4183*m_ad</f>
        <v>14.0094731821399</v>
      </c>
    </row>
    <row r="4276" customFormat="false" ht="17.15" hidden="false" customHeight="false" outlineLevel="0" collapsed="false">
      <c r="A4276" s="0" t="s">
        <v>673</v>
      </c>
      <c r="B4276" s="0" t="s">
        <v>73</v>
      </c>
      <c r="C4276" s="38" t="n">
        <f aca="false">Sens!$C$4181-Sens!$C$4183</f>
        <v>346.428687117154</v>
      </c>
      <c r="D4276" s="38" t="n">
        <f aca="false">Sens!$D$4181-Sens!$D$4183</f>
        <v>376.560876540083</v>
      </c>
      <c r="E4276" s="38" t="n">
        <f aca="false">Sens!$E$4181-Sens!$E$4183</f>
        <v>193.316577507559</v>
      </c>
      <c r="F4276" s="38" t="n">
        <f aca="false">Sens!$F$4181-Sens!$F$4183</f>
        <v>221.726726438887</v>
      </c>
      <c r="G4276" s="38" t="n">
        <f aca="false">Sens!$G$4181-Sens!$G$4183</f>
        <v>415.02162325063</v>
      </c>
      <c r="H4276" s="38" t="n">
        <f aca="false">Sens!$H$4181-Sens!$H$4183</f>
        <v>453.777572359491</v>
      </c>
      <c r="I4276" s="38" t="n">
        <f aca="false">Sens!$I$4181-Sens!$I$4183</f>
        <v>490.847566467031</v>
      </c>
      <c r="J4276" s="38" t="n">
        <f aca="false">Sens!$J$4181-Sens!$J$4183</f>
        <v>525.190925266121</v>
      </c>
      <c r="K4276" s="38" t="n">
        <f aca="false">Sens!$K$4181-Sens!$K$4183</f>
        <v>555.765170156304</v>
      </c>
      <c r="L4276" s="38" t="n">
        <f aca="false">Sens!$L$4181-Sens!$L$4183</f>
        <v>588.185734949207</v>
      </c>
      <c r="M4276" s="38" t="n">
        <f aca="false">Sens!$M$4181-Sens!$M$4183</f>
        <v>622.567635538672</v>
      </c>
      <c r="N4276" s="38" t="n">
        <f aca="false">Sens!$N$4181-Sens!$N$4183</f>
        <v>171.24628885875</v>
      </c>
      <c r="O4276" s="38" t="n">
        <f aca="false">Sens!$O$4181-Sens!$O$4183</f>
        <v>205.33105363572</v>
      </c>
    </row>
    <row r="4277" customFormat="false" ht="17.15" hidden="false" customHeight="false" outlineLevel="0" collapsed="false">
      <c r="A4277" s="0" t="s">
        <v>674</v>
      </c>
      <c r="B4277" s="0" t="s">
        <v>73</v>
      </c>
      <c r="C4277" s="38" t="n">
        <f aca="false">Sens!$C$4228*Sens!$C$4180</f>
        <v>0.123617442257179</v>
      </c>
      <c r="D4277" s="38" t="n">
        <f aca="false">Sens!$D$4228*Sens!$D$4180</f>
        <v>0.874366899302609</v>
      </c>
      <c r="E4277" s="38" t="n">
        <f aca="false">Sens!$E$4228*Sens!$E$4180</f>
        <v>1.29318830502574</v>
      </c>
      <c r="F4277" s="38" t="n">
        <f aca="false">Sens!$F$4228*Sens!$F$4180</f>
        <v>1.51802024162534</v>
      </c>
      <c r="G4277" s="38" t="n">
        <f aca="false">Sens!$G$4228*Sens!$G$4180</f>
        <v>2.81130189308167</v>
      </c>
      <c r="H4277" s="38" t="n">
        <f aca="false">Sens!$H$4228*Sens!$H$4180</f>
        <v>7.38966789318209</v>
      </c>
      <c r="I4277" s="38" t="n">
        <f aca="false">Sens!$I$4228*Sens!$I$4180</f>
        <v>12.8987443661473</v>
      </c>
      <c r="J4277" s="38" t="n">
        <f aca="false">Sens!$J$4228*Sens!$J$4180</f>
        <v>18.5570025453645</v>
      </c>
      <c r="K4277" s="38" t="n">
        <f aca="false">Sens!$K$4228*Sens!$K$4180</f>
        <v>24.3158972773405</v>
      </c>
      <c r="L4277" s="38" t="n">
        <f aca="false">Sens!$L$4228*Sens!$L$4180</f>
        <v>29.7827375558674</v>
      </c>
      <c r="M4277" s="38" t="n">
        <f aca="false">Sens!$M$4228*Sens!$M$4180</f>
        <v>35.3532344973194</v>
      </c>
      <c r="N4277" s="38" t="n">
        <f aca="false">Sens!$N$4228*Sens!$N$4180</f>
        <v>0.389180508437431</v>
      </c>
      <c r="O4277" s="38" t="n">
        <f aca="false">Sens!$O$4228*Sens!$O$4180</f>
        <v>0.485052120082802</v>
      </c>
    </row>
    <row r="4278" customFormat="false" ht="17.15" hidden="false" customHeight="false" outlineLevel="0" collapsed="false">
      <c r="A4278" s="0" t="s">
        <v>675</v>
      </c>
      <c r="B4278" s="0" t="s">
        <v>52</v>
      </c>
      <c r="C4278" s="28" t="n">
        <f aca="false">(Sens!$C$4279-Sens!$C$4275+Sens!$C$4277)/Sens!$C$4276</f>
        <v>0.0131526665379575</v>
      </c>
      <c r="D4278" s="28" t="n">
        <f aca="false">(Sens!$D$4279-Sens!$D$4275+Sens!$D$4277)/Sens!$D$4276</f>
        <v>0.0149280116962589</v>
      </c>
      <c r="E4278" s="28" t="n">
        <f aca="false">(Sens!$E$4279-Sens!$E$4275+Sens!$E$4277)/Sens!$E$4276</f>
        <v>0.0268030663774938</v>
      </c>
      <c r="F4278" s="28" t="n">
        <f aca="false">Sens!$O$4278+(Sens!$E$4278-Sens!$N$4278)</f>
        <v>0.0232379346966962</v>
      </c>
      <c r="G4278" s="28" t="n">
        <f aca="false">(Sens!$G$4279-Sens!$G$4275+Sens!$G$4277)/Sens!$G$4276</f>
        <v>0.0248738876928168</v>
      </c>
      <c r="H4278" s="28" t="n">
        <f aca="false">Sens!$G$4278+step_na_hi</f>
        <v>0.0308738876928168</v>
      </c>
      <c r="I4278" s="28" t="n">
        <f aca="false">Sens!$H$4278+step_na_hi</f>
        <v>0.0368738876928168</v>
      </c>
      <c r="J4278" s="28" t="n">
        <f aca="false">Sens!$I$4278+step_na_hi</f>
        <v>0.0428738876928168</v>
      </c>
      <c r="K4278" s="28" t="n">
        <f aca="false">Sens!$J$4278+step_na_hi</f>
        <v>0.0488738876928168</v>
      </c>
      <c r="L4278" s="28" t="n">
        <f aca="false">Sens!$K$4278</f>
        <v>0.0488738876928168</v>
      </c>
      <c r="M4278" s="28" t="n">
        <f aca="false">Sens!$L$4278</f>
        <v>0.0488738876928168</v>
      </c>
      <c r="N4278" s="28" t="n">
        <f aca="false">(Sens!$N$4279-Sens!$N$4275+Sens!$N$4277)/Sens!$N$4276</f>
        <v>0.0168927744775755</v>
      </c>
      <c r="O4278" s="28" t="n">
        <f aca="false">(Sens!$O$4279-Sens!$O$4275+Sens!$O$4277)/Sens!$O$4276</f>
        <v>0.0133276427967779</v>
      </c>
      <c r="P4278" s="8" t="s">
        <v>676</v>
      </c>
    </row>
    <row r="4279" customFormat="false" ht="17.15" hidden="false" customHeight="false" outlineLevel="0" collapsed="false">
      <c r="A4279" s="1" t="s">
        <v>677</v>
      </c>
      <c r="B4279" s="8" t="s">
        <v>73</v>
      </c>
      <c r="C4279" s="38" t="n">
        <f aca="false">Q!$D$22</f>
        <v>24.967</v>
      </c>
      <c r="D4279" s="38" t="n">
        <f aca="false">Q!$E$22</f>
        <v>29.619</v>
      </c>
      <c r="E4279" s="38" t="n">
        <f aca="false">Q!$P$22</f>
        <v>17.39</v>
      </c>
      <c r="F4279" s="38" t="n">
        <f aca="false">Sens!$F$4275+Sens!$F$4276*Sens!$F$4278-Sens!$F$4277</f>
        <v>20.9230952303336</v>
      </c>
      <c r="G4279" s="38" t="n">
        <f aca="false">Sens!$E$4279+Sens!$F$4279</f>
        <v>38.3130952303336</v>
      </c>
      <c r="H4279" s="38" t="n">
        <f aca="false">Sens!$H$4275+Sens!$H$4276*Sens!$H$4278-Sens!$H$4277</f>
        <v>43.5986192793898</v>
      </c>
      <c r="I4279" s="38" t="n">
        <f aca="false">Sens!$I$4275+Sens!$I$4276*Sens!$I$4278-Sens!$I$4277</f>
        <v>48.3557769553235</v>
      </c>
      <c r="J4279" s="38" t="n">
        <f aca="false">Sens!$J$4275+Sens!$J$4276*Sens!$J$4278-Sens!$J$4277</f>
        <v>52.8769734006349</v>
      </c>
      <c r="K4279" s="38" t="n">
        <f aca="false">Sens!$K$4275+Sens!$K$4276*Sens!$K$4278-Sens!$K$4277</f>
        <v>56.6552063511965</v>
      </c>
      <c r="L4279" s="38" t="n">
        <f aca="false">Sens!$L$4275+Sens!$L$4276*Sens!$L$4278-Sens!$L$4277</f>
        <v>58.1537550271695</v>
      </c>
      <c r="M4279" s="38" t="n">
        <f aca="false">Sens!$M$4275+Sens!$M$4276*Sens!$M$4278-Sens!$M$4277</f>
        <v>60.1825921368538</v>
      </c>
      <c r="N4279" s="38" t="n">
        <f aca="false">Q!$N$22</f>
        <v>13.358</v>
      </c>
      <c r="O4279" s="38" t="n">
        <f aca="false">Q!$O$22</f>
        <v>16.261</v>
      </c>
    </row>
    <row r="4280" customFormat="false" ht="17.15" hidden="false" customHeight="false" outlineLevel="0" collapsed="false">
      <c r="A4280" s="0" t="s">
        <v>678</v>
      </c>
      <c r="B4280" s="0" t="s">
        <v>73</v>
      </c>
      <c r="C4280" s="38" t="n">
        <f aca="false">Sens!$C$4184*m_ad</f>
        <v>7.57284355857716</v>
      </c>
      <c r="D4280" s="38" t="n">
        <f aca="false">Sens!$D$4184*m_ad</f>
        <v>9.44543827004127</v>
      </c>
      <c r="E4280" s="38" t="n">
        <f aca="false">Sens!$E$4184*m_ad</f>
        <v>5.02428875377928</v>
      </c>
      <c r="F4280" s="38" t="n">
        <f aca="false">Sens!$F$4184*m_ad</f>
        <v>6.78802480890925</v>
      </c>
      <c r="G4280" s="38" t="n">
        <f aca="false">Sens!$G$4184*m_ad</f>
        <v>11.8014732147805</v>
      </c>
      <c r="H4280" s="38" t="n">
        <f aca="false">Sens!$H$4184*m_ad</f>
        <v>14.1682715634442</v>
      </c>
      <c r="I4280" s="38" t="n">
        <f aca="false">Sens!$I$4184*m_ad</f>
        <v>16.5348555113474</v>
      </c>
      <c r="J4280" s="38" t="n">
        <f aca="false">Sens!$J$4184*m_ad</f>
        <v>18.7425403255689</v>
      </c>
      <c r="K4280" s="38" t="n">
        <f aca="false">Sens!$K$4184*m_ad</f>
        <v>20.6167943581258</v>
      </c>
      <c r="L4280" s="38" t="n">
        <f aca="false">Sens!$L$4184*m_ad</f>
        <v>22.6784737939383</v>
      </c>
      <c r="M4280" s="38" t="n">
        <f aca="false">Sens!$M$4184*m_ad</f>
        <v>24.9463211733322</v>
      </c>
      <c r="N4280" s="38" t="n">
        <f aca="false">Sens!$N$4184*m_ad</f>
        <v>3.95314442937518</v>
      </c>
      <c r="O4280" s="38" t="n">
        <f aca="false">Sens!$O$4184*m_ad</f>
        <v>5.50052681786011</v>
      </c>
    </row>
    <row r="4281" customFormat="false" ht="17.15" hidden="false" customHeight="false" outlineLevel="0" collapsed="false">
      <c r="A4281" s="0" t="s">
        <v>679</v>
      </c>
      <c r="B4281" s="0" t="s">
        <v>73</v>
      </c>
      <c r="C4281" s="38" t="n">
        <f aca="false">Sens!$C$4182-Sens!$C$4184</f>
        <v>127.760312882846</v>
      </c>
      <c r="D4281" s="38" t="n">
        <f aca="false">Sens!$D$4182-Sens!$D$4184</f>
        <v>143.003123459917</v>
      </c>
      <c r="E4281" s="38" t="n">
        <f aca="false">Sens!$E$4182-Sens!$E$4184</f>
        <v>71.9374224924414</v>
      </c>
      <c r="F4281" s="38" t="n">
        <f aca="false">Sens!$F$4182-Sens!$F$4184</f>
        <v>87.0563645868046</v>
      </c>
      <c r="G4281" s="38" t="n">
        <f aca="false">Sens!$G$4182-Sens!$G$4184</f>
        <v>159.015467775062</v>
      </c>
      <c r="H4281" s="38" t="n">
        <f aca="false">Sens!$H$4182-Sens!$H$4184</f>
        <v>173.864803403269</v>
      </c>
      <c r="I4281" s="38" t="n">
        <f aca="false">Sens!$I$4182-Sens!$I$4184</f>
        <v>188.068165645601</v>
      </c>
      <c r="J4281" s="38" t="n">
        <f aca="false">Sens!$J$4182-Sens!$J$4184</f>
        <v>201.22681801082</v>
      </c>
      <c r="K4281" s="38" t="n">
        <f aca="false">Sens!$K$4182-Sens!$K$4184</f>
        <v>212.941334991893</v>
      </c>
      <c r="L4281" s="38" t="n">
        <f aca="false">Sens!$L$4182-Sens!$L$4184</f>
        <v>225.363269144856</v>
      </c>
      <c r="M4281" s="38" t="n">
        <f aca="false">Sens!$M$4182-Sens!$M$4184</f>
        <v>238.536688790819</v>
      </c>
      <c r="N4281" s="38" t="n">
        <f aca="false">Sens!$N$4182-Sens!$N$4184</f>
        <v>62.3677111412496</v>
      </c>
      <c r="O4281" s="38" t="n">
        <f aca="false">Sens!$O$4182-Sens!$O$4184</f>
        <v>80.6189463642798</v>
      </c>
    </row>
    <row r="4282" customFormat="false" ht="17.15" hidden="false" customHeight="false" outlineLevel="0" collapsed="false">
      <c r="A4282" s="0" t="s">
        <v>680</v>
      </c>
      <c r="B4282" s="0" t="s">
        <v>73</v>
      </c>
      <c r="C4282" s="38" t="n">
        <f aca="false">Sens!$C$4228*(1-Sens!$C$4180)</f>
        <v>0.0455891896019953</v>
      </c>
      <c r="D4282" s="38" t="n">
        <f aca="false">Sens!$D$4228*(1-Sens!$D$4180)</f>
        <v>0.332050421167231</v>
      </c>
      <c r="E4282" s="38" t="n">
        <f aca="false">Sens!$E$4228*(1-Sens!$E$4180)</f>
        <v>0.481224293644882</v>
      </c>
      <c r="F4282" s="38" t="n">
        <f aca="false">Sens!$F$4228*(1-Sens!$F$4180)</f>
        <v>0.596018918096053</v>
      </c>
      <c r="G4282" s="38" t="n">
        <f aca="false">Sens!$G$4228*(1-Sens!$G$4180)</f>
        <v>1.07714986531035</v>
      </c>
      <c r="H4282" s="38" t="n">
        <f aca="false">Sens!$H$4228*(1-Sens!$H$4180)</f>
        <v>2.83135005721638</v>
      </c>
      <c r="I4282" s="38" t="n">
        <f aca="false">Sens!$I$4228*(1-Sens!$I$4180)</f>
        <v>4.9421518161602</v>
      </c>
      <c r="J4282" s="38" t="n">
        <f aca="false">Sens!$J$4228*(1-Sens!$J$4180)</f>
        <v>7.11011252170866</v>
      </c>
      <c r="K4282" s="38" t="n">
        <f aca="false">Sens!$K$4228*(1-Sens!$K$4180)</f>
        <v>9.31663210615807</v>
      </c>
      <c r="L4282" s="38" t="n">
        <f aca="false">Sens!$L$4228*(1-Sens!$L$4180)</f>
        <v>11.411251074039</v>
      </c>
      <c r="M4282" s="38" t="n">
        <f aca="false">Sens!$M$4228*(1-Sens!$M$4180)</f>
        <v>13.5455860755423</v>
      </c>
      <c r="N4282" s="38" t="n">
        <f aca="false">Sens!$N$4228*(1-Sens!$N$4180)</f>
        <v>0.141739115596548</v>
      </c>
      <c r="O4282" s="38" t="n">
        <f aca="false">Sens!$O$4228*(1-Sens!$O$4180)</f>
        <v>0.190445576353059</v>
      </c>
    </row>
    <row r="4283" customFormat="false" ht="17.15" hidden="false" customHeight="false" outlineLevel="0" collapsed="false">
      <c r="A4283" s="0" t="s">
        <v>681</v>
      </c>
      <c r="B4283" s="0" t="s">
        <v>52</v>
      </c>
      <c r="C4283" s="28" t="n">
        <f aca="false">(Sens!$C$4284-Sens!$C$4280+Sens!$C$4282)/Sens!$C$4281</f>
        <v>-0.0292364215826579</v>
      </c>
      <c r="D4283" s="28" t="n">
        <f aca="false">(Sens!$D$4284-Sens!$D$4280+Sens!$D$4282)/Sens!$D$4281</f>
        <v>-0.0305125352740778</v>
      </c>
      <c r="E4283" s="28" t="n">
        <f aca="false">(Sens!$E$4284-Sens!$E$4280+Sens!$E$4282)/Sens!$E$4281</f>
        <v>-0.019490056934994</v>
      </c>
      <c r="F4283" s="28" t="n">
        <f aca="false">Sens!$O$4283+(Sens!$E$4283-Sens!$N$4283)</f>
        <v>-0.0367332293992226</v>
      </c>
      <c r="G4283" s="28" t="n">
        <f aca="false">(Sens!$G$4284-Sens!$G$4280+Sens!$G$4282)/Sens!$G$4281</f>
        <v>-0.0288599526442178</v>
      </c>
      <c r="H4283" s="28" t="n">
        <f aca="false">Sens!$G$4283+step_in</f>
        <v>-0.0288599526442178</v>
      </c>
      <c r="I4283" s="28" t="n">
        <f aca="false">Sens!$H$4283+step_in</f>
        <v>-0.0288599526442178</v>
      </c>
      <c r="J4283" s="28" t="n">
        <f aca="false">Sens!$I$4283+step_in</f>
        <v>-0.0288599526442178</v>
      </c>
      <c r="K4283" s="28" t="n">
        <f aca="false">Sens!$J$4283+step_in</f>
        <v>-0.0288599526442178</v>
      </c>
      <c r="L4283" s="28" t="n">
        <f aca="false">Sens!$K$4283</f>
        <v>-0.0288599526442178</v>
      </c>
      <c r="M4283" s="28" t="n">
        <f aca="false">Sens!$L$4283</f>
        <v>-0.0288599526442178</v>
      </c>
      <c r="N4283" s="28" t="n">
        <f aca="false">(Sens!$N$4284-Sens!$N$4280+Sens!$N$4282)/Sens!$N$4281</f>
        <v>-0.02085061789158</v>
      </c>
      <c r="O4283" s="28" t="n">
        <f aca="false">(Sens!$O$4284-Sens!$O$4280+Sens!$O$4282)/Sens!$O$4281</f>
        <v>-0.0380937903558086</v>
      </c>
      <c r="P4283" s="8" t="s">
        <v>676</v>
      </c>
    </row>
    <row r="4284" customFormat="false" ht="17.15" hidden="false" customHeight="false" outlineLevel="0" collapsed="false">
      <c r="A4284" s="1" t="s">
        <v>682</v>
      </c>
      <c r="B4284" s="8" t="s">
        <v>73</v>
      </c>
      <c r="C4284" s="38" t="n">
        <f aca="false">Q!$D$23</f>
        <v>3.792</v>
      </c>
      <c r="D4284" s="38" t="n">
        <f aca="false">Q!$E$23</f>
        <v>4.75</v>
      </c>
      <c r="E4284" s="38" t="n">
        <f aca="false">Q!$P$23</f>
        <v>3.141</v>
      </c>
      <c r="F4284" s="38" t="n">
        <f aca="false">Sens!$F$4280+Sens!$F$4281*Sens!$F$4283-Sens!$F$4282</f>
        <v>2.99414447978375</v>
      </c>
      <c r="G4284" s="38" t="n">
        <f aca="false">Sens!$E$4284+Sens!$F$4284</f>
        <v>6.13514447978375</v>
      </c>
      <c r="H4284" s="38" t="n">
        <f aca="false">Sens!$H$4280+Sens!$H$4281*Sens!$H$4283-Sens!$H$4282</f>
        <v>6.31919151351322</v>
      </c>
      <c r="I4284" s="38" t="n">
        <f aca="false">Sens!$I$4280+Sens!$I$4281*Sens!$I$4283-Sens!$I$4282</f>
        <v>6.16506534077027</v>
      </c>
      <c r="J4284" s="38" t="n">
        <f aca="false">Sens!$J$4280+Sens!$J$4281*Sens!$J$4283-Sens!$J$4282</f>
        <v>5.8250313653213</v>
      </c>
      <c r="K4284" s="38" t="n">
        <f aca="false">Sens!$K$4280+Sens!$K$4281*Sens!$K$4283-Sens!$K$4282</f>
        <v>5.15468540810514</v>
      </c>
      <c r="L4284" s="38" t="n">
        <f aca="false">Sens!$L$4280+Sens!$L$4281*Sens!$L$4283-Sens!$L$4282</f>
        <v>4.76324944463266</v>
      </c>
      <c r="M4284" s="38" t="n">
        <f aca="false">Sens!$M$4280+Sens!$M$4281*Sens!$M$4283-Sens!$M$4282</f>
        <v>4.51657755537829</v>
      </c>
      <c r="N4284" s="38" t="n">
        <f aca="false">Q!$N$23</f>
        <v>2.511</v>
      </c>
      <c r="O4284" s="38" t="n">
        <f aca="false">Q!$O$23</f>
        <v>2.239</v>
      </c>
    </row>
    <row r="4285" customFormat="false" ht="17.15" hidden="false" customHeight="false" outlineLevel="0" collapsed="false">
      <c r="A4285" s="0" t="s">
        <v>683</v>
      </c>
      <c r="B4285" s="0" t="s">
        <v>73</v>
      </c>
      <c r="C4285" s="38" t="n">
        <f aca="false">Sens!$C$4225</f>
        <v>1.64417882953695</v>
      </c>
      <c r="D4285" s="38" t="n">
        <f aca="false">Sens!$D$4225</f>
        <v>3.8781008067718</v>
      </c>
      <c r="E4285" s="38" t="n">
        <f aca="false">Sens!$E$4225</f>
        <v>1.41270258088753</v>
      </c>
      <c r="F4285" s="38" t="n">
        <f aca="false">Sens!$F$4225</f>
        <v>6.50727700583486</v>
      </c>
      <c r="G4285" s="38" t="n">
        <f aca="false">Sens!$G$4225</f>
        <v>7.9199795867224</v>
      </c>
      <c r="H4285" s="38" t="n">
        <f aca="false">Sens!$H$4225</f>
        <v>19.2818189481807</v>
      </c>
      <c r="I4285" s="38" t="n">
        <f aca="false">Sens!$I$4225</f>
        <v>30.140114407202</v>
      </c>
      <c r="J4285" s="38" t="n">
        <f aca="false">Sens!$J$4225</f>
        <v>40.3569468829854</v>
      </c>
      <c r="K4285" s="38" t="n">
        <f aca="false">Sens!$K$4225</f>
        <v>50.0782975081929</v>
      </c>
      <c r="L4285" s="38" t="n">
        <f aca="false">Sens!$L$4225</f>
        <v>61.443331993499</v>
      </c>
      <c r="M4285" s="38" t="n">
        <f aca="false">Sens!$M$4225</f>
        <v>72.2498791587849</v>
      </c>
      <c r="N4285" s="38" t="n">
        <f aca="false">Sens!$N$4225</f>
        <v>0.92264103489199</v>
      </c>
      <c r="O4285" s="38" t="n">
        <f aca="false">Sens!$O$4225</f>
        <v>2.95545977187981</v>
      </c>
    </row>
    <row r="4286" customFormat="false" ht="17.15" hidden="false" customHeight="false" outlineLevel="0" collapsed="false">
      <c r="A4286" s="0" t="s">
        <v>603</v>
      </c>
      <c r="B4286" s="0" t="s">
        <v>73</v>
      </c>
      <c r="C4286" s="38" t="n">
        <f aca="false">Sens!$C$4230</f>
        <v>38.1898211704631</v>
      </c>
      <c r="D4286" s="38" t="n">
        <f aca="false">Sens!$D$4230</f>
        <v>41.7278991932282</v>
      </c>
      <c r="E4286" s="38" t="n">
        <f aca="false">Sens!$E$4230</f>
        <v>29.3692974191125</v>
      </c>
      <c r="F4286" s="38" t="n">
        <f aca="false">Sens!$F$4230</f>
        <v>29.458060516894</v>
      </c>
      <c r="G4286" s="38" t="n">
        <f aca="false">Sens!$G$4230</f>
        <v>58.8273579360065</v>
      </c>
      <c r="H4286" s="38" t="n">
        <f aca="false">Sens!$H$4230</f>
        <v>67.8004040185081</v>
      </c>
      <c r="I4286" s="38" t="n">
        <f aca="false">Sens!$I$4230</f>
        <v>78.9527630302702</v>
      </c>
      <c r="J4286" s="38" t="n">
        <f aca="false">Sens!$J$4230</f>
        <v>88.6042681781841</v>
      </c>
      <c r="K4286" s="38" t="n">
        <f aca="false">Sens!$K$4230</f>
        <v>95.6926096324389</v>
      </c>
      <c r="L4286" s="38" t="n">
        <f aca="false">Sens!$L$4230</f>
        <v>103.348018403034</v>
      </c>
      <c r="M4286" s="38" t="n">
        <f aca="false">Sens!$M$4230</f>
        <v>111.615859875277</v>
      </c>
      <c r="N4286" s="38" t="n">
        <f aca="false">Sens!$N$4230</f>
        <v>20.784358965108</v>
      </c>
      <c r="O4286" s="38" t="n">
        <f aca="false">Sens!$O$4230</f>
        <v>20.9435402281202</v>
      </c>
    </row>
    <row r="4287" customFormat="false" ht="17.15" hidden="false" customHeight="false" outlineLevel="0" collapsed="false">
      <c r="A4287" s="1" t="s">
        <v>684</v>
      </c>
      <c r="B4287" s="8" t="s">
        <v>73</v>
      </c>
      <c r="C4287" s="38" t="n">
        <f aca="false">Q!$D$24</f>
        <v>39.834</v>
      </c>
      <c r="D4287" s="38" t="n">
        <f aca="false">Q!$E$24</f>
        <v>45.606</v>
      </c>
      <c r="E4287" s="38" t="n">
        <f aca="false">Q!$P$24</f>
        <v>30.782</v>
      </c>
      <c r="F4287" s="38" t="n">
        <f aca="false">Sens!$F$4285+Sens!$F$4286</f>
        <v>35.9653375227289</v>
      </c>
      <c r="G4287" s="38" t="n">
        <f aca="false">Sens!$G$4285+Sens!$G$4286</f>
        <v>66.7473375227289</v>
      </c>
      <c r="H4287" s="38" t="n">
        <f aca="false">Sens!$H$4285+Sens!$H$4286</f>
        <v>87.0822229666888</v>
      </c>
      <c r="I4287" s="38" t="n">
        <f aca="false">Sens!$I$4285+Sens!$I$4286</f>
        <v>109.092877437472</v>
      </c>
      <c r="J4287" s="38" t="n">
        <f aca="false">Sens!$J$4285+Sens!$J$4286</f>
        <v>128.96121506117</v>
      </c>
      <c r="K4287" s="38" t="n">
        <f aca="false">Sens!$K$4285+Sens!$K$4286</f>
        <v>145.770907140632</v>
      </c>
      <c r="L4287" s="38" t="n">
        <f aca="false">Sens!$L$4285+Sens!$L$4286</f>
        <v>164.791350396533</v>
      </c>
      <c r="M4287" s="38" t="n">
        <f aca="false">Sens!$M$4285+Sens!$M$4286</f>
        <v>183.865739034062</v>
      </c>
      <c r="N4287" s="38" t="n">
        <f aca="false">Q!$N$24</f>
        <v>21.707</v>
      </c>
      <c r="O4287" s="38" t="n">
        <f aca="false">Q!$O$24</f>
        <v>23.899</v>
      </c>
    </row>
    <row r="4288" customFormat="false" ht="17.15" hidden="false" customHeight="false" outlineLevel="0" collapsed="false">
      <c r="A4288" s="5" t="s">
        <v>685</v>
      </c>
      <c r="B4288" s="0" t="s">
        <v>73</v>
      </c>
      <c r="C4288" s="38" t="n">
        <f aca="false">Q!$D$26</f>
        <v>0</v>
      </c>
      <c r="D4288" s="38" t="n">
        <f aca="false">Q!$E$26</f>
        <v>0</v>
      </c>
      <c r="E4288" s="38" t="n">
        <f aca="false">Q!$P$26</f>
        <v>0</v>
      </c>
      <c r="F4288" s="41" t="n">
        <v>0</v>
      </c>
      <c r="G4288" s="38" t="n">
        <f aca="false">Sens!$E$4288+Sens!$F$4288</f>
        <v>0</v>
      </c>
      <c r="H4288" s="41" t="n">
        <v>0</v>
      </c>
      <c r="I4288" s="41" t="n">
        <v>0</v>
      </c>
      <c r="J4288" s="41" t="n">
        <v>0</v>
      </c>
      <c r="K4288" s="41" t="n">
        <v>0</v>
      </c>
      <c r="L4288" s="41" t="n">
        <v>0</v>
      </c>
      <c r="M4288" s="41" t="n">
        <v>0</v>
      </c>
      <c r="N4288" s="38" t="n">
        <f aca="false">Q!$N$26</f>
        <v>0</v>
      </c>
      <c r="O4288" s="38" t="n">
        <f aca="false">Q!$O$26</f>
        <v>0</v>
      </c>
    </row>
    <row r="4289" customFormat="false" ht="15" hidden="false" customHeight="false" outlineLevel="0" collapsed="false">
      <c r="A4289" s="3" t="s">
        <v>494</v>
      </c>
      <c r="B4289" s="8" t="s">
        <v>73</v>
      </c>
      <c r="C4289" s="38" t="n">
        <f aca="false">Q!$D$25</f>
        <v>68.593</v>
      </c>
      <c r="D4289" s="38" t="n">
        <f aca="false">Q!$E$25</f>
        <v>79.975</v>
      </c>
      <c r="E4289" s="38" t="n">
        <f aca="false">Q!$P$25</f>
        <v>51.313</v>
      </c>
      <c r="F4289" s="38" t="n">
        <f aca="false">Sens!$F$4279+Sens!$F$4284+Sens!$F$4287+Sens!$F$4288</f>
        <v>59.8825772328462</v>
      </c>
      <c r="G4289" s="38" t="n">
        <f aca="false">Sens!$G$4279+Sens!$G$4284+Sens!$G$4287+Sens!$G$4288</f>
        <v>111.195577232846</v>
      </c>
      <c r="H4289" s="38" t="n">
        <f aca="false">Sens!$H$4279+Sens!$H$4284+Sens!$H$4287+Sens!$H$4288</f>
        <v>137.000033759592</v>
      </c>
      <c r="I4289" s="38" t="n">
        <f aca="false">Sens!$I$4279+Sens!$I$4284+Sens!$I$4287+Sens!$I$4288</f>
        <v>163.613719733566</v>
      </c>
      <c r="J4289" s="38" t="n">
        <f aca="false">Sens!$J$4279+Sens!$J$4284+Sens!$J$4287+Sens!$J$4288</f>
        <v>187.663219827126</v>
      </c>
      <c r="K4289" s="38" t="n">
        <f aca="false">Sens!$K$4279+Sens!$K$4284+Sens!$K$4287+Sens!$K$4288</f>
        <v>207.580798899933</v>
      </c>
      <c r="L4289" s="38" t="n">
        <f aca="false">Sens!$L$4279+Sens!$L$4284+Sens!$L$4287+Sens!$L$4288</f>
        <v>227.708354868335</v>
      </c>
      <c r="M4289" s="38" t="n">
        <f aca="false">Sens!$M$4279+Sens!$M$4284+Sens!$M$4287+Sens!$M$4288</f>
        <v>248.564908726294</v>
      </c>
      <c r="N4289" s="38" t="n">
        <f aca="false">Q!$N$25</f>
        <v>37.576</v>
      </c>
      <c r="O4289" s="38" t="n">
        <f aca="false">Q!$O$25</f>
        <v>42.399</v>
      </c>
    </row>
    <row r="4290" customFormat="false" ht="17.15" hidden="false" customHeight="false" outlineLevel="0" collapsed="false">
      <c r="A4290" s="24" t="s">
        <v>711</v>
      </c>
      <c r="B4290" s="25" t="s">
        <v>73</v>
      </c>
      <c r="C4290" s="39" t="n">
        <f aca="false">Sens!$C$4279+Sens!$C$4284+Sens!$C$4287+Sens!$C$4288-Sens!$C$4289</f>
        <v>0</v>
      </c>
      <c r="D4290" s="39" t="n">
        <f aca="false">Sens!$D$4279+Sens!$D$4284+Sens!$D$4287+Sens!$D$4288-Sens!$D$4289</f>
        <v>0</v>
      </c>
      <c r="E4290" s="39" t="n">
        <f aca="false">Sens!$E$4279+Sens!$E$4284+Sens!$E$4287+Sens!$E$4288-Sens!$E$4289</f>
        <v>0</v>
      </c>
      <c r="F4290" s="39" t="n">
        <f aca="false">Sens!$F$4279+Sens!$F$4284+Sens!$F$4287+Sens!$F$4288-Sens!$F$4289</f>
        <v>0</v>
      </c>
      <c r="G4290" s="39" t="n">
        <f aca="false">Sens!$G$4279+Sens!$G$4284+Sens!$G$4287+Sens!$G$4288-Sens!$G$4289</f>
        <v>0</v>
      </c>
      <c r="H4290" s="39" t="n">
        <f aca="false">Sens!$H$4279+Sens!$H$4284+Sens!$H$4287+Sens!$H$4288-Sens!$H$4289</f>
        <v>0</v>
      </c>
      <c r="I4290" s="39" t="n">
        <f aca="false">Sens!$I$4279+Sens!$I$4284+Sens!$I$4287+Sens!$I$4288-Sens!$I$4289</f>
        <v>0</v>
      </c>
      <c r="J4290" s="39" t="n">
        <f aca="false">Sens!$J$4279+Sens!$J$4284+Sens!$J$4287+Sens!$J$4288-Sens!$J$4289</f>
        <v>0</v>
      </c>
      <c r="K4290" s="39" t="n">
        <f aca="false">Sens!$K$4279+Sens!$K$4284+Sens!$K$4287+Sens!$K$4288-Sens!$K$4289</f>
        <v>0</v>
      </c>
      <c r="L4290" s="39" t="n">
        <f aca="false">Sens!$L$4279+Sens!$L$4284+Sens!$L$4287+Sens!$L$4288-Sens!$L$4289</f>
        <v>0</v>
      </c>
      <c r="M4290" s="39" t="n">
        <f aca="false">Sens!$M$4279+Sens!$M$4284+Sens!$M$4287+Sens!$M$4288-Sens!$M$4289</f>
        <v>0</v>
      </c>
      <c r="N4290" s="39" t="n">
        <f aca="false">Sens!$N$4279+Sens!$N$4284+Sens!$N$4287+Sens!$N$4288-Sens!$N$4289</f>
        <v>0</v>
      </c>
      <c r="O4290" s="39" t="n">
        <f aca="false">Sens!$O$4279+Sens!$O$4284+Sens!$O$4287+Sens!$O$4288-Sens!$O$4289</f>
        <v>0</v>
      </c>
    </row>
    <row r="4291" customFormat="false" ht="17.15" hidden="false" customHeight="false" outlineLevel="0" collapsed="false">
      <c r="A4291" s="0" t="s">
        <v>687</v>
      </c>
      <c r="B4291" s="0" t="s">
        <v>52</v>
      </c>
      <c r="C4291" s="12" t="n">
        <f aca="false">Sens!$C$4279/Sens!$C$4264</f>
        <v>0.0644314665661928</v>
      </c>
      <c r="D4291" s="12" t="n">
        <f aca="false">Sens!$D$4279/Sens!$D$4264</f>
        <v>0.0694784250712518</v>
      </c>
      <c r="E4291" s="12" t="n">
        <f aca="false">Sens!$E$4279/Sens!$E$4264</f>
        <v>0.0789306463326071</v>
      </c>
      <c r="F4291" s="12" t="n">
        <f aca="false">Sens!$F$4279/Sens!$F$4264</f>
        <v>0.0816338957078875</v>
      </c>
      <c r="G4291" s="12" t="n">
        <f aca="false">Sens!$G$4279/Sens!$G$4264</f>
        <v>0.080384315570057</v>
      </c>
      <c r="H4291" s="12" t="n">
        <f aca="false">Sens!$H$4279/Sens!$H$4264</f>
        <v>0.0826147016668979</v>
      </c>
      <c r="I4291" s="12" t="n">
        <f aca="false">Sens!$I$4279/Sens!$I$4264</f>
        <v>0.0837826083569945</v>
      </c>
      <c r="J4291" s="12" t="n">
        <f aca="false">Sens!$J$4279/Sens!$J$4264</f>
        <v>0.0848713613087594</v>
      </c>
      <c r="K4291" s="12" t="n">
        <f aca="false">Sens!$K$4279/Sens!$K$4264</f>
        <v>0.0854035198548754</v>
      </c>
      <c r="L4291" s="12" t="n">
        <f aca="false">Sens!$L$4279/Sens!$L$4264</f>
        <v>0.0823049053930408</v>
      </c>
      <c r="M4291" s="12" t="n">
        <f aca="false">Sens!$M$4279/Sens!$M$4264</f>
        <v>0.0799466210507467</v>
      </c>
      <c r="N4291" s="12" t="n">
        <f aca="false">Sens!$N$4279/Sens!$N$4264</f>
        <v>0.069228576611127</v>
      </c>
      <c r="O4291" s="12" t="n">
        <f aca="false">Sens!$O$4279/Sens!$O$4264</f>
        <v>0.069685022498393</v>
      </c>
    </row>
    <row r="4292" customFormat="false" ht="17.15" hidden="false" customHeight="false" outlineLevel="0" collapsed="false">
      <c r="A4292" s="0" t="s">
        <v>688</v>
      </c>
      <c r="B4292" s="0" t="s">
        <v>52</v>
      </c>
      <c r="C4292" s="12" t="n">
        <f aca="false">Sens!$C$4284/Sens!$C$4265</f>
        <v>0.026534925055631</v>
      </c>
      <c r="D4292" s="12" t="n">
        <f aca="false">Sens!$D$4284/Sens!$D$4265</f>
        <v>0.0293401855535103</v>
      </c>
      <c r="E4292" s="12" t="n">
        <f aca="false">Sens!$E$4284/Sens!$E$4265</f>
        <v>0.03831141902276</v>
      </c>
      <c r="F4292" s="12" t="n">
        <f aca="false">Sens!$F$4284/Sens!$F$4265</f>
        <v>0.0297532808235678</v>
      </c>
      <c r="G4292" s="12" t="n">
        <f aca="false">Sens!$G$4284/Sens!$G$4265</f>
        <v>0.0335954317997163</v>
      </c>
      <c r="H4292" s="12" t="n">
        <f aca="false">Sens!$H$4284/Sens!$H$4265</f>
        <v>0.0312519754292078</v>
      </c>
      <c r="I4292" s="12" t="n">
        <f aca="false">Sens!$I$4284/Sens!$I$4265</f>
        <v>0.0278788303191397</v>
      </c>
      <c r="J4292" s="12" t="n">
        <f aca="false">Sens!$J$4284/Sens!$J$4265</f>
        <v>0.0244019313573061</v>
      </c>
      <c r="K4292" s="12" t="n">
        <f aca="false">Sens!$K$4284/Sens!$K$4265</f>
        <v>0.020280070641524</v>
      </c>
      <c r="L4292" s="12" t="n">
        <f aca="false">Sens!$L$4284/Sens!$L$4265</f>
        <v>0.0175947312030086</v>
      </c>
      <c r="M4292" s="12" t="n">
        <f aca="false">Sens!$M$4284/Sens!$M$4265</f>
        <v>0.0156592172424565</v>
      </c>
      <c r="N4292" s="12" t="n">
        <f aca="false">Sens!$N$4284/Sens!$N$4265</f>
        <v>0.0357315650169337</v>
      </c>
      <c r="O4292" s="12" t="n">
        <f aca="false">Sens!$O$4284/Sens!$O$4265</f>
        <v>0.0244378956559703</v>
      </c>
    </row>
    <row r="4293" customFormat="false" ht="17.15" hidden="false" customHeight="false" outlineLevel="0" collapsed="false">
      <c r="A4293" s="13" t="s">
        <v>689</v>
      </c>
      <c r="B4293" s="13" t="s">
        <v>52</v>
      </c>
      <c r="C4293" s="16" t="n">
        <f aca="false">Sens!$C$4287/Sens!$C$4266</f>
        <v>0.370355907620217</v>
      </c>
      <c r="D4293" s="16" t="n">
        <f aca="false">Sens!$D$4287/Sens!$D$4266</f>
        <v>0.35429015342785</v>
      </c>
      <c r="E4293" s="16" t="n">
        <f aca="false">Sens!$E$4287/Sens!$E$4266</f>
        <v>0.385647527531039</v>
      </c>
      <c r="F4293" s="16" t="n">
        <f aca="false">Sens!$F$4287/Sens!$F$4266</f>
        <v>0.384415729470259</v>
      </c>
      <c r="G4293" s="16" t="n">
        <f aca="false">Sens!$G$4287/Sens!$G$4266</f>
        <v>0.38498282105443</v>
      </c>
      <c r="H4293" s="16" t="n">
        <f aca="false">Sens!$H$4287/Sens!$H$4266</f>
        <v>0.361247909668527</v>
      </c>
      <c r="I4293" s="16" t="n">
        <f aca="false">Sens!$I$4287/Sens!$I$4266</f>
        <v>0.349486287974975</v>
      </c>
      <c r="J4293" s="16" t="n">
        <f aca="false">Sens!$J$4287/Sens!$J$4266</f>
        <v>0.339886531832068</v>
      </c>
      <c r="K4293" s="16" t="n">
        <f aca="false">Sens!$K$4287/Sens!$K$4266</f>
        <v>0.33135833762061</v>
      </c>
      <c r="L4293" s="16" t="n">
        <f aca="false">Sens!$L$4287/Sens!$L$4266</f>
        <v>0.328299068185284</v>
      </c>
      <c r="M4293" s="16" t="n">
        <f aca="false">Sens!$M$4287/Sens!$M$4266</f>
        <v>0.325058049465166</v>
      </c>
      <c r="N4293" s="16" t="n">
        <f aca="false">Sens!$N$4287/Sens!$N$4266</f>
        <v>0.360941137346192</v>
      </c>
      <c r="O4293" s="16" t="n">
        <f aca="false">Sens!$O$4287/Sens!$O$4266</f>
        <v>0.348458117664212</v>
      </c>
    </row>
    <row r="4294" customFormat="false" ht="17.15" hidden="false" customHeight="false" outlineLevel="0" collapsed="false">
      <c r="A4294" s="0" t="s">
        <v>690</v>
      </c>
      <c r="B4294" s="0" t="s">
        <v>52</v>
      </c>
      <c r="C4294" s="12" t="n">
        <f aca="false">Sens!$C$4285/Sens!$C$4267</f>
        <v>0.708390794789371</v>
      </c>
      <c r="D4294" s="12" t="n">
        <f aca="false">Sens!$D$4285/Sens!$D$4267</f>
        <v>0.445565630441968</v>
      </c>
      <c r="E4294" s="12" t="n">
        <f aca="false">Sens!$E$4285/Sens!$E$4267</f>
        <v>0.165998118402711</v>
      </c>
      <c r="F4294" s="12" t="n">
        <f aca="false">Sens!$F$4285/Sens!$F$4267</f>
        <v>0.434878595403858</v>
      </c>
      <c r="G4294" s="12" t="n">
        <f aca="false">Sens!$G$4285/Sens!$G$4267</f>
        <v>0.3373967615381</v>
      </c>
      <c r="H4294" s="12" t="n">
        <f aca="false">Sens!$H$4285/Sens!$H$4267</f>
        <v>0.320477578041224</v>
      </c>
      <c r="I4294" s="12" t="n">
        <f aca="false">Sens!$I$4285/Sens!$I$4267</f>
        <v>0.296936118226494</v>
      </c>
      <c r="J4294" s="12" t="n">
        <f aca="false">Sens!$J$4285/Sens!$J$4267</f>
        <v>0.282166278613001</v>
      </c>
      <c r="K4294" s="12" t="n">
        <f aca="false">Sens!$K$4285/Sens!$K$4267</f>
        <v>0.271267685694333</v>
      </c>
      <c r="L4294" s="12" t="n">
        <f aca="false">Sens!$L$4285/Sens!$L$4267</f>
        <v>0.27160960915653</v>
      </c>
      <c r="M4294" s="12" t="n">
        <f aca="false">Sens!$M$4285/Sens!$M$4267</f>
        <v>0.26974494804234</v>
      </c>
      <c r="N4294" s="12" t="n">
        <f aca="false">Sens!$N$4285/Sens!$N$4267</f>
        <v>0.302870734830849</v>
      </c>
      <c r="O4294" s="12" t="n">
        <f aca="false">Sens!$O$4285/Sens!$O$4267</f>
        <v>0.52240134346334</v>
      </c>
    </row>
    <row r="4295" customFormat="false" ht="15" hidden="false" customHeight="false" outlineLevel="0" collapsed="false">
      <c r="A4295" s="5" t="s">
        <v>691</v>
      </c>
      <c r="B4295" s="0" t="s">
        <v>52</v>
      </c>
      <c r="C4295" s="12" t="n">
        <f aca="false">Sens!$C$4289/Sens!$C$4269</f>
        <v>0.107519448742004</v>
      </c>
      <c r="D4295" s="12" t="n">
        <f aca="false">Sens!$D$4289/Sens!$D$4269</f>
        <v>0.111552967957552</v>
      </c>
      <c r="E4295" s="12" t="n">
        <f aca="false">Sens!$E$4289/Sens!$E$4269</f>
        <v>0.13428328426562</v>
      </c>
      <c r="F4295" s="12" t="n">
        <f aca="false">Sens!$F$4289/Sens!$F$4269</f>
        <v>0.132926212451512</v>
      </c>
      <c r="G4295" s="12" t="n">
        <f aca="false">Sens!$G$4289/Sens!$G$4269</f>
        <v>0.133549030959228</v>
      </c>
      <c r="H4295" s="12" t="n">
        <f aca="false">Sens!$H$4289/Sens!$H$4269</f>
        <v>0.141092391900505</v>
      </c>
      <c r="I4295" s="12" t="n">
        <f aca="false">Sens!$I$4289/Sens!$I$4269</f>
        <v>0.147340324749982</v>
      </c>
      <c r="J4295" s="12" t="n">
        <f aca="false">Sens!$J$4289/Sens!$J$4269</f>
        <v>0.151199722535531</v>
      </c>
      <c r="K4295" s="12" t="n">
        <f aca="false">Sens!$K$4289/Sens!$K$4269</f>
        <v>0.152916653679869</v>
      </c>
      <c r="L4295" s="12" t="n">
        <f aca="false">Sens!$L$4289/Sens!$L$4269</f>
        <v>0.15393603808733</v>
      </c>
      <c r="M4295" s="12" t="n">
        <f aca="false">Sens!$M$4289/Sens!$M$4269</f>
        <v>0.154690439563232</v>
      </c>
      <c r="N4295" s="12" t="n">
        <f aca="false">Sens!$N$4289/Sens!$N$4269</f>
        <v>0.116201614873411</v>
      </c>
      <c r="O4295" s="12" t="n">
        <f aca="false">Sens!$O$4289/Sens!$O$4269</f>
        <v>0.107733353660861</v>
      </c>
    </row>
    <row r="4296" customFormat="false" ht="17.15" hidden="false" customHeight="false" outlineLevel="0" collapsed="false">
      <c r="A4296" s="1" t="s">
        <v>692</v>
      </c>
    </row>
    <row r="4297" customFormat="false" ht="17.15" hidden="false" customHeight="false" outlineLevel="0" collapsed="false">
      <c r="A4297" s="5" t="s">
        <v>693</v>
      </c>
      <c r="B4297" s="0" t="s">
        <v>52</v>
      </c>
      <c r="D4297" s="28" t="n">
        <f aca="false">(Q!$E$29+Q!$E$30-(1-ext_sh)*Sens!$D$4221)/Sens!$D$4179</f>
        <v>0.0334674312393194</v>
      </c>
    </row>
    <row r="4298" customFormat="false" ht="17.15" hidden="false" customHeight="false" outlineLevel="0" collapsed="false">
      <c r="A4298" s="0" t="s">
        <v>498</v>
      </c>
      <c r="B4298" s="0" t="s">
        <v>73</v>
      </c>
      <c r="C4298" s="38" t="n">
        <f aca="false">Q!$D$29</f>
        <v>14.285</v>
      </c>
      <c r="D4298" s="38" t="n">
        <f aca="false">Q!$E$29</f>
        <v>15.503</v>
      </c>
      <c r="E4298" s="38" t="n">
        <f aca="false">Q!$P$29</f>
        <v>8.78</v>
      </c>
      <c r="F4298" s="38" t="n">
        <f aca="false">(Sens!$D$4297*Sens!$F$4179+(1-ext_sh)*Sens!$F$4221)*Sens!$F$4180</f>
        <v>9.51361751569285</v>
      </c>
      <c r="G4298" s="38" t="n">
        <f aca="false">Sens!$E$4298+Sens!$F$4298</f>
        <v>18.2936175156929</v>
      </c>
      <c r="H4298" s="38" t="n">
        <f aca="false">(Sens!$D$4297*Sens!$H$4179+(1-ext_sh)*Sens!$H$4221)*Sens!$H$4180</f>
        <v>22.7653661801943</v>
      </c>
      <c r="I4298" s="38" t="n">
        <f aca="false">(Sens!$D$4297*Sens!$I$4179+(1-ext_sh)*Sens!$I$4221)*Sens!$I$4180</f>
        <v>28.4281317305062</v>
      </c>
      <c r="J4298" s="38" t="n">
        <f aca="false">(Sens!$D$4297*Sens!$J$4179+(1-ext_sh)*Sens!$J$4221)*Sens!$J$4180</f>
        <v>34.1182922009732</v>
      </c>
      <c r="K4298" s="38" t="n">
        <f aca="false">(Sens!$D$4297*Sens!$K$4179+(1-ext_sh)*Sens!$K$4221)*Sens!$K$4180</f>
        <v>39.7237727987046</v>
      </c>
      <c r="L4298" s="38" t="n">
        <f aca="false">(Sens!$D$4297*Sens!$L$4179+(1-ext_sh)*Sens!$L$4221)*Sens!$L$4180</f>
        <v>45.1313127180263</v>
      </c>
      <c r="M4298" s="38" t="n">
        <f aca="false">(Sens!$D$4297*Sens!$M$4179+(1-ext_sh)*Sens!$M$4221)*Sens!$M$4180</f>
        <v>50.743940615442</v>
      </c>
      <c r="N4298" s="38" t="n">
        <f aca="false">Q!$N$29</f>
        <v>7.272</v>
      </c>
      <c r="O4298" s="38" t="n">
        <f aca="false">Q!$O$29</f>
        <v>8.231</v>
      </c>
    </row>
    <row r="4299" customFormat="false" ht="17.15" hidden="false" customHeight="false" outlineLevel="0" collapsed="false">
      <c r="A4299" s="0" t="s">
        <v>500</v>
      </c>
      <c r="B4299" s="0" t="s">
        <v>73</v>
      </c>
      <c r="C4299" s="38" t="n">
        <f aca="false">Q!$D$30</f>
        <v>4.462</v>
      </c>
      <c r="D4299" s="38" t="n">
        <f aca="false">Q!$E$30</f>
        <v>4.907</v>
      </c>
      <c r="E4299" s="38" t="n">
        <f aca="false">Q!$P$30</f>
        <v>2.57</v>
      </c>
      <c r="F4299" s="38" t="n">
        <f aca="false">(Sens!$D$4297*Sens!$F$4179+(1-ext_sh)*Sens!$F$4221)*(1-Sens!$F$4180)</f>
        <v>3.7353230631574</v>
      </c>
      <c r="G4299" s="38" t="n">
        <f aca="false">Sens!$E$4299+Sens!$F$4299</f>
        <v>6.3053230631574</v>
      </c>
      <c r="H4299" s="38" t="n">
        <f aca="false">(Sens!$D$4297*Sens!$H$4179+(1-ext_sh)*Sens!$H$4221)*(1-Sens!$H$4180)</f>
        <v>8.72254636724805</v>
      </c>
      <c r="I4299" s="38" t="n">
        <f aca="false">(Sens!$D$4297*Sens!$I$4179+(1-ext_sh)*Sens!$I$4221)*(1-Sens!$I$4180)</f>
        <v>10.8922340713019</v>
      </c>
      <c r="J4299" s="38" t="n">
        <f aca="false">(Sens!$D$4297*Sens!$J$4179+(1-ext_sh)*Sens!$J$4221)*(1-Sens!$J$4180)</f>
        <v>13.0724181345791</v>
      </c>
      <c r="K4299" s="38" t="n">
        <f aca="false">(Sens!$D$4297*Sens!$K$4179+(1-ext_sh)*Sens!$K$4221)*(1-Sens!$K$4180)</f>
        <v>15.2201571183236</v>
      </c>
      <c r="L4299" s="38" t="n">
        <f aca="false">(Sens!$D$4297*Sens!$L$4179+(1-ext_sh)*Sens!$L$4221)*(1-Sens!$L$4180)</f>
        <v>17.2920551631732</v>
      </c>
      <c r="M4299" s="38" t="n">
        <f aca="false">(Sens!$D$4297*Sens!$M$4179+(1-ext_sh)*Sens!$M$4221)*(1-Sens!$M$4180)</f>
        <v>19.4425326336348</v>
      </c>
      <c r="N4299" s="38" t="n">
        <f aca="false">Q!$N$30</f>
        <v>2.316</v>
      </c>
      <c r="O4299" s="38" t="n">
        <f aca="false">Q!$O$30</f>
        <v>2.591</v>
      </c>
    </row>
    <row r="4300" customFormat="false" ht="17.15" hidden="false" customHeight="false" outlineLevel="0" collapsed="false">
      <c r="A4300" s="0" t="s">
        <v>501</v>
      </c>
      <c r="B4300" s="0" t="s">
        <v>73</v>
      </c>
      <c r="C4300" s="38" t="n">
        <f aca="false">Sens!$C$4233</f>
        <v>13.32</v>
      </c>
      <c r="D4300" s="38" t="n">
        <f aca="false">Sens!$D$4233</f>
        <v>21.45</v>
      </c>
      <c r="E4300" s="38" t="n">
        <f aca="false">Sens!$E$4233</f>
        <v>15.353</v>
      </c>
      <c r="F4300" s="38" t="n">
        <f aca="false">Sens!$F$4233</f>
        <v>17.3614451462707</v>
      </c>
      <c r="G4300" s="38" t="n">
        <f aca="false">Sens!$G$4233</f>
        <v>32.7144451462707</v>
      </c>
      <c r="H4300" s="38" t="n">
        <f aca="false">Sens!$H$4233</f>
        <v>56.1966092719415</v>
      </c>
      <c r="I4300" s="38" t="n">
        <f aca="false">Sens!$I$4233</f>
        <v>82.9744039068297</v>
      </c>
      <c r="J4300" s="38" t="n">
        <f aca="false">Sens!$J$4233</f>
        <v>109.943252237669</v>
      </c>
      <c r="K4300" s="38" t="n">
        <f aca="false">Sens!$K$4233</f>
        <v>136.406703436571</v>
      </c>
      <c r="L4300" s="38" t="n">
        <f aca="false">Sens!$L$4233</f>
        <v>161.485870454155</v>
      </c>
      <c r="M4300" s="38" t="n">
        <f aca="false">Sens!$M$4233</f>
        <v>187.389846618199</v>
      </c>
      <c r="N4300" s="38" t="n">
        <f aca="false">Sens!$N$4233</f>
        <v>9.234</v>
      </c>
      <c r="O4300" s="38" t="n">
        <f aca="false">Sens!$O$4233</f>
        <v>12.216</v>
      </c>
    </row>
    <row r="4301" customFormat="false" ht="17.15" hidden="false" customHeight="false" outlineLevel="0" collapsed="false">
      <c r="A4301" s="5" t="s">
        <v>694</v>
      </c>
      <c r="B4301" s="0" t="s">
        <v>73</v>
      </c>
      <c r="C4301" s="38" t="n">
        <f aca="false">Sens!$C$4298+Sens!$C$4299+Sens!$C$4300</f>
        <v>32.067</v>
      </c>
      <c r="D4301" s="38" t="n">
        <f aca="false">Sens!$D$4298+Sens!$D$4299+Sens!$D$4300</f>
        <v>41.86</v>
      </c>
      <c r="E4301" s="38" t="n">
        <f aca="false">Sens!$E$4298+Sens!$E$4299+Sens!$E$4300</f>
        <v>26.703</v>
      </c>
      <c r="F4301" s="38" t="n">
        <f aca="false">Sens!$F$4298+Sens!$F$4299+Sens!$F$4300</f>
        <v>30.6103857251209</v>
      </c>
      <c r="G4301" s="38" t="n">
        <f aca="false">Sens!$G$4298+Sens!$G$4299+Sens!$G$4300</f>
        <v>57.3133857251209</v>
      </c>
      <c r="H4301" s="38" t="n">
        <f aca="false">Sens!$H$4298+Sens!$H$4299+Sens!$H$4300</f>
        <v>87.6845218193838</v>
      </c>
      <c r="I4301" s="38" t="n">
        <f aca="false">Sens!$I$4298+Sens!$I$4299+Sens!$I$4300</f>
        <v>122.294769708638</v>
      </c>
      <c r="J4301" s="38" t="n">
        <f aca="false">Sens!$J$4298+Sens!$J$4299+Sens!$J$4300</f>
        <v>157.133962573221</v>
      </c>
      <c r="K4301" s="38" t="n">
        <f aca="false">Sens!$K$4298+Sens!$K$4299+Sens!$K$4300</f>
        <v>191.350633353599</v>
      </c>
      <c r="L4301" s="38" t="n">
        <f aca="false">Sens!$L$4298+Sens!$L$4299+Sens!$L$4300</f>
        <v>223.909238335354</v>
      </c>
      <c r="M4301" s="38" t="n">
        <f aca="false">Sens!$M$4298+Sens!$M$4299+Sens!$M$4300</f>
        <v>257.576319867276</v>
      </c>
      <c r="N4301" s="38" t="n">
        <f aca="false">Sens!$N$4298+Sens!$N$4299+Sens!$N$4300</f>
        <v>18.822</v>
      </c>
      <c r="O4301" s="38" t="n">
        <f aca="false">Sens!$O$4298+Sens!$O$4299+Sens!$O$4300</f>
        <v>23.038</v>
      </c>
    </row>
    <row r="4302" customFormat="false" ht="17.15" hidden="false" customHeight="false" outlineLevel="0" collapsed="false">
      <c r="A4302" s="0" t="s">
        <v>695</v>
      </c>
      <c r="B4302" s="0" t="s">
        <v>73</v>
      </c>
      <c r="C4302" s="38" t="n">
        <f aca="false">Sens!$C$4275+Sens!$C$4280</f>
        <v>28.107</v>
      </c>
      <c r="D4302" s="38" t="n">
        <f aca="false">Sens!$D$4275+Sens!$D$4280</f>
        <v>34.3175</v>
      </c>
      <c r="E4302" s="38" t="n">
        <f aca="false">Sens!$E$4275+Sens!$E$4280</f>
        <v>18.526</v>
      </c>
      <c r="F4302" s="38" t="n">
        <f aca="false">Sens!$F$4275+Sens!$F$4280</f>
        <v>24.0766690913691</v>
      </c>
      <c r="G4302" s="38" t="n">
        <f aca="false">Sens!$G$4275+Sens!$G$4280</f>
        <v>42.6026690913691</v>
      </c>
      <c r="H4302" s="38" t="n">
        <f aca="false">Sens!$H$4275+Sens!$H$4280</f>
        <v>51.1466809294702</v>
      </c>
      <c r="I4302" s="38" t="n">
        <f aca="false">Sens!$I$4275+Sens!$I$4280</f>
        <v>59.6899187926205</v>
      </c>
      <c r="J4302" s="38" t="n">
        <f aca="false">Sens!$J$4275+Sens!$J$4280</f>
        <v>67.6595395244221</v>
      </c>
      <c r="K4302" s="38" t="n">
        <f aca="false">Sens!$K$4275+Sens!$K$4280</f>
        <v>74.4254934768643</v>
      </c>
      <c r="L4302" s="38" t="n">
        <f aca="false">Sens!$L$4275+Sens!$L$4280</f>
        <v>81.8680428245508</v>
      </c>
      <c r="M4302" s="38" t="n">
        <f aca="false">Sens!$M$4275+Sens!$M$4280</f>
        <v>90.0548471070059</v>
      </c>
      <c r="N4302" s="38" t="n">
        <f aca="false">Sens!$N$4275+Sens!$N$4280</f>
        <v>14.8075</v>
      </c>
      <c r="O4302" s="38" t="n">
        <f aca="false">Sens!$O$4275+Sens!$O$4280</f>
        <v>19.51</v>
      </c>
    </row>
    <row r="4303" customFormat="false" ht="17.15" hidden="false" customHeight="false" outlineLevel="0" collapsed="false">
      <c r="A4303" s="0" t="s">
        <v>696</v>
      </c>
      <c r="B4303" s="0" t="s">
        <v>73</v>
      </c>
      <c r="C4303" s="38" t="n">
        <f aca="false">Sens!$C$4279+Sens!$C$4284+Sens!$C$4298+Sens!$C$4299-Sens!$C$4302</f>
        <v>19.399</v>
      </c>
      <c r="D4303" s="38" t="n">
        <f aca="false">Sens!$D$4279+Sens!$D$4284+Sens!$D$4298+Sens!$D$4299-Sens!$D$4302</f>
        <v>20.4615</v>
      </c>
      <c r="E4303" s="38" t="n">
        <f aca="false">Sens!$E$4279+Sens!$E$4284+Sens!$E$4298+Sens!$E$4299-Sens!$E$4302</f>
        <v>13.355</v>
      </c>
      <c r="F4303" s="38" t="n">
        <f aca="false">Sens!$F$4279+Sens!$F$4284+Sens!$F$4298+Sens!$F$4299-Sens!$F$4302</f>
        <v>13.0895111975985</v>
      </c>
      <c r="G4303" s="38" t="n">
        <f aca="false">Sens!$G$4279+Sens!$G$4284+Sens!$G$4298+Sens!$G$4299-Sens!$G$4302</f>
        <v>26.4445111975985</v>
      </c>
      <c r="H4303" s="38" t="n">
        <f aca="false">Sens!$H$4279+Sens!$H$4284+Sens!$H$4298+Sens!$H$4299-Sens!$H$4302</f>
        <v>30.2590424108752</v>
      </c>
      <c r="I4303" s="38" t="n">
        <f aca="false">Sens!$I$4279+Sens!$I$4284+Sens!$I$4298+Sens!$I$4299-Sens!$I$4302</f>
        <v>34.1512893052813</v>
      </c>
      <c r="J4303" s="38" t="n">
        <f aca="false">Sens!$J$4279+Sens!$J$4284+Sens!$J$4298+Sens!$J$4299-Sens!$J$4302</f>
        <v>38.2331755770864</v>
      </c>
      <c r="K4303" s="38" t="n">
        <f aca="false">Sens!$K$4279+Sens!$K$4284+Sens!$K$4298+Sens!$K$4299-Sens!$K$4302</f>
        <v>42.3283281994655</v>
      </c>
      <c r="L4303" s="38" t="n">
        <f aca="false">Sens!$L$4279+Sens!$L$4284+Sens!$L$4298+Sens!$L$4299-Sens!$L$4302</f>
        <v>43.4723295284508</v>
      </c>
      <c r="M4303" s="38" t="n">
        <f aca="false">Sens!$M$4279+Sens!$M$4284+Sens!$M$4298+Sens!$M$4299-Sens!$M$4302</f>
        <v>44.8307958343031</v>
      </c>
      <c r="N4303" s="38" t="n">
        <f aca="false">Sens!$N$4279+Sens!$N$4284+Sens!$N$4298+Sens!$N$4299-Sens!$N$4302</f>
        <v>10.6495</v>
      </c>
      <c r="O4303" s="38" t="n">
        <f aca="false">Sens!$O$4279+Sens!$O$4284+Sens!$O$4298+Sens!$O$4299-Sens!$O$4302</f>
        <v>9.81200000000001</v>
      </c>
    </row>
    <row r="4304" customFormat="false" ht="17.15" hidden="false" customHeight="false" outlineLevel="0" collapsed="false">
      <c r="A4304" s="0" t="s">
        <v>697</v>
      </c>
      <c r="B4304" s="0" t="s">
        <v>73</v>
      </c>
      <c r="C4304" s="38" t="n">
        <f aca="false">Sens!$C$4286+Sens!$C$4300-ext_sh*Sens!$C$4221</f>
        <v>51.3470500115664</v>
      </c>
      <c r="D4304" s="38" t="n">
        <f aca="false">Sens!$D$4286+Sens!$D$4300-ext_sh*Sens!$D$4221</f>
        <v>60.2799375433739</v>
      </c>
      <c r="E4304" s="38" t="n">
        <f aca="false">Sens!$E$4286+Sens!$E$4300-ext_sh*Sens!$E$4221</f>
        <v>39.5095167090767</v>
      </c>
      <c r="F4304" s="38" t="n">
        <f aca="false">Sens!$F$4286+Sens!$F$4300-ext_sh*Sens!$F$4221</f>
        <v>41.606724953129</v>
      </c>
      <c r="G4304" s="38" t="n">
        <f aca="false">Sens!$G$4286+Sens!$G$4300-ext_sh*Sens!$G$4221</f>
        <v>81.1162416622057</v>
      </c>
      <c r="H4304" s="38" t="n">
        <f aca="false">Sens!$H$4286+Sens!$H$4300-ext_sh*Sens!$H$4221</f>
        <v>95.7616595325849</v>
      </c>
      <c r="I4304" s="38" t="n">
        <f aca="false">Sens!$I$4286+Sens!$I$4300-ext_sh*Sens!$I$4221</f>
        <v>111.513312079935</v>
      </c>
      <c r="J4304" s="38" t="n">
        <f aca="false">Sens!$J$4286+Sens!$J$4300-ext_sh*Sens!$J$4221</f>
        <v>125.145150463955</v>
      </c>
      <c r="K4304" s="38" t="n">
        <f aca="false">Sens!$K$4286+Sens!$K$4300-ext_sh*Sens!$K$4221</f>
        <v>135.156762501071</v>
      </c>
      <c r="L4304" s="38" t="n">
        <f aca="false">Sens!$L$4286+Sens!$L$4300-ext_sh*Sens!$L$4221</f>
        <v>145.969303501157</v>
      </c>
      <c r="M4304" s="38" t="n">
        <f aca="false">Sens!$M$4286+Sens!$M$4300-ext_sh*Sens!$M$4221</f>
        <v>157.646847781249</v>
      </c>
      <c r="N4304" s="38" t="n">
        <f aca="false">Sens!$N$4286+Sens!$N$4300-ext_sh*Sens!$N$4221</f>
        <v>28.5693781401809</v>
      </c>
      <c r="O4304" s="38" t="n">
        <f aca="false">Sens!$O$4286+Sens!$O$4300-ext_sh*Sens!$O$4221</f>
        <v>31.7105594031931</v>
      </c>
    </row>
    <row r="4305" customFormat="false" ht="17.15" hidden="false" customHeight="false" outlineLevel="0" collapsed="false">
      <c r="A4305" s="0" t="s">
        <v>698</v>
      </c>
      <c r="B4305" s="0" t="s">
        <v>73</v>
      </c>
      <c r="C4305" s="38" t="n">
        <f aca="false">Sens!$C$4224</f>
        <v>1.80694998843362</v>
      </c>
      <c r="D4305" s="38" t="n">
        <f aca="false">Sens!$D$4224</f>
        <v>6.77606245662607</v>
      </c>
      <c r="E4305" s="38" t="n">
        <f aca="false">Sens!$E$4224</f>
        <v>6.62548329092326</v>
      </c>
      <c r="F4305" s="38" t="n">
        <f aca="false">Sens!$F$4224</f>
        <v>11.7200577158706</v>
      </c>
      <c r="G4305" s="38" t="n">
        <f aca="false">Sens!$G$4224</f>
        <v>18.3455410067939</v>
      </c>
      <c r="H4305" s="38" t="n">
        <f aca="false">Sens!$H$4224</f>
        <v>47.5171727060453</v>
      </c>
      <c r="I4305" s="38" t="n">
        <f aca="false">Sens!$I$4224</f>
        <v>80.5539692643667</v>
      </c>
      <c r="J4305" s="38" t="n">
        <f aca="false">Sens!$J$4224</f>
        <v>113.759316834883</v>
      </c>
      <c r="K4305" s="38" t="n">
        <f aca="false">Sens!$K$4224</f>
        <v>147.020848076132</v>
      </c>
      <c r="L4305" s="38" t="n">
        <f aca="false">Sens!$L$4224</f>
        <v>180.307917349531</v>
      </c>
      <c r="M4305" s="38" t="n">
        <f aca="false">Sens!$M$4224</f>
        <v>213.608737871012</v>
      </c>
      <c r="N4305" s="38" t="n">
        <f aca="false">Sens!$N$4224</f>
        <v>2.37162185981912</v>
      </c>
      <c r="O4305" s="38" t="n">
        <f aca="false">Sens!$O$4224</f>
        <v>4.40444059680694</v>
      </c>
    </row>
    <row r="4306" customFormat="false" ht="17.15" hidden="false" customHeight="false" outlineLevel="0" collapsed="false">
      <c r="A4306" s="0" t="s">
        <v>699</v>
      </c>
      <c r="B4306" s="0" t="s">
        <v>73</v>
      </c>
      <c r="C4306" s="38" t="n">
        <f aca="false">Sens!$C$4289+Sens!$C$4301</f>
        <v>100.66</v>
      </c>
      <c r="D4306" s="38" t="n">
        <f aca="false">Sens!$D$4289+Sens!$D$4301</f>
        <v>121.835</v>
      </c>
      <c r="E4306" s="38" t="n">
        <f aca="false">Sens!$E$4289+Sens!$E$4301</f>
        <v>78.016</v>
      </c>
      <c r="F4306" s="38" t="n">
        <f aca="false">Sens!$F$4289+Sens!$F$4301</f>
        <v>90.4929629579672</v>
      </c>
      <c r="G4306" s="38" t="n">
        <f aca="false">Sens!$G$4289+Sens!$G$4301</f>
        <v>168.508962957967</v>
      </c>
      <c r="H4306" s="38" t="n">
        <f aca="false">Sens!$H$4289+Sens!$H$4301</f>
        <v>224.684555578976</v>
      </c>
      <c r="I4306" s="38" t="n">
        <f aca="false">Sens!$I$4289+Sens!$I$4301</f>
        <v>285.908489442204</v>
      </c>
      <c r="J4306" s="38" t="n">
        <f aca="false">Sens!$J$4289+Sens!$J$4301</f>
        <v>344.797182400347</v>
      </c>
      <c r="K4306" s="38" t="n">
        <f aca="false">Sens!$K$4289+Sens!$K$4301</f>
        <v>398.931432253533</v>
      </c>
      <c r="L4306" s="38" t="n">
        <f aca="false">Sens!$L$4289+Sens!$L$4301</f>
        <v>451.617593203689</v>
      </c>
      <c r="M4306" s="38" t="n">
        <f aca="false">Sens!$M$4289+Sens!$M$4301</f>
        <v>506.14122859357</v>
      </c>
      <c r="N4306" s="38" t="n">
        <f aca="false">Sens!$N$4289+Sens!$N$4301</f>
        <v>56.398</v>
      </c>
      <c r="O4306" s="38" t="n">
        <f aca="false">Sens!$O$4289+Sens!$O$4301</f>
        <v>65.437</v>
      </c>
    </row>
    <row r="4307" customFormat="false" ht="17.15" hidden="false" customHeight="false" outlineLevel="0" collapsed="false">
      <c r="A4307" s="1" t="s">
        <v>700</v>
      </c>
    </row>
    <row r="4308" customFormat="false" ht="15" hidden="false" customHeight="false" outlineLevel="0" collapsed="false">
      <c r="A4308" s="5" t="s">
        <v>504</v>
      </c>
      <c r="B4308" s="0" t="s">
        <v>73</v>
      </c>
      <c r="C4308" s="38" t="n">
        <f aca="false">Q!$D$34</f>
        <v>2.406</v>
      </c>
      <c r="D4308" s="38" t="n">
        <f aca="false">Q!$E$34</f>
        <v>2.274</v>
      </c>
      <c r="E4308" s="38" t="n">
        <f aca="false">Q!$P$34</f>
        <v>2.114</v>
      </c>
      <c r="F4308" s="38" t="n">
        <f aca="false">Sens!$F$4344</f>
        <v>3.24888964316061</v>
      </c>
      <c r="G4308" s="38" t="n">
        <f aca="false">Sens!$E$4308+Sens!$F$4308</f>
        <v>5.36288964316061</v>
      </c>
      <c r="H4308" s="38" t="n">
        <f aca="false">Sens!$H$4344</f>
        <v>7.42354178632123</v>
      </c>
      <c r="I4308" s="38" t="n">
        <f aca="false">Sens!$I$4344</f>
        <v>7.44706180385855</v>
      </c>
      <c r="J4308" s="38" t="n">
        <f aca="false">Sens!$J$4344</f>
        <v>7.54093748499367</v>
      </c>
      <c r="K4308" s="38" t="n">
        <f aca="false">Sens!$K$4344</f>
        <v>7.54093748499367</v>
      </c>
      <c r="L4308" s="38" t="n">
        <f aca="false">Sens!$L$4344</f>
        <v>7.54093748499367</v>
      </c>
      <c r="M4308" s="38" t="n">
        <f aca="false">Sens!$M$4344</f>
        <v>7.54093748499367</v>
      </c>
      <c r="N4308" s="38" t="n">
        <f aca="false">Q!$N$34</f>
        <v>1.057</v>
      </c>
      <c r="O4308" s="38" t="n">
        <f aca="false">Q!$O$34</f>
        <v>1.217</v>
      </c>
    </row>
    <row r="4309" customFormat="false" ht="15" hidden="false" customHeight="false" outlineLevel="0" collapsed="false">
      <c r="A4309" s="5" t="s">
        <v>701</v>
      </c>
      <c r="B4309" s="0" t="s">
        <v>73</v>
      </c>
      <c r="F4309" s="38" t="n">
        <f aca="false">Sens!$F$4345</f>
        <v>2.59</v>
      </c>
      <c r="H4309" s="38" t="n">
        <f aca="false">Sens!$H$4345</f>
        <v>4.00971603121774</v>
      </c>
      <c r="I4309" s="38" t="n">
        <f aca="false">Sens!$I$4345</f>
        <v>2.10589651022864</v>
      </c>
      <c r="J4309" s="38" t="n">
        <f aca="false">Sens!$J$4345</f>
        <v>2.10589651022864</v>
      </c>
      <c r="K4309" s="38" t="n">
        <f aca="false">Sens!$K$4345</f>
        <v>3.95235157408258</v>
      </c>
      <c r="L4309" s="38" t="n">
        <f aca="false">Sens!$L$4345</f>
        <v>7.65942117777088</v>
      </c>
      <c r="M4309" s="38" t="n">
        <f aca="false">Sens!$M$4345</f>
        <v>11.8919686626098</v>
      </c>
    </row>
    <row r="4310" customFormat="false" ht="17.15" hidden="false" customHeight="false" outlineLevel="0" collapsed="false">
      <c r="A4310" s="5" t="s">
        <v>702</v>
      </c>
      <c r="B4310" s="0" t="s">
        <v>73</v>
      </c>
      <c r="C4310" s="38" t="n">
        <f aca="false">Q!$D$39</f>
        <v>2.427</v>
      </c>
      <c r="D4310" s="38" t="n">
        <f aca="false">Q!$E$39</f>
        <v>19.61</v>
      </c>
      <c r="E4310" s="38" t="n">
        <f aca="false">Q!$P$39</f>
        <v>71.492</v>
      </c>
      <c r="F4310" s="41" t="n">
        <v>0</v>
      </c>
      <c r="G4310" s="38" t="n">
        <f aca="false">Sens!$E$4310+Sens!$F$4310</f>
        <v>71.492</v>
      </c>
      <c r="H4310" s="41" t="n">
        <v>0</v>
      </c>
      <c r="I4310" s="41" t="n">
        <v>0</v>
      </c>
      <c r="J4310" s="41" t="n">
        <v>0</v>
      </c>
      <c r="K4310" s="41" t="n">
        <v>0</v>
      </c>
      <c r="L4310" s="41" t="n">
        <v>0</v>
      </c>
      <c r="M4310" s="41" t="n">
        <v>0</v>
      </c>
      <c r="N4310" s="38" t="n">
        <f aca="false">Q!$N$39</f>
        <v>6.017</v>
      </c>
      <c r="O4310" s="38" t="n">
        <f aca="false">Q!$O$39</f>
        <v>13.593</v>
      </c>
      <c r="P4310" s="5" t="s">
        <v>703</v>
      </c>
    </row>
    <row r="4311" customFormat="false" ht="15" hidden="false" customHeight="false" outlineLevel="0" collapsed="false">
      <c r="A4311" s="5" t="s">
        <v>507</v>
      </c>
      <c r="B4311" s="0" t="s">
        <v>73</v>
      </c>
      <c r="C4311" s="38" t="n">
        <f aca="false">Q!$D$36</f>
        <v>68.614</v>
      </c>
      <c r="D4311" s="38" t="n">
        <f aca="false">Q!$E$36</f>
        <v>97.311</v>
      </c>
      <c r="E4311" s="38" t="n">
        <f aca="false">Q!$P$36</f>
        <v>120.691</v>
      </c>
      <c r="F4311" s="38" t="n">
        <f aca="false">Sens!$F$4289-Sens!$F$4308+Sens!$F$4309+Sens!$F$4310</f>
        <v>59.2236875896856</v>
      </c>
      <c r="G4311" s="38" t="n">
        <f aca="false">Sens!$E$4311+Sens!$F$4311</f>
        <v>179.914687589686</v>
      </c>
      <c r="H4311" s="38" t="n">
        <f aca="false">Sens!$H$4289-Sens!$H$4308+Sens!$H$4309+Sens!$H$4310</f>
        <v>133.586208004488</v>
      </c>
      <c r="I4311" s="38" t="n">
        <f aca="false">Sens!$I$4289-Sens!$I$4308+Sens!$I$4309+Sens!$I$4310</f>
        <v>158.272554439936</v>
      </c>
      <c r="J4311" s="38" t="n">
        <f aca="false">Sens!$J$4289-Sens!$J$4308+Sens!$J$4309+Sens!$J$4310</f>
        <v>182.228178852361</v>
      </c>
      <c r="K4311" s="38" t="n">
        <f aca="false">Sens!$K$4289-Sens!$K$4308+Sens!$K$4309+Sens!$K$4310</f>
        <v>203.992212989022</v>
      </c>
      <c r="L4311" s="38" t="n">
        <f aca="false">Sens!$L$4289-Sens!$L$4308+Sens!$L$4309+Sens!$L$4310</f>
        <v>227.826838561112</v>
      </c>
      <c r="M4311" s="38" t="n">
        <f aca="false">Sens!$M$4289-Sens!$M$4308+Sens!$M$4309+Sens!$M$4310</f>
        <v>252.91593990391</v>
      </c>
      <c r="N4311" s="38" t="n">
        <f aca="false">Q!$N$36</f>
        <v>42.536</v>
      </c>
      <c r="O4311" s="38" t="n">
        <f aca="false">Q!$O$36</f>
        <v>54.775</v>
      </c>
    </row>
    <row r="4312" customFormat="false" ht="15" hidden="false" customHeight="false" outlineLevel="0" collapsed="false">
      <c r="A4312" s="5" t="s">
        <v>508</v>
      </c>
      <c r="B4312" s="0" t="s">
        <v>73</v>
      </c>
      <c r="C4312" s="38" t="n">
        <f aca="false">Q!$D$37</f>
        <v>9.265</v>
      </c>
      <c r="D4312" s="38" t="n">
        <f aca="false">Q!$E$37</f>
        <v>19.087</v>
      </c>
      <c r="E4312" s="38" t="n">
        <f aca="false">Q!$P$37</f>
        <v>27.759</v>
      </c>
      <c r="F4312" s="38" t="n">
        <f aca="false">Sens!$F$4311*tax</f>
        <v>10.2803157750071</v>
      </c>
      <c r="G4312" s="38" t="n">
        <f aca="false">Sens!$E$4312+Sens!$F$4312</f>
        <v>38.0393157750071</v>
      </c>
      <c r="H4312" s="38" t="n">
        <f aca="false">Sens!$H$4311*tax</f>
        <v>23.188498679557</v>
      </c>
      <c r="I4312" s="38" t="n">
        <f aca="false">Sens!$I$4311*tax</f>
        <v>27.4736664395568</v>
      </c>
      <c r="J4312" s="38" t="n">
        <f aca="false">Sens!$J$4311*tax</f>
        <v>31.6319921630987</v>
      </c>
      <c r="K4312" s="38" t="n">
        <f aca="false">Sens!$K$4311*tax</f>
        <v>35.4098917260749</v>
      </c>
      <c r="L4312" s="38" t="n">
        <f aca="false">Sens!$L$4311*tax</f>
        <v>39.5472139231956</v>
      </c>
      <c r="M4312" s="38" t="n">
        <f aca="false">Sens!$M$4311*tax</f>
        <v>43.902293703132</v>
      </c>
      <c r="N4312" s="38" t="n">
        <f aca="false">Q!$N$37</f>
        <v>7.231</v>
      </c>
      <c r="O4312" s="38" t="n">
        <f aca="false">Q!$O$37</f>
        <v>11.856</v>
      </c>
    </row>
    <row r="4313" customFormat="false" ht="15" hidden="false" customHeight="false" outlineLevel="0" collapsed="false">
      <c r="A4313" s="3" t="s">
        <v>509</v>
      </c>
      <c r="B4313" s="8" t="s">
        <v>73</v>
      </c>
      <c r="C4313" s="38" t="n">
        <f aca="false">Q!$D$38</f>
        <v>59.248</v>
      </c>
      <c r="D4313" s="38" t="n">
        <f aca="false">Q!$E$38</f>
        <v>77.67</v>
      </c>
      <c r="E4313" s="38" t="n">
        <f aca="false">Q!$P$38</f>
        <v>92.902</v>
      </c>
      <c r="F4313" s="38" t="n">
        <f aca="false">Sens!$F$4311-Sens!$F$4312</f>
        <v>48.9433718146785</v>
      </c>
      <c r="G4313" s="38" t="n">
        <f aca="false">Sens!$E$4313+Sens!$F$4313</f>
        <v>141.845371814679</v>
      </c>
      <c r="H4313" s="38" t="n">
        <f aca="false">Sens!$H$4311-Sens!$H$4312</f>
        <v>110.397709324931</v>
      </c>
      <c r="I4313" s="38" t="n">
        <f aca="false">Sens!$I$4311-Sens!$I$4312</f>
        <v>130.798888000379</v>
      </c>
      <c r="J4313" s="38" t="n">
        <f aca="false">Sens!$J$4311-Sens!$J$4312</f>
        <v>150.596186689262</v>
      </c>
      <c r="K4313" s="38" t="n">
        <f aca="false">Sens!$K$4311-Sens!$K$4312</f>
        <v>168.582321262947</v>
      </c>
      <c r="L4313" s="38" t="n">
        <f aca="false">Sens!$L$4311-Sens!$L$4312</f>
        <v>188.279624637917</v>
      </c>
      <c r="M4313" s="38" t="n">
        <f aca="false">Sens!$M$4311-Sens!$M$4312</f>
        <v>209.013646200778</v>
      </c>
      <c r="N4313" s="38" t="n">
        <f aca="false">Q!$N$38</f>
        <v>35.291</v>
      </c>
      <c r="O4313" s="38" t="n">
        <f aca="false">Q!$O$38</f>
        <v>42.379</v>
      </c>
    </row>
    <row r="4314" customFormat="false" ht="17.15" hidden="false" customHeight="false" outlineLevel="0" collapsed="false">
      <c r="A4314" s="5" t="s">
        <v>512</v>
      </c>
      <c r="B4314" s="5" t="s">
        <v>33</v>
      </c>
      <c r="C4314" s="22" t="n">
        <f aca="false">Q!$D$41</f>
        <v>10.721</v>
      </c>
      <c r="D4314" s="22" t="n">
        <f aca="false">Q!$E$41</f>
        <v>10.827</v>
      </c>
      <c r="E4314" s="22" t="n">
        <f aca="false">(Q!$L$41+Q!$M$41)/2</f>
        <v>10.8885</v>
      </c>
      <c r="F4314" s="22" t="n">
        <f aca="false">Sens!$G$4314</f>
        <v>10.924806</v>
      </c>
      <c r="G4314" s="22" t="n">
        <f aca="false">Q!$M$41*(1+sh_g*0.25)</f>
        <v>10.924806</v>
      </c>
      <c r="H4314" s="22" t="n">
        <f aca="false">Sens!$G$4314*(1+sh_g)</f>
        <v>11.012204448</v>
      </c>
      <c r="I4314" s="22" t="n">
        <f aca="false">Sens!$H$4314*(1+sh_g)</f>
        <v>11.100302083584</v>
      </c>
      <c r="J4314" s="22" t="n">
        <f aca="false">Sens!$I$4314*(1+sh_g)</f>
        <v>11.1891045002527</v>
      </c>
      <c r="K4314" s="22" t="n">
        <f aca="false">Sens!$J$4314*(1+sh_g)</f>
        <v>11.2786173362547</v>
      </c>
      <c r="L4314" s="22" t="n">
        <f aca="false">Sens!$K$4314*(1+sh_g)</f>
        <v>11.3688462749447</v>
      </c>
      <c r="M4314" s="22" t="n">
        <f aca="false">Sens!$L$4314*(1+sh_g)</f>
        <v>11.4597970451443</v>
      </c>
      <c r="P4314" s="5" t="s">
        <v>704</v>
      </c>
    </row>
    <row r="4315" customFormat="false" ht="17.15" hidden="false" customHeight="false" outlineLevel="0" collapsed="false">
      <c r="A4315" s="42" t="s">
        <v>705</v>
      </c>
      <c r="B4315" s="13" t="s">
        <v>27</v>
      </c>
      <c r="C4315" s="43" t="n">
        <f aca="false">Sens!$C$4313/Sens!$C$4314</f>
        <v>5.52635015390355</v>
      </c>
      <c r="D4315" s="43" t="n">
        <f aca="false">Sens!$D$4313/Sens!$D$4314</f>
        <v>7.1737323358271</v>
      </c>
      <c r="E4315" s="43" t="n">
        <f aca="false">Sens!$E$4313/Sens!$E$4314</f>
        <v>8.53212104513937</v>
      </c>
      <c r="F4315" s="13"/>
      <c r="G4315" s="43" t="n">
        <f aca="false">Sens!$G$4313/Sens!$G$4314</f>
        <v>12.9837886196495</v>
      </c>
      <c r="H4315" s="43" t="n">
        <f aca="false">Sens!$H$4313/Sens!$H$4314</f>
        <v>10.0250326668228</v>
      </c>
      <c r="I4315" s="43" t="n">
        <f aca="false">Sens!$I$4313/Sens!$I$4314</f>
        <v>11.7833629225114</v>
      </c>
      <c r="J4315" s="43" t="n">
        <f aca="false">Sens!$J$4313/Sens!$J$4314</f>
        <v>13.4591813568156</v>
      </c>
      <c r="K4315" s="43" t="n">
        <f aca="false">Sens!$K$4313/Sens!$K$4314</f>
        <v>14.9470734077524</v>
      </c>
      <c r="L4315" s="43" t="n">
        <f aca="false">Sens!$L$4313/Sens!$L$4314</f>
        <v>16.5610142036011</v>
      </c>
      <c r="M4315" s="43" t="n">
        <f aca="false">Sens!$M$4313/Sens!$M$4314</f>
        <v>18.2388610703486</v>
      </c>
      <c r="N4315" s="13"/>
      <c r="O4315" s="13"/>
    </row>
    <row r="4316" customFormat="false" ht="17.15" hidden="false" customHeight="false" outlineLevel="0" collapsed="false">
      <c r="A4316" s="0" t="s">
        <v>706</v>
      </c>
      <c r="B4316" s="0" t="s">
        <v>27</v>
      </c>
      <c r="C4316" s="30" t="n">
        <f aca="false">(Sens!$C$4313-Sens!$C$4310*(1-tax))/Sens!$C$4314</f>
        <v>5.33926775917445</v>
      </c>
      <c r="D4316" s="30" t="n">
        <f aca="false">(Sens!$D$4313-Sens!$D$4310*(1-tax))/Sens!$D$4314</f>
        <v>5.67691812755503</v>
      </c>
      <c r="E4316" s="30" t="n">
        <f aca="false">(Sens!$E$4313-Sens!$E$4310*(1-tax))/Sens!$E$4314</f>
        <v>3.10602057006846</v>
      </c>
      <c r="G4316" s="30" t="n">
        <f aca="false">(Sens!$G$4313-Sens!$G$4310*(1-tax))/Sens!$G$4314</f>
        <v>7.57572050175252</v>
      </c>
      <c r="H4316" s="30" t="n">
        <f aca="false">(Sens!$H$4313-Sens!$H$4310*(1-tax))/Sens!$H$4314</f>
        <v>10.0250326668228</v>
      </c>
      <c r="I4316" s="30" t="n">
        <f aca="false">(Sens!$I$4313-Sens!$I$4310*(1-tax))/Sens!$I$4314</f>
        <v>11.7833629225114</v>
      </c>
      <c r="J4316" s="30" t="n">
        <f aca="false">(Sens!$J$4313-Sens!$J$4310*(1-tax))/Sens!$J$4314</f>
        <v>13.4591813568156</v>
      </c>
      <c r="K4316" s="30" t="n">
        <f aca="false">(Sens!$K$4313-Sens!$K$4310*(1-tax))/Sens!$K$4314</f>
        <v>14.9470734077524</v>
      </c>
      <c r="L4316" s="30" t="n">
        <f aca="false">(Sens!$L$4313-Sens!$L$4310*(1-tax))/Sens!$L$4314</f>
        <v>16.5610142036011</v>
      </c>
      <c r="M4316" s="30" t="n">
        <f aca="false">(Sens!$M$4313-Sens!$M$4310*(1-tax))/Sens!$M$4314</f>
        <v>18.2388610703486</v>
      </c>
      <c r="P4316" s="5" t="s">
        <v>707</v>
      </c>
    </row>
    <row r="4317" customFormat="false" ht="17.15" hidden="false" customHeight="false" outlineLevel="0" collapsed="false">
      <c r="A4317" s="0" t="s">
        <v>708</v>
      </c>
      <c r="B4317" s="0" t="s">
        <v>52</v>
      </c>
      <c r="H4317" s="12" t="n">
        <f aca="false">Sens!$H$4315/Sens!$G$4315-1</f>
        <v>-0.227880785763021</v>
      </c>
      <c r="I4317" s="12" t="n">
        <f aca="false">Sens!$I$4315/Sens!$H$4315-1</f>
        <v>0.175393967693256</v>
      </c>
      <c r="J4317" s="12" t="n">
        <f aca="false">Sens!$J$4315/Sens!$I$4315-1</f>
        <v>0.142219029094205</v>
      </c>
      <c r="K4317" s="12" t="n">
        <f aca="false">Sens!$K$4315/Sens!$J$4315-1</f>
        <v>0.110548480735297</v>
      </c>
      <c r="L4317" s="12" t="n">
        <f aca="false">Sens!$L$4315/Sens!$K$4315-1</f>
        <v>0.107977043520213</v>
      </c>
      <c r="M4317" s="12" t="n">
        <f aca="false">Sens!$M$4315/Sens!$L$4315-1</f>
        <v>0.101313050403802</v>
      </c>
    </row>
    <row r="4320" customFormat="false" ht="19.4" hidden="false" customHeight="false" outlineLevel="0" collapsed="false">
      <c r="A4320" s="31" t="s">
        <v>1136</v>
      </c>
    </row>
    <row r="4321" customFormat="false" ht="17.15" hidden="false" customHeight="false" outlineLevel="0" collapsed="false">
      <c r="A4321" s="6" t="s">
        <v>16</v>
      </c>
      <c r="B4321" s="6" t="s">
        <v>17</v>
      </c>
      <c r="C4321" s="20" t="s">
        <v>457</v>
      </c>
      <c r="D4321" s="20" t="s">
        <v>458</v>
      </c>
      <c r="E4321" s="20" t="s">
        <v>540</v>
      </c>
      <c r="F4321" s="20" t="s">
        <v>541</v>
      </c>
      <c r="G4321" s="20" t="s">
        <v>542</v>
      </c>
      <c r="H4321" s="20" t="s">
        <v>543</v>
      </c>
      <c r="I4321" s="20" t="s">
        <v>544</v>
      </c>
      <c r="J4321" s="20" t="s">
        <v>545</v>
      </c>
      <c r="K4321" s="20" t="s">
        <v>546</v>
      </c>
      <c r="L4321" s="20" t="s">
        <v>547</v>
      </c>
      <c r="M4321" s="20" t="s">
        <v>548</v>
      </c>
      <c r="N4321" s="20" t="s">
        <v>549</v>
      </c>
      <c r="O4321" s="20" t="s">
        <v>550</v>
      </c>
      <c r="P4321" s="6" t="s">
        <v>23</v>
      </c>
      <c r="R4321" s="20" t="n">
        <v>2023</v>
      </c>
      <c r="S4321" s="20" t="n">
        <v>2024</v>
      </c>
      <c r="T4321" s="20" t="n">
        <v>2025</v>
      </c>
      <c r="U4321" s="20" t="n">
        <v>2026</v>
      </c>
      <c r="V4321" s="20" t="n">
        <v>2027</v>
      </c>
      <c r="W4321" s="20" t="n">
        <v>2028</v>
      </c>
      <c r="X4321" s="20" t="n">
        <v>2029</v>
      </c>
      <c r="Y4321" s="20" t="n">
        <v>2030</v>
      </c>
      <c r="Z4321" s="20" t="n">
        <v>2031</v>
      </c>
      <c r="AA4321" s="20" t="n">
        <v>2032</v>
      </c>
    </row>
    <row r="4322" customFormat="false" ht="15" hidden="false" customHeight="false" outlineLevel="0" collapsed="false">
      <c r="A4322" s="5" t="s">
        <v>509</v>
      </c>
      <c r="B4322" s="0" t="s">
        <v>73</v>
      </c>
      <c r="C4322" s="38" t="n">
        <f aca="false">Sens!$C$4313</f>
        <v>59.248</v>
      </c>
      <c r="D4322" s="38" t="n">
        <f aca="false">Sens!$D$4313</f>
        <v>77.67</v>
      </c>
      <c r="E4322" s="38" t="n">
        <f aca="false">Sens!$E$4313</f>
        <v>92.902</v>
      </c>
      <c r="F4322" s="38" t="n">
        <f aca="false">Sens!$F$4313</f>
        <v>48.9433718146785</v>
      </c>
      <c r="G4322" s="38" t="n">
        <f aca="false">Sens!$G$4313</f>
        <v>141.845371814679</v>
      </c>
      <c r="H4322" s="38" t="n">
        <f aca="false">Sens!$H$4313</f>
        <v>110.397709324931</v>
      </c>
      <c r="I4322" s="38" t="n">
        <f aca="false">Sens!$I$4313</f>
        <v>130.798888000379</v>
      </c>
      <c r="J4322" s="38" t="n">
        <f aca="false">Sens!$J$4313</f>
        <v>150.596186689262</v>
      </c>
      <c r="K4322" s="38" t="n">
        <f aca="false">Sens!$K$4313</f>
        <v>168.582321262947</v>
      </c>
      <c r="L4322" s="38" t="n">
        <f aca="false">Sens!$L$4313</f>
        <v>188.279624637917</v>
      </c>
      <c r="M4322" s="38" t="n">
        <f aca="false">Sens!$M$4313</f>
        <v>209.013646200778</v>
      </c>
    </row>
    <row r="4323" customFormat="false" ht="17.15" hidden="false" customHeight="false" outlineLevel="0" collapsed="false">
      <c r="A4323" s="5" t="s">
        <v>730</v>
      </c>
      <c r="B4323" s="0" t="s">
        <v>73</v>
      </c>
      <c r="C4323" s="38" t="n">
        <f aca="false">Sens!$C$4301</f>
        <v>32.067</v>
      </c>
      <c r="D4323" s="38" t="n">
        <f aca="false">Sens!$D$4301</f>
        <v>41.86</v>
      </c>
      <c r="E4323" s="38" t="n">
        <f aca="false">Sens!$E$4301</f>
        <v>26.703</v>
      </c>
      <c r="F4323" s="38" t="n">
        <f aca="false">Sens!$F$4301</f>
        <v>30.6103857251209</v>
      </c>
      <c r="G4323" s="38" t="n">
        <f aca="false">Sens!$G$4301</f>
        <v>57.3133857251209</v>
      </c>
      <c r="H4323" s="38" t="n">
        <f aca="false">Sens!$H$4301</f>
        <v>87.6845218193838</v>
      </c>
      <c r="I4323" s="38" t="n">
        <f aca="false">Sens!$I$4301</f>
        <v>122.294769708638</v>
      </c>
      <c r="J4323" s="38" t="n">
        <f aca="false">Sens!$J$4301</f>
        <v>157.133962573221</v>
      </c>
      <c r="K4323" s="38" t="n">
        <f aca="false">Sens!$K$4301</f>
        <v>191.350633353599</v>
      </c>
      <c r="L4323" s="38" t="n">
        <f aca="false">Sens!$L$4301</f>
        <v>223.909238335354</v>
      </c>
      <c r="M4323" s="38" t="n">
        <f aca="false">Sens!$M$4301</f>
        <v>257.576319867276</v>
      </c>
    </row>
    <row r="4324" customFormat="false" ht="15" hidden="false" customHeight="false" outlineLevel="0" collapsed="false">
      <c r="A4324" s="5" t="s">
        <v>731</v>
      </c>
      <c r="B4324" s="0" t="s">
        <v>73</v>
      </c>
      <c r="C4324" s="38" t="n">
        <f aca="false">Q!$D$48</f>
        <v>22.011</v>
      </c>
      <c r="D4324" s="38" t="n">
        <f aca="false">Q!$E$48</f>
        <v>19.467</v>
      </c>
      <c r="E4324" s="38" t="n">
        <f aca="false">Q!$P$48</f>
        <v>10.07</v>
      </c>
      <c r="F4324" s="38" t="n">
        <f aca="false">sbc_r*Sens!$F$4245</f>
        <v>11.2170714500462</v>
      </c>
      <c r="G4324" s="38" t="n">
        <f aca="false">Sens!$E$4324+Sens!$F$4324</f>
        <v>21.2870714500462</v>
      </c>
      <c r="H4324" s="38" t="n">
        <f aca="false">sbc_r*Sens!$H$4245</f>
        <v>24.1772394325528</v>
      </c>
      <c r="I4324" s="38" t="n">
        <f aca="false">sbc_r*Sens!$I$4245</f>
        <v>27.6495284422397</v>
      </c>
      <c r="J4324" s="38" t="n">
        <f aca="false">sbc_r*Sens!$J$4245</f>
        <v>30.9042211184633</v>
      </c>
      <c r="K4324" s="38" t="n">
        <f aca="false">sbc_r*Sens!$K$4245</f>
        <v>33.8004145402678</v>
      </c>
      <c r="L4324" s="38" t="n">
        <f aca="false">sbc_r*Sens!$L$4245</f>
        <v>36.8322537652494</v>
      </c>
      <c r="M4324" s="38" t="n">
        <f aca="false">sbc_r*Sens!$M$4245</f>
        <v>40.0097627968013</v>
      </c>
    </row>
    <row r="4325" customFormat="false" ht="17.15" hidden="false" customHeight="false" outlineLevel="0" collapsed="false">
      <c r="A4325" s="5" t="s">
        <v>732</v>
      </c>
      <c r="B4325" s="0" t="s">
        <v>73</v>
      </c>
      <c r="C4325" s="38" t="n">
        <f aca="false">Q!$D$44-Sens!$C$4322-Sens!$C$4323-Sens!$C$4324</f>
        <v>2.551</v>
      </c>
      <c r="D4325" s="38" t="n">
        <f aca="false">Q!$E$44-Sens!$D$4322-Sens!$D$4323-Sens!$D$4324</f>
        <v>0.51700000000001</v>
      </c>
      <c r="E4325" s="38" t="n">
        <f aca="false">Q!$P$44-Sens!$E$4322-Sens!$E$4323-Sens!$E$4324</f>
        <v>-58.256</v>
      </c>
      <c r="F4325" s="38" t="n">
        <f aca="false">wc_2h26+oth_r*Sens!$F$4245</f>
        <v>7.34599241893378</v>
      </c>
      <c r="G4325" s="38" t="n">
        <f aca="false">Sens!$E$4325+Sens!$F$4325</f>
        <v>-50.9100075810662</v>
      </c>
      <c r="H4325" s="38" t="n">
        <f aca="false">oth_r*Sens!$H$4245</f>
        <v>11.6369707537667</v>
      </c>
      <c r="I4325" s="38" t="n">
        <f aca="false">oth_r*Sens!$I$4245</f>
        <v>13.3082502961262</v>
      </c>
      <c r="J4325" s="38" t="n">
        <f aca="false">oth_r*Sens!$J$4245</f>
        <v>14.8747965344332</v>
      </c>
      <c r="K4325" s="38" t="n">
        <f aca="false">oth_r*Sens!$K$4245</f>
        <v>16.2687901804328</v>
      </c>
      <c r="L4325" s="38" t="n">
        <f aca="false">oth_r*Sens!$L$4245</f>
        <v>17.7280727627002</v>
      </c>
      <c r="M4325" s="38" t="n">
        <f aca="false">oth_r*Sens!$M$4245</f>
        <v>19.2574690270319</v>
      </c>
      <c r="P4325" s="8" t="s">
        <v>733</v>
      </c>
    </row>
    <row r="4326" customFormat="false" ht="15" hidden="false" customHeight="false" outlineLevel="0" collapsed="false">
      <c r="A4326" s="3" t="s">
        <v>515</v>
      </c>
      <c r="B4326" s="8" t="s">
        <v>73</v>
      </c>
      <c r="C4326" s="38" t="n">
        <f aca="false">Q!$D$44</f>
        <v>115.877</v>
      </c>
      <c r="D4326" s="38" t="n">
        <f aca="false">Q!$E$44</f>
        <v>139.514</v>
      </c>
      <c r="E4326" s="38" t="n">
        <f aca="false">Q!$P$44</f>
        <v>71.419</v>
      </c>
      <c r="F4326" s="38" t="n">
        <f aca="false">Sens!$F$4322+Sens!$F$4323+Sens!$F$4324+Sens!$F$4325</f>
        <v>98.1168214087795</v>
      </c>
      <c r="G4326" s="38" t="n">
        <f aca="false">Sens!$E$4326+Sens!$F$4326</f>
        <v>169.535821408779</v>
      </c>
      <c r="H4326" s="38" t="n">
        <f aca="false">Sens!$H$4322+Sens!$H$4323+Sens!$H$4324+Sens!$H$4325</f>
        <v>233.896441330635</v>
      </c>
      <c r="I4326" s="38" t="n">
        <f aca="false">Sens!$I$4322+Sens!$I$4323+Sens!$I$4324+Sens!$I$4325</f>
        <v>294.051436447383</v>
      </c>
      <c r="J4326" s="38" t="n">
        <f aca="false">Sens!$J$4322+Sens!$J$4323+Sens!$J$4324+Sens!$J$4325</f>
        <v>353.509166915379</v>
      </c>
      <c r="K4326" s="38" t="n">
        <f aca="false">Sens!$K$4322+Sens!$K$4323+Sens!$K$4324+Sens!$K$4325</f>
        <v>410.002159337248</v>
      </c>
      <c r="L4326" s="38" t="n">
        <f aca="false">Sens!$L$4322+Sens!$L$4323+Sens!$L$4324+Sens!$L$4325</f>
        <v>466.749189501221</v>
      </c>
      <c r="M4326" s="38" t="n">
        <f aca="false">Sens!$M$4322+Sens!$M$4323+Sens!$M$4324+Sens!$M$4325</f>
        <v>525.857197891887</v>
      </c>
    </row>
    <row r="4327" customFormat="false" ht="17.15" hidden="false" customHeight="false" outlineLevel="0" collapsed="false">
      <c r="A4327" s="5" t="s">
        <v>734</v>
      </c>
      <c r="B4327" s="0" t="s">
        <v>73</v>
      </c>
      <c r="C4327" s="38" t="n">
        <f aca="false">Sens!$C$4215</f>
        <v>25.2781053077374</v>
      </c>
      <c r="D4327" s="38" t="n">
        <f aca="false">Sens!$D$4215</f>
        <v>69.5686316310026</v>
      </c>
      <c r="E4327" s="38" t="n">
        <f aca="false">Sens!$E$4215</f>
        <v>64.1899206485108</v>
      </c>
      <c r="F4327" s="38" t="n">
        <f aca="false">Sens!$F$4215</f>
        <v>96.2481299895</v>
      </c>
      <c r="G4327" s="38" t="n">
        <f aca="false">Sens!$G$4215</f>
        <v>160.438050638011</v>
      </c>
      <c r="H4327" s="38" t="n">
        <f aca="false">Sens!$H$4215</f>
        <v>198.57136494475</v>
      </c>
      <c r="I4327" s="38" t="n">
        <f aca="false">Sens!$I$4215</f>
        <v>204.6464699105</v>
      </c>
      <c r="J4327" s="38" t="n">
        <f aca="false">Sens!$J$4215</f>
        <v>209.8832381105</v>
      </c>
      <c r="K4327" s="38" t="n">
        <f aca="false">Sens!$K$4215</f>
        <v>215.1200063105</v>
      </c>
      <c r="L4327" s="38" t="n">
        <f aca="false">Sens!$L$4215</f>
        <v>251.7773837105</v>
      </c>
      <c r="M4327" s="38" t="n">
        <f aca="false">Sens!$M$4215</f>
        <v>311.87584476575</v>
      </c>
    </row>
    <row r="4328" customFormat="false" ht="17.15" hidden="false" customHeight="false" outlineLevel="0" collapsed="false">
      <c r="A4328" s="5" t="s">
        <v>735</v>
      </c>
      <c r="B4328" s="0" t="s">
        <v>73</v>
      </c>
      <c r="C4328" s="38" t="n">
        <f aca="false">cx_awso*Sens!$C$4243</f>
        <v>21.0469989286053</v>
      </c>
      <c r="D4328" s="38" t="n">
        <f aca="false">cx_awso*Sens!$D$4243</f>
        <v>24.0042459822698</v>
      </c>
      <c r="E4328" s="38" t="n">
        <f aca="false">cx_awso*Sens!$E$4243</f>
        <v>14.261729404886</v>
      </c>
      <c r="F4328" s="38" t="n">
        <f aca="false">cx_awso*Sens!$F$4243</f>
        <v>15.7190020837331</v>
      </c>
      <c r="G4328" s="38" t="n">
        <f aca="false">Sens!$E$4328+Sens!$F$4328</f>
        <v>29.9807314886191</v>
      </c>
      <c r="H4328" s="38" t="n">
        <f aca="false">cx_awso*Sens!$H$4243</f>
        <v>36.1787121536283</v>
      </c>
      <c r="I4328" s="38" t="n">
        <f aca="false">cx_awso*Sens!$I$4243</f>
        <v>42.1296794430021</v>
      </c>
      <c r="J4328" s="38" t="n">
        <f aca="false">cx_awso*Sens!$J$4243</f>
        <v>47.279781889299</v>
      </c>
      <c r="K4328" s="38" t="n">
        <f aca="false">cx_awso*Sens!$K$4243</f>
        <v>51.0621644404429</v>
      </c>
      <c r="L4328" s="38" t="n">
        <f aca="false">cx_awso*Sens!$L$4243</f>
        <v>55.1471375956783</v>
      </c>
      <c r="M4328" s="38" t="n">
        <f aca="false">cx_awso*Sens!$M$4243</f>
        <v>59.5589086033326</v>
      </c>
    </row>
    <row r="4329" customFormat="false" ht="17.15" hidden="false" customHeight="false" outlineLevel="0" collapsed="false">
      <c r="A4329" s="5" t="s">
        <v>736</v>
      </c>
      <c r="B4329" s="0" t="s">
        <v>73</v>
      </c>
      <c r="C4329" s="38" t="n">
        <f aca="false">Q!$D$46-Sens!$C$4327-Sens!$C$4328</f>
        <v>31.3328957636573</v>
      </c>
      <c r="D4329" s="38" t="n">
        <f aca="false">Q!$E$46-Sens!$D$4327-Sens!$D$4328</f>
        <v>34.7471223867276</v>
      </c>
      <c r="E4329" s="38" t="n">
        <f aca="false">Q!$P$46-Sens!$E$4327-Sens!$E$4328</f>
        <v>17.8583499466032</v>
      </c>
      <c r="F4329" s="38" t="n">
        <f aca="false">cx_rt*Sens!$F$4179</f>
        <v>21.0855744229195</v>
      </c>
      <c r="G4329" s="38" t="n">
        <f aca="false">Sens!$E$4329+Sens!$F$4329</f>
        <v>38.9439243695228</v>
      </c>
      <c r="H4329" s="38" t="n">
        <f aca="false">cx_rt*Sens!$H$4179</f>
        <v>43.1200434029767</v>
      </c>
      <c r="I4329" s="38" t="n">
        <f aca="false">cx_rt*Sens!$I$4179</f>
        <v>47.1583152318763</v>
      </c>
      <c r="J4329" s="38" t="n">
        <f aca="false">cx_rt*Sens!$J$4179</f>
        <v>50.9060281137911</v>
      </c>
      <c r="K4329" s="38" t="n">
        <f aca="false">cx_rt*Sens!$K$4179</f>
        <v>54.2035645673053</v>
      </c>
      <c r="L4329" s="38" t="n">
        <f aca="false">cx_rt*Sens!$L$4179</f>
        <v>57.7318979121519</v>
      </c>
      <c r="M4329" s="38" t="n">
        <f aca="false">cx_rt*Sens!$M$4179</f>
        <v>61.5084196557756</v>
      </c>
    </row>
    <row r="4330" customFormat="false" ht="15" hidden="false" customHeight="false" outlineLevel="0" collapsed="false">
      <c r="A4330" s="3" t="s">
        <v>737</v>
      </c>
      <c r="B4330" s="8" t="s">
        <v>73</v>
      </c>
      <c r="C4330" s="38" t="n">
        <f aca="false">Q!$D$46</f>
        <v>77.658</v>
      </c>
      <c r="D4330" s="38" t="n">
        <f aca="false">Q!$E$46</f>
        <v>128.32</v>
      </c>
      <c r="E4330" s="38" t="n">
        <f aca="false">Q!$P$46</f>
        <v>96.31</v>
      </c>
      <c r="F4330" s="38" t="n">
        <f aca="false">Sens!$F$4327+Sens!$F$4328+Sens!$F$4329</f>
        <v>133.052706496153</v>
      </c>
      <c r="G4330" s="38" t="n">
        <f aca="false">Sens!$E$4330+Sens!$F$4330</f>
        <v>229.362706496153</v>
      </c>
      <c r="H4330" s="38" t="n">
        <f aca="false">Sens!$H$4327+Sens!$H$4328+Sens!$H$4329</f>
        <v>277.870120501355</v>
      </c>
      <c r="I4330" s="38" t="n">
        <f aca="false">Sens!$I$4327+Sens!$I$4328+Sens!$I$4329</f>
        <v>293.934464585378</v>
      </c>
      <c r="J4330" s="38" t="n">
        <f aca="false">Sens!$J$4327+Sens!$J$4328+Sens!$J$4329</f>
        <v>308.06904811359</v>
      </c>
      <c r="K4330" s="38" t="n">
        <f aca="false">Sens!$K$4327+Sens!$K$4328+Sens!$K$4329</f>
        <v>320.385735318248</v>
      </c>
      <c r="L4330" s="38" t="n">
        <f aca="false">Sens!$L$4327+Sens!$L$4328+Sens!$L$4329</f>
        <v>364.65641921833</v>
      </c>
      <c r="M4330" s="38" t="n">
        <f aca="false">Sens!$M$4327+Sens!$M$4328+Sens!$M$4329</f>
        <v>432.943173024858</v>
      </c>
    </row>
    <row r="4331" customFormat="false" ht="17.15" hidden="false" customHeight="false" outlineLevel="0" collapsed="false">
      <c r="A4331" s="5" t="s">
        <v>523</v>
      </c>
      <c r="B4331" s="0" t="s">
        <v>73</v>
      </c>
      <c r="C4331" s="38" t="n">
        <f aca="false">Q!$D$50</f>
        <v>2.043</v>
      </c>
      <c r="D4331" s="38" t="n">
        <f aca="false">Q!$E$50</f>
        <v>1.557</v>
      </c>
      <c r="E4331" s="38" t="n">
        <f aca="false">lease_pr/2</f>
        <v>0.8</v>
      </c>
      <c r="F4331" s="38" t="n">
        <f aca="false">lease_pr/2</f>
        <v>0.8</v>
      </c>
      <c r="G4331" s="38" t="n">
        <f aca="false">Sens!$E$4331+Sens!$F$4331</f>
        <v>1.6</v>
      </c>
      <c r="H4331" s="38" t="n">
        <f aca="false">lease_pr</f>
        <v>1.6</v>
      </c>
      <c r="I4331" s="38" t="n">
        <f aca="false">lease_pr</f>
        <v>1.6</v>
      </c>
      <c r="J4331" s="38" t="n">
        <f aca="false">lease_pr</f>
        <v>1.6</v>
      </c>
      <c r="K4331" s="38" t="n">
        <f aca="false">lease_pr</f>
        <v>1.6</v>
      </c>
      <c r="L4331" s="38" t="n">
        <f aca="false">lease_pr</f>
        <v>1.6</v>
      </c>
      <c r="M4331" s="38" t="n">
        <f aca="false">lease_pr</f>
        <v>1.6</v>
      </c>
      <c r="P4331" s="8" t="s">
        <v>738</v>
      </c>
    </row>
    <row r="4332" customFormat="false" ht="15" hidden="false" customHeight="false" outlineLevel="0" collapsed="false">
      <c r="A4332" s="46" t="s">
        <v>739</v>
      </c>
      <c r="B4332" s="13" t="s">
        <v>73</v>
      </c>
      <c r="C4332" s="47" t="n">
        <f aca="false">Sens!$C$4326-Sens!$C$4330-Sens!$C$4331</f>
        <v>36.176</v>
      </c>
      <c r="D4332" s="47" t="n">
        <f aca="false">Sens!$D$4326-Sens!$D$4330-Sens!$D$4331</f>
        <v>9.63700000000002</v>
      </c>
      <c r="E4332" s="47" t="n">
        <f aca="false">Sens!$E$4326-Sens!$E$4330-Sens!$E$4331</f>
        <v>-25.691</v>
      </c>
      <c r="F4332" s="47" t="n">
        <f aca="false">Sens!$F$4326-Sens!$F$4330-Sens!$F$4331</f>
        <v>-35.7358850873731</v>
      </c>
      <c r="G4332" s="47" t="n">
        <f aca="false">Sens!$G$4326-Sens!$G$4330-Sens!$G$4331</f>
        <v>-61.4268850873731</v>
      </c>
      <c r="H4332" s="47" t="n">
        <f aca="false">Sens!$H$4326-Sens!$H$4330-Sens!$H$4331</f>
        <v>-45.5736791707205</v>
      </c>
      <c r="I4332" s="47" t="n">
        <f aca="false">Sens!$I$4326-Sens!$I$4330-Sens!$I$4331</f>
        <v>-1.4830281379955</v>
      </c>
      <c r="J4332" s="47" t="n">
        <f aca="false">Sens!$J$4326-Sens!$J$4330-Sens!$J$4331</f>
        <v>43.8401188017893</v>
      </c>
      <c r="K4332" s="47" t="n">
        <f aca="false">Sens!$K$4326-Sens!$K$4330-Sens!$K$4331</f>
        <v>88.0164240189993</v>
      </c>
      <c r="L4332" s="47" t="n">
        <f aca="false">Sens!$L$4326-Sens!$L$4330-Sens!$L$4331</f>
        <v>100.492770282891</v>
      </c>
      <c r="M4332" s="47" t="n">
        <f aca="false">Sens!$M$4326-Sens!$M$4330-Sens!$M$4331</f>
        <v>91.3140248670291</v>
      </c>
      <c r="N4332" s="13"/>
      <c r="O4332" s="13"/>
    </row>
    <row r="4333" customFormat="false" ht="17.15" hidden="false" customHeight="false" outlineLevel="0" collapsed="false">
      <c r="A4333" s="5" t="s">
        <v>740</v>
      </c>
      <c r="B4333" s="0" t="s">
        <v>73</v>
      </c>
      <c r="C4333" s="38" t="n">
        <f aca="false">dps*Sens!$C$4314</f>
        <v>0</v>
      </c>
      <c r="D4333" s="38" t="n">
        <f aca="false">dps*Sens!$D$4314</f>
        <v>0</v>
      </c>
      <c r="E4333" s="38" t="n">
        <f aca="false">dps*Sens!$E$4314</f>
        <v>0</v>
      </c>
      <c r="F4333" s="38" t="n">
        <f aca="false">0</f>
        <v>0</v>
      </c>
      <c r="G4333" s="38" t="n">
        <f aca="false">dps*Sens!$G$4314</f>
        <v>0</v>
      </c>
      <c r="H4333" s="38" t="n">
        <f aca="false">dps*Sens!$H$4314</f>
        <v>0</v>
      </c>
      <c r="I4333" s="38" t="n">
        <f aca="false">dps*Sens!$I$4314</f>
        <v>0</v>
      </c>
      <c r="J4333" s="38" t="n">
        <f aca="false">dps*Sens!$J$4314</f>
        <v>0</v>
      </c>
      <c r="K4333" s="38" t="n">
        <f aca="false">dps*Sens!$K$4314</f>
        <v>0</v>
      </c>
      <c r="L4333" s="38" t="n">
        <f aca="false">dps*Sens!$L$4314</f>
        <v>0</v>
      </c>
      <c r="M4333" s="38" t="n">
        <f aca="false">dps*Sens!$M$4314</f>
        <v>0</v>
      </c>
      <c r="P4333" s="8" t="s">
        <v>741</v>
      </c>
    </row>
    <row r="4334" customFormat="false" ht="17.15" hidden="false" customHeight="false" outlineLevel="0" collapsed="false">
      <c r="A4334" s="5" t="s">
        <v>742</v>
      </c>
      <c r="B4334" s="0" t="s">
        <v>73</v>
      </c>
      <c r="C4334" s="38" t="n">
        <f aca="false">0</f>
        <v>0</v>
      </c>
      <c r="D4334" s="38" t="n">
        <f aca="false">0</f>
        <v>0</v>
      </c>
      <c r="E4334" s="38" t="n">
        <f aca="false">0</f>
        <v>0</v>
      </c>
      <c r="F4334" s="38" t="n">
        <f aca="false">0</f>
        <v>0</v>
      </c>
      <c r="G4334" s="38" t="n">
        <f aca="false">0</f>
        <v>0</v>
      </c>
      <c r="H4334" s="38" t="n">
        <f aca="false">0</f>
        <v>0</v>
      </c>
      <c r="I4334" s="38" t="n">
        <f aca="false">0</f>
        <v>0</v>
      </c>
      <c r="J4334" s="38" t="n">
        <f aca="false">0</f>
        <v>0</v>
      </c>
      <c r="K4334" s="38" t="n">
        <f aca="false">0</f>
        <v>0</v>
      </c>
      <c r="L4334" s="38" t="n">
        <f aca="false">0</f>
        <v>0</v>
      </c>
      <c r="M4334" s="38" t="n">
        <f aca="false">0</f>
        <v>0</v>
      </c>
      <c r="P4334" s="8" t="s">
        <v>743</v>
      </c>
    </row>
    <row r="4335" customFormat="false" ht="15" hidden="false" customHeight="false" outlineLevel="0" collapsed="false">
      <c r="A4335" s="3" t="s">
        <v>744</v>
      </c>
      <c r="B4335" s="8" t="s">
        <v>73</v>
      </c>
      <c r="C4335" s="38" t="n">
        <f aca="false">Sens!$C$4332-Sens!$C$4333</f>
        <v>36.176</v>
      </c>
      <c r="D4335" s="38" t="n">
        <f aca="false">Sens!$D$4332-Sens!$D$4333</f>
        <v>9.63700000000002</v>
      </c>
      <c r="E4335" s="38" t="n">
        <f aca="false">Sens!$E$4332-Sens!$E$4333</f>
        <v>-25.691</v>
      </c>
      <c r="F4335" s="38" t="n">
        <f aca="false">Sens!$F$4332-Sens!$F$4333</f>
        <v>-35.7358850873731</v>
      </c>
      <c r="G4335" s="38" t="n">
        <f aca="false">Sens!$G$4332-Sens!$G$4333</f>
        <v>-61.4268850873731</v>
      </c>
      <c r="H4335" s="38" t="n">
        <f aca="false">Sens!$H$4332-Sens!$H$4333</f>
        <v>-45.5736791707205</v>
      </c>
      <c r="I4335" s="38" t="n">
        <f aca="false">Sens!$I$4332-Sens!$I$4333</f>
        <v>-1.4830281379955</v>
      </c>
      <c r="J4335" s="38" t="n">
        <f aca="false">Sens!$J$4332-Sens!$J$4333</f>
        <v>43.8401188017893</v>
      </c>
      <c r="K4335" s="38" t="n">
        <f aca="false">Sens!$K$4332-Sens!$K$4333</f>
        <v>88.0164240189993</v>
      </c>
      <c r="L4335" s="38" t="n">
        <f aca="false">Sens!$L$4332-Sens!$L$4333</f>
        <v>100.492770282891</v>
      </c>
      <c r="M4335" s="38" t="n">
        <f aca="false">Sens!$M$4332-Sens!$M$4333</f>
        <v>91.3140248670291</v>
      </c>
    </row>
    <row r="4336" customFormat="false" ht="17.15" hidden="false" customHeight="false" outlineLevel="0" collapsed="false">
      <c r="A4336" s="5" t="s">
        <v>745</v>
      </c>
      <c r="B4336" s="0" t="s">
        <v>73</v>
      </c>
      <c r="E4336" s="38" t="n">
        <f aca="false">Q!$P$53</f>
        <v>39.767</v>
      </c>
      <c r="F4336" s="38" t="n">
        <f aca="false">inv_2h26</f>
        <v>21.3</v>
      </c>
      <c r="G4336" s="38" t="n">
        <f aca="false">Sens!$E$4336+Sens!$F$4336</f>
        <v>61.067</v>
      </c>
      <c r="H4336" s="41" t="n">
        <v>0</v>
      </c>
      <c r="I4336" s="41" t="n">
        <v>0</v>
      </c>
      <c r="J4336" s="41" t="n">
        <v>0</v>
      </c>
      <c r="K4336" s="41" t="n">
        <v>0</v>
      </c>
      <c r="L4336" s="41" t="n">
        <v>0</v>
      </c>
      <c r="M4336" s="41" t="n">
        <v>0</v>
      </c>
    </row>
    <row r="4337" customFormat="false" ht="17.15" hidden="false" customHeight="false" outlineLevel="0" collapsed="false">
      <c r="A4337" s="5" t="s">
        <v>746</v>
      </c>
      <c r="B4337" s="0" t="s">
        <v>73</v>
      </c>
      <c r="F4337" s="38" t="n">
        <f aca="false">iss_2h26</f>
        <v>29.25</v>
      </c>
      <c r="G4337" s="38" t="n">
        <f aca="false">Sens!$F$4337</f>
        <v>29.25</v>
      </c>
      <c r="H4337" s="41" t="n">
        <v>0</v>
      </c>
      <c r="I4337" s="41" t="n">
        <v>0</v>
      </c>
      <c r="J4337" s="41" t="n">
        <v>0</v>
      </c>
      <c r="K4337" s="41" t="n">
        <v>0</v>
      </c>
      <c r="L4337" s="41" t="n">
        <v>0</v>
      </c>
      <c r="M4337" s="41" t="n">
        <v>0</v>
      </c>
    </row>
    <row r="4338" customFormat="false" ht="17.15" hidden="false" customHeight="false" outlineLevel="0" collapsed="false">
      <c r="A4338" s="5" t="s">
        <v>747</v>
      </c>
      <c r="B4338" s="0" t="s">
        <v>73</v>
      </c>
      <c r="F4338" s="38" t="n">
        <f aca="false">cash_q2</f>
        <v>122.988</v>
      </c>
      <c r="G4338" s="38" t="n">
        <f aca="false">cash_q2</f>
        <v>122.988</v>
      </c>
      <c r="H4338" s="38" t="n">
        <f aca="false">Sens!$G$4341</f>
        <v>95.2021149126269</v>
      </c>
      <c r="I4338" s="38" t="n">
        <f aca="false">Sens!$H$4341</f>
        <v>50</v>
      </c>
      <c r="J4338" s="38" t="n">
        <f aca="false">Sens!$I$4341</f>
        <v>50</v>
      </c>
      <c r="K4338" s="38" t="n">
        <f aca="false">Sens!$J$4341</f>
        <v>93.8401188017893</v>
      </c>
      <c r="L4338" s="38" t="n">
        <f aca="false">Sens!$K$4341</f>
        <v>181.856542820789</v>
      </c>
      <c r="M4338" s="38" t="n">
        <f aca="false">Sens!$L$4341</f>
        <v>282.349313103679</v>
      </c>
    </row>
    <row r="4339" customFormat="false" ht="15" hidden="false" customHeight="false" outlineLevel="0" collapsed="false">
      <c r="A4339" s="5" t="s">
        <v>748</v>
      </c>
      <c r="B4339" s="0" t="s">
        <v>73</v>
      </c>
      <c r="F4339" s="38" t="n">
        <f aca="false">Sens!$F$4338+Sens!$F$4335-Sens!$F$4334-Sens!$F$4336+Sens!$F$4337</f>
        <v>95.2021149126269</v>
      </c>
      <c r="H4339" s="38" t="n">
        <f aca="false">Sens!$H$4338+Sens!$H$4335-Sens!$H$4334-Sens!$H$4336+Sens!$H$4337</f>
        <v>49.6284357419064</v>
      </c>
      <c r="I4339" s="38" t="n">
        <f aca="false">Sens!$I$4338+Sens!$I$4335-Sens!$I$4334-Sens!$I$4336+Sens!$I$4337</f>
        <v>48.5169718620045</v>
      </c>
      <c r="J4339" s="38" t="n">
        <f aca="false">Sens!$J$4338+Sens!$J$4335-Sens!$J$4334-Sens!$J$4336+Sens!$J$4337</f>
        <v>93.8401188017893</v>
      </c>
      <c r="K4339" s="38" t="n">
        <f aca="false">Sens!$K$4338+Sens!$K$4335-Sens!$K$4334-Sens!$K$4336+Sens!$K$4337</f>
        <v>181.856542820789</v>
      </c>
      <c r="L4339" s="38" t="n">
        <f aca="false">Sens!$L$4338+Sens!$L$4335-Sens!$L$4334-Sens!$L$4336+Sens!$L$4337</f>
        <v>282.349313103679</v>
      </c>
      <c r="M4339" s="38" t="n">
        <f aca="false">Sens!$M$4338+Sens!$M$4335-Sens!$M$4334-Sens!$M$4336+Sens!$M$4337</f>
        <v>373.663337970708</v>
      </c>
    </row>
    <row r="4340" customFormat="false" ht="17.15" hidden="false" customHeight="false" outlineLevel="0" collapsed="false">
      <c r="A4340" s="5" t="s">
        <v>749</v>
      </c>
      <c r="B4340" s="0" t="s">
        <v>73</v>
      </c>
      <c r="F4340" s="38" t="n">
        <f aca="false">MAX(0,min_cash-Sens!$F$4339)</f>
        <v>0</v>
      </c>
      <c r="G4340" s="38" t="n">
        <f aca="false">Sens!$F$4340</f>
        <v>0</v>
      </c>
      <c r="H4340" s="38" t="n">
        <f aca="false">MAX(0,min_cash-Sens!$H$4339)</f>
        <v>0.371564258093606</v>
      </c>
      <c r="I4340" s="38" t="n">
        <f aca="false">MAX(0,min_cash-Sens!$I$4339)</f>
        <v>1.4830281379955</v>
      </c>
      <c r="J4340" s="38" t="n">
        <f aca="false">MAX(0,min_cash-Sens!$J$4339)</f>
        <v>0</v>
      </c>
      <c r="K4340" s="38" t="n">
        <f aca="false">MAX(0,min_cash-Sens!$K$4339)</f>
        <v>0</v>
      </c>
      <c r="L4340" s="38" t="n">
        <f aca="false">MAX(0,min_cash-Sens!$L$4339)</f>
        <v>0</v>
      </c>
      <c r="M4340" s="38" t="n">
        <f aca="false">MAX(0,min_cash-Sens!$M$4339)</f>
        <v>0</v>
      </c>
      <c r="P4340" s="5" t="s">
        <v>750</v>
      </c>
    </row>
    <row r="4341" customFormat="false" ht="15" hidden="false" customHeight="false" outlineLevel="0" collapsed="false">
      <c r="A4341" s="5" t="s">
        <v>751</v>
      </c>
      <c r="B4341" s="0" t="s">
        <v>73</v>
      </c>
      <c r="D4341" s="38" t="n">
        <f aca="false">Q!$E$61</f>
        <v>123.029</v>
      </c>
      <c r="E4341" s="38" t="n">
        <f aca="false">Q!$M$61</f>
        <v>122.988</v>
      </c>
      <c r="F4341" s="38" t="n">
        <f aca="false">Sens!$F$4339+Sens!$F$4340</f>
        <v>95.2021149126269</v>
      </c>
      <c r="G4341" s="38" t="n">
        <f aca="false">Sens!$F$4341</f>
        <v>95.2021149126269</v>
      </c>
      <c r="H4341" s="38" t="n">
        <f aca="false">Sens!$H$4339+Sens!$H$4340</f>
        <v>50</v>
      </c>
      <c r="I4341" s="38" t="n">
        <f aca="false">Sens!$I$4339+Sens!$I$4340</f>
        <v>50</v>
      </c>
      <c r="J4341" s="38" t="n">
        <f aca="false">Sens!$J$4339+Sens!$J$4340</f>
        <v>93.8401188017893</v>
      </c>
      <c r="K4341" s="38" t="n">
        <f aca="false">Sens!$K$4339+Sens!$K$4340</f>
        <v>181.856542820789</v>
      </c>
      <c r="L4341" s="38" t="n">
        <f aca="false">Sens!$L$4339+Sens!$L$4340</f>
        <v>282.349313103679</v>
      </c>
      <c r="M4341" s="38" t="n">
        <f aca="false">Sens!$M$4339+Sens!$M$4340</f>
        <v>373.663337970708</v>
      </c>
    </row>
    <row r="4342" customFormat="false" ht="15" hidden="false" customHeight="false" outlineLevel="0" collapsed="false">
      <c r="A4342" s="5" t="s">
        <v>752</v>
      </c>
      <c r="B4342" s="0" t="s">
        <v>73</v>
      </c>
      <c r="D4342" s="38" t="n">
        <f aca="false">Q!$E$62</f>
        <v>68.836</v>
      </c>
      <c r="E4342" s="38" t="n">
        <f aca="false">Q!$M$62</f>
        <v>132.995</v>
      </c>
      <c r="F4342" s="38" t="n">
        <f aca="false">debt_q2+Sens!$F$4337+Sens!$F$4340</f>
        <v>162.245</v>
      </c>
      <c r="G4342" s="38" t="n">
        <f aca="false">Sens!$F$4342</f>
        <v>162.245</v>
      </c>
      <c r="H4342" s="38" t="n">
        <f aca="false">Sens!$G$4342+Sens!$H$4340</f>
        <v>162.616564258094</v>
      </c>
      <c r="I4342" s="38" t="n">
        <f aca="false">Sens!$H$4342+Sens!$I$4340</f>
        <v>164.099592396089</v>
      </c>
      <c r="J4342" s="38" t="n">
        <f aca="false">Sens!$I$4342+Sens!$J$4340</f>
        <v>164.099592396089</v>
      </c>
      <c r="K4342" s="38" t="n">
        <f aca="false">Sens!$J$4342+Sens!$K$4340</f>
        <v>164.099592396089</v>
      </c>
      <c r="L4342" s="38" t="n">
        <f aca="false">Sens!$K$4342+Sens!$L$4340</f>
        <v>164.099592396089</v>
      </c>
      <c r="M4342" s="38" t="n">
        <f aca="false">Sens!$L$4342+Sens!$M$4340</f>
        <v>164.099592396089</v>
      </c>
    </row>
    <row r="4343" customFormat="false" ht="15" hidden="false" customHeight="false" outlineLevel="0" collapsed="false">
      <c r="A4343" s="5" t="s">
        <v>753</v>
      </c>
      <c r="B4343" s="0" t="s">
        <v>73</v>
      </c>
      <c r="D4343" s="38" t="n">
        <f aca="false">Sens!$D$4342-Sens!$D$4341</f>
        <v>-54.193</v>
      </c>
      <c r="E4343" s="38" t="n">
        <f aca="false">Sens!$E$4342-Sens!$E$4341</f>
        <v>10.007</v>
      </c>
      <c r="F4343" s="38" t="n">
        <f aca="false">Sens!$F$4342-Sens!$F$4341</f>
        <v>67.0428850873731</v>
      </c>
      <c r="G4343" s="38" t="n">
        <f aca="false">Sens!$G$4342-Sens!$G$4341</f>
        <v>67.0428850873731</v>
      </c>
      <c r="H4343" s="38" t="n">
        <f aca="false">Sens!$H$4342-Sens!$H$4341</f>
        <v>112.616564258094</v>
      </c>
      <c r="I4343" s="38" t="n">
        <f aca="false">Sens!$I$4342-Sens!$I$4341</f>
        <v>114.099592396089</v>
      </c>
      <c r="J4343" s="38" t="n">
        <f aca="false">Sens!$J$4342-Sens!$J$4341</f>
        <v>70.2594735942998</v>
      </c>
      <c r="K4343" s="38" t="n">
        <f aca="false">Sens!$K$4342-Sens!$K$4341</f>
        <v>-17.7569504246995</v>
      </c>
      <c r="L4343" s="38" t="n">
        <f aca="false">Sens!$L$4342-Sens!$L$4341</f>
        <v>-118.24972070759</v>
      </c>
      <c r="M4343" s="38" t="n">
        <f aca="false">Sens!$M$4342-Sens!$M$4341</f>
        <v>-209.563745574619</v>
      </c>
    </row>
    <row r="4344" customFormat="false" ht="17.15" hidden="false" customHeight="false" outlineLevel="0" collapsed="false">
      <c r="A4344" s="5" t="s">
        <v>754</v>
      </c>
      <c r="B4344" s="0" t="s">
        <v>73</v>
      </c>
      <c r="F4344" s="38" t="n">
        <f aca="false">debt_q2*kd_book*0.5+iss_2h26*kd_new*0.25</f>
        <v>3.24888964316061</v>
      </c>
      <c r="H4344" s="38" t="n">
        <f aca="false">debt_q2*kd_book+(Sens!$G$4342-debt_q2)*kd_new</f>
        <v>7.42354178632123</v>
      </c>
      <c r="I4344" s="38" t="n">
        <f aca="false">debt_q2*kd_book+(Sens!$H$4342-debt_q2)*kd_new</f>
        <v>7.44706180385855</v>
      </c>
      <c r="J4344" s="38" t="n">
        <f aca="false">debt_q2*kd_book+(Sens!$I$4342-debt_q2)*kd_new</f>
        <v>7.54093748499367</v>
      </c>
      <c r="K4344" s="38" t="n">
        <f aca="false">debt_q2*kd_book+(Sens!$J$4342-debt_q2)*kd_new</f>
        <v>7.54093748499367</v>
      </c>
      <c r="L4344" s="38" t="n">
        <f aca="false">debt_q2*kd_book+(Sens!$K$4342-debt_q2)*kd_new</f>
        <v>7.54093748499367</v>
      </c>
      <c r="M4344" s="38" t="n">
        <f aca="false">debt_q2*kd_book+(Sens!$L$4342-debt_q2)*kd_new</f>
        <v>7.54093748499367</v>
      </c>
    </row>
    <row r="4345" customFormat="false" ht="17.15" hidden="false" customHeight="false" outlineLevel="0" collapsed="false">
      <c r="A4345" s="5" t="s">
        <v>755</v>
      </c>
      <c r="B4345" s="0" t="s">
        <v>73</v>
      </c>
      <c r="F4345" s="38" t="n">
        <f aca="false">cash_q2*y_cash*0.5</f>
        <v>2.59</v>
      </c>
      <c r="H4345" s="38" t="n">
        <f aca="false">Sens!$G$4341*y_cash</f>
        <v>4.00971603121774</v>
      </c>
      <c r="I4345" s="38" t="n">
        <f aca="false">Sens!$H$4341*y_cash</f>
        <v>2.10589651022864</v>
      </c>
      <c r="J4345" s="38" t="n">
        <f aca="false">Sens!$I$4341*y_cash</f>
        <v>2.10589651022864</v>
      </c>
      <c r="K4345" s="38" t="n">
        <f aca="false">Sens!$J$4341*y_cash</f>
        <v>3.95235157408258</v>
      </c>
      <c r="L4345" s="38" t="n">
        <f aca="false">Sens!$K$4341*y_cash</f>
        <v>7.65942117777088</v>
      </c>
      <c r="M4345" s="38" t="n">
        <f aca="false">Sens!$L$4341*y_cash</f>
        <v>11.8919686626098</v>
      </c>
    </row>
    <row r="4346" customFormat="false" ht="17.15" hidden="false" customHeight="false" outlineLevel="0" collapsed="false">
      <c r="A4346" s="46" t="s">
        <v>756</v>
      </c>
      <c r="B4346" s="13" t="s">
        <v>73</v>
      </c>
      <c r="C4346" s="13"/>
      <c r="D4346" s="13"/>
      <c r="E4346" s="13"/>
      <c r="F4346" s="13"/>
      <c r="G4346" s="47" t="n">
        <f aca="false">SUM(Sens!$G$4335:$K$4335)</f>
        <v>23.3729504246995</v>
      </c>
      <c r="H4346" s="13"/>
      <c r="I4346" s="13"/>
      <c r="J4346" s="13"/>
      <c r="K4346" s="13"/>
      <c r="L4346" s="13"/>
      <c r="M4346" s="13"/>
      <c r="N4346" s="13"/>
      <c r="O4346" s="13"/>
    </row>
    <row r="4347" customFormat="false" ht="17.15" hidden="false" customHeight="false" outlineLevel="0" collapsed="false">
      <c r="A4347" s="0" t="s">
        <v>723</v>
      </c>
      <c r="B4347" s="0" t="s">
        <v>73</v>
      </c>
      <c r="G4347" s="38" t="n">
        <f aca="false">SUM(Sens!$G$4340:$K$4340)</f>
        <v>1.8545923960891</v>
      </c>
    </row>
    <row r="4350" customFormat="false" ht="19.4" hidden="false" customHeight="false" outlineLevel="0" collapsed="false">
      <c r="A4350" s="31" t="s">
        <v>1137</v>
      </c>
    </row>
    <row r="4351" customFormat="false" ht="17.15" hidden="false" customHeight="false" outlineLevel="0" collapsed="false">
      <c r="A4351" s="6" t="s">
        <v>16</v>
      </c>
      <c r="B4351" s="6" t="s">
        <v>17</v>
      </c>
      <c r="C4351" s="20" t="s">
        <v>457</v>
      </c>
      <c r="D4351" s="20" t="s">
        <v>458</v>
      </c>
      <c r="E4351" s="20" t="s">
        <v>540</v>
      </c>
      <c r="F4351" s="20" t="s">
        <v>541</v>
      </c>
      <c r="G4351" s="20" t="s">
        <v>542</v>
      </c>
      <c r="H4351" s="20" t="s">
        <v>543</v>
      </c>
      <c r="I4351" s="20" t="s">
        <v>544</v>
      </c>
      <c r="J4351" s="20" t="s">
        <v>545</v>
      </c>
      <c r="K4351" s="20" t="s">
        <v>546</v>
      </c>
      <c r="L4351" s="20" t="s">
        <v>547</v>
      </c>
      <c r="M4351" s="20" t="s">
        <v>548</v>
      </c>
      <c r="N4351" s="20" t="s">
        <v>549</v>
      </c>
      <c r="O4351" s="20" t="s">
        <v>550</v>
      </c>
      <c r="P4351" s="6" t="s">
        <v>23</v>
      </c>
      <c r="R4351" s="20" t="n">
        <v>2023</v>
      </c>
      <c r="S4351" s="20" t="n">
        <v>2024</v>
      </c>
      <c r="T4351" s="20" t="n">
        <v>2025</v>
      </c>
      <c r="U4351" s="20" t="n">
        <v>2026</v>
      </c>
      <c r="V4351" s="20" t="n">
        <v>2027</v>
      </c>
      <c r="W4351" s="20" t="n">
        <v>2028</v>
      </c>
      <c r="X4351" s="20" t="n">
        <v>2029</v>
      </c>
      <c r="Y4351" s="20" t="n">
        <v>2030</v>
      </c>
      <c r="Z4351" s="20" t="n">
        <v>2031</v>
      </c>
      <c r="AA4351" s="20" t="n">
        <v>2032</v>
      </c>
    </row>
    <row r="4352" customFormat="false" ht="17.15" hidden="false" customHeight="false" outlineLevel="0" collapsed="false">
      <c r="A4352" s="1" t="s">
        <v>851</v>
      </c>
    </row>
    <row r="4353" customFormat="false" ht="17.15" hidden="false" customHeight="false" outlineLevel="0" collapsed="false">
      <c r="A4353" s="0" t="s">
        <v>852</v>
      </c>
      <c r="B4353" s="0" t="s">
        <v>73</v>
      </c>
      <c r="H4353" s="38" t="n">
        <f aca="false">Sens!$H$4289*(1-tax)</f>
        <v>113.218947752369</v>
      </c>
      <c r="I4353" s="38" t="n">
        <f aca="false">Sens!$I$4289*(1-tax)</f>
        <v>135.21290964491</v>
      </c>
      <c r="J4353" s="38" t="n">
        <f aca="false">Sens!$J$4289*(1-tax)</f>
        <v>155.087788649257</v>
      </c>
      <c r="K4353" s="38" t="n">
        <f aca="false">Sens!$K$4289*(1-tax)</f>
        <v>171.547984187274</v>
      </c>
      <c r="L4353" s="38" t="n">
        <f aca="false">Sens!$L$4289*(1-tax)</f>
        <v>188.181707880863</v>
      </c>
      <c r="M4353" s="38" t="n">
        <f aca="false">Sens!$M$4289*(1-tax)</f>
        <v>205.417886710441</v>
      </c>
    </row>
    <row r="4354" customFormat="false" ht="15" hidden="false" customHeight="false" outlineLevel="0" collapsed="false">
      <c r="A4354" s="5" t="s">
        <v>853</v>
      </c>
      <c r="B4354" s="0" t="s">
        <v>73</v>
      </c>
      <c r="H4354" s="38" t="n">
        <f aca="false">Sens!$H$4301</f>
        <v>87.6845218193838</v>
      </c>
      <c r="I4354" s="38" t="n">
        <f aca="false">Sens!$I$4301</f>
        <v>122.294769708638</v>
      </c>
      <c r="J4354" s="38" t="n">
        <f aca="false">Sens!$J$4301</f>
        <v>157.133962573221</v>
      </c>
      <c r="K4354" s="38" t="n">
        <f aca="false">Sens!$K$4301</f>
        <v>191.350633353599</v>
      </c>
      <c r="L4354" s="38" t="n">
        <f aca="false">Sens!$L$4301</f>
        <v>223.909238335354</v>
      </c>
      <c r="M4354" s="38" t="n">
        <f aca="false">Sens!$M$4301</f>
        <v>257.576319867276</v>
      </c>
    </row>
    <row r="4355" customFormat="false" ht="15" hidden="false" customHeight="false" outlineLevel="0" collapsed="false">
      <c r="A4355" s="5" t="s">
        <v>854</v>
      </c>
      <c r="B4355" s="0" t="s">
        <v>73</v>
      </c>
      <c r="H4355" s="38" t="n">
        <f aca="false">Sens!$H$4330</f>
        <v>277.870120501355</v>
      </c>
      <c r="I4355" s="38" t="n">
        <f aca="false">Sens!$I$4330</f>
        <v>293.934464585378</v>
      </c>
      <c r="J4355" s="38" t="n">
        <f aca="false">Sens!$J$4330</f>
        <v>308.06904811359</v>
      </c>
      <c r="K4355" s="38" t="n">
        <f aca="false">Sens!$K$4330</f>
        <v>320.385735318248</v>
      </c>
      <c r="L4355" s="38" t="n">
        <f aca="false">Sens!$L$4330</f>
        <v>364.65641921833</v>
      </c>
      <c r="M4355" s="38" t="n">
        <f aca="false">Sens!$M$4330</f>
        <v>432.943173024858</v>
      </c>
    </row>
    <row r="4356" customFormat="false" ht="15" hidden="false" customHeight="false" outlineLevel="0" collapsed="false">
      <c r="A4356" s="5" t="s">
        <v>855</v>
      </c>
      <c r="B4356" s="0" t="s">
        <v>73</v>
      </c>
      <c r="H4356" s="38" t="n">
        <f aca="false">Sens!$H$4331</f>
        <v>1.6</v>
      </c>
      <c r="I4356" s="38" t="n">
        <f aca="false">Sens!$I$4331</f>
        <v>1.6</v>
      </c>
      <c r="J4356" s="38" t="n">
        <f aca="false">Sens!$J$4331</f>
        <v>1.6</v>
      </c>
      <c r="K4356" s="38" t="n">
        <f aca="false">Sens!$K$4331</f>
        <v>1.6</v>
      </c>
      <c r="L4356" s="38" t="n">
        <f aca="false">Sens!$L$4331</f>
        <v>1.6</v>
      </c>
      <c r="M4356" s="38" t="n">
        <f aca="false">Sens!$M$4331</f>
        <v>1.6</v>
      </c>
    </row>
    <row r="4357" customFormat="false" ht="15" hidden="false" customHeight="false" outlineLevel="0" collapsed="false">
      <c r="A4357" s="5" t="s">
        <v>856</v>
      </c>
      <c r="B4357" s="0" t="s">
        <v>73</v>
      </c>
      <c r="H4357" s="38" t="n">
        <f aca="false">Sens!$H$4325</f>
        <v>11.6369707537667</v>
      </c>
      <c r="I4357" s="38" t="n">
        <f aca="false">Sens!$I$4325</f>
        <v>13.3082502961262</v>
      </c>
      <c r="J4357" s="38" t="n">
        <f aca="false">Sens!$J$4325</f>
        <v>14.8747965344332</v>
      </c>
      <c r="K4357" s="38" t="n">
        <f aca="false">Sens!$K$4325</f>
        <v>16.2687901804328</v>
      </c>
      <c r="L4357" s="38" t="n">
        <f aca="false">Sens!$L$4325</f>
        <v>17.7280727627002</v>
      </c>
      <c r="M4357" s="38" t="n">
        <f aca="false">Sens!$M$4325</f>
        <v>19.2574690270319</v>
      </c>
    </row>
    <row r="4358" customFormat="false" ht="17.15" hidden="false" customHeight="false" outlineLevel="0" collapsed="false">
      <c r="A4358" s="1" t="s">
        <v>857</v>
      </c>
      <c r="B4358" s="8" t="s">
        <v>73</v>
      </c>
      <c r="H4358" s="38" t="n">
        <f aca="false">Sens!$H$4353+Sens!$H$4354-Sens!$H$4355-Sens!$H$4356+Sens!$H$4357</f>
        <v>-66.9296801758361</v>
      </c>
      <c r="I4358" s="38" t="n">
        <f aca="false">Sens!$I$4353+Sens!$I$4354-Sens!$I$4355-Sens!$I$4356+Sens!$I$4357</f>
        <v>-24.7185349357046</v>
      </c>
      <c r="J4358" s="38" t="n">
        <f aca="false">Sens!$J$4353+Sens!$J$4354-Sens!$J$4355-Sens!$J$4356+Sens!$J$4357</f>
        <v>17.4274996433206</v>
      </c>
      <c r="K4358" s="38" t="n">
        <f aca="false">Sens!$K$4353+Sens!$K$4354-Sens!$K$4355-Sens!$K$4356+Sens!$K$4357</f>
        <v>57.1816724030581</v>
      </c>
      <c r="L4358" s="38" t="n">
        <f aca="false">Sens!$L$4353+Sens!$L$4354-Sens!$L$4355-Sens!$L$4356+Sens!$L$4357</f>
        <v>63.562599760587</v>
      </c>
      <c r="M4358" s="38" t="n">
        <f aca="false">Sens!$M$4353+Sens!$M$4354-Sens!$M$4355-Sens!$M$4356+Sens!$M$4357</f>
        <v>47.7085025798914</v>
      </c>
    </row>
    <row r="4359" customFormat="false" ht="15" hidden="false" customHeight="false" outlineLevel="0" collapsed="false">
      <c r="A4359" s="5" t="s">
        <v>858</v>
      </c>
      <c r="B4359" s="0" t="s">
        <v>57</v>
      </c>
      <c r="H4359" s="51" t="n">
        <f aca="false">1/(1+wacc)^(2027-2026-0.5)</f>
        <v>0.942858177653364</v>
      </c>
      <c r="I4359" s="51" t="n">
        <f aca="false">1/(1+wacc)^(2028-2026-0.5)</f>
        <v>0.838183517758688</v>
      </c>
      <c r="J4359" s="51" t="n">
        <f aca="false">1/(1+wacc)^(2029-2026-0.5)</f>
        <v>0.745129677074952</v>
      </c>
      <c r="K4359" s="51" t="n">
        <f aca="false">1/(1+wacc)^(2030-2026-0.5)</f>
        <v>0.662406530186232</v>
      </c>
      <c r="L4359" s="51" t="n">
        <f aca="false">1/(1+wacc)^(2031-2026-0.5)</f>
        <v>0.588867179409399</v>
      </c>
      <c r="M4359" s="51" t="n">
        <f aca="false">1/(1+wacc)^(2032-2026-0.5)</f>
        <v>0.52349205387225</v>
      </c>
    </row>
    <row r="4360" customFormat="false" ht="15" hidden="false" customHeight="false" outlineLevel="0" collapsed="false">
      <c r="A4360" s="5" t="s">
        <v>859</v>
      </c>
      <c r="B4360" s="0" t="s">
        <v>73</v>
      </c>
      <c r="H4360" s="38" t="n">
        <f aca="false">Sens!$H$4358*Sens!$H$4359</f>
        <v>-63.1051962815113</v>
      </c>
      <c r="I4360" s="38" t="n">
        <f aca="false">Sens!$I$4358*Sens!$I$4359</f>
        <v>-20.7186685662499</v>
      </c>
      <c r="J4360" s="38" t="n">
        <f aca="false">Sens!$J$4358*Sens!$J$4359</f>
        <v>12.9857471814513</v>
      </c>
      <c r="K4360" s="38" t="n">
        <f aca="false">Sens!$K$4358*Sens!$K$4359</f>
        <v>37.8775132067555</v>
      </c>
      <c r="L4360" s="38" t="n">
        <f aca="false">Sens!$L$4358*Sens!$L$4359</f>
        <v>37.4299288369454</v>
      </c>
      <c r="M4360" s="38" t="n">
        <f aca="false">Sens!$M$4358*Sens!$M$4359</f>
        <v>24.9750220027169</v>
      </c>
    </row>
    <row r="4361" customFormat="false" ht="15" hidden="false" customHeight="false" outlineLevel="0" collapsed="false">
      <c r="A4361" s="5" t="s">
        <v>860</v>
      </c>
      <c r="B4361" s="0" t="s">
        <v>73</v>
      </c>
      <c r="C4361" s="38" t="n">
        <f aca="false">SUM(Sens!$H$4360:$M$4360)</f>
        <v>29.4443463801079</v>
      </c>
    </row>
    <row r="4362" customFormat="false" ht="17.15" hidden="false" customHeight="false" outlineLevel="0" collapsed="false">
      <c r="A4362" s="5" t="s">
        <v>861</v>
      </c>
      <c r="B4362" s="0" t="s">
        <v>73</v>
      </c>
      <c r="C4362" s="38" t="n">
        <f aca="false">Sens!$M$4353*(1+tg)*(1-tg/ronic)/(wacc-tg)</f>
        <v>1694.23262209557</v>
      </c>
    </row>
    <row r="4363" customFormat="false" ht="15" hidden="false" customHeight="false" outlineLevel="0" collapsed="false">
      <c r="A4363" s="5" t="s">
        <v>862</v>
      </c>
      <c r="B4363" s="0" t="s">
        <v>73</v>
      </c>
      <c r="C4363" s="38" t="n">
        <f aca="false">Sens!$C$4362/(1+wacc)^6</f>
        <v>836.237243423827</v>
      </c>
    </row>
    <row r="4364" customFormat="false" ht="17.15" hidden="false" customHeight="false" outlineLevel="0" collapsed="false">
      <c r="A4364" s="5" t="s">
        <v>863</v>
      </c>
      <c r="B4364" s="0" t="s">
        <v>73</v>
      </c>
      <c r="C4364" s="38" t="n">
        <f aca="false">Sens!$C$4361+Sens!$C$4363</f>
        <v>865.681589803935</v>
      </c>
    </row>
    <row r="4365" customFormat="false" ht="17.15" hidden="false" customHeight="false" outlineLevel="0" collapsed="false">
      <c r="A4365" s="5" t="s">
        <v>864</v>
      </c>
      <c r="B4365" s="0" t="s">
        <v>52</v>
      </c>
      <c r="C4365" s="12" t="n">
        <f aca="false">Sens!$C$4363/Sens!$C$4364</f>
        <v>0.965987094184622</v>
      </c>
    </row>
    <row r="4366" customFormat="false" ht="17.15" hidden="false" customHeight="false" outlineLevel="0" collapsed="false">
      <c r="A4366" s="5" t="s">
        <v>865</v>
      </c>
      <c r="B4366" s="0" t="s">
        <v>73</v>
      </c>
      <c r="C4366" s="38" t="n">
        <f aca="false">Sens!$G$4343</f>
        <v>67.0428850873731</v>
      </c>
    </row>
    <row r="4367" customFormat="false" ht="17.15" hidden="false" customHeight="false" outlineLevel="0" collapsed="false">
      <c r="A4367" s="5" t="s">
        <v>866</v>
      </c>
      <c r="B4367" s="0" t="s">
        <v>73</v>
      </c>
      <c r="C4367" s="38" t="n">
        <f aca="false">(ant_val*ant_sh+oai_val*oai_sh)*(1-liq_disc)</f>
        <v>178.944</v>
      </c>
    </row>
    <row r="4368" customFormat="false" ht="15" hidden="false" customHeight="false" outlineLevel="0" collapsed="false">
      <c r="A4368" s="5" t="s">
        <v>867</v>
      </c>
      <c r="B4368" s="0" t="s">
        <v>73</v>
      </c>
      <c r="C4368" s="38" t="n">
        <f aca="false">Sens!$C$4364-Sens!$C$4366+Sens!$C$4367</f>
        <v>977.582704716562</v>
      </c>
    </row>
    <row r="4369" customFormat="false" ht="17.15" hidden="false" customHeight="false" outlineLevel="0" collapsed="false">
      <c r="A4369" s="5" t="s">
        <v>868</v>
      </c>
      <c r="B4369" s="0" t="s">
        <v>27</v>
      </c>
      <c r="C4369" s="30" t="n">
        <f aca="false">Sens!$C$4368/sh_val</f>
        <v>88.6269153096242</v>
      </c>
    </row>
    <row r="4370" customFormat="false" ht="17.15" hidden="false" customHeight="false" outlineLevel="0" collapsed="false">
      <c r="A4370" s="1" t="s">
        <v>869</v>
      </c>
      <c r="B4370" s="8" t="s">
        <v>27</v>
      </c>
      <c r="C4370" s="30" t="n">
        <f aca="false">Sens!$C$4369*(1+ke)^tp_yf</f>
        <v>97.8835464264075</v>
      </c>
    </row>
    <row r="4371" customFormat="false" ht="17.15" hidden="false" customHeight="false" outlineLevel="0" collapsed="false">
      <c r="A4371" s="3" t="s">
        <v>870</v>
      </c>
    </row>
    <row r="4372" customFormat="false" ht="17.15" hidden="false" customHeight="false" outlineLevel="0" collapsed="false">
      <c r="A4372" s="5" t="s">
        <v>871</v>
      </c>
      <c r="B4372" s="0" t="s">
        <v>73</v>
      </c>
      <c r="C4372" s="38" t="n">
        <f aca="false">0.25*Sens!$H$4302+0.75*Sens!$I$4302</f>
        <v>57.5541093268329</v>
      </c>
    </row>
    <row r="4373" customFormat="false" ht="15" hidden="false" customHeight="false" outlineLevel="0" collapsed="false">
      <c r="A4373" s="5" t="s">
        <v>872</v>
      </c>
      <c r="B4373" s="0" t="s">
        <v>57</v>
      </c>
      <c r="C4373" s="30" t="n">
        <f aca="false">m_ads*m_x</f>
        <v>9.11</v>
      </c>
    </row>
    <row r="4374" customFormat="false" ht="17.15" hidden="false" customHeight="false" outlineLevel="0" collapsed="false">
      <c r="A4374" s="5" t="s">
        <v>873</v>
      </c>
      <c r="B4374" s="0" t="s">
        <v>73</v>
      </c>
      <c r="C4374" s="38" t="n">
        <f aca="false">Sens!$C$4372*Sens!$C$4373</f>
        <v>524.317935967448</v>
      </c>
    </row>
    <row r="4375" customFormat="false" ht="17.15" hidden="false" customHeight="false" outlineLevel="0" collapsed="false">
      <c r="A4375" s="5" t="s">
        <v>874</v>
      </c>
      <c r="B4375" s="0" t="s">
        <v>73</v>
      </c>
      <c r="C4375" s="38" t="n">
        <f aca="false">0.25*Sens!$H$4303+0.75*Sens!$I$4303</f>
        <v>33.1782275816798</v>
      </c>
    </row>
    <row r="4376" customFormat="false" ht="15" hidden="false" customHeight="false" outlineLevel="0" collapsed="false">
      <c r="A4376" s="5" t="s">
        <v>875</v>
      </c>
      <c r="B4376" s="0" t="s">
        <v>57</v>
      </c>
      <c r="C4376" s="30" t="n">
        <f aca="false">m_retail*m_x</f>
        <v>17.72</v>
      </c>
    </row>
    <row r="4377" customFormat="false" ht="17.15" hidden="false" customHeight="false" outlineLevel="0" collapsed="false">
      <c r="A4377" s="5" t="s">
        <v>876</v>
      </c>
      <c r="B4377" s="0" t="s">
        <v>73</v>
      </c>
      <c r="C4377" s="38" t="n">
        <f aca="false">Sens!$C$4375*Sens!$C$4376</f>
        <v>587.918192747366</v>
      </c>
    </row>
    <row r="4378" customFormat="false" ht="17.15" hidden="false" customHeight="false" outlineLevel="0" collapsed="false">
      <c r="A4378" s="0" t="s">
        <v>877</v>
      </c>
      <c r="B4378" s="0" t="s">
        <v>73</v>
      </c>
      <c r="C4378" s="38" t="n">
        <f aca="false">0.25*Sens!$H$4304+0.75*Sens!$I$4304</f>
        <v>107.575398943098</v>
      </c>
    </row>
    <row r="4379" customFormat="false" ht="17.15" hidden="false" customHeight="false" outlineLevel="0" collapsed="false">
      <c r="A4379" s="0" t="s">
        <v>878</v>
      </c>
      <c r="B4379" s="0" t="s">
        <v>57</v>
      </c>
      <c r="C4379" s="30" t="n">
        <f aca="false">m_cloud*m_x</f>
        <v>13.82</v>
      </c>
    </row>
    <row r="4380" customFormat="false" ht="17.15" hidden="false" customHeight="false" outlineLevel="0" collapsed="false">
      <c r="A4380" s="0" t="s">
        <v>879</v>
      </c>
      <c r="B4380" s="0" t="s">
        <v>73</v>
      </c>
      <c r="C4380" s="38" t="n">
        <f aca="false">Sens!$C$4378*Sens!$C$4379</f>
        <v>1486.69201339361</v>
      </c>
    </row>
    <row r="4381" customFormat="false" ht="17.15" hidden="false" customHeight="false" outlineLevel="0" collapsed="false">
      <c r="A4381" s="0" t="s">
        <v>880</v>
      </c>
      <c r="B4381" s="0" t="s">
        <v>73</v>
      </c>
      <c r="C4381" s="38" t="n">
        <f aca="false">0.25*Sens!$H$4305+0.75*Sens!$I$4305</f>
        <v>72.2947701247864</v>
      </c>
    </row>
    <row r="4382" customFormat="false" ht="17.15" hidden="false" customHeight="false" outlineLevel="0" collapsed="false">
      <c r="A4382" s="0" t="s">
        <v>881</v>
      </c>
      <c r="B4382" s="0" t="s">
        <v>57</v>
      </c>
      <c r="C4382" s="30" t="n">
        <f aca="false">m_ai</f>
        <v>6</v>
      </c>
    </row>
    <row r="4383" customFormat="false" ht="17.15" hidden="false" customHeight="false" outlineLevel="0" collapsed="false">
      <c r="A4383" s="0" t="s">
        <v>882</v>
      </c>
      <c r="B4383" s="0" t="s">
        <v>73</v>
      </c>
      <c r="C4383" s="38" t="n">
        <f aca="false">Sens!$C$4381*Sens!$C$4382</f>
        <v>433.768620748718</v>
      </c>
    </row>
    <row r="4384" customFormat="false" ht="17.15" hidden="false" customHeight="false" outlineLevel="0" collapsed="false">
      <c r="A4384" s="5" t="s">
        <v>883</v>
      </c>
      <c r="B4384" s="0" t="s">
        <v>73</v>
      </c>
      <c r="C4384" s="38" t="n">
        <f aca="false">Sens!$C$4374+Sens!$C$4377+Sens!$C$4380+Sens!$C$4383</f>
        <v>3032.69676285714</v>
      </c>
    </row>
    <row r="4385" customFormat="false" ht="17.15" hidden="false" customHeight="false" outlineLevel="0" collapsed="false">
      <c r="A4385" s="5" t="s">
        <v>884</v>
      </c>
      <c r="B4385" s="0" t="s">
        <v>73</v>
      </c>
      <c r="C4385" s="38" t="n">
        <f aca="false">Sens!$H$4343</f>
        <v>112.616564258094</v>
      </c>
    </row>
    <row r="4386" customFormat="false" ht="15" hidden="false" customHeight="false" outlineLevel="0" collapsed="false">
      <c r="A4386" s="5" t="s">
        <v>885</v>
      </c>
      <c r="B4386" s="0" t="s">
        <v>73</v>
      </c>
      <c r="C4386" s="38" t="n">
        <f aca="false">Sens!$C$4384-Sens!$C$4385+Sens!$C$4367</f>
        <v>3099.02419859905</v>
      </c>
    </row>
    <row r="4387" customFormat="false" ht="15" hidden="false" customHeight="false" outlineLevel="0" collapsed="false">
      <c r="A4387" s="3" t="s">
        <v>886</v>
      </c>
      <c r="B4387" s="8" t="s">
        <v>27</v>
      </c>
      <c r="C4387" s="30" t="n">
        <f aca="false">Sens!$C$4386/sh_val</f>
        <v>280.95521112083</v>
      </c>
    </row>
    <row r="4388" customFormat="false" ht="17.15" hidden="false" customHeight="false" outlineLevel="0" collapsed="false">
      <c r="A4388" s="46" t="s">
        <v>887</v>
      </c>
      <c r="B4388" s="13" t="s">
        <v>27</v>
      </c>
      <c r="C4388" s="43" t="n">
        <f aca="false">w_dcf*Sens!$C$4370+(1-w_dcf)*Sens!$C$4387</f>
        <v>189.419378773619</v>
      </c>
      <c r="D4388" s="13"/>
      <c r="E4388" s="13"/>
      <c r="F4388" s="13"/>
      <c r="G4388" s="13"/>
      <c r="H4388" s="13"/>
      <c r="I4388" s="13"/>
      <c r="J4388" s="13"/>
      <c r="K4388" s="13"/>
      <c r="L4388" s="13"/>
      <c r="M4388" s="13"/>
      <c r="N4388" s="13"/>
      <c r="O4388" s="13"/>
    </row>
    <row r="4389" customFormat="false" ht="17.15" hidden="false" customHeight="false" outlineLevel="0" collapsed="false">
      <c r="A4389" s="5" t="s">
        <v>888</v>
      </c>
      <c r="B4389" s="0" t="s">
        <v>27</v>
      </c>
      <c r="C4389" s="30" t="n">
        <f aca="false">0.45*Sens!$C$4370+0.55*Sens!$C$4387</f>
        <v>198.57296200834</v>
      </c>
    </row>
    <row r="4392" customFormat="false" ht="19.4" hidden="false" customHeight="false" outlineLevel="0" collapsed="false">
      <c r="A4392" s="31" t="s">
        <v>1138</v>
      </c>
    </row>
    <row r="4393" customFormat="false" ht="17.15" hidden="false" customHeight="false" outlineLevel="0" collapsed="false">
      <c r="A4393" s="6" t="s">
        <v>16</v>
      </c>
      <c r="B4393" s="6" t="s">
        <v>17</v>
      </c>
      <c r="C4393" s="20" t="s">
        <v>457</v>
      </c>
      <c r="D4393" s="20" t="s">
        <v>458</v>
      </c>
      <c r="E4393" s="20" t="s">
        <v>540</v>
      </c>
      <c r="F4393" s="20" t="s">
        <v>541</v>
      </c>
      <c r="G4393" s="20" t="s">
        <v>542</v>
      </c>
      <c r="H4393" s="20" t="s">
        <v>543</v>
      </c>
      <c r="I4393" s="20" t="s">
        <v>544</v>
      </c>
      <c r="J4393" s="20" t="s">
        <v>545</v>
      </c>
      <c r="K4393" s="20" t="s">
        <v>546</v>
      </c>
      <c r="L4393" s="20" t="s">
        <v>547</v>
      </c>
      <c r="M4393" s="20" t="s">
        <v>548</v>
      </c>
      <c r="N4393" s="20" t="s">
        <v>549</v>
      </c>
      <c r="O4393" s="20" t="s">
        <v>550</v>
      </c>
      <c r="P4393" s="6" t="s">
        <v>23</v>
      </c>
      <c r="R4393" s="20" t="n">
        <v>2023</v>
      </c>
      <c r="S4393" s="20" t="n">
        <v>2024</v>
      </c>
      <c r="T4393" s="20" t="n">
        <v>2025</v>
      </c>
      <c r="U4393" s="20" t="n">
        <v>2026</v>
      </c>
      <c r="V4393" s="20" t="n">
        <v>2027</v>
      </c>
      <c r="W4393" s="20" t="n">
        <v>2028</v>
      </c>
      <c r="X4393" s="20" t="n">
        <v>2029</v>
      </c>
      <c r="Y4393" s="20" t="n">
        <v>2030</v>
      </c>
      <c r="Z4393" s="20" t="n">
        <v>2031</v>
      </c>
      <c r="AA4393" s="20" t="n">
        <v>2032</v>
      </c>
    </row>
    <row r="4394" customFormat="false" ht="17.15" hidden="false" customHeight="false" outlineLevel="0" collapsed="false">
      <c r="A4394" s="1" t="s">
        <v>620</v>
      </c>
    </row>
    <row r="4395" customFormat="false" ht="17.15" hidden="false" customHeight="false" outlineLevel="0" collapsed="false">
      <c r="A4395" s="0" t="s">
        <v>479</v>
      </c>
      <c r="B4395" s="0" t="s">
        <v>73</v>
      </c>
      <c r="C4395" s="38" t="n">
        <f aca="false">Q!$D$10</f>
        <v>247.029</v>
      </c>
      <c r="D4395" s="38" t="n">
        <f aca="false">Q!$E$10</f>
        <v>269.287</v>
      </c>
      <c r="E4395" s="38" t="n">
        <f aca="false">Q!$P$10</f>
        <v>134.686</v>
      </c>
      <c r="F4395" s="38" t="n">
        <f aca="false">Sens!$O$4395*(1+Sens!$F$4396)-pd_amt*Q!$O$10/(Q!$O$10+Q!$O$12)</f>
        <v>160.728085930082</v>
      </c>
      <c r="G4395" s="38" t="n">
        <f aca="false">Sens!$E$4395+Sens!$F$4395</f>
        <v>295.414085930082</v>
      </c>
      <c r="H4395" s="38" t="n">
        <f aca="false">Sens!$G$4395*(1+Sens!$H$4396)</f>
        <v>320.828163943375</v>
      </c>
      <c r="I4395" s="38" t="n">
        <f aca="false">Sens!$H$4395*(1+Sens!$I$4396)</f>
        <v>344.575578072228</v>
      </c>
      <c r="J4395" s="38" t="n">
        <f aca="false">Sens!$I$4395*(1+Sens!$J$4396)</f>
        <v>365.942555779681</v>
      </c>
      <c r="K4395" s="38" t="n">
        <f aca="false">Sens!$J$4395*(1+Sens!$K$4396)</f>
        <v>384.239683568665</v>
      </c>
      <c r="L4395" s="38" t="n">
        <f aca="false">Sens!$K$4395*(1+Sens!$L$4396)</f>
        <v>403.451667747098</v>
      </c>
      <c r="M4395" s="38" t="n">
        <f aca="false">Sens!$L$4395*(1+Sens!$M$4396)</f>
        <v>423.624251134453</v>
      </c>
      <c r="N4395" s="38" t="n">
        <f aca="false">Q!$N$10</f>
        <v>118.892</v>
      </c>
      <c r="O4395" s="38" t="n">
        <f aca="false">Q!$O$10</f>
        <v>150.395</v>
      </c>
      <c r="P4395" s="8" t="s">
        <v>621</v>
      </c>
    </row>
    <row r="4396" customFormat="false" ht="17.15" hidden="false" customHeight="false" outlineLevel="0" collapsed="false">
      <c r="A4396" s="0" t="s">
        <v>622</v>
      </c>
      <c r="B4396" s="0" t="s">
        <v>52</v>
      </c>
      <c r="E4396" s="12" t="n">
        <f aca="false">Sens!$E$4395/Sens!$N$4395-1</f>
        <v>0.132843252699929</v>
      </c>
      <c r="F4396" s="12" t="n">
        <f aca="false">Sens!$O$4395/(Q!$F$10+Q!$G$10)-1</f>
        <v>0.0980382135842941</v>
      </c>
      <c r="G4396" s="12" t="n">
        <f aca="false">Sens!$G$4395/Sens!$D$4395-1</f>
        <v>0.0970231980380869</v>
      </c>
      <c r="H4396" s="12" t="n">
        <f aca="false">Sens!$F$4396+(g_os-Sens!$F$4396)*1/4</f>
        <v>0.0860286601882206</v>
      </c>
      <c r="I4396" s="12" t="n">
        <f aca="false">Sens!$F$4396+(g_os-Sens!$F$4396)*2/4</f>
        <v>0.074019106792147</v>
      </c>
      <c r="J4396" s="12" t="n">
        <f aca="false">Sens!$F$4396+(g_os-Sens!$F$4396)*3/4</f>
        <v>0.0620095533960735</v>
      </c>
      <c r="K4396" s="12" t="n">
        <f aca="false">Sens!$F$4396+(g_os-Sens!$F$4396)*4/4</f>
        <v>0.05</v>
      </c>
      <c r="L4396" s="12" t="n">
        <f aca="false">g_os</f>
        <v>0.05</v>
      </c>
      <c r="M4396" s="12" t="n">
        <f aca="false">g_os</f>
        <v>0.05</v>
      </c>
      <c r="P4396" s="8" t="s">
        <v>623</v>
      </c>
    </row>
    <row r="4397" customFormat="false" ht="17.15" hidden="false" customHeight="false" outlineLevel="0" collapsed="false">
      <c r="A4397" s="0" t="s">
        <v>480</v>
      </c>
      <c r="B4397" s="0" t="s">
        <v>73</v>
      </c>
      <c r="C4397" s="38" t="n">
        <f aca="false">Q!$D$11</f>
        <v>21.215</v>
      </c>
      <c r="D4397" s="38" t="n">
        <f aca="false">Q!$E$11</f>
        <v>22.561</v>
      </c>
      <c r="E4397" s="38" t="n">
        <f aca="false">Q!$P$11</f>
        <v>11.579</v>
      </c>
      <c r="F4397" s="38" t="n">
        <f aca="false">Sens!$O$4397*(1+Sens!$F$4398)</f>
        <v>12.0952613121125</v>
      </c>
      <c r="G4397" s="38" t="n">
        <f aca="false">Sens!$E$4397+Sens!$F$4397</f>
        <v>23.6742613121125</v>
      </c>
      <c r="H4397" s="38" t="n">
        <f aca="false">Sens!$G$4397*(1+Sens!$H$4398)</f>
        <v>24.8803243963206</v>
      </c>
      <c r="I4397" s="38" t="n">
        <f aca="false">Sens!$H$4397*(1+Sens!$I$4398)</f>
        <v>25.9741308664154</v>
      </c>
      <c r="J4397" s="38" t="n">
        <f aca="false">Sens!$I$4397*(1+Sens!$J$4398)</f>
        <v>26.9346894124267</v>
      </c>
      <c r="K4397" s="38" t="n">
        <f aca="false">Sens!$J$4397*(1+Sens!$K$4398)</f>
        <v>27.7427300947995</v>
      </c>
      <c r="L4397" s="38" t="n">
        <f aca="false">Sens!$K$4397*(1+Sens!$L$4398)</f>
        <v>28.5750119976435</v>
      </c>
      <c r="M4397" s="38" t="n">
        <f aca="false">Sens!$L$4397*(1+Sens!$M$4398)</f>
        <v>29.4322623575728</v>
      </c>
      <c r="N4397" s="38" t="n">
        <f aca="false">Q!$N$11</f>
        <v>11.128</v>
      </c>
      <c r="O4397" s="38" t="n">
        <f aca="false">Q!$O$11</f>
        <v>11.433</v>
      </c>
      <c r="P4397" s="8" t="s">
        <v>621</v>
      </c>
    </row>
    <row r="4398" customFormat="false" ht="17.15" hidden="false" customHeight="false" outlineLevel="0" collapsed="false">
      <c r="A4398" s="0" t="s">
        <v>624</v>
      </c>
      <c r="B4398" s="0" t="s">
        <v>52</v>
      </c>
      <c r="E4398" s="12" t="n">
        <f aca="false">Sens!$E$4397/Sens!$N$4397-1</f>
        <v>0.0405283968368082</v>
      </c>
      <c r="F4398" s="12" t="n">
        <f aca="false">Sens!$O$4397/(Q!$F$11+Q!$G$11)-1</f>
        <v>0.0579254187100955</v>
      </c>
      <c r="G4398" s="12" t="n">
        <f aca="false">Sens!$G$4397/Sens!$D$4397-1</f>
        <v>0.0493445021103904</v>
      </c>
      <c r="H4398" s="12" t="n">
        <f aca="false">Sens!$F$4398+(g_ps-Sens!$F$4398)*1/4</f>
        <v>0.0509440640325716</v>
      </c>
      <c r="I4398" s="12" t="n">
        <f aca="false">Sens!$F$4398+(g_ps-Sens!$F$4398)*2/4</f>
        <v>0.0439627093550477</v>
      </c>
      <c r="J4398" s="12" t="n">
        <f aca="false">Sens!$F$4398+(g_ps-Sens!$F$4398)*3/4</f>
        <v>0.0369813546775239</v>
      </c>
      <c r="K4398" s="12" t="n">
        <f aca="false">Sens!$F$4398+(g_ps-Sens!$F$4398)*4/4</f>
        <v>0.03</v>
      </c>
      <c r="L4398" s="12" t="n">
        <f aca="false">g_ps</f>
        <v>0.03</v>
      </c>
      <c r="M4398" s="12" t="n">
        <f aca="false">g_ps</f>
        <v>0.03</v>
      </c>
      <c r="P4398" s="8" t="s">
        <v>625</v>
      </c>
    </row>
    <row r="4399" customFormat="false" ht="17.15" hidden="false" customHeight="false" outlineLevel="0" collapsed="false">
      <c r="A4399" s="0" t="s">
        <v>481</v>
      </c>
      <c r="B4399" s="0" t="s">
        <v>73</v>
      </c>
      <c r="C4399" s="38" t="n">
        <f aca="false">Q!$D$12</f>
        <v>156.146</v>
      </c>
      <c r="D4399" s="38" t="n">
        <f aca="false">Q!$E$12</f>
        <v>172.162</v>
      </c>
      <c r="E4399" s="38" t="n">
        <f aca="false">Q!$P$12</f>
        <v>88.358</v>
      </c>
      <c r="F4399" s="38" t="n">
        <f aca="false">Sens!$O$4399*(1+Sens!$F$4400)-pd_amt*Q!$O$12/(Q!$O$10+Q!$O$12)</f>
        <v>103.62028337149</v>
      </c>
      <c r="G4399" s="38" t="n">
        <f aca="false">Sens!$E$4399+Sens!$F$4399</f>
        <v>191.97828337149</v>
      </c>
      <c r="H4399" s="38" t="n">
        <f aca="false">Sens!$G$4399*(1+Sens!$H$4400)</f>
        <v>212.128608444755</v>
      </c>
      <c r="I4399" s="38" t="n">
        <f aca="false">Sens!$H$4399*(1+Sens!$I$4400)</f>
        <v>231.92183134134</v>
      </c>
      <c r="J4399" s="38" t="n">
        <f aca="false">Sens!$I$4399*(1+Sens!$J$4400)</f>
        <v>250.859136487863</v>
      </c>
      <c r="K4399" s="38" t="n">
        <f aca="false">Sens!$J$4399*(1+Sens!$K$4400)</f>
        <v>268.419276042014</v>
      </c>
      <c r="L4399" s="38" t="n">
        <f aca="false">Sens!$K$4399*(1+Sens!$L$4400)</f>
        <v>287.208625364954</v>
      </c>
      <c r="M4399" s="38" t="n">
        <f aca="false">Sens!$L$4399*(1+Sens!$M$4400)</f>
        <v>307.313229140501</v>
      </c>
      <c r="N4399" s="38" t="n">
        <f aca="false">Q!$N$12</f>
        <v>76.86</v>
      </c>
      <c r="O4399" s="38" t="n">
        <f aca="false">Q!$O$12</f>
        <v>95.302</v>
      </c>
      <c r="P4399" s="8" t="s">
        <v>621</v>
      </c>
    </row>
    <row r="4400" customFormat="false" ht="17.15" hidden="false" customHeight="false" outlineLevel="0" collapsed="false">
      <c r="A4400" s="0" t="s">
        <v>626</v>
      </c>
      <c r="B4400" s="0" t="s">
        <v>52</v>
      </c>
      <c r="E4400" s="12" t="n">
        <f aca="false">Sens!$E$4399/Sens!$N$4399-1</f>
        <v>0.1495966692688</v>
      </c>
      <c r="F4400" s="12" t="n">
        <f aca="false">Sens!$O$4399/(Q!$F$12+Q!$G$12)-1</f>
        <v>0.11661530890813</v>
      </c>
      <c r="G4400" s="12" t="n">
        <f aca="false">Sens!$G$4399/Sens!$D$4399-1</f>
        <v>0.115102539303041</v>
      </c>
      <c r="H4400" s="12" t="n">
        <f aca="false">Sens!$F$4400+(g_sp-Sens!$F$4400)*1/4</f>
        <v>0.104961481681098</v>
      </c>
      <c r="I4400" s="12" t="n">
        <f aca="false">Sens!$F$4400+(g_sp-Sens!$F$4400)*2/4</f>
        <v>0.0933076544540651</v>
      </c>
      <c r="J4400" s="12" t="n">
        <f aca="false">Sens!$F$4400+(g_sp-Sens!$F$4400)*3/4</f>
        <v>0.0816538272270325</v>
      </c>
      <c r="K4400" s="12" t="n">
        <f aca="false">Sens!$F$4400+(g_sp-Sens!$F$4400)*4/4</f>
        <v>0.07</v>
      </c>
      <c r="L4400" s="12" t="n">
        <f aca="false">g_sp</f>
        <v>0.07</v>
      </c>
      <c r="M4400" s="12" t="n">
        <f aca="false">g_sp</f>
        <v>0.07</v>
      </c>
      <c r="P4400" s="8" t="s">
        <v>627</v>
      </c>
    </row>
    <row r="4401" customFormat="false" ht="17.15" hidden="false" customHeight="false" outlineLevel="0" collapsed="false">
      <c r="A4401" s="0" t="s">
        <v>482</v>
      </c>
      <c r="B4401" s="0" t="s">
        <v>73</v>
      </c>
      <c r="C4401" s="38" t="n">
        <f aca="false">Q!$D$13</f>
        <v>56.214</v>
      </c>
      <c r="D4401" s="38" t="n">
        <f aca="false">Q!$E$13</f>
        <v>68.635</v>
      </c>
      <c r="E4401" s="38" t="n">
        <f aca="false">Q!$P$13</f>
        <v>37.052</v>
      </c>
      <c r="F4401" s="38" t="n">
        <f aca="false">Sens!$O$4401*(1+Sens!$F$4402)</f>
        <v>48.1533381827382</v>
      </c>
      <c r="G4401" s="38" t="n">
        <f aca="false">Sens!$E$4401+Sens!$F$4401</f>
        <v>85.2053381827382</v>
      </c>
      <c r="H4401" s="38" t="n">
        <f aca="false">Sens!$G$4401*(1+Sens!$H$4402)</f>
        <v>102.29336185894</v>
      </c>
      <c r="I4401" s="38" t="n">
        <f aca="false">Sens!$H$4401*(1+Sens!$I$4402)</f>
        <v>119.379837585241</v>
      </c>
      <c r="J4401" s="38" t="n">
        <f aca="false">Sens!$I$4401*(1+Sens!$J$4402)</f>
        <v>135.319079048844</v>
      </c>
      <c r="K4401" s="38" t="n">
        <f aca="false">Sens!$J$4401*(1+Sens!$K$4402)</f>
        <v>148.850986953729</v>
      </c>
      <c r="L4401" s="38" t="n">
        <f aca="false">Sens!$K$4401*(1+Sens!$L$4402)</f>
        <v>163.736085649102</v>
      </c>
      <c r="M4401" s="38" t="n">
        <f aca="false">Sens!$L$4401*(1+Sens!$M$4402)</f>
        <v>180.109694214012</v>
      </c>
      <c r="N4401" s="38" t="n">
        <f aca="false">Q!$N$13</f>
        <v>29.615</v>
      </c>
      <c r="O4401" s="38" t="n">
        <f aca="false">Q!$O$13</f>
        <v>39.02</v>
      </c>
      <c r="P4401" s="8" t="s">
        <v>621</v>
      </c>
    </row>
    <row r="4402" customFormat="false" ht="17.15" hidden="false" customHeight="false" outlineLevel="0" collapsed="false">
      <c r="A4402" s="0" t="s">
        <v>628</v>
      </c>
      <c r="B4402" s="0" t="s">
        <v>52</v>
      </c>
      <c r="E4402" s="12" t="n">
        <f aca="false">Sens!$E$4401/Sens!$N$4401-1</f>
        <v>0.25112274185379</v>
      </c>
      <c r="F4402" s="12" t="n">
        <f aca="false">Sens!$O$4401/(Q!$F$13+Q!$G$13)-1</f>
        <v>0.234068123596572</v>
      </c>
      <c r="G4402" s="12" t="n">
        <f aca="false">Sens!$G$4401/Sens!$D$4401-1</f>
        <v>0.241426942270536</v>
      </c>
      <c r="H4402" s="12" t="n">
        <f aca="false">Sens!$F$4402+(g_ad-Sens!$F$4402)*1/4</f>
        <v>0.200551092697429</v>
      </c>
      <c r="I4402" s="12" t="n">
        <f aca="false">Sens!$F$4402+(g_ad-Sens!$F$4402)*2/4</f>
        <v>0.167034061798286</v>
      </c>
      <c r="J4402" s="12" t="n">
        <f aca="false">Sens!$F$4402+(g_ad-Sens!$F$4402)*3/4</f>
        <v>0.133517030899143</v>
      </c>
      <c r="K4402" s="12" t="n">
        <f aca="false">Sens!$F$4402+(g_ad-Sens!$F$4402)*4/4</f>
        <v>0.1</v>
      </c>
      <c r="L4402" s="12" t="n">
        <f aca="false">g_ad</f>
        <v>0.1</v>
      </c>
      <c r="M4402" s="12" t="n">
        <f aca="false">g_ad</f>
        <v>0.1</v>
      </c>
      <c r="P4402" s="8" t="s">
        <v>629</v>
      </c>
    </row>
    <row r="4403" customFormat="false" ht="17.15" hidden="false" customHeight="false" outlineLevel="0" collapsed="false">
      <c r="A4403" s="0" t="s">
        <v>483</v>
      </c>
      <c r="B4403" s="0" t="s">
        <v>73</v>
      </c>
      <c r="C4403" s="38" t="n">
        <f aca="false">Q!$D$14</f>
        <v>44.374</v>
      </c>
      <c r="D4403" s="38" t="n">
        <f aca="false">Q!$E$14</f>
        <v>49.619</v>
      </c>
      <c r="E4403" s="38" t="n">
        <f aca="false">Q!$P$14</f>
        <v>27.157</v>
      </c>
      <c r="F4403" s="38" t="n">
        <f aca="false">Sens!$O$4403*(1+Sens!$F$4404)</f>
        <v>28.9776360923374</v>
      </c>
      <c r="G4403" s="38" t="n">
        <f aca="false">Sens!$E$4403+Sens!$F$4403</f>
        <v>56.1346360923374</v>
      </c>
      <c r="H4403" s="38" t="n">
        <f aca="false">Sens!$G$4403*(1+Sens!$H$4404)</f>
        <v>62.4937078946075</v>
      </c>
      <c r="I4403" s="38" t="n">
        <f aca="false">Sens!$H$4403*(1+Sens!$I$4404)</f>
        <v>68.6715233062498</v>
      </c>
      <c r="J4403" s="38" t="n">
        <f aca="false">Sens!$I$4403*(1+Sens!$J$4404)</f>
        <v>74.4692882949818</v>
      </c>
      <c r="K4403" s="38" t="n">
        <f aca="false">Sens!$J$4403*(1+Sens!$K$4404)</f>
        <v>79.6821384756306</v>
      </c>
      <c r="L4403" s="38" t="n">
        <f aca="false">Sens!$K$4403*(1+Sens!$L$4404)</f>
        <v>85.2598881689247</v>
      </c>
      <c r="M4403" s="38" t="n">
        <f aca="false">Sens!$L$4403*(1+Sens!$M$4404)</f>
        <v>91.2280803407494</v>
      </c>
      <c r="N4403" s="38" t="n">
        <f aca="false">Q!$N$14</f>
        <v>23.923</v>
      </c>
      <c r="O4403" s="38" t="n">
        <f aca="false">Q!$O$14</f>
        <v>25.696</v>
      </c>
      <c r="P4403" s="8" t="s">
        <v>621</v>
      </c>
    </row>
    <row r="4404" customFormat="false" ht="17.15" hidden="false" customHeight="false" outlineLevel="0" collapsed="false">
      <c r="A4404" s="0" t="s">
        <v>630</v>
      </c>
      <c r="B4404" s="0" t="s">
        <v>52</v>
      </c>
      <c r="E4404" s="12" t="n">
        <f aca="false">Sens!$E$4403/Sens!$N$4403-1</f>
        <v>0.135183714417088</v>
      </c>
      <c r="F4404" s="12" t="n">
        <f aca="false">Sens!$O$4403/(Q!$F$14+Q!$G$14)-1</f>
        <v>0.127709997366804</v>
      </c>
      <c r="G4404" s="12" t="n">
        <f aca="false">Sens!$G$4403/Sens!$D$4403-1</f>
        <v>0.131313329416905</v>
      </c>
      <c r="H4404" s="12" t="n">
        <f aca="false">Sens!$F$4404+(g_sub-Sens!$F$4404)*1/4</f>
        <v>0.113282498025103</v>
      </c>
      <c r="I4404" s="12" t="n">
        <f aca="false">Sens!$F$4404+(g_sub-Sens!$F$4404)*2/4</f>
        <v>0.0988549986834021</v>
      </c>
      <c r="J4404" s="12" t="n">
        <f aca="false">Sens!$F$4404+(g_sub-Sens!$F$4404)*3/4</f>
        <v>0.084427499341701</v>
      </c>
      <c r="K4404" s="12" t="n">
        <f aca="false">Sens!$F$4404+(g_sub-Sens!$F$4404)*4/4</f>
        <v>0.07</v>
      </c>
      <c r="L4404" s="12" t="n">
        <f aca="false">g_sub</f>
        <v>0.07</v>
      </c>
      <c r="M4404" s="12" t="n">
        <f aca="false">g_sub</f>
        <v>0.07</v>
      </c>
      <c r="P4404" s="8" t="s">
        <v>631</v>
      </c>
    </row>
    <row r="4405" customFormat="false" ht="17.15" hidden="false" customHeight="false" outlineLevel="0" collapsed="false">
      <c r="A4405" s="0" t="s">
        <v>484</v>
      </c>
      <c r="B4405" s="0" t="s">
        <v>73</v>
      </c>
      <c r="C4405" s="38" t="n">
        <f aca="false">Q!$D$15</f>
        <v>5.425</v>
      </c>
      <c r="D4405" s="38" t="n">
        <f aca="false">Q!$E$15</f>
        <v>5.935</v>
      </c>
      <c r="E4405" s="38" t="n">
        <f aca="false">Q!$P$15</f>
        <v>3.474</v>
      </c>
      <c r="F4405" s="38" t="n">
        <f aca="false">Sens!$O$4405*(1+Sens!$F$4406)</f>
        <v>3.36182431966931</v>
      </c>
      <c r="G4405" s="38" t="n">
        <f aca="false">Sens!$E$4405+Sens!$F$4405</f>
        <v>6.83582431966931</v>
      </c>
      <c r="H4405" s="38" t="n">
        <f aca="false">Sens!$G$4405*(1+Sens!$H$4406)</f>
        <v>7.31157108370141</v>
      </c>
      <c r="I4405" s="38" t="n">
        <f aca="false">Sens!$H$4405*(1+Sens!$I$4406)</f>
        <v>7.77266852639815</v>
      </c>
      <c r="J4405" s="38" t="n">
        <f aca="false">Sens!$I$4405*(1+Sens!$J$4406)</f>
        <v>8.2120733019884</v>
      </c>
      <c r="K4405" s="38" t="n">
        <f aca="false">Sens!$J$4405*(1+Sens!$K$4406)</f>
        <v>8.62267696708783</v>
      </c>
      <c r="L4405" s="38" t="n">
        <f aca="false">Sens!$K$4405*(1+Sens!$L$4406)</f>
        <v>9.05381081544222</v>
      </c>
      <c r="M4405" s="38" t="n">
        <f aca="false">Sens!$L$4405*(1+Sens!$M$4406)</f>
        <v>9.50650135621433</v>
      </c>
      <c r="N4405" s="38" t="n">
        <f aca="false">Q!$N$15</f>
        <v>2.811</v>
      </c>
      <c r="O4405" s="38" t="n">
        <f aca="false">Q!$O$15</f>
        <v>3.124</v>
      </c>
      <c r="P4405" s="8" t="s">
        <v>621</v>
      </c>
    </row>
    <row r="4406" customFormat="false" ht="17.15" hidden="false" customHeight="false" outlineLevel="0" collapsed="false">
      <c r="A4406" s="0" t="s">
        <v>632</v>
      </c>
      <c r="B4406" s="0" t="s">
        <v>52</v>
      </c>
      <c r="E4406" s="12" t="n">
        <f aca="false">Sens!$E$4405/Sens!$N$4405-1</f>
        <v>0.235859124866596</v>
      </c>
      <c r="F4406" s="12" t="n">
        <f aca="false">Sens!$O$4405/(Q!$F$15+Q!$G$15)-1</f>
        <v>0.0761281433000345</v>
      </c>
      <c r="G4406" s="12" t="n">
        <f aca="false">Sens!$G$4405/Sens!$D$4405-1</f>
        <v>0.151781688234087</v>
      </c>
      <c r="H4406" s="12" t="n">
        <f aca="false">Sens!$F$4406+(g_ot-Sens!$F$4406)*1/4</f>
        <v>0.0695961074750259</v>
      </c>
      <c r="I4406" s="12" t="n">
        <f aca="false">Sens!$F$4406+(g_ot-Sens!$F$4406)*2/4</f>
        <v>0.0630640716500172</v>
      </c>
      <c r="J4406" s="12" t="n">
        <f aca="false">Sens!$F$4406+(g_ot-Sens!$F$4406)*3/4</f>
        <v>0.0565320358250086</v>
      </c>
      <c r="K4406" s="12" t="n">
        <f aca="false">Sens!$F$4406+(g_ot-Sens!$F$4406)*4/4</f>
        <v>0.05</v>
      </c>
      <c r="L4406" s="12" t="n">
        <f aca="false">g_ot</f>
        <v>0.05</v>
      </c>
      <c r="M4406" s="12" t="n">
        <f aca="false">g_ot</f>
        <v>0.05</v>
      </c>
      <c r="P4406" s="8" t="s">
        <v>633</v>
      </c>
    </row>
    <row r="4407" customFormat="false" ht="17.15" hidden="false" customHeight="false" outlineLevel="0" collapsed="false">
      <c r="A4407" s="3" t="s">
        <v>634</v>
      </c>
      <c r="B4407" s="8" t="s">
        <v>73</v>
      </c>
      <c r="C4407" s="38" t="n">
        <f aca="false">Sens!$C$4395+Sens!$C$4397+Sens!$C$4399+Sens!$C$4401+Sens!$C$4403+Sens!$C$4405</f>
        <v>530.403</v>
      </c>
      <c r="D4407" s="38" t="n">
        <f aca="false">Sens!$D$4395+Sens!$D$4397+Sens!$D$4399+Sens!$D$4401+Sens!$D$4403+Sens!$D$4405</f>
        <v>588.199</v>
      </c>
      <c r="E4407" s="38" t="n">
        <f aca="false">Sens!$E$4395+Sens!$E$4397+Sens!$E$4399+Sens!$E$4401+Sens!$E$4403+Sens!$E$4405</f>
        <v>302.306</v>
      </c>
      <c r="F4407" s="38" t="n">
        <f aca="false">Sens!$F$4395+Sens!$F$4397+Sens!$F$4399+Sens!$F$4401+Sens!$F$4403+Sens!$F$4405</f>
        <v>356.93642920843</v>
      </c>
      <c r="G4407" s="38" t="n">
        <f aca="false">Sens!$G$4395+Sens!$G$4397+Sens!$G$4399+Sens!$G$4401+Sens!$G$4403+Sens!$G$4405</f>
        <v>659.24242920843</v>
      </c>
      <c r="H4407" s="38" t="n">
        <f aca="false">Sens!$H$4395+Sens!$H$4397+Sens!$H$4399+Sens!$H$4401+Sens!$H$4403+Sens!$H$4405</f>
        <v>729.935737621701</v>
      </c>
      <c r="I4407" s="38" t="n">
        <f aca="false">Sens!$I$4395+Sens!$I$4397+Sens!$I$4399+Sens!$I$4401+Sens!$I$4403+Sens!$I$4405</f>
        <v>798.295569697873</v>
      </c>
      <c r="J4407" s="38" t="n">
        <f aca="false">Sens!$J$4395+Sens!$J$4397+Sens!$J$4399+Sens!$J$4401+Sens!$J$4403+Sens!$J$4405</f>
        <v>861.736822325785</v>
      </c>
      <c r="K4407" s="38" t="n">
        <f aca="false">Sens!$K$4395+Sens!$K$4397+Sens!$K$4399+Sens!$K$4401+Sens!$K$4403+Sens!$K$4405</f>
        <v>917.557492101925</v>
      </c>
      <c r="L4407" s="38" t="n">
        <f aca="false">Sens!$L$4395+Sens!$L$4397+Sens!$L$4399+Sens!$L$4401+Sens!$L$4403+Sens!$L$4405</f>
        <v>977.285089743165</v>
      </c>
      <c r="M4407" s="38" t="n">
        <f aca="false">Sens!$M$4395+Sens!$M$4397+Sens!$M$4399+Sens!$M$4401+Sens!$M$4403+Sens!$M$4405</f>
        <v>1041.2140185435</v>
      </c>
      <c r="N4407" s="38" t="n">
        <f aca="false">Sens!$N$4395+Sens!$N$4397+Sens!$N$4399+Sens!$N$4401+Sens!$N$4403+Sens!$N$4405</f>
        <v>263.229</v>
      </c>
      <c r="O4407" s="38" t="n">
        <f aca="false">Sens!$O$4395+Sens!$O$4397+Sens!$O$4399+Sens!$O$4401+Sens!$O$4403+Sens!$O$4405</f>
        <v>324.97</v>
      </c>
    </row>
    <row r="4408" customFormat="false" ht="17.15" hidden="false" customHeight="false" outlineLevel="0" collapsed="false">
      <c r="A4408" s="5" t="s">
        <v>635</v>
      </c>
      <c r="B4408" s="0" t="s">
        <v>52</v>
      </c>
      <c r="C4408" s="12" t="n">
        <f aca="false">Q!$D$5/(Q!$D$5+Q!$D$6)</f>
        <v>0.730570905519011</v>
      </c>
      <c r="D4408" s="12" t="n">
        <f aca="false">Q!$E$5/(Q!$E$5+Q!$E$6)</f>
        <v>0.724763217890544</v>
      </c>
      <c r="E4408" s="12" t="n">
        <f aca="false">Q!$P$5/(Q!$P$5+Q!$P$6)</f>
        <v>0.728797972914861</v>
      </c>
      <c r="F4408" s="12" t="n">
        <f aca="false">Sens!$O$4408</f>
        <v>0.718066283041511</v>
      </c>
      <c r="G4408" s="12" t="n">
        <f aca="false">Sens!$G$4409/Sens!$G$4407</f>
        <v>0.722987468473627</v>
      </c>
      <c r="H4408" s="12" t="n">
        <f aca="false">Sens!$G$4408</f>
        <v>0.722987468473627</v>
      </c>
      <c r="I4408" s="12" t="n">
        <f aca="false">Sens!$G$4408</f>
        <v>0.722987468473627</v>
      </c>
      <c r="J4408" s="12" t="n">
        <f aca="false">Sens!$G$4408</f>
        <v>0.722987468473627</v>
      </c>
      <c r="K4408" s="12" t="n">
        <f aca="false">Sens!$G$4408</f>
        <v>0.722987468473627</v>
      </c>
      <c r="L4408" s="12" t="n">
        <f aca="false">Sens!$G$4408</f>
        <v>0.722987468473627</v>
      </c>
      <c r="M4408" s="12" t="n">
        <f aca="false">Sens!$G$4408</f>
        <v>0.722987468473627</v>
      </c>
      <c r="N4408" s="12" t="n">
        <f aca="false">Q!$N$5/(Q!$N$5+Q!$N$6)</f>
        <v>0.733030935041352</v>
      </c>
      <c r="O4408" s="12" t="n">
        <f aca="false">Q!$O$5/(Q!$O$5+Q!$O$6)</f>
        <v>0.718066283041511</v>
      </c>
      <c r="P4408" s="8" t="s">
        <v>636</v>
      </c>
    </row>
    <row r="4409" customFormat="false" ht="17.15" hidden="false" customHeight="false" outlineLevel="0" collapsed="false">
      <c r="A4409" s="1" t="s">
        <v>472</v>
      </c>
      <c r="B4409" s="8" t="s">
        <v>73</v>
      </c>
      <c r="C4409" s="38" t="n">
        <f aca="false">Q!$D$5</f>
        <v>387.497</v>
      </c>
      <c r="D4409" s="38" t="n">
        <f aca="false">Q!$E$5</f>
        <v>426.305</v>
      </c>
      <c r="E4409" s="38" t="n">
        <f aca="false">Q!$P$5</f>
        <v>220.32</v>
      </c>
      <c r="F4409" s="38" t="n">
        <f aca="false">Sens!$F$4407*Sens!$F$4408</f>
        <v>256.304015003807</v>
      </c>
      <c r="G4409" s="38" t="n">
        <f aca="false">Sens!$E$4409+Sens!$F$4409</f>
        <v>476.624015003807</v>
      </c>
      <c r="H4409" s="38" t="n">
        <f aca="false">Sens!$H$4407*Sens!$H$4408</f>
        <v>527.734391091543</v>
      </c>
      <c r="I4409" s="38" t="n">
        <f aca="false">Sens!$I$4407*Sens!$I$4408</f>
        <v>577.157693029577</v>
      </c>
      <c r="J4409" s="38" t="n">
        <f aca="false">Sens!$J$4407*Sens!$J$4408</f>
        <v>623.024923663827</v>
      </c>
      <c r="K4409" s="38" t="n">
        <f aca="false">Sens!$K$4407*Sens!$K$4408</f>
        <v>663.382568393781</v>
      </c>
      <c r="L4409" s="38" t="n">
        <f aca="false">Sens!$L$4407*Sens!$L$4408</f>
        <v>706.564873010432</v>
      </c>
      <c r="M4409" s="38" t="n">
        <f aca="false">Sens!$M$4407*Sens!$M$4408</f>
        <v>752.784687406019</v>
      </c>
      <c r="N4409" s="38" t="n">
        <f aca="false">Q!$N$5</f>
        <v>192.955</v>
      </c>
      <c r="O4409" s="38" t="n">
        <f aca="false">Q!$O$5</f>
        <v>233.35</v>
      </c>
      <c r="P4409" s="5" t="s">
        <v>637</v>
      </c>
    </row>
    <row r="4410" customFormat="false" ht="17.15" hidden="false" customHeight="false" outlineLevel="0" collapsed="false">
      <c r="A4410" s="1" t="s">
        <v>475</v>
      </c>
      <c r="B4410" s="8" t="s">
        <v>73</v>
      </c>
      <c r="C4410" s="38" t="n">
        <f aca="false">Q!$D$6</f>
        <v>142.906</v>
      </c>
      <c r="D4410" s="38" t="n">
        <f aca="false">Q!$E$6</f>
        <v>161.894</v>
      </c>
      <c r="E4410" s="38" t="n">
        <f aca="false">Q!$P$6</f>
        <v>81.986</v>
      </c>
      <c r="F4410" s="38" t="n">
        <f aca="false">Sens!$F$4407*(1-Sens!$F$4408)</f>
        <v>100.632414204623</v>
      </c>
      <c r="G4410" s="38" t="n">
        <f aca="false">Sens!$E$4410+Sens!$F$4410</f>
        <v>182.618414204623</v>
      </c>
      <c r="H4410" s="38" t="n">
        <f aca="false">Sens!$H$4407*(1-Sens!$H$4408)</f>
        <v>202.201346530158</v>
      </c>
      <c r="I4410" s="38" t="n">
        <f aca="false">Sens!$I$4407*(1-Sens!$I$4408)</f>
        <v>221.137876668296</v>
      </c>
      <c r="J4410" s="38" t="n">
        <f aca="false">Sens!$J$4407*(1-Sens!$J$4408)</f>
        <v>238.711898661958</v>
      </c>
      <c r="K4410" s="38" t="n">
        <f aca="false">Sens!$K$4407*(1-Sens!$K$4408)</f>
        <v>254.174923708144</v>
      </c>
      <c r="L4410" s="38" t="n">
        <f aca="false">Sens!$L$4407*(1-Sens!$L$4408)</f>
        <v>270.720216732733</v>
      </c>
      <c r="M4410" s="38" t="n">
        <f aca="false">Sens!$M$4407*(1-Sens!$M$4408)</f>
        <v>288.429331137484</v>
      </c>
      <c r="N4410" s="38" t="n">
        <f aca="false">Q!$N$6</f>
        <v>70.274</v>
      </c>
      <c r="O4410" s="38" t="n">
        <f aca="false">Q!$O$6</f>
        <v>91.62</v>
      </c>
      <c r="P4410" s="5" t="s">
        <v>638</v>
      </c>
    </row>
    <row r="4411" customFormat="false" ht="17.15" hidden="false" customHeight="false" outlineLevel="0" collapsed="false">
      <c r="A4411" s="5" t="s">
        <v>639</v>
      </c>
      <c r="B4411" s="0" t="s">
        <v>73</v>
      </c>
      <c r="C4411" s="38" t="n">
        <f aca="false">Sens!$C$4401*Sens!$C$4408</f>
        <v>41.0683128828457</v>
      </c>
      <c r="D4411" s="38" t="n">
        <f aca="false">Sens!$D$4401*Sens!$D$4408</f>
        <v>49.7441234599175</v>
      </c>
      <c r="E4411" s="38" t="n">
        <f aca="false">Sens!$E$4401*Sens!$E$4408</f>
        <v>27.0034224924414</v>
      </c>
      <c r="F4411" s="38" t="n">
        <f aca="false">Sens!$F$4401*Sens!$F$4408</f>
        <v>34.5772885649197</v>
      </c>
      <c r="G4411" s="38" t="n">
        <f aca="false">Sens!$G$4401*Sens!$G$4408</f>
        <v>61.6023917531772</v>
      </c>
      <c r="H4411" s="38" t="n">
        <f aca="false">Sens!$H$4401*Sens!$H$4408</f>
        <v>73.9568187320519</v>
      </c>
      <c r="I4411" s="38" t="n">
        <f aca="false">Sens!$I$4401*Sens!$I$4408</f>
        <v>86.3101265625461</v>
      </c>
      <c r="J4411" s="38" t="n">
        <f aca="false">Sens!$J$4401*Sens!$J$4408</f>
        <v>97.8339983977065</v>
      </c>
      <c r="K4411" s="38" t="n">
        <f aca="false">Sens!$K$4401*Sens!$K$4408</f>
        <v>107.617398237477</v>
      </c>
      <c r="L4411" s="38" t="n">
        <f aca="false">Sens!$L$4401*Sens!$L$4408</f>
        <v>118.379138061225</v>
      </c>
      <c r="M4411" s="38" t="n">
        <f aca="false">Sens!$M$4401*Sens!$M$4408</f>
        <v>130.217051867347</v>
      </c>
      <c r="N4411" s="38" t="n">
        <f aca="false">Sens!$N$4401*Sens!$N$4408</f>
        <v>21.7087111412496</v>
      </c>
      <c r="O4411" s="38" t="n">
        <f aca="false">Sens!$O$4401*Sens!$O$4408</f>
        <v>28.0189463642798</v>
      </c>
      <c r="P4411" s="5" t="s">
        <v>640</v>
      </c>
    </row>
    <row r="4412" customFormat="false" ht="15" hidden="false" customHeight="false" outlineLevel="0" collapsed="false">
      <c r="A4412" s="5" t="s">
        <v>641</v>
      </c>
      <c r="B4412" s="0" t="s">
        <v>73</v>
      </c>
      <c r="C4412" s="38" t="n">
        <f aca="false">Sens!$C$4401-Sens!$C$4411</f>
        <v>15.1456871171543</v>
      </c>
      <c r="D4412" s="38" t="n">
        <f aca="false">Sens!$D$4401-Sens!$D$4411</f>
        <v>18.8908765400825</v>
      </c>
      <c r="E4412" s="38" t="n">
        <f aca="false">Sens!$E$4401-Sens!$E$4411</f>
        <v>10.0485775075586</v>
      </c>
      <c r="F4412" s="38" t="n">
        <f aca="false">Sens!$F$4401-Sens!$F$4411</f>
        <v>13.5760496178185</v>
      </c>
      <c r="G4412" s="38" t="n">
        <f aca="false">Sens!$G$4401-Sens!$G$4411</f>
        <v>23.6029464295611</v>
      </c>
      <c r="H4412" s="38" t="n">
        <f aca="false">Sens!$H$4401-Sens!$H$4411</f>
        <v>28.3365431268884</v>
      </c>
      <c r="I4412" s="38" t="n">
        <f aca="false">Sens!$I$4401-Sens!$I$4411</f>
        <v>33.0697110226949</v>
      </c>
      <c r="J4412" s="38" t="n">
        <f aca="false">Sens!$J$4401-Sens!$J$4411</f>
        <v>37.4850806511378</v>
      </c>
      <c r="K4412" s="38" t="n">
        <f aca="false">Sens!$K$4401-Sens!$K$4411</f>
        <v>41.2335887162515</v>
      </c>
      <c r="L4412" s="38" t="n">
        <f aca="false">Sens!$L$4401-Sens!$L$4411</f>
        <v>45.3569475878767</v>
      </c>
      <c r="M4412" s="38" t="n">
        <f aca="false">Sens!$M$4401-Sens!$M$4411</f>
        <v>49.8926423466644</v>
      </c>
      <c r="N4412" s="38" t="n">
        <f aca="false">Sens!$N$4401-Sens!$N$4411</f>
        <v>7.90628885875037</v>
      </c>
      <c r="O4412" s="38" t="n">
        <f aca="false">Sens!$O$4401-Sens!$O$4411</f>
        <v>11.0010536357202</v>
      </c>
    </row>
    <row r="4413" customFormat="false" ht="19.4" hidden="false" customHeight="false" outlineLevel="0" collapsed="false">
      <c r="A4413" s="31" t="s">
        <v>1139</v>
      </c>
    </row>
    <row r="4414" customFormat="false" ht="17.15" hidden="false" customHeight="false" outlineLevel="0" collapsed="false">
      <c r="A4414" s="6" t="s">
        <v>16</v>
      </c>
      <c r="B4414" s="6" t="s">
        <v>17</v>
      </c>
      <c r="C4414" s="20" t="s">
        <v>457</v>
      </c>
      <c r="D4414" s="20" t="s">
        <v>458</v>
      </c>
      <c r="E4414" s="20" t="s">
        <v>540</v>
      </c>
      <c r="F4414" s="20" t="s">
        <v>541</v>
      </c>
      <c r="G4414" s="20" t="s">
        <v>542</v>
      </c>
      <c r="H4414" s="20" t="s">
        <v>543</v>
      </c>
      <c r="I4414" s="20" t="s">
        <v>544</v>
      </c>
      <c r="J4414" s="20" t="s">
        <v>545</v>
      </c>
      <c r="K4414" s="20" t="s">
        <v>546</v>
      </c>
      <c r="L4414" s="20" t="s">
        <v>547</v>
      </c>
      <c r="M4414" s="20" t="s">
        <v>548</v>
      </c>
      <c r="N4414" s="20" t="s">
        <v>549</v>
      </c>
      <c r="O4414" s="20" t="s">
        <v>550</v>
      </c>
      <c r="P4414" s="6" t="s">
        <v>23</v>
      </c>
      <c r="R4414" s="20" t="n">
        <v>2023</v>
      </c>
      <c r="S4414" s="20" t="n">
        <v>2024</v>
      </c>
      <c r="T4414" s="20" t="n">
        <v>2025</v>
      </c>
      <c r="U4414" s="20" t="n">
        <v>2026</v>
      </c>
      <c r="V4414" s="20" t="n">
        <v>2027</v>
      </c>
      <c r="W4414" s="20" t="n">
        <v>2028</v>
      </c>
      <c r="X4414" s="20" t="n">
        <v>2029</v>
      </c>
      <c r="Y4414" s="20" t="n">
        <v>2030</v>
      </c>
      <c r="Z4414" s="20" t="n">
        <v>2031</v>
      </c>
      <c r="AA4414" s="20" t="n">
        <v>2032</v>
      </c>
    </row>
    <row r="4415" customFormat="false" ht="17.15" hidden="false" customHeight="false" outlineLevel="0" collapsed="false">
      <c r="A4415" s="1" t="s">
        <v>551</v>
      </c>
    </row>
    <row r="4416" customFormat="false" ht="17.15" hidden="false" customHeight="false" outlineLevel="0" collapsed="false">
      <c r="A4416" s="14" t="s">
        <v>552</v>
      </c>
      <c r="B4416" s="13" t="s">
        <v>108</v>
      </c>
      <c r="C4416" s="32" t="n">
        <f aca="false">mw_ye24</f>
        <v>360</v>
      </c>
      <c r="D4416" s="32" t="n">
        <f aca="false">mw_ye25</f>
        <v>1440</v>
      </c>
      <c r="E4416" s="32" t="n">
        <f aca="false">mw_open</f>
        <v>2080</v>
      </c>
      <c r="F4416" s="32" t="n">
        <f aca="false">Sens!$E$4416+pace_B*0.5</f>
        <v>3897.15</v>
      </c>
      <c r="G4416" s="32" t="n">
        <f aca="false">Sens!$F$4416</f>
        <v>3897.15</v>
      </c>
      <c r="H4416" s="32" t="n">
        <f aca="false">Sens!$G$4416+pace_B</f>
        <v>7531.45</v>
      </c>
      <c r="I4416" s="32" t="n">
        <f aca="false">Sens!$H$4416+pace_B</f>
        <v>11165.75</v>
      </c>
      <c r="J4416" s="32" t="n">
        <f aca="false">Sens!$I$4416+pace_B</f>
        <v>14800.05</v>
      </c>
      <c r="K4416" s="32" t="n">
        <f aca="false">Sens!$J$4416+pace_B</f>
        <v>18434.35</v>
      </c>
      <c r="L4416" s="32" t="n">
        <f aca="false">Sens!$K$4416+pace_B</f>
        <v>22068.65</v>
      </c>
      <c r="M4416" s="32" t="n">
        <f aca="false">Sens!$L$4416+pace_B</f>
        <v>25702.95</v>
      </c>
      <c r="N4416" s="32" t="n">
        <f aca="false">(mw_ye24+mw_ye25)/2</f>
        <v>900</v>
      </c>
      <c r="O4416" s="32" t="n">
        <f aca="false">mw_ye25</f>
        <v>1440</v>
      </c>
      <c r="P4416" s="5" t="s">
        <v>553</v>
      </c>
    </row>
    <row r="4417" customFormat="false" ht="17.15" hidden="false" customHeight="false" outlineLevel="0" collapsed="false">
      <c r="A4417" s="5" t="s">
        <v>554</v>
      </c>
      <c r="B4417" s="0" t="s">
        <v>108</v>
      </c>
      <c r="C4417" s="33" t="n">
        <f aca="false">(mw_ye23+mw_ye24)/2</f>
        <v>240</v>
      </c>
      <c r="D4417" s="33" t="n">
        <f aca="false">(Sens!$C$4416+Sens!$D$4416)/2</f>
        <v>900</v>
      </c>
      <c r="E4417" s="33" t="n">
        <f aca="false">(Sens!$D$4416+Sens!$E$4416)/2</f>
        <v>1760</v>
      </c>
      <c r="F4417" s="33" t="n">
        <f aca="false">(Sens!$E$4416+Sens!$F$4416)/2</f>
        <v>2988.575</v>
      </c>
      <c r="G4417" s="33" t="n">
        <f aca="false">(Sens!$E$4417+Sens!$F$4417)/2</f>
        <v>2374.2875</v>
      </c>
      <c r="H4417" s="33" t="n">
        <f aca="false">(Sens!$G$4416+Sens!$H$4416)/2</f>
        <v>5714.3</v>
      </c>
      <c r="I4417" s="33" t="n">
        <f aca="false">(Sens!$H$4416+Sens!$I$4416)/2</f>
        <v>9348.6</v>
      </c>
      <c r="J4417" s="33" t="n">
        <f aca="false">(Sens!$I$4416+Sens!$J$4416)/2</f>
        <v>12982.9</v>
      </c>
      <c r="K4417" s="33" t="n">
        <f aca="false">(Sens!$J$4416+Sens!$K$4416)/2</f>
        <v>16617.2</v>
      </c>
      <c r="L4417" s="33" t="n">
        <f aca="false">(Sens!$K$4416+Sens!$L$4416)/2</f>
        <v>20251.5</v>
      </c>
      <c r="M4417" s="33" t="n">
        <f aca="false">(Sens!$L$4416+Sens!$M$4416)/2</f>
        <v>23885.8</v>
      </c>
      <c r="N4417" s="33" t="n">
        <f aca="false">(Sens!$C$4416+Sens!$N$4416)/2</f>
        <v>630</v>
      </c>
      <c r="O4417" s="33" t="n">
        <f aca="false">(Sens!$N$4416+Sens!$O$4416)/2</f>
        <v>1170</v>
      </c>
    </row>
    <row r="4418" customFormat="false" ht="15" hidden="false" customHeight="false" outlineLevel="0" collapsed="false">
      <c r="A4418" s="5" t="s">
        <v>555</v>
      </c>
      <c r="B4418" s="5" t="s">
        <v>102</v>
      </c>
      <c r="C4418" s="34" t="n">
        <v>1</v>
      </c>
      <c r="D4418" s="34" t="n">
        <v>1</v>
      </c>
      <c r="E4418" s="34" t="n">
        <v>0.5</v>
      </c>
      <c r="F4418" s="34" t="n">
        <v>0.5</v>
      </c>
      <c r="G4418" s="34" t="n">
        <v>1</v>
      </c>
      <c r="H4418" s="34" t="n">
        <v>1</v>
      </c>
      <c r="I4418" s="34" t="n">
        <v>1</v>
      </c>
      <c r="J4418" s="34" t="n">
        <v>1</v>
      </c>
      <c r="K4418" s="34" t="n">
        <v>1</v>
      </c>
      <c r="L4418" s="34" t="n">
        <v>1</v>
      </c>
      <c r="M4418" s="34" t="n">
        <v>1</v>
      </c>
      <c r="N4418" s="34" t="n">
        <v>0.5</v>
      </c>
      <c r="O4418" s="34" t="n">
        <v>0.5</v>
      </c>
    </row>
    <row r="4419" customFormat="false" ht="17.15" hidden="false" customHeight="false" outlineLevel="0" collapsed="false">
      <c r="A4419" s="5" t="s">
        <v>556</v>
      </c>
      <c r="B4419" s="0" t="s">
        <v>108</v>
      </c>
      <c r="C4419" s="33" t="n">
        <f aca="false">Sens!$C$4416-mw_ye23</f>
        <v>240</v>
      </c>
      <c r="D4419" s="33" t="n">
        <f aca="false">Sens!$D$4416-Sens!$C$4416</f>
        <v>1080</v>
      </c>
      <c r="E4419" s="33" t="n">
        <f aca="false">Sens!$E$4416-Sens!$D$4416</f>
        <v>640</v>
      </c>
      <c r="F4419" s="33" t="n">
        <f aca="false">Sens!$F$4416-Sens!$E$4416</f>
        <v>1817.15</v>
      </c>
      <c r="G4419" s="33" t="n">
        <f aca="false">Sens!$E$4419+Sens!$F$4419</f>
        <v>2457.15</v>
      </c>
      <c r="H4419" s="33" t="n">
        <f aca="false">Sens!$H$4416-Sens!$G$4416</f>
        <v>3634.3</v>
      </c>
      <c r="I4419" s="33" t="n">
        <f aca="false">Sens!$I$4416-Sens!$H$4416</f>
        <v>3634.3</v>
      </c>
      <c r="J4419" s="33" t="n">
        <f aca="false">Sens!$J$4416-Sens!$I$4416</f>
        <v>3634.3</v>
      </c>
      <c r="K4419" s="33" t="n">
        <f aca="false">Sens!$K$4416-Sens!$J$4416</f>
        <v>3634.3</v>
      </c>
      <c r="L4419" s="33" t="n">
        <f aca="false">Sens!$L$4416-Sens!$K$4416</f>
        <v>3634.3</v>
      </c>
      <c r="M4419" s="33" t="n">
        <f aca="false">Sens!$M$4416-Sens!$L$4416</f>
        <v>3634.3</v>
      </c>
      <c r="N4419" s="33" t="n">
        <f aca="false">Sens!$N$4416-Sens!$C$4416</f>
        <v>540</v>
      </c>
      <c r="O4419" s="33" t="n">
        <f aca="false">Sens!$O$4416-Sens!$N$4416</f>
        <v>540</v>
      </c>
    </row>
    <row r="4420" customFormat="false" ht="17.15" hidden="false" customHeight="false" outlineLevel="0" collapsed="false">
      <c r="A4420" s="5" t="s">
        <v>557</v>
      </c>
      <c r="B4420" s="0" t="s">
        <v>108</v>
      </c>
      <c r="C4420" s="33" t="n">
        <f aca="false">Sens!$C$4419/ext_sh</f>
        <v>300</v>
      </c>
      <c r="D4420" s="33" t="n">
        <f aca="false">Sens!$D$4419/ext_sh</f>
        <v>1350</v>
      </c>
      <c r="E4420" s="33" t="n">
        <f aca="false">Sens!$E$4419/ext_sh</f>
        <v>800</v>
      </c>
      <c r="F4420" s="33" t="n">
        <f aca="false">Sens!$F$4419/ext_sh</f>
        <v>2271.4375</v>
      </c>
      <c r="G4420" s="33" t="n">
        <f aca="false">Sens!$G$4419/ext_sh</f>
        <v>3071.4375</v>
      </c>
      <c r="H4420" s="33" t="n">
        <f aca="false">Sens!$H$4419/ext_sh</f>
        <v>4542.875</v>
      </c>
      <c r="I4420" s="33" t="n">
        <f aca="false">Sens!$I$4419/ext_sh</f>
        <v>4542.875</v>
      </c>
      <c r="J4420" s="33" t="n">
        <f aca="false">Sens!$J$4419/ext_sh</f>
        <v>4542.875</v>
      </c>
      <c r="K4420" s="33" t="n">
        <f aca="false">Sens!$K$4419/ext_sh</f>
        <v>4542.875</v>
      </c>
      <c r="L4420" s="33" t="n">
        <f aca="false">Sens!$L$4419/ext_sh</f>
        <v>4542.875</v>
      </c>
      <c r="M4420" s="33" t="n">
        <f aca="false">Sens!$M$4419/ext_sh</f>
        <v>4542.875</v>
      </c>
      <c r="N4420" s="33" t="n">
        <f aca="false">Sens!$N$4419/ext_sh</f>
        <v>675</v>
      </c>
      <c r="O4420" s="33" t="n">
        <f aca="false">Sens!$O$4419/ext_sh</f>
        <v>675</v>
      </c>
      <c r="P4420" s="8" t="s">
        <v>558</v>
      </c>
      <c r="R4420" s="33" t="n">
        <f aca="false">mw_ye23/ext_sh</f>
        <v>150</v>
      </c>
      <c r="S4420" s="33" t="n">
        <f aca="false">Sens!$C$4420</f>
        <v>300</v>
      </c>
      <c r="T4420" s="33" t="n">
        <f aca="false">Sens!$D$4420</f>
        <v>1350</v>
      </c>
      <c r="U4420" s="33" t="n">
        <f aca="false">Sens!$G$4420</f>
        <v>3071.4375</v>
      </c>
      <c r="V4420" s="33" t="n">
        <f aca="false">Sens!$H$4420</f>
        <v>4542.875</v>
      </c>
      <c r="W4420" s="33" t="n">
        <f aca="false">Sens!$I$4420</f>
        <v>4542.875</v>
      </c>
      <c r="X4420" s="33" t="n">
        <f aca="false">Sens!$J$4420</f>
        <v>4542.875</v>
      </c>
      <c r="Y4420" s="33" t="n">
        <f aca="false">Sens!$K$4420</f>
        <v>4542.875</v>
      </c>
      <c r="Z4420" s="33" t="n">
        <f aca="false">Sens!$L$4420</f>
        <v>4542.875</v>
      </c>
      <c r="AA4420" s="33" t="n">
        <f aca="false">Sens!$M$4420</f>
        <v>4542.875</v>
      </c>
    </row>
    <row r="4421" customFormat="false" ht="17.15" hidden="false" customHeight="false" outlineLevel="0" collapsed="false">
      <c r="A4421" s="1" t="s">
        <v>559</v>
      </c>
    </row>
    <row r="4422" customFormat="false" ht="17.15" hidden="false" customHeight="false" outlineLevel="0" collapsed="false">
      <c r="A4422" s="0" t="s">
        <v>560</v>
      </c>
      <c r="B4422" s="0" t="s">
        <v>52</v>
      </c>
      <c r="F4422" s="35" t="n">
        <f aca="false">na_vr26</f>
        <v>0</v>
      </c>
      <c r="G4422" s="35" t="n">
        <f aca="false">na_vr26</f>
        <v>0</v>
      </c>
      <c r="H4422" s="35" t="n">
        <f aca="false">na_vr27</f>
        <v>0.5</v>
      </c>
      <c r="I4422" s="35" t="n">
        <f aca="false">na_vr28</f>
        <v>1</v>
      </c>
      <c r="J4422" s="35" t="n">
        <f aca="false">na_vr28</f>
        <v>1</v>
      </c>
      <c r="K4422" s="35" t="n">
        <f aca="false">na_vr28</f>
        <v>1</v>
      </c>
      <c r="L4422" s="35" t="n">
        <f aca="false">na_vr28</f>
        <v>1</v>
      </c>
      <c r="M4422" s="35" t="n">
        <f aca="false">na_vr28</f>
        <v>1</v>
      </c>
    </row>
    <row r="4423" customFormat="false" ht="17.15" hidden="false" customHeight="false" outlineLevel="0" collapsed="false">
      <c r="A4423" s="5" t="s">
        <v>561</v>
      </c>
      <c r="B4423" s="0" t="s">
        <v>151</v>
      </c>
      <c r="F4423" s="36" t="n">
        <f aca="false">cust_sh*tk_he_gb300*cf_chip+(1-cust_sh)*((1-Sens!$F$4422)*tk_he_gb300+Sens!$F$4422*tk_he_vr200)</f>
        <v>10.8864110021101</v>
      </c>
      <c r="G4423" s="36" t="n">
        <f aca="false">cust_sh*tk_he_gb300*cf_chip+(1-cust_sh)*((1-Sens!$G$4422)*tk_he_gb300+Sens!$G$4422*tk_he_vr200)</f>
        <v>10.8864110021101</v>
      </c>
      <c r="H4423" s="36" t="n">
        <f aca="false">cust_sh*tk_he_gb300*cf_chip+(1-cust_sh)*((1-Sens!$H$4422)*tk_he_gb300+Sens!$H$4422*tk_he_vr200)</f>
        <v>11.2211760027286</v>
      </c>
      <c r="I4423" s="36" t="n">
        <f aca="false">cust_sh*tk_he_gb300*cf_chip+(1-cust_sh)*((1-Sens!$I$4422)*tk_he_gb300+Sens!$I$4422*tk_he_vr200)</f>
        <v>11.5559410033471</v>
      </c>
      <c r="J4423" s="36" t="n">
        <f aca="false">cust_sh*tk_he_gb300*cf_chip+(1-cust_sh)*((1-Sens!$J$4422)*tk_he_gb300+Sens!$J$4422*tk_he_vr200)</f>
        <v>11.5559410033471</v>
      </c>
      <c r="K4423" s="36" t="n">
        <f aca="false">cust_sh*tk_he_gb300*cf_chip+(1-cust_sh)*((1-Sens!$K$4422)*tk_he_gb300+Sens!$K$4422*tk_he_vr200)</f>
        <v>11.5559410033471</v>
      </c>
      <c r="L4423" s="36" t="n">
        <f aca="false">cust_sh*tk_he_gb300*cf_chip+(1-cust_sh)*((1-Sens!$L$4422)*tk_he_gb300+Sens!$L$4422*tk_he_vr200)</f>
        <v>11.5559410033471</v>
      </c>
      <c r="M4423" s="36" t="n">
        <f aca="false">cust_sh*tk_he_gb300*cf_chip+(1-cust_sh)*((1-Sens!$M$4422)*tk_he_gb300+Sens!$M$4422*tk_he_vr200)</f>
        <v>11.5559410033471</v>
      </c>
    </row>
    <row r="4424" customFormat="false" ht="17.15" hidden="false" customHeight="false" outlineLevel="0" collapsed="false">
      <c r="A4424" s="5" t="s">
        <v>562</v>
      </c>
      <c r="B4424" s="0" t="s">
        <v>151</v>
      </c>
      <c r="F4424" s="36" t="n">
        <f aca="false">cust_sh*tk_ox_gb300+(1-cust_sh)*((1-Sens!$F$4422)*tk_ox_gb300+Sens!$F$4422*tk_ox_vr200)</f>
        <v>1.98263481314457</v>
      </c>
      <c r="G4424" s="36" t="n">
        <f aca="false">cust_sh*tk_ox_gb300+(1-cust_sh)*((1-Sens!$G$4422)*tk_ox_gb300+Sens!$G$4422*tk_ox_vr200)</f>
        <v>1.98263481314457</v>
      </c>
      <c r="H4424" s="36" t="n">
        <f aca="false">cust_sh*tk_ox_gb300+(1-cust_sh)*((1-Sens!$H$4422)*tk_ox_gb300+Sens!$H$4422*tk_ox_vr200)</f>
        <v>2.01034999693694</v>
      </c>
      <c r="I4424" s="36" t="n">
        <f aca="false">cust_sh*tk_ox_gb300+(1-cust_sh)*((1-Sens!$I$4422)*tk_ox_gb300+Sens!$I$4422*tk_ox_vr200)</f>
        <v>2.0380651807293</v>
      </c>
      <c r="J4424" s="36" t="n">
        <f aca="false">cust_sh*tk_ox_gb300+(1-cust_sh)*((1-Sens!$J$4422)*tk_ox_gb300+Sens!$J$4422*tk_ox_vr200)</f>
        <v>2.0380651807293</v>
      </c>
      <c r="K4424" s="36" t="n">
        <f aca="false">cust_sh*tk_ox_gb300+(1-cust_sh)*((1-Sens!$K$4422)*tk_ox_gb300+Sens!$K$4422*tk_ox_vr200)</f>
        <v>2.0380651807293</v>
      </c>
      <c r="L4424" s="36" t="n">
        <f aca="false">cust_sh*tk_ox_gb300+(1-cust_sh)*((1-Sens!$L$4422)*tk_ox_gb300+Sens!$L$4422*tk_ox_vr200)</f>
        <v>2.0380651807293</v>
      </c>
      <c r="M4424" s="36" t="n">
        <f aca="false">cust_sh*tk_ox_gb300+(1-cust_sh)*((1-Sens!$M$4422)*tk_ox_gb300+Sens!$M$4422*tk_ox_vr200)</f>
        <v>2.0380651807293</v>
      </c>
    </row>
    <row r="4425" customFormat="false" ht="17.15" hidden="false" customHeight="false" outlineLevel="0" collapsed="false">
      <c r="A4425" s="5" t="s">
        <v>563</v>
      </c>
      <c r="B4425" s="0" t="s">
        <v>170</v>
      </c>
      <c r="F4425" s="36" t="n">
        <f aca="false">cust_sh*tk_cx_gb300*cf_cx+(1-cust_sh)*((1-Sens!$F$4422)*tk_cx_gb300+Sens!$F$4422*tk_cx_vr200)</f>
        <v>32.237224</v>
      </c>
      <c r="G4425" s="36" t="n">
        <f aca="false">cust_sh*tk_cx_gb300*cf_cx+(1-cust_sh)*((1-Sens!$G$4422)*tk_cx_gb300+Sens!$G$4422*tk_cx_vr200)</f>
        <v>32.237224</v>
      </c>
      <c r="H4425" s="36" t="n">
        <f aca="false">cust_sh*tk_cx_gb300*cf_cx+(1-cust_sh)*((1-Sens!$H$4422)*tk_cx_gb300+Sens!$H$4422*tk_cx_vr200)</f>
        <v>33.574506</v>
      </c>
      <c r="I4425" s="36" t="n">
        <f aca="false">cust_sh*tk_cx_gb300*cf_cx+(1-cust_sh)*((1-Sens!$I$4422)*tk_cx_gb300+Sens!$I$4422*tk_cx_vr200)</f>
        <v>34.911788</v>
      </c>
      <c r="J4425" s="36" t="n">
        <f aca="false">cust_sh*tk_cx_gb300*cf_cx+(1-cust_sh)*((1-Sens!$J$4422)*tk_cx_gb300+Sens!$J$4422*tk_cx_vr200)</f>
        <v>34.911788</v>
      </c>
      <c r="K4425" s="36" t="n">
        <f aca="false">cust_sh*tk_cx_gb300*cf_cx+(1-cust_sh)*((1-Sens!$K$4422)*tk_cx_gb300+Sens!$K$4422*tk_cx_vr200)</f>
        <v>34.911788</v>
      </c>
      <c r="L4425" s="36" t="n">
        <f aca="false">cust_sh*tk_cx_gb300*cf_cx+(1-cust_sh)*((1-Sens!$L$4422)*tk_cx_gb300+Sens!$L$4422*tk_cx_vr200)</f>
        <v>34.911788</v>
      </c>
      <c r="M4425" s="36" t="n">
        <f aca="false">cust_sh*tk_cx_gb300*cf_cx+(1-cust_sh)*((1-Sens!$M$4422)*tk_cx_gb300+Sens!$M$4422*tk_cx_vr200)</f>
        <v>34.911788</v>
      </c>
    </row>
    <row r="4426" customFormat="false" ht="17.15" hidden="false" customHeight="false" outlineLevel="0" collapsed="false">
      <c r="A4426" s="5" t="s">
        <v>564</v>
      </c>
      <c r="B4426" s="0" t="s">
        <v>108</v>
      </c>
      <c r="F4426" s="33" t="n">
        <f aca="false">Sens!$F$4416-mw_open</f>
        <v>1817.15</v>
      </c>
      <c r="G4426" s="33" t="n">
        <f aca="false">Sens!$F$4426</f>
        <v>1817.15</v>
      </c>
      <c r="H4426" s="33" t="n">
        <f aca="false">Sens!$H$4416-mw_open</f>
        <v>5451.45</v>
      </c>
      <c r="I4426" s="33" t="n">
        <f aca="false">Sens!$I$4416-mw_open</f>
        <v>9085.75</v>
      </c>
      <c r="J4426" s="33" t="n">
        <f aca="false">Sens!$J$4416-mw_open</f>
        <v>12720.05</v>
      </c>
      <c r="K4426" s="33" t="n">
        <f aca="false">Sens!$K$4416-mw_open</f>
        <v>16354.35</v>
      </c>
      <c r="L4426" s="33" t="n">
        <f aca="false">Sens!$L$4416-mw_open</f>
        <v>19988.65</v>
      </c>
      <c r="M4426" s="33" t="n">
        <f aca="false">Sens!$M$4416-mw_open</f>
        <v>23622.95</v>
      </c>
    </row>
    <row r="4427" customFormat="false" ht="17.15" hidden="false" customHeight="false" outlineLevel="0" collapsed="false">
      <c r="A4427" s="0" t="s">
        <v>565</v>
      </c>
      <c r="B4427" s="0" t="s">
        <v>566</v>
      </c>
      <c r="F4427" s="33" t="n">
        <f aca="false">Sens!$F$4419*Sens!$F$4423</f>
        <v>19782.2417524844</v>
      </c>
      <c r="G4427" s="33" t="n">
        <f aca="false">Sens!$F$4427</f>
        <v>19782.2417524844</v>
      </c>
      <c r="H4427" s="33" t="n">
        <f aca="false">Sens!$G$4427+Sens!$H$4419*Sens!$H$4423</f>
        <v>60563.3616992009</v>
      </c>
      <c r="I4427" s="33" t="n">
        <f aca="false">Sens!$H$4427+Sens!$I$4419*Sens!$I$4423</f>
        <v>102561.118087665</v>
      </c>
      <c r="J4427" s="33" t="n">
        <f aca="false">Sens!$I$4427+Sens!$J$4419*Sens!$J$4423</f>
        <v>144558.87447613</v>
      </c>
      <c r="K4427" s="33" t="n">
        <f aca="false">Sens!$J$4427+Sens!$K$4419*Sens!$K$4423</f>
        <v>186556.630864594</v>
      </c>
      <c r="L4427" s="33" t="n">
        <f aca="false">Sens!$K$4427+Sens!$L$4419*Sens!$L$4423</f>
        <v>228554.387253058</v>
      </c>
      <c r="M4427" s="33" t="n">
        <f aca="false">Sens!$L$4427+Sens!$M$4419*Sens!$M$4423</f>
        <v>270552.143641523</v>
      </c>
    </row>
    <row r="4428" customFormat="false" ht="17.15" hidden="false" customHeight="false" outlineLevel="0" collapsed="false">
      <c r="A4428" s="0" t="s">
        <v>567</v>
      </c>
      <c r="B4428" s="0" t="s">
        <v>566</v>
      </c>
      <c r="F4428" s="33" t="n">
        <f aca="false">Sens!$F$4419*Sens!$F$4424</f>
        <v>3602.74485070566</v>
      </c>
      <c r="G4428" s="33" t="n">
        <f aca="false">Sens!$F$4428</f>
        <v>3602.74485070566</v>
      </c>
      <c r="H4428" s="33" t="n">
        <f aca="false">Sens!$G$4428+Sens!$H$4419*Sens!$H$4424</f>
        <v>10908.9598445736</v>
      </c>
      <c r="I4428" s="33" t="n">
        <f aca="false">Sens!$H$4428+Sens!$I$4419*Sens!$I$4424</f>
        <v>18315.9001308981</v>
      </c>
      <c r="J4428" s="33" t="n">
        <f aca="false">Sens!$I$4428+Sens!$J$4419*Sens!$J$4424</f>
        <v>25722.8404172225</v>
      </c>
      <c r="K4428" s="33" t="n">
        <f aca="false">Sens!$J$4428+Sens!$K$4419*Sens!$K$4424</f>
        <v>33129.780703547</v>
      </c>
      <c r="L4428" s="33" t="n">
        <f aca="false">Sens!$K$4428+Sens!$L$4419*Sens!$L$4424</f>
        <v>40536.7209898715</v>
      </c>
      <c r="M4428" s="33" t="n">
        <f aca="false">Sens!$L$4428+Sens!$M$4419*Sens!$M$4424</f>
        <v>47943.661276196</v>
      </c>
    </row>
    <row r="4429" customFormat="false" ht="17.15" hidden="false" customHeight="false" outlineLevel="0" collapsed="false">
      <c r="A4429" s="5" t="s">
        <v>568</v>
      </c>
      <c r="B4429" s="0" t="s">
        <v>151</v>
      </c>
      <c r="F4429" s="36" t="n">
        <f aca="false">IF(Sens!$F$4426&gt;0,Sens!$F$4427/Sens!$F$4426,Sens!$F$4423)</f>
        <v>10.8864110021101</v>
      </c>
      <c r="G4429" s="36" t="n">
        <f aca="false">IF(Sens!$G$4426&gt;0,Sens!$G$4427/Sens!$G$4426,Sens!$G$4423)</f>
        <v>10.8864110021101</v>
      </c>
      <c r="H4429" s="36" t="n">
        <f aca="false">IF(Sens!$H$4426&gt;0,Sens!$H$4427/Sens!$H$4426,Sens!$H$4423)</f>
        <v>11.1095876691891</v>
      </c>
      <c r="I4429" s="36" t="n">
        <f aca="false">IF(Sens!$I$4426&gt;0,Sens!$I$4427/Sens!$I$4426,Sens!$I$4423)</f>
        <v>11.2881290028523</v>
      </c>
      <c r="J4429" s="36" t="n">
        <f aca="false">IF(Sens!$J$4426&gt;0,Sens!$J$4427/Sens!$J$4426,Sens!$J$4423)</f>
        <v>11.3646467172794</v>
      </c>
      <c r="K4429" s="36" t="n">
        <f aca="false">IF(Sens!$K$4426&gt;0,Sens!$K$4427/Sens!$K$4426,Sens!$K$4423)</f>
        <v>11.4071565586278</v>
      </c>
      <c r="L4429" s="36" t="n">
        <f aca="false">IF(Sens!$L$4426&gt;0,Sens!$L$4427/Sens!$L$4426,Sens!$L$4423)</f>
        <v>11.4342082758495</v>
      </c>
      <c r="M4429" s="36" t="n">
        <f aca="false">IF(Sens!$M$4426&gt;0,Sens!$M$4427/Sens!$M$4426,Sens!$M$4423)</f>
        <v>11.4529363877722</v>
      </c>
    </row>
    <row r="4430" customFormat="false" ht="17.15" hidden="false" customHeight="false" outlineLevel="0" collapsed="false">
      <c r="A4430" s="5" t="s">
        <v>569</v>
      </c>
      <c r="B4430" s="0" t="s">
        <v>151</v>
      </c>
      <c r="F4430" s="36" t="n">
        <f aca="false">IF(Sens!$F$4426&gt;0,Sens!$F$4428/Sens!$F$4426,Sens!$F$4424)</f>
        <v>1.98263481314457</v>
      </c>
      <c r="G4430" s="36" t="n">
        <f aca="false">IF(Sens!$G$4426&gt;0,Sens!$G$4428/Sens!$G$4426,Sens!$G$4424)</f>
        <v>1.98263481314457</v>
      </c>
      <c r="H4430" s="36" t="n">
        <f aca="false">IF(Sens!$H$4426&gt;0,Sens!$H$4428/Sens!$H$4426,Sens!$H$4424)</f>
        <v>2.00111160233948</v>
      </c>
      <c r="I4430" s="36" t="n">
        <f aca="false">IF(Sens!$I$4426&gt;0,Sens!$I$4428/Sens!$I$4426,Sens!$I$4424)</f>
        <v>2.01589303369541</v>
      </c>
      <c r="J4430" s="36" t="n">
        <f aca="false">IF(Sens!$J$4426&gt;0,Sens!$J$4428/Sens!$J$4426,Sens!$J$4424)</f>
        <v>2.02222793284795</v>
      </c>
      <c r="K4430" s="36" t="n">
        <f aca="false">IF(Sens!$K$4426&gt;0,Sens!$K$4428/Sens!$K$4426,Sens!$K$4424)</f>
        <v>2.02574732126603</v>
      </c>
      <c r="L4430" s="36" t="n">
        <f aca="false">IF(Sens!$L$4426&gt;0,Sens!$L$4428/Sens!$L$4426,Sens!$L$4424)</f>
        <v>2.02798693207753</v>
      </c>
      <c r="M4430" s="36" t="n">
        <f aca="false">IF(Sens!$M$4426&gt;0,Sens!$M$4428/Sens!$M$4426,Sens!$M$4424)</f>
        <v>2.02953743187011</v>
      </c>
    </row>
    <row r="4431" customFormat="false" ht="17.15" hidden="false" customHeight="false" outlineLevel="0" collapsed="false">
      <c r="A4431" s="14" t="s">
        <v>570</v>
      </c>
      <c r="B4431" s="13" t="s">
        <v>151</v>
      </c>
      <c r="C4431" s="13"/>
      <c r="D4431" s="13"/>
      <c r="E4431" s="13"/>
      <c r="F4431" s="37" t="n">
        <f aca="false">Sens!$F$4429*k_B</f>
        <v>10.7987645808025</v>
      </c>
      <c r="G4431" s="37" t="n">
        <f aca="false">Sens!$G$4429*k_B</f>
        <v>10.7987645808025</v>
      </c>
      <c r="H4431" s="37" t="n">
        <f aca="false">Sens!$H$4429*k_B</f>
        <v>11.0201444540452</v>
      </c>
      <c r="I4431" s="37" t="n">
        <f aca="false">Sens!$I$4429*k_B</f>
        <v>11.1972483526393</v>
      </c>
      <c r="J4431" s="37" t="n">
        <f aca="false">Sens!$J$4429*k_B</f>
        <v>11.2731500234653</v>
      </c>
      <c r="K4431" s="37" t="n">
        <f aca="false">Sens!$K$4429*k_B</f>
        <v>11.3153176183687</v>
      </c>
      <c r="L4431" s="37" t="n">
        <f aca="false">Sens!$L$4429*k_B</f>
        <v>11.3421515423981</v>
      </c>
      <c r="M4431" s="37" t="n">
        <f aca="false">Sens!$M$4429*k_B</f>
        <v>11.3607288744184</v>
      </c>
      <c r="N4431" s="13"/>
      <c r="O4431" s="13"/>
      <c r="P4431" s="5" t="s">
        <v>571</v>
      </c>
    </row>
    <row r="4432" customFormat="false" ht="17.15" hidden="false" customHeight="false" outlineLevel="0" collapsed="false">
      <c r="A4432" s="5" t="s">
        <v>572</v>
      </c>
      <c r="B4432" s="0" t="s">
        <v>108</v>
      </c>
      <c r="F4432" s="33" t="n">
        <f aca="false">Sens!$F$4426/2</f>
        <v>908.575</v>
      </c>
      <c r="H4432" s="33" t="n">
        <f aca="false">(Sens!$G$4426+Sens!$H$4426)/2</f>
        <v>3634.3</v>
      </c>
      <c r="I4432" s="33" t="n">
        <f aca="false">(Sens!$H$4426+Sens!$I$4426)/2</f>
        <v>7268.6</v>
      </c>
      <c r="J4432" s="33" t="n">
        <f aca="false">(Sens!$I$4426+Sens!$J$4426)/2</f>
        <v>10902.9</v>
      </c>
      <c r="K4432" s="33" t="n">
        <f aca="false">(Sens!$J$4426+Sens!$K$4426)/2</f>
        <v>14537.2</v>
      </c>
      <c r="L4432" s="33" t="n">
        <f aca="false">(Sens!$K$4426+Sens!$L$4426)/2</f>
        <v>18171.5</v>
      </c>
      <c r="M4432" s="33" t="n">
        <f aca="false">(Sens!$L$4426+Sens!$M$4426)/2</f>
        <v>21805.8</v>
      </c>
    </row>
    <row r="4433" customFormat="false" ht="17.15" hidden="false" customHeight="false" outlineLevel="0" collapsed="false">
      <c r="A4433" s="1" t="s">
        <v>573</v>
      </c>
    </row>
    <row r="4434" customFormat="false" ht="17.15" hidden="false" customHeight="false" outlineLevel="0" collapsed="false">
      <c r="A4434" s="1" t="s">
        <v>574</v>
      </c>
      <c r="B4434" s="8" t="s">
        <v>73</v>
      </c>
      <c r="C4434" s="38" t="n">
        <f aca="false">Sens!$C$4417*rpm_open*Sens!$C$4418/1000</f>
        <v>2.32100535697364</v>
      </c>
      <c r="D4434" s="38" t="n">
        <f aca="false">Sens!$D$4417*rpm_open*Sens!$D$4418/1000</f>
        <v>8.70377008865116</v>
      </c>
      <c r="E4434" s="38" t="n">
        <f aca="false">Sens!$E$4417*rpm_open*Sens!$E$4418/1000</f>
        <v>8.51035297557002</v>
      </c>
      <c r="F4434" s="38" t="n">
        <f aca="false">(mw_open*rpm_open+Sens!$F$4432*Sens!$F$4431)*Sens!$F$4418/1000</f>
        <v>14.9634336447205</v>
      </c>
      <c r="G4434" s="38" t="n">
        <f aca="false">Sens!$E$4434+Sens!$F$4434</f>
        <v>23.4737866202905</v>
      </c>
      <c r="H4434" s="38" t="n">
        <f aca="false">(mw_open*rpm_open+Sens!$H$4432*Sens!$H$4431)/1000</f>
        <v>60.1658907497746</v>
      </c>
      <c r="I4434" s="38" t="n">
        <f aca="false">(mw_open*rpm_open+Sens!$I$4432*Sens!$I$4431)/1000</f>
        <v>101.503699136432</v>
      </c>
      <c r="J4434" s="38" t="n">
        <f aca="false">(mw_open*rpm_open+Sens!$J$4432*Sens!$J$4431)/1000</f>
        <v>143.025407151278</v>
      </c>
      <c r="K4434" s="38" t="n">
        <f aca="false">(mw_open*rpm_open+Sens!$K$4432*Sens!$K$4431)/1000</f>
        <v>184.608415042187</v>
      </c>
      <c r="L4434" s="38" t="n">
        <f aca="false">(mw_open*rpm_open+Sens!$L$4432*Sens!$L$4431)/1000</f>
        <v>226.219286513125</v>
      </c>
      <c r="M4434" s="38" t="n">
        <f aca="false">(mw_open*rpm_open+Sens!$M$4432*Sens!$M$4431)/1000</f>
        <v>267.845161450232</v>
      </c>
      <c r="N4434" s="38" t="n">
        <f aca="false">Sens!$N$4417*rpm_open*Sens!$N$4418/1000</f>
        <v>3.04631953102791</v>
      </c>
      <c r="O4434" s="38" t="n">
        <f aca="false">Sens!$O$4417*rpm_open*Sens!$O$4418/1000</f>
        <v>5.65745055762326</v>
      </c>
      <c r="P4434" s="5" t="s">
        <v>575</v>
      </c>
    </row>
    <row r="4435" customFormat="false" ht="17.15" hidden="false" customHeight="false" outlineLevel="0" collapsed="false">
      <c r="A4435" s="5" t="s">
        <v>576</v>
      </c>
      <c r="B4435" s="0" t="s">
        <v>151</v>
      </c>
      <c r="C4435" s="36" t="n">
        <f aca="false">Sens!$C$4434*1000/(Sens!$C$4417*Sens!$C$4418)</f>
        <v>9.67085565405685</v>
      </c>
      <c r="D4435" s="36" t="n">
        <f aca="false">Sens!$D$4434*1000/(Sens!$D$4417*Sens!$D$4418)</f>
        <v>9.67085565405685</v>
      </c>
      <c r="E4435" s="36" t="n">
        <f aca="false">Sens!$E$4434*1000/(Sens!$E$4417*Sens!$E$4418)</f>
        <v>9.67085565405685</v>
      </c>
      <c r="F4435" s="36" t="n">
        <f aca="false">Sens!$F$4434*1000/(Sens!$F$4417*Sens!$F$4418)</f>
        <v>10.0137581588017</v>
      </c>
      <c r="G4435" s="36" t="n">
        <f aca="false">Sens!$G$4434*1000/(Sens!$G$4417*Sens!$G$4418)</f>
        <v>9.88666562928478</v>
      </c>
      <c r="H4435" s="36" t="n">
        <f aca="false">Sens!$H$4434*1000/(Sens!$H$4417*Sens!$H$4418)</f>
        <v>10.5290045586992</v>
      </c>
      <c r="I4435" s="36" t="n">
        <f aca="false">Sens!$I$4434*1000/(Sens!$I$4417*Sens!$I$4418)</f>
        <v>10.8576363451674</v>
      </c>
      <c r="J4435" s="36" t="n">
        <f aca="false">Sens!$J$4434*1000/(Sens!$J$4417*Sens!$J$4418)</f>
        <v>11.0164452588619</v>
      </c>
      <c r="K4435" s="36" t="n">
        <f aca="false">Sens!$K$4434*1000/(Sens!$K$4417*Sens!$K$4418)</f>
        <v>11.1094778327388</v>
      </c>
      <c r="L4435" s="36" t="n">
        <f aca="false">Sens!$L$4434*1000/(Sens!$L$4417*Sens!$L$4418)</f>
        <v>11.1704953466718</v>
      </c>
      <c r="M4435" s="36" t="n">
        <f aca="false">Sens!$M$4434*1000/(Sens!$M$4417*Sens!$M$4418)</f>
        <v>11.2135729785158</v>
      </c>
      <c r="N4435" s="36" t="n">
        <f aca="false">Sens!$N$4434*1000/(Sens!$N$4417*Sens!$N$4418)</f>
        <v>9.67085565405685</v>
      </c>
      <c r="O4435" s="36" t="n">
        <f aca="false">Sens!$O$4434*1000/(Sens!$O$4417*Sens!$O$4418)</f>
        <v>9.67085565405685</v>
      </c>
    </row>
    <row r="4436" customFormat="false" ht="17.15" hidden="false" customHeight="false" outlineLevel="0" collapsed="false">
      <c r="A4436" s="0" t="s">
        <v>577</v>
      </c>
      <c r="B4436" s="0" t="s">
        <v>73</v>
      </c>
      <c r="C4436" s="38" t="n">
        <f aca="false">Sens!$C$4417/ext_sh*(ox_open+rent_mw)*Sens!$C$4418/1000</f>
        <v>0.642569210675032</v>
      </c>
      <c r="D4436" s="38" t="n">
        <f aca="false">Sens!$D$4417/ext_sh*(ox_open+rent_mw)*Sens!$D$4418/1000</f>
        <v>2.40963454003137</v>
      </c>
      <c r="E4436" s="38" t="n">
        <f aca="false">Sens!$E$4417/ext_sh*(ox_open+rent_mw)*Sens!$E$4418/1000</f>
        <v>2.35608710580845</v>
      </c>
      <c r="F4436" s="38" t="n">
        <f aca="false">((mw_open*ox_open+Sens!$F$4432*Sens!$F$4430)/ext_sh+Sens!$F$4417/ext_sh*rent_mw)*Sens!$F$4418/1000</f>
        <v>4.05421991106232</v>
      </c>
      <c r="G4436" s="38" t="n">
        <f aca="false">Sens!$E$4436+Sens!$F$4436</f>
        <v>6.41030701687077</v>
      </c>
      <c r="H4436" s="38" t="n">
        <f aca="false">((mw_open*ox_open+Sens!$H$4432*Sens!$H$4430)/ext_sh+Sens!$H$4417/ext_sh*rent_mw)*Sens!$H$4418/1000</f>
        <v>15.8108975546616</v>
      </c>
      <c r="I4436" s="38" t="n">
        <f aca="false">((mw_open*ox_open+Sens!$I$4432*Sens!$I$4430)/ext_sh+Sens!$I$4417/ext_sh*rent_mw)*Sens!$I$4418/1000</f>
        <v>26.1871623400817</v>
      </c>
      <c r="J4436" s="38" t="n">
        <f aca="false">((mw_open*ox_open+Sens!$J$4432*Sens!$J$4430)/ext_sh+Sens!$J$4417/ext_sh*rent_mw)*Sens!$J$4418/1000</f>
        <v>36.5826128954935</v>
      </c>
      <c r="K4436" s="38" t="n">
        <f aca="false">((mw_open*ox_open+Sens!$K$4432*Sens!$K$4430)/ext_sh+Sens!$K$4417/ext_sh*rent_mw)*Sens!$K$4418/1000</f>
        <v>46.9844587075692</v>
      </c>
      <c r="L4436" s="38" t="n">
        <f aca="false">((mw_open*ox_open+Sens!$L$4432*Sens!$L$4430)/ext_sh+Sens!$L$4417/ext_sh*rent_mw)*Sens!$L$4418/1000</f>
        <v>57.3892114544922</v>
      </c>
      <c r="M4436" s="38" t="n">
        <f aca="false">((mw_open*ox_open+Sens!$M$4432*Sens!$M$4430)/ext_sh+Sens!$M$4417/ext_sh*rent_mw)*Sens!$M$4418/1000</f>
        <v>67.7955294740252</v>
      </c>
      <c r="N4436" s="38" t="n">
        <f aca="false">Sens!$N$4417/ext_sh*(ox_open+rent_mw)*Sens!$N$4418/1000</f>
        <v>0.84337208901098</v>
      </c>
      <c r="O4436" s="38" t="n">
        <f aca="false">Sens!$O$4417/ext_sh*(ox_open+rent_mw)*Sens!$O$4418/1000</f>
        <v>1.56626245102039</v>
      </c>
    </row>
    <row r="4437" customFormat="false" ht="17.15" hidden="false" customHeight="false" outlineLevel="0" collapsed="false">
      <c r="A4437" s="0" t="s">
        <v>578</v>
      </c>
      <c r="B4437" s="0" t="s">
        <v>73</v>
      </c>
      <c r="C4437" s="38" t="n">
        <f aca="false">Q!$D$7</f>
        <v>107.556</v>
      </c>
      <c r="D4437" s="38" t="n">
        <f aca="false">Q!$E$7</f>
        <v>128.725</v>
      </c>
      <c r="E4437" s="38" t="n">
        <f aca="false">Q!$P$7</f>
        <v>79.819</v>
      </c>
      <c r="N4437" s="38" t="n">
        <f aca="false">Q!$N$7</f>
        <v>60.14</v>
      </c>
      <c r="O4437" s="38" t="n">
        <f aca="false">Q!$O$7</f>
        <v>68.585</v>
      </c>
    </row>
    <row r="4438" customFormat="false" ht="17.15" hidden="false" customHeight="false" outlineLevel="0" collapsed="false">
      <c r="A4438" s="1" t="s">
        <v>579</v>
      </c>
      <c r="B4438" s="8" t="s">
        <v>73</v>
      </c>
      <c r="C4438" s="38" t="n">
        <f aca="false">Sens!$C$4437-Sens!$C$4434</f>
        <v>105.234994643026</v>
      </c>
      <c r="D4438" s="38" t="n">
        <f aca="false">Sens!$D$4437-Sens!$D$4434</f>
        <v>120.021229911349</v>
      </c>
      <c r="E4438" s="38" t="n">
        <f aca="false">Sens!$E$4437-Sens!$E$4434</f>
        <v>71.30864702443</v>
      </c>
      <c r="F4438" s="38" t="n">
        <f aca="false">Sens!$O$4438*(1+Sens!$F$4439)</f>
        <v>78.5950104186653</v>
      </c>
      <c r="G4438" s="38" t="n">
        <f aca="false">Sens!$E$4438+Sens!$F$4438</f>
        <v>149.903657443095</v>
      </c>
      <c r="H4438" s="38" t="n">
        <f aca="false">Sens!$G$4438*(1+Sens!$H$4439)</f>
        <v>180.893560768142</v>
      </c>
      <c r="I4438" s="38" t="n">
        <f aca="false">Sens!$H$4438*(1+Sens!$I$4439)</f>
        <v>210.64839721501</v>
      </c>
      <c r="J4438" s="38" t="n">
        <f aca="false">Sens!$I$4438*(1+Sens!$J$4439)</f>
        <v>236.398909446495</v>
      </c>
      <c r="K4438" s="38" t="n">
        <f aca="false">Sens!$J$4438*(1+Sens!$K$4439)</f>
        <v>255.310822202215</v>
      </c>
      <c r="L4438" s="38" t="n">
        <f aca="false">Sens!$K$4438*(1+Sens!$L$4439)</f>
        <v>275.735687978392</v>
      </c>
      <c r="M4438" s="38" t="n">
        <f aca="false">Sens!$L$4438*(1+Sens!$M$4439)</f>
        <v>297.794543016663</v>
      </c>
      <c r="N4438" s="38" t="n">
        <f aca="false">Sens!$N$4437-Sens!$N$4434</f>
        <v>57.0936804689721</v>
      </c>
      <c r="O4438" s="38" t="n">
        <f aca="false">Sens!$O$4437-Sens!$O$4434</f>
        <v>62.9275494423768</v>
      </c>
      <c r="P4438" s="5" t="s">
        <v>580</v>
      </c>
    </row>
    <row r="4439" customFormat="false" ht="17.15" hidden="false" customHeight="false" outlineLevel="0" collapsed="false">
      <c r="A4439" s="0" t="s">
        <v>581</v>
      </c>
      <c r="B4439" s="0" t="s">
        <v>52</v>
      </c>
      <c r="E4439" s="12" t="n">
        <f aca="false">Sens!$E$4438/Sens!$N$4438-1</f>
        <v>0.248976181579029</v>
      </c>
      <c r="F4439" s="12" t="n">
        <f aca="false">Sens!$E$4439</f>
        <v>0.248976181579029</v>
      </c>
      <c r="G4439" s="12" t="n">
        <f aca="false">Sens!$G$4438/Sens!$D$4438-1</f>
        <v>0.248976181579029</v>
      </c>
      <c r="H4439" s="12" t="n">
        <f aca="false">Sens!$E$4439+(g_awso_lt-Sens!$E$4439)*1/4</f>
        <v>0.206732136184272</v>
      </c>
      <c r="I4439" s="12" t="n">
        <f aca="false">Sens!$E$4439+(g_awso_lt-Sens!$E$4439)*2/4</f>
        <v>0.164488090789515</v>
      </c>
      <c r="J4439" s="12" t="n">
        <f aca="false">Sens!$E$4439+(g_awso_lt-Sens!$E$4439)*3/4</f>
        <v>0.122244045394757</v>
      </c>
      <c r="K4439" s="12" t="n">
        <f aca="false">Sens!$E$4439+(g_awso_lt-Sens!$E$4439)*4/4</f>
        <v>0.08</v>
      </c>
      <c r="L4439" s="12" t="n">
        <f aca="false">g_awso_lt</f>
        <v>0.08</v>
      </c>
      <c r="M4439" s="12" t="n">
        <f aca="false">g_awso_lt</f>
        <v>0.08</v>
      </c>
      <c r="P4439" s="8" t="s">
        <v>582</v>
      </c>
    </row>
    <row r="4440" customFormat="false" ht="17.15" hidden="false" customHeight="false" outlineLevel="0" collapsed="false">
      <c r="A4440" s="1" t="s">
        <v>583</v>
      </c>
    </row>
    <row r="4441" customFormat="false" ht="17.15" hidden="false" customHeight="false" outlineLevel="0" collapsed="false">
      <c r="A4441" s="0" t="s">
        <v>584</v>
      </c>
      <c r="B4441" s="0" t="s">
        <v>73</v>
      </c>
      <c r="F4441" s="38" t="n">
        <f aca="false">cx_rt*Sens!$F$4407+cx_awso*Sens!$F$4438</f>
        <v>36.8045765066526</v>
      </c>
    </row>
    <row r="4442" customFormat="false" ht="17.15" hidden="false" customHeight="false" outlineLevel="0" collapsed="false">
      <c r="A4442" s="0" t="s">
        <v>585</v>
      </c>
      <c r="B4442" s="0" t="s">
        <v>52</v>
      </c>
      <c r="C4442" s="12" t="n">
        <f aca="false">tk_cx_h100/(tk_cx_h100+tk_fac*(1-colo_sh))</f>
        <v>0.730756458006641</v>
      </c>
      <c r="D4442" s="12" t="n">
        <f aca="false">tk_cx_h100/(tk_cx_h100+tk_fac*(1-colo_sh))</f>
        <v>0.730756458006641</v>
      </c>
      <c r="E4442" s="12" t="n">
        <f aca="false">Sens!$F$4442</f>
        <v>0.760792334328868</v>
      </c>
      <c r="F4442" s="12" t="n">
        <f aca="false">Sens!$F$4425/(Sens!$F$4425+tk_fac*(1-colo_sh))</f>
        <v>0.760792334328868</v>
      </c>
      <c r="G4442" s="12" t="n">
        <f aca="false">Sens!$G$4425/(Sens!$G$4425+tk_fac*(1-colo_sh))</f>
        <v>0.760792334328868</v>
      </c>
      <c r="H4442" s="12" t="n">
        <f aca="false">Sens!$H$4425/(Sens!$H$4425+tk_fac*(1-colo_sh))</f>
        <v>0.768110668862996</v>
      </c>
      <c r="I4442" s="12" t="n">
        <f aca="false">Sens!$I$4425/(Sens!$I$4425+tk_fac*(1-colo_sh))</f>
        <v>0.77499450139483</v>
      </c>
      <c r="J4442" s="12" t="n">
        <f aca="false">Sens!$J$4425/(Sens!$J$4425+tk_fac*(1-colo_sh))</f>
        <v>0.77499450139483</v>
      </c>
      <c r="K4442" s="12" t="n">
        <f aca="false">Sens!$K$4425/(Sens!$K$4425+tk_fac*(1-colo_sh))</f>
        <v>0.77499450139483</v>
      </c>
      <c r="L4442" s="12" t="n">
        <f aca="false">Sens!$L$4425/(Sens!$L$4425+tk_fac*(1-colo_sh))</f>
        <v>0.77499450139483</v>
      </c>
      <c r="M4442" s="12" t="n">
        <f aca="false">Sens!$M$4425/(Sens!$M$4425+tk_fac*(1-colo_sh))</f>
        <v>0.77499450139483</v>
      </c>
    </row>
    <row r="4443" customFormat="false" ht="17.15" hidden="false" customHeight="false" outlineLevel="0" collapsed="false">
      <c r="A4443" s="1" t="s">
        <v>586</v>
      </c>
      <c r="B4443" s="8" t="s">
        <v>73</v>
      </c>
      <c r="C4443" s="38" t="n">
        <f aca="false">Q!$D$46-cx_rt*Q!$D$16-cx_awso*Sens!$C$4438</f>
        <v>25.2781053077374</v>
      </c>
      <c r="D4443" s="38" t="n">
        <f aca="false">Q!$E$46-cx_rt*Q!$E$16-cx_awso*Sens!$D$4438</f>
        <v>69.5686316310026</v>
      </c>
      <c r="E4443" s="38" t="n">
        <f aca="false">Q!$P$46-cx_rt*Q!$P$16-cx_awso*Sens!$E$4438</f>
        <v>64.1899206485108</v>
      </c>
      <c r="F4443" s="38" t="n">
        <f aca="false">MAX(Sens!$F$4420*(Sens!$F$4425+tk_fac*(1-colo_sh))/1000,capex_g26-Q!$P$46-Sens!$F$4441)</f>
        <v>96.2481299895</v>
      </c>
      <c r="G4443" s="38" t="n">
        <f aca="false">Sens!$E$4443+Sens!$F$4443</f>
        <v>160.438050638011</v>
      </c>
      <c r="H4443" s="38" t="n">
        <f aca="false">Sens!$H$4420*(Sens!$H$4425+tk_fac*(1-colo_sh))/1000+Sens!$H$4444</f>
        <v>198.57136494475</v>
      </c>
      <c r="I4443" s="38" t="n">
        <f aca="false">Sens!$I$4420*(Sens!$I$4425+tk_fac*(1-colo_sh))/1000+Sens!$I$4444</f>
        <v>204.6464699105</v>
      </c>
      <c r="J4443" s="38" t="n">
        <f aca="false">Sens!$J$4420*(Sens!$J$4425+tk_fac*(1-colo_sh))/1000+Sens!$J$4444</f>
        <v>209.8832381105</v>
      </c>
      <c r="K4443" s="38" t="n">
        <f aca="false">Sens!$K$4420*(Sens!$K$4425+tk_fac*(1-colo_sh))/1000+Sens!$K$4444</f>
        <v>215.1200063105</v>
      </c>
      <c r="L4443" s="38" t="n">
        <f aca="false">Sens!$L$4420*(Sens!$L$4425+tk_fac*(1-colo_sh))/1000+Sens!$L$4444</f>
        <v>251.7773837105</v>
      </c>
      <c r="M4443" s="38" t="n">
        <f aca="false">Sens!$M$4420*(Sens!$M$4425+tk_fac*(1-colo_sh))/1000+Sens!$M$4444</f>
        <v>311.87584476575</v>
      </c>
      <c r="P4443" s="5" t="s">
        <v>587</v>
      </c>
      <c r="R4443" s="38" t="n">
        <f aca="false">Q!$C$46-cx_rt*Q!$C$16-cx_awso*(Q!$C$7-mw_ye23/2*rpm_open/1000)</f>
        <v>1.50429979529945</v>
      </c>
      <c r="S4443" s="38" t="n">
        <f aca="false">Sens!$C$4443</f>
        <v>25.2781053077374</v>
      </c>
      <c r="T4443" s="38" t="n">
        <f aca="false">Sens!$D$4443</f>
        <v>69.5686316310026</v>
      </c>
      <c r="U4443" s="38" t="n">
        <f aca="false">Sens!$G$4443</f>
        <v>160.438050638011</v>
      </c>
      <c r="V4443" s="38" t="n">
        <f aca="false">Sens!$H$4443</f>
        <v>198.57136494475</v>
      </c>
      <c r="W4443" s="38" t="n">
        <f aca="false">Sens!$I$4443</f>
        <v>204.6464699105</v>
      </c>
      <c r="X4443" s="38" t="n">
        <f aca="false">Sens!$J$4443</f>
        <v>209.8832381105</v>
      </c>
      <c r="Y4443" s="38" t="n">
        <f aca="false">Sens!$K$4443</f>
        <v>215.1200063105</v>
      </c>
      <c r="Z4443" s="38" t="n">
        <f aca="false">Sens!$L$4443</f>
        <v>251.7773837105</v>
      </c>
      <c r="AA4443" s="38" t="n">
        <f aca="false">Sens!$M$4443</f>
        <v>311.87584476575</v>
      </c>
    </row>
    <row r="4444" customFormat="false" ht="17.15" hidden="false" customHeight="false" outlineLevel="0" collapsed="false">
      <c r="A4444" s="0" t="s">
        <v>588</v>
      </c>
      <c r="B4444" s="0" t="s">
        <v>73</v>
      </c>
      <c r="H4444" s="38" t="n">
        <f aca="false">SUMPRODUCT(--(Sens!$R$4414:$AA$4414=2027-tk_life),Sens!$R$4420:$AA$4420)*Sens!$H$4425/1000</f>
        <v>0</v>
      </c>
      <c r="I4444" s="38" t="n">
        <f aca="false">SUMPRODUCT(--(Sens!$R$4414:$AA$4414=2028-tk_life),Sens!$R$4420:$AA$4420)*Sens!$I$4425/1000</f>
        <v>0</v>
      </c>
      <c r="J4444" s="38" t="n">
        <f aca="false">SUMPRODUCT(--(Sens!$R$4414:$AA$4414=2029-tk_life),Sens!$R$4420:$AA$4420)*Sens!$J$4425/1000</f>
        <v>5.2367682</v>
      </c>
      <c r="K4444" s="38" t="n">
        <f aca="false">SUMPRODUCT(--(Sens!$R$4414:$AA$4414=2030-tk_life),Sens!$R$4420:$AA$4420)*Sens!$K$4425/1000</f>
        <v>10.4735364</v>
      </c>
      <c r="L4444" s="38" t="n">
        <f aca="false">SUMPRODUCT(--(Sens!$R$4414:$AA$4414=2031-tk_life),Sens!$R$4420:$AA$4420)*Sens!$L$4425/1000</f>
        <v>47.1309138</v>
      </c>
      <c r="M4444" s="38" t="n">
        <f aca="false">SUMPRODUCT(--(Sens!$R$4414:$AA$4414=2032-tk_life),Sens!$R$4420:$AA$4420)*Sens!$M$4425/1000</f>
        <v>107.22937485525</v>
      </c>
    </row>
    <row r="4445" customFormat="false" ht="17.15" hidden="false" customHeight="false" outlineLevel="0" collapsed="false">
      <c r="A4445" s="5" t="s">
        <v>589</v>
      </c>
      <c r="B4445" s="0" t="s">
        <v>73</v>
      </c>
      <c r="C4445" s="38" t="n">
        <f aca="false">Sens!$C$4443*Sens!$C$4442</f>
        <v>18.472138699801</v>
      </c>
      <c r="D4445" s="38" t="n">
        <f aca="false">Sens!$D$4443*Sens!$D$4442</f>
        <v>50.8377268390402</v>
      </c>
      <c r="E4445" s="38" t="n">
        <f aca="false">Sens!$E$4443*Sens!$E$4442</f>
        <v>48.8351995705653</v>
      </c>
      <c r="F4445" s="38" t="n">
        <f aca="false">Sens!$F$4443*Sens!$F$4442</f>
        <v>73.2248394895</v>
      </c>
      <c r="G4445" s="38" t="n">
        <f aca="false">Sens!$E$4445+Sens!$F$4445</f>
        <v>122.060039060065</v>
      </c>
      <c r="H4445" s="38" t="n">
        <f aca="false">(Sens!$H$4443-Sens!$H$4444)*Sens!$H$4442+Sens!$H$4444</f>
        <v>152.52478394475</v>
      </c>
      <c r="I4445" s="38" t="n">
        <f aca="false">(Sens!$I$4443-Sens!$I$4444)*Sens!$I$4442+Sens!$I$4444</f>
        <v>158.5998889105</v>
      </c>
      <c r="J4445" s="38" t="n">
        <f aca="false">(Sens!$J$4443-Sens!$J$4444)*Sens!$J$4442+Sens!$J$4444</f>
        <v>163.8366571105</v>
      </c>
      <c r="K4445" s="38" t="n">
        <f aca="false">(Sens!$K$4443-Sens!$K$4444)*Sens!$K$4442+Sens!$K$4444</f>
        <v>169.0734253105</v>
      </c>
      <c r="L4445" s="38" t="n">
        <f aca="false">(Sens!$L$4443-Sens!$L$4444)*Sens!$L$4442+Sens!$L$4444</f>
        <v>205.7308027105</v>
      </c>
      <c r="M4445" s="38" t="n">
        <f aca="false">(Sens!$M$4443-Sens!$M$4444)*Sens!$M$4442+Sens!$M$4444</f>
        <v>265.82926376575</v>
      </c>
      <c r="R4445" s="38" t="n">
        <f aca="false">Sens!$R$4443*Sens!$C$4442</f>
        <v>1.09927679019314</v>
      </c>
      <c r="S4445" s="38" t="n">
        <f aca="false">Sens!$C$4445</f>
        <v>18.472138699801</v>
      </c>
      <c r="T4445" s="38" t="n">
        <f aca="false">Sens!$D$4445</f>
        <v>50.8377268390402</v>
      </c>
      <c r="U4445" s="38" t="n">
        <f aca="false">Sens!$G$4445</f>
        <v>122.060039060065</v>
      </c>
      <c r="V4445" s="38" t="n">
        <f aca="false">Sens!$H$4445</f>
        <v>152.52478394475</v>
      </c>
      <c r="W4445" s="38" t="n">
        <f aca="false">Sens!$I$4445</f>
        <v>158.5998889105</v>
      </c>
      <c r="X4445" s="38" t="n">
        <f aca="false">Sens!$J$4445</f>
        <v>163.8366571105</v>
      </c>
      <c r="Y4445" s="38" t="n">
        <f aca="false">Sens!$K$4445</f>
        <v>169.0734253105</v>
      </c>
      <c r="Z4445" s="38" t="n">
        <f aca="false">Sens!$L$4445</f>
        <v>205.7308027105</v>
      </c>
      <c r="AA4445" s="38" t="n">
        <f aca="false">Sens!$M$4445</f>
        <v>265.82926376575</v>
      </c>
    </row>
    <row r="4446" customFormat="false" ht="15" hidden="false" customHeight="false" outlineLevel="0" collapsed="false">
      <c r="A4446" s="5" t="s">
        <v>590</v>
      </c>
      <c r="B4446" s="0" t="s">
        <v>73</v>
      </c>
      <c r="R4446" s="38" t="n">
        <f aca="false">Sens!$R$4443-Sens!$R$4445</f>
        <v>0.405023005106309</v>
      </c>
      <c r="S4446" s="38" t="n">
        <f aca="false">Sens!$S$4443-Sens!$S$4445</f>
        <v>6.80596660793636</v>
      </c>
      <c r="T4446" s="38" t="n">
        <f aca="false">Sens!$T$4443-Sens!$T$4445</f>
        <v>18.7309047919624</v>
      </c>
      <c r="U4446" s="38" t="n">
        <f aca="false">Sens!$U$4443-Sens!$U$4445</f>
        <v>38.3780115779455</v>
      </c>
      <c r="V4446" s="38" t="n">
        <f aca="false">Sens!$V$4443-Sens!$V$4445</f>
        <v>46.046581</v>
      </c>
      <c r="W4446" s="38" t="n">
        <f aca="false">Sens!$W$4443-Sens!$W$4445</f>
        <v>46.046581</v>
      </c>
      <c r="X4446" s="38" t="n">
        <f aca="false">Sens!$X$4443-Sens!$X$4445</f>
        <v>46.046581</v>
      </c>
      <c r="Y4446" s="38" t="n">
        <f aca="false">Sens!$Y$4443-Sens!$Y$4445</f>
        <v>46.046581</v>
      </c>
      <c r="Z4446" s="38" t="n">
        <f aca="false">Sens!$Z$4443-Sens!$Z$4445</f>
        <v>46.046581</v>
      </c>
      <c r="AA4446" s="38" t="n">
        <f aca="false">Sens!$AA$4443-Sens!$AA$4445</f>
        <v>46.046581</v>
      </c>
    </row>
    <row r="4447" customFormat="false" ht="17.15" hidden="false" customHeight="false" outlineLevel="0" collapsed="false">
      <c r="A4447" s="0" t="s">
        <v>591</v>
      </c>
      <c r="B4447" s="0" t="s">
        <v>73</v>
      </c>
      <c r="C4447" s="38" t="n">
        <f aca="false">Sens!$S$4447</f>
        <v>0.183212798365523</v>
      </c>
      <c r="D4447" s="38" t="n">
        <f aca="false">Sens!$T$4447</f>
        <v>3.2619025816657</v>
      </c>
      <c r="E4447" s="38" t="n">
        <f aca="false">Sens!$G$4447/2</f>
        <v>5.86742852741953</v>
      </c>
      <c r="F4447" s="38" t="n">
        <f aca="false">Sens!$G$4447/2</f>
        <v>5.86742852741953</v>
      </c>
      <c r="G4447" s="38" t="n">
        <f aca="false">Sens!$U$4447</f>
        <v>11.7348570548391</v>
      </c>
      <c r="H4447" s="38" t="n">
        <f aca="false">Sens!$V$4447</f>
        <v>32.0781968981833</v>
      </c>
      <c r="I4447" s="38" t="n">
        <f aca="false">Sens!$W$4447</f>
        <v>57.4989942223083</v>
      </c>
      <c r="J4447" s="38" t="n">
        <f aca="false">Sens!$X$4447</f>
        <v>83.932309040725</v>
      </c>
      <c r="K4447" s="38" t="n">
        <f aca="false">Sens!$Y$4447</f>
        <v>111.055205760776</v>
      </c>
      <c r="L4447" s="38" t="n">
        <f aca="false">Sens!$Z$4447</f>
        <v>136.155420195893</v>
      </c>
      <c r="M4447" s="38" t="n">
        <f aca="false">Sens!$AA$4447</f>
        <v>161.970932841136</v>
      </c>
      <c r="N4447" s="38" t="n">
        <f aca="false">Sens!$D$4447/2</f>
        <v>1.63095129083285</v>
      </c>
      <c r="O4447" s="38" t="n">
        <f aca="false">Sens!$D$4447/2</f>
        <v>1.63095129083285</v>
      </c>
      <c r="R4447" s="38" t="n">
        <f aca="false">SUMPRODUCT(--(Sens!$R$4414:$AA$4414&lt;Sens!R$4414),--(Sens!$R$4414:$AA$4414&gt;=Sens!R$4414-tk_life),Sens!$R$4445:$AA$4445)/tk_life</f>
        <v>0</v>
      </c>
      <c r="S4447" s="38" t="n">
        <f aca="false">SUMPRODUCT(--(Sens!$R$4414:$AA$4414&lt;Sens!S$4414),--(Sens!$R$4414:$AA$4414&gt;=Sens!S$4414-tk_life),Sens!$R$4445:$AA$4445)/tk_life</f>
        <v>0.183212798365523</v>
      </c>
      <c r="T4447" s="38" t="n">
        <f aca="false">SUMPRODUCT(--(Sens!$R$4414:$AA$4414&lt;Sens!T$4414),--(Sens!$R$4414:$AA$4414&gt;=Sens!T$4414-tk_life),Sens!$R$4445:$AA$4445)/tk_life</f>
        <v>3.2619025816657</v>
      </c>
      <c r="U4447" s="38" t="n">
        <f aca="false">SUMPRODUCT(--(Sens!$R$4414:$AA$4414&lt;Sens!U$4414),--(Sens!$R$4414:$AA$4414&gt;=Sens!U$4414-tk_life),Sens!$R$4445:$AA$4445)/tk_life</f>
        <v>11.7348570548391</v>
      </c>
      <c r="V4447" s="38" t="n">
        <f aca="false">SUMPRODUCT(--(Sens!$R$4414:$AA$4414&lt;Sens!V$4414),--(Sens!$R$4414:$AA$4414&gt;=Sens!V$4414-tk_life),Sens!$R$4445:$AA$4445)/tk_life</f>
        <v>32.0781968981833</v>
      </c>
      <c r="W4447" s="38" t="n">
        <f aca="false">SUMPRODUCT(--(Sens!$R$4414:$AA$4414&lt;Sens!W$4414),--(Sens!$R$4414:$AA$4414&gt;=Sens!W$4414-tk_life),Sens!$R$4445:$AA$4445)/tk_life</f>
        <v>57.4989942223083</v>
      </c>
      <c r="X4447" s="38" t="n">
        <f aca="false">SUMPRODUCT(--(Sens!$R$4414:$AA$4414&lt;Sens!X$4414),--(Sens!$R$4414:$AA$4414&gt;=Sens!X$4414-tk_life),Sens!$R$4445:$AA$4445)/tk_life</f>
        <v>83.932309040725</v>
      </c>
      <c r="Y4447" s="38" t="n">
        <f aca="false">SUMPRODUCT(--(Sens!$R$4414:$AA$4414&lt;Sens!Y$4414),--(Sens!$R$4414:$AA$4414&gt;=Sens!Y$4414-tk_life),Sens!$R$4445:$AA$4445)/tk_life</f>
        <v>111.055205760776</v>
      </c>
      <c r="Z4447" s="38" t="n">
        <f aca="false">SUMPRODUCT(--(Sens!$R$4414:$AA$4414&lt;Sens!Z$4414),--(Sens!$R$4414:$AA$4414&gt;=Sens!Z$4414-tk_life),Sens!$R$4445:$AA$4445)/tk_life</f>
        <v>136.155420195893</v>
      </c>
      <c r="AA4447" s="38" t="n">
        <f aca="false">SUMPRODUCT(--(Sens!$R$4414:$AA$4414&lt;Sens!AA$4414),--(Sens!$R$4414:$AA$4414&gt;=Sens!AA$4414-tk_life),Sens!$R$4445:$AA$4445)/tk_life</f>
        <v>161.970932841136</v>
      </c>
    </row>
    <row r="4448" customFormat="false" ht="17.15" hidden="false" customHeight="false" outlineLevel="0" collapsed="false">
      <c r="A4448" s="0" t="s">
        <v>592</v>
      </c>
      <c r="B4448" s="0" t="s">
        <v>73</v>
      </c>
      <c r="C4448" s="38" t="n">
        <f aca="false">Sens!$S$4448</f>
        <v>0.0202511502553155</v>
      </c>
      <c r="D4448" s="38" t="n">
        <f aca="false">Sens!$T$4448</f>
        <v>0.360549480652134</v>
      </c>
      <c r="E4448" s="38" t="n">
        <f aca="false">Sens!$G$4448/2</f>
        <v>0.648547360125127</v>
      </c>
      <c r="F4448" s="38" t="n">
        <f aca="false">Sens!$G$4448/2</f>
        <v>0.648547360125127</v>
      </c>
      <c r="G4448" s="38" t="n">
        <f aca="false">Sens!$U$4448</f>
        <v>1.29709472025025</v>
      </c>
      <c r="H4448" s="38" t="n">
        <f aca="false">Sens!$V$4448</f>
        <v>3.21599529914753</v>
      </c>
      <c r="I4448" s="38" t="n">
        <f aca="false">Sens!$W$4448</f>
        <v>5.51832434914753</v>
      </c>
      <c r="J4448" s="38" t="n">
        <f aca="false">Sens!$X$4448</f>
        <v>7.82065339914753</v>
      </c>
      <c r="K4448" s="38" t="n">
        <f aca="false">Sens!$Y$4448</f>
        <v>10.1229824491475</v>
      </c>
      <c r="L4448" s="38" t="n">
        <f aca="false">Sens!$Z$4448</f>
        <v>12.4253114991475</v>
      </c>
      <c r="M4448" s="38" t="n">
        <f aca="false">Sens!$AA$4448</f>
        <v>14.7276405491475</v>
      </c>
      <c r="N4448" s="38" t="n">
        <f aca="false">Sens!$D$4448/2</f>
        <v>0.180274740326067</v>
      </c>
      <c r="O4448" s="38" t="n">
        <f aca="false">Sens!$D$4448/2</f>
        <v>0.180274740326067</v>
      </c>
      <c r="R4448" s="38" t="n">
        <f aca="false">SUMPRODUCT(--(Sens!$R$4414:$AA$4414&lt;Sens!R$4414),Sens!$R$4446:$AA$4446)/fac_life</f>
        <v>0</v>
      </c>
      <c r="S4448" s="38" t="n">
        <f aca="false">SUMPRODUCT(--(Sens!$R$4414:$AA$4414&lt;Sens!S$4414),Sens!$R$4446:$AA$4446)/fac_life</f>
        <v>0.0202511502553155</v>
      </c>
      <c r="T4448" s="38" t="n">
        <f aca="false">SUMPRODUCT(--(Sens!$R$4414:$AA$4414&lt;Sens!T$4414),Sens!$R$4446:$AA$4446)/fac_life</f>
        <v>0.360549480652134</v>
      </c>
      <c r="U4448" s="38" t="n">
        <f aca="false">SUMPRODUCT(--(Sens!$R$4414:$AA$4414&lt;Sens!U$4414),Sens!$R$4446:$AA$4446)/fac_life</f>
        <v>1.29709472025025</v>
      </c>
      <c r="V4448" s="38" t="n">
        <f aca="false">SUMPRODUCT(--(Sens!$R$4414:$AA$4414&lt;Sens!V$4414),Sens!$R$4446:$AA$4446)/fac_life</f>
        <v>3.21599529914753</v>
      </c>
      <c r="W4448" s="38" t="n">
        <f aca="false">SUMPRODUCT(--(Sens!$R$4414:$AA$4414&lt;Sens!W$4414),Sens!$R$4446:$AA$4446)/fac_life</f>
        <v>5.51832434914753</v>
      </c>
      <c r="X4448" s="38" t="n">
        <f aca="false">SUMPRODUCT(--(Sens!$R$4414:$AA$4414&lt;Sens!X$4414),Sens!$R$4446:$AA$4446)/fac_life</f>
        <v>7.82065339914753</v>
      </c>
      <c r="Y4448" s="38" t="n">
        <f aca="false">SUMPRODUCT(--(Sens!$R$4414:$AA$4414&lt;Sens!Y$4414),Sens!$R$4446:$AA$4446)/fac_life</f>
        <v>10.1229824491475</v>
      </c>
      <c r="Z4448" s="38" t="n">
        <f aca="false">SUMPRODUCT(--(Sens!$R$4414:$AA$4414&lt;Sens!Z$4414),Sens!$R$4446:$AA$4446)/fac_life</f>
        <v>12.4253114991475</v>
      </c>
      <c r="AA4448" s="38" t="n">
        <f aca="false">SUMPRODUCT(--(Sens!$R$4414:$AA$4414&lt;Sens!AA$4414),Sens!$R$4446:$AA$4446)/fac_life</f>
        <v>14.7276405491475</v>
      </c>
    </row>
    <row r="4449" customFormat="false" ht="17.15" hidden="false" customHeight="false" outlineLevel="0" collapsed="false">
      <c r="A4449" s="1" t="s">
        <v>593</v>
      </c>
      <c r="B4449" s="8" t="s">
        <v>73</v>
      </c>
      <c r="C4449" s="38" t="n">
        <f aca="false">Sens!$C$4447+Sens!$C$4448</f>
        <v>0.203463948620839</v>
      </c>
      <c r="D4449" s="38" t="n">
        <f aca="false">Sens!$D$4447+Sens!$D$4448</f>
        <v>3.62245206231783</v>
      </c>
      <c r="E4449" s="38" t="n">
        <f aca="false">Sens!$E$4447+Sens!$E$4448</f>
        <v>6.51597588754466</v>
      </c>
      <c r="F4449" s="38" t="n">
        <f aca="false">Sens!$F$4447+Sens!$F$4448</f>
        <v>6.51597588754466</v>
      </c>
      <c r="G4449" s="38" t="n">
        <f aca="false">Sens!$G$4447+Sens!$G$4448</f>
        <v>13.0319517750893</v>
      </c>
      <c r="H4449" s="38" t="n">
        <f aca="false">Sens!$H$4447+Sens!$H$4448</f>
        <v>35.2941921973308</v>
      </c>
      <c r="I4449" s="38" t="n">
        <f aca="false">Sens!$I$4447+Sens!$I$4448</f>
        <v>63.0173185714558</v>
      </c>
      <c r="J4449" s="38" t="n">
        <f aca="false">Sens!$J$4447+Sens!$J$4448</f>
        <v>91.7529624398725</v>
      </c>
      <c r="K4449" s="38" t="n">
        <f aca="false">Sens!$K$4447+Sens!$K$4448</f>
        <v>121.178188209924</v>
      </c>
      <c r="L4449" s="38" t="n">
        <f aca="false">Sens!$L$4447+Sens!$L$4448</f>
        <v>148.58073169504</v>
      </c>
      <c r="M4449" s="38" t="n">
        <f aca="false">Sens!$M$4447+Sens!$M$4448</f>
        <v>176.698573390283</v>
      </c>
      <c r="N4449" s="38" t="n">
        <f aca="false">Sens!$N$4447+Sens!$N$4448</f>
        <v>1.81122603115892</v>
      </c>
      <c r="O4449" s="38" t="n">
        <f aca="false">Sens!$O$4447+Sens!$O$4448</f>
        <v>1.81122603115892</v>
      </c>
      <c r="R4449" s="38" t="n">
        <f aca="false">Sens!$R$4447+Sens!$R$4448</f>
        <v>0</v>
      </c>
      <c r="S4449" s="38" t="n">
        <f aca="false">Sens!$S$4447+Sens!$S$4448</f>
        <v>0.203463948620839</v>
      </c>
      <c r="T4449" s="38" t="n">
        <f aca="false">Sens!$T$4447+Sens!$T$4448</f>
        <v>3.62245206231783</v>
      </c>
      <c r="U4449" s="38" t="n">
        <f aca="false">Sens!$U$4447+Sens!$U$4448</f>
        <v>13.0319517750893</v>
      </c>
      <c r="V4449" s="38" t="n">
        <f aca="false">Sens!$V$4447+Sens!$V$4448</f>
        <v>35.2941921973308</v>
      </c>
      <c r="W4449" s="38" t="n">
        <f aca="false">Sens!$W$4447+Sens!$W$4448</f>
        <v>63.0173185714558</v>
      </c>
      <c r="X4449" s="38" t="n">
        <f aca="false">Sens!$X$4447+Sens!$X$4448</f>
        <v>91.7529624398725</v>
      </c>
      <c r="Y4449" s="38" t="n">
        <f aca="false">Sens!$Y$4447+Sens!$Y$4448</f>
        <v>121.178188209924</v>
      </c>
      <c r="Z4449" s="38" t="n">
        <f aca="false">Sens!$Z$4447+Sens!$Z$4448</f>
        <v>148.58073169504</v>
      </c>
      <c r="AA4449" s="38" t="n">
        <f aca="false">Sens!$AA$4447+Sens!$AA$4448</f>
        <v>176.698573390283</v>
      </c>
    </row>
    <row r="4450" customFormat="false" ht="17.15" hidden="false" customHeight="false" outlineLevel="0" collapsed="false">
      <c r="A4450" s="0" t="s">
        <v>594</v>
      </c>
      <c r="B4450" s="0" t="s">
        <v>73</v>
      </c>
      <c r="C4450" s="38" t="n">
        <f aca="false">Sens!$S$4450</f>
        <v>26.578941154416</v>
      </c>
      <c r="D4450" s="38" t="n">
        <f aca="false">Sens!$T$4450</f>
        <v>92.5251207231008</v>
      </c>
      <c r="G4450" s="38" t="n">
        <f aca="false">Sens!$U$4450</f>
        <v>239.931219586022</v>
      </c>
      <c r="H4450" s="38" t="n">
        <f aca="false">Sens!$V$4450</f>
        <v>403.208392333442</v>
      </c>
      <c r="I4450" s="38" t="n">
        <f aca="false">Sens!$W$4450</f>
        <v>544.837543672486</v>
      </c>
      <c r="J4450" s="38" t="n">
        <f aca="false">Sens!$X$4450</f>
        <v>662.967819343113</v>
      </c>
      <c r="K4450" s="38" t="n">
        <f aca="false">Sens!$Y$4450</f>
        <v>756.90963744369</v>
      </c>
      <c r="L4450" s="38" t="n">
        <f aca="false">Sens!$Z$4450</f>
        <v>860.10628945915</v>
      </c>
      <c r="M4450" s="38" t="n">
        <f aca="false">Sens!$AA$4450</f>
        <v>995.283560834616</v>
      </c>
      <c r="R4450" s="38" t="n">
        <f aca="false">SUM(Sens!$R$4443:$R$4443)-SUM(Sens!$R$4449:$R$4449)</f>
        <v>1.50429979529945</v>
      </c>
      <c r="S4450" s="38" t="n">
        <f aca="false">SUM(Sens!$R$4443:$S$4443)-SUM(Sens!$R$4449:$S$4449)</f>
        <v>26.578941154416</v>
      </c>
      <c r="T4450" s="38" t="n">
        <f aca="false">SUM(Sens!$R$4443:$T$4443)-SUM(Sens!$R$4449:$T$4449)</f>
        <v>92.5251207231008</v>
      </c>
      <c r="U4450" s="38" t="n">
        <f aca="false">SUM(Sens!$R$4443:$U$4443)-SUM(Sens!$R$4449:$U$4449)</f>
        <v>239.931219586022</v>
      </c>
      <c r="V4450" s="38" t="n">
        <f aca="false">SUM(Sens!$R$4443:$V$4443)-SUM(Sens!$R$4449:$V$4449)</f>
        <v>403.208392333442</v>
      </c>
      <c r="W4450" s="38" t="n">
        <f aca="false">SUM(Sens!$R$4443:$W$4443)-SUM(Sens!$R$4449:$W$4449)</f>
        <v>544.837543672486</v>
      </c>
      <c r="X4450" s="38" t="n">
        <f aca="false">SUM(Sens!$R$4443:$X$4443)-SUM(Sens!$R$4449:$X$4449)</f>
        <v>662.967819343113</v>
      </c>
      <c r="Y4450" s="38" t="n">
        <f aca="false">SUM(Sens!$R$4443:$Y$4443)-SUM(Sens!$R$4449:$Y$4449)</f>
        <v>756.90963744369</v>
      </c>
      <c r="Z4450" s="38" t="n">
        <f aca="false">SUM(Sens!$R$4443:$Z$4443)-SUM(Sens!$R$4449:$Z$4449)</f>
        <v>860.10628945915</v>
      </c>
      <c r="AA4450" s="38" t="n">
        <f aca="false">SUM(Sens!$R$4443:$AA$4443)-SUM(Sens!$R$4449:$AA$4449)</f>
        <v>995.283560834616</v>
      </c>
    </row>
    <row r="4451" customFormat="false" ht="17.15" hidden="false" customHeight="false" outlineLevel="0" collapsed="false">
      <c r="A4451" s="1" t="s">
        <v>595</v>
      </c>
    </row>
    <row r="4452" customFormat="false" ht="17.15" hidden="false" customHeight="false" outlineLevel="0" collapsed="false">
      <c r="A4452" s="0" t="s">
        <v>596</v>
      </c>
      <c r="B4452" s="0" t="s">
        <v>73</v>
      </c>
      <c r="C4452" s="38" t="n">
        <f aca="false">Sens!$C$4434-ext_sh*Sens!$C$4436</f>
        <v>1.80694998843362</v>
      </c>
      <c r="D4452" s="38" t="n">
        <f aca="false">Sens!$D$4434-ext_sh*Sens!$D$4436</f>
        <v>6.77606245662607</v>
      </c>
      <c r="E4452" s="38" t="n">
        <f aca="false">Sens!$E$4434-ext_sh*Sens!$E$4436</f>
        <v>6.62548329092326</v>
      </c>
      <c r="F4452" s="38" t="n">
        <f aca="false">Sens!$F$4434-ext_sh*Sens!$F$4436</f>
        <v>11.7200577158706</v>
      </c>
      <c r="G4452" s="38" t="n">
        <f aca="false">Sens!$G$4434-ext_sh*Sens!$G$4436</f>
        <v>18.3455410067939</v>
      </c>
      <c r="H4452" s="38" t="n">
        <f aca="false">Sens!$H$4434-ext_sh*Sens!$H$4436</f>
        <v>47.5171727060453</v>
      </c>
      <c r="I4452" s="38" t="n">
        <f aca="false">Sens!$I$4434-ext_sh*Sens!$I$4436</f>
        <v>80.5539692643667</v>
      </c>
      <c r="J4452" s="38" t="n">
        <f aca="false">Sens!$J$4434-ext_sh*Sens!$J$4436</f>
        <v>113.759316834883</v>
      </c>
      <c r="K4452" s="38" t="n">
        <f aca="false">Sens!$K$4434-ext_sh*Sens!$K$4436</f>
        <v>147.020848076132</v>
      </c>
      <c r="L4452" s="38" t="n">
        <f aca="false">Sens!$L$4434-ext_sh*Sens!$L$4436</f>
        <v>180.307917349531</v>
      </c>
      <c r="M4452" s="38" t="n">
        <f aca="false">Sens!$M$4434-ext_sh*Sens!$M$4436</f>
        <v>213.608737871012</v>
      </c>
      <c r="N4452" s="38" t="n">
        <f aca="false">Sens!$N$4434-ext_sh*Sens!$N$4436</f>
        <v>2.37162185981912</v>
      </c>
      <c r="O4452" s="38" t="n">
        <f aca="false">Sens!$O$4434-ext_sh*Sens!$O$4436</f>
        <v>4.40444059680694</v>
      </c>
    </row>
    <row r="4453" customFormat="false" ht="17.15" hidden="false" customHeight="false" outlineLevel="0" collapsed="false">
      <c r="A4453" s="1" t="s">
        <v>597</v>
      </c>
      <c r="B4453" s="8" t="s">
        <v>73</v>
      </c>
      <c r="C4453" s="38" t="n">
        <f aca="false">Sens!$C$4452-ext_sh*Sens!$C$4449</f>
        <v>1.64417882953695</v>
      </c>
      <c r="D4453" s="38" t="n">
        <f aca="false">Sens!$D$4452-ext_sh*Sens!$D$4449</f>
        <v>3.8781008067718</v>
      </c>
      <c r="E4453" s="38" t="n">
        <f aca="false">Sens!$E$4452-ext_sh*Sens!$E$4449</f>
        <v>1.41270258088753</v>
      </c>
      <c r="F4453" s="38" t="n">
        <f aca="false">Sens!$F$4452-ext_sh*Sens!$F$4449</f>
        <v>6.50727700583486</v>
      </c>
      <c r="G4453" s="38" t="n">
        <f aca="false">Sens!$G$4452-ext_sh*Sens!$G$4449</f>
        <v>7.9199795867224</v>
      </c>
      <c r="H4453" s="38" t="n">
        <f aca="false">Sens!$H$4452-ext_sh*Sens!$H$4449</f>
        <v>19.2818189481807</v>
      </c>
      <c r="I4453" s="38" t="n">
        <f aca="false">Sens!$I$4452-ext_sh*Sens!$I$4449</f>
        <v>30.140114407202</v>
      </c>
      <c r="J4453" s="38" t="n">
        <f aca="false">Sens!$J$4452-ext_sh*Sens!$J$4449</f>
        <v>40.3569468829854</v>
      </c>
      <c r="K4453" s="38" t="n">
        <f aca="false">Sens!$K$4452-ext_sh*Sens!$K$4449</f>
        <v>50.0782975081929</v>
      </c>
      <c r="L4453" s="38" t="n">
        <f aca="false">Sens!$L$4452-ext_sh*Sens!$L$4449</f>
        <v>61.443331993499</v>
      </c>
      <c r="M4453" s="38" t="n">
        <f aca="false">Sens!$M$4452-ext_sh*Sens!$M$4449</f>
        <v>72.2498791587849</v>
      </c>
      <c r="N4453" s="38" t="n">
        <f aca="false">Sens!$N$4452-ext_sh*Sens!$N$4449</f>
        <v>0.92264103489199</v>
      </c>
      <c r="O4453" s="38" t="n">
        <f aca="false">Sens!$O$4452-ext_sh*Sens!$O$4449</f>
        <v>2.95545977187981</v>
      </c>
    </row>
    <row r="4454" customFormat="false" ht="17.15" hidden="false" customHeight="false" outlineLevel="0" collapsed="false">
      <c r="A4454" s="0" t="s">
        <v>598</v>
      </c>
      <c r="B4454" s="0" t="s">
        <v>52</v>
      </c>
      <c r="C4454" s="12" t="n">
        <f aca="false">Sens!$C$4453/Sens!$C$4434</f>
        <v>0.708390794789371</v>
      </c>
      <c r="D4454" s="12" t="n">
        <f aca="false">Sens!$D$4453/Sens!$D$4434</f>
        <v>0.445565630441968</v>
      </c>
      <c r="E4454" s="12" t="n">
        <f aca="false">Sens!$E$4453/Sens!$E$4434</f>
        <v>0.165998118402711</v>
      </c>
      <c r="F4454" s="12" t="n">
        <f aca="false">Sens!$F$4453/Sens!$F$4434</f>
        <v>0.434878595403858</v>
      </c>
      <c r="G4454" s="12" t="n">
        <f aca="false">Sens!$G$4453/Sens!$G$4434</f>
        <v>0.3373967615381</v>
      </c>
      <c r="H4454" s="12" t="n">
        <f aca="false">Sens!$H$4453/Sens!$H$4434</f>
        <v>0.320477578041224</v>
      </c>
      <c r="I4454" s="12" t="n">
        <f aca="false">Sens!$I$4453/Sens!$I$4434</f>
        <v>0.296936118226494</v>
      </c>
      <c r="J4454" s="12" t="n">
        <f aca="false">Sens!$J$4453/Sens!$J$4434</f>
        <v>0.282166278613001</v>
      </c>
      <c r="K4454" s="12" t="n">
        <f aca="false">Sens!$K$4453/Sens!$K$4434</f>
        <v>0.271267685694333</v>
      </c>
      <c r="L4454" s="12" t="n">
        <f aca="false">Sens!$L$4453/Sens!$L$4434</f>
        <v>0.27160960915653</v>
      </c>
      <c r="M4454" s="12" t="n">
        <f aca="false">Sens!$M$4453/Sens!$M$4434</f>
        <v>0.26974494804234</v>
      </c>
      <c r="N4454" s="12" t="n">
        <f aca="false">Sens!$N$4453/Sens!$N$4434</f>
        <v>0.302870734830849</v>
      </c>
      <c r="O4454" s="12" t="n">
        <f aca="false">Sens!$O$4453/Sens!$O$4434</f>
        <v>0.52240134346334</v>
      </c>
    </row>
    <row r="4455" customFormat="false" ht="17.15" hidden="false" customHeight="false" outlineLevel="0" collapsed="false">
      <c r="A4455" s="5" t="s">
        <v>599</v>
      </c>
      <c r="B4455" s="0" t="s">
        <v>73</v>
      </c>
      <c r="C4455" s="38" t="n">
        <f aca="false">rd2*(1-ext_sh)/ext_sh*Sens!$C$4417*he_open*Sens!$C$4418/1000</f>
        <v>0</v>
      </c>
      <c r="D4455" s="38" t="n">
        <f aca="false">rd2*(1-ext_sh)/ext_sh*Sens!$D$4417*he_open*Sens!$D$4418/1000</f>
        <v>0</v>
      </c>
      <c r="E4455" s="38" t="n">
        <f aca="false">rd2*(1-ext_sh)/ext_sh*Sens!$E$4417*he_open*Sens!$E$4418/1000</f>
        <v>0</v>
      </c>
      <c r="F4455" s="38" t="n">
        <f aca="false">rd2*(1-ext_sh)/ext_sh*(mw_open*he_open+Sens!$F$4432*Sens!$F$4429)*Sens!$F$4418/1000</f>
        <v>0</v>
      </c>
      <c r="G4455" s="38" t="n">
        <f aca="false">Sens!$E$4455+Sens!$F$4455</f>
        <v>0</v>
      </c>
      <c r="H4455" s="38" t="n">
        <f aca="false">rd2*(1-ext_sh)/ext_sh*(mw_open*he_open+Sens!$H$4432*Sens!$H$4429)*Sens!$H$4418/1000</f>
        <v>0</v>
      </c>
      <c r="I4455" s="38" t="n">
        <f aca="false">rd2*(1-ext_sh)/ext_sh*(mw_open*he_open+Sens!$I$4432*Sens!$I$4429)*Sens!$I$4418/1000</f>
        <v>0</v>
      </c>
      <c r="J4455" s="38" t="n">
        <f aca="false">rd2*(1-ext_sh)/ext_sh*(mw_open*he_open+Sens!$J$4432*Sens!$J$4429)*Sens!$J$4418/1000</f>
        <v>0</v>
      </c>
      <c r="K4455" s="38" t="n">
        <f aca="false">rd2*(1-ext_sh)/ext_sh*(mw_open*he_open+Sens!$K$4432*Sens!$K$4429)*Sens!$K$4418/1000</f>
        <v>0</v>
      </c>
      <c r="L4455" s="38" t="n">
        <f aca="false">rd2*(1-ext_sh)/ext_sh*(mw_open*he_open+Sens!$L$4432*Sens!$L$4429)*Sens!$L$4418/1000</f>
        <v>0</v>
      </c>
      <c r="M4455" s="38" t="n">
        <f aca="false">rd2*(1-ext_sh)/ext_sh*(mw_open*he_open+Sens!$M$4432*Sens!$M$4429)*Sens!$M$4418/1000</f>
        <v>0</v>
      </c>
      <c r="N4455" s="38" t="n">
        <f aca="false">rd2*(1-ext_sh)/ext_sh*Sens!$N$4417*he_open*Sens!$N$4418/1000</f>
        <v>0</v>
      </c>
      <c r="O4455" s="38" t="n">
        <f aca="false">rd2*(1-ext_sh)/ext_sh*Sens!$O$4417*he_open*Sens!$O$4418/1000</f>
        <v>0</v>
      </c>
      <c r="P4455" s="8" t="s">
        <v>600</v>
      </c>
    </row>
    <row r="4456" customFormat="false" ht="17.15" hidden="false" customHeight="false" outlineLevel="0" collapsed="false">
      <c r="A4456" s="5" t="s">
        <v>601</v>
      </c>
      <c r="B4456" s="0" t="s">
        <v>73</v>
      </c>
      <c r="C4456" s="38" t="n">
        <f aca="false">(1-ext_sh)*(Sens!$C$4436+Sens!$C$4449)-Sens!$C$4455</f>
        <v>0.169206631859174</v>
      </c>
      <c r="D4456" s="38" t="n">
        <f aca="false">(1-ext_sh)*(Sens!$D$4436+Sens!$D$4449)-Sens!$D$4455</f>
        <v>1.20641732046984</v>
      </c>
      <c r="E4456" s="38" t="n">
        <f aca="false">(1-ext_sh)*(Sens!$E$4436+Sens!$E$4449)-Sens!$E$4455</f>
        <v>1.77441259867062</v>
      </c>
      <c r="F4456" s="38" t="n">
        <f aca="false">(1-ext_sh)*(Sens!$F$4436+Sens!$F$4449)-Sens!$F$4455</f>
        <v>2.1140391597214</v>
      </c>
      <c r="G4456" s="38" t="n">
        <f aca="false">(1-ext_sh)*(Sens!$G$4436+Sens!$G$4449)-Sens!$G$4455</f>
        <v>3.88845175839202</v>
      </c>
      <c r="H4456" s="38" t="n">
        <f aca="false">(1-ext_sh)*(Sens!$H$4436+Sens!$H$4449)-Sens!$H$4455</f>
        <v>10.2210179503985</v>
      </c>
      <c r="I4456" s="38" t="n">
        <f aca="false">(1-ext_sh)*(Sens!$I$4436+Sens!$I$4449)-Sens!$I$4455</f>
        <v>17.8408961823075</v>
      </c>
      <c r="J4456" s="38" t="n">
        <f aca="false">(1-ext_sh)*(Sens!$J$4436+Sens!$J$4449)-Sens!$J$4455</f>
        <v>25.6671150670732</v>
      </c>
      <c r="K4456" s="38" t="n">
        <f aca="false">(1-ext_sh)*(Sens!$K$4436+Sens!$K$4449)-Sens!$K$4455</f>
        <v>33.6325293834986</v>
      </c>
      <c r="L4456" s="38" t="n">
        <f aca="false">(1-ext_sh)*(Sens!$L$4436+Sens!$L$4449)-Sens!$L$4455</f>
        <v>41.1939886299065</v>
      </c>
      <c r="M4456" s="38" t="n">
        <f aca="false">(1-ext_sh)*(Sens!$M$4436+Sens!$M$4449)-Sens!$M$4455</f>
        <v>48.8988205728617</v>
      </c>
      <c r="N4456" s="38" t="n">
        <f aca="false">(1-ext_sh)*(Sens!$N$4436+Sens!$N$4449)-Sens!$N$4455</f>
        <v>0.530919624033979</v>
      </c>
      <c r="O4456" s="38" t="n">
        <f aca="false">(1-ext_sh)*(Sens!$O$4436+Sens!$O$4449)-Sens!$O$4455</f>
        <v>0.675497696435861</v>
      </c>
    </row>
    <row r="4457" customFormat="false" ht="17.15" hidden="false" customHeight="false" outlineLevel="0" collapsed="false">
      <c r="A4457" s="0" t="s">
        <v>602</v>
      </c>
      <c r="B4457" s="0" t="s">
        <v>73</v>
      </c>
      <c r="C4457" s="38" t="n">
        <f aca="false">Q!$D$24</f>
        <v>39.834</v>
      </c>
      <c r="D4457" s="38" t="n">
        <f aca="false">Q!$E$24</f>
        <v>45.606</v>
      </c>
      <c r="E4457" s="38" t="n">
        <f aca="false">Q!$P$24</f>
        <v>30.782</v>
      </c>
      <c r="N4457" s="38" t="n">
        <f aca="false">Q!$N$24</f>
        <v>21.707</v>
      </c>
      <c r="O4457" s="38" t="n">
        <f aca="false">Q!$O$24</f>
        <v>23.899</v>
      </c>
    </row>
    <row r="4458" customFormat="false" ht="17.15" hidden="false" customHeight="false" outlineLevel="0" collapsed="false">
      <c r="A4458" s="0" t="s">
        <v>603</v>
      </c>
      <c r="B4458" s="0" t="s">
        <v>73</v>
      </c>
      <c r="C4458" s="38" t="n">
        <f aca="false">Sens!$C$4457-Sens!$C$4453</f>
        <v>38.1898211704631</v>
      </c>
      <c r="D4458" s="38" t="n">
        <f aca="false">Sens!$D$4457-Sens!$D$4453</f>
        <v>41.7278991932282</v>
      </c>
      <c r="E4458" s="38" t="n">
        <f aca="false">Sens!$E$4457-Sens!$E$4453</f>
        <v>29.3692974191125</v>
      </c>
      <c r="F4458" s="38" t="n">
        <f aca="false">Sens!$F$4438*Sens!$F$4459</f>
        <v>29.458060516894</v>
      </c>
      <c r="G4458" s="38" t="n">
        <f aca="false">Sens!$E$4458+Sens!$F$4458</f>
        <v>58.8273579360065</v>
      </c>
      <c r="H4458" s="38" t="n">
        <f aca="false">Sens!$H$4438*Sens!$H$4459</f>
        <v>67.8004040185081</v>
      </c>
      <c r="I4458" s="38" t="n">
        <f aca="false">Sens!$I$4438*Sens!$I$4459</f>
        <v>78.9527630302702</v>
      </c>
      <c r="J4458" s="38" t="n">
        <f aca="false">Sens!$J$4438*Sens!$J$4459</f>
        <v>88.6042681781841</v>
      </c>
      <c r="K4458" s="38" t="n">
        <f aca="false">Sens!$K$4438*Sens!$K$4459</f>
        <v>95.6926096324389</v>
      </c>
      <c r="L4458" s="38" t="n">
        <f aca="false">Sens!$L$4438*Sens!$L$4459</f>
        <v>103.348018403034</v>
      </c>
      <c r="M4458" s="38" t="n">
        <f aca="false">Sens!$M$4438*Sens!$M$4459</f>
        <v>111.615859875277</v>
      </c>
      <c r="N4458" s="38" t="n">
        <f aca="false">Sens!$N$4457-Sens!$N$4453</f>
        <v>20.784358965108</v>
      </c>
      <c r="O4458" s="38" t="n">
        <f aca="false">Sens!$O$4457-Sens!$O$4453</f>
        <v>20.9435402281202</v>
      </c>
      <c r="P4458" s="5" t="s">
        <v>604</v>
      </c>
    </row>
    <row r="4459" customFormat="false" ht="17.15" hidden="false" customHeight="false" outlineLevel="0" collapsed="false">
      <c r="A4459" s="0" t="s">
        <v>605</v>
      </c>
      <c r="B4459" s="0" t="s">
        <v>52</v>
      </c>
      <c r="C4459" s="12" t="n">
        <f aca="false">Sens!$C$4458/Sens!$C$4438</f>
        <v>0.362900395443635</v>
      </c>
      <c r="D4459" s="12" t="n">
        <f aca="false">Sens!$D$4458/Sens!$D$4438</f>
        <v>0.34767098474203</v>
      </c>
      <c r="E4459" s="12" t="n">
        <f aca="false">Sens!$E$4458/Sens!$E$4438</f>
        <v>0.411861655558416</v>
      </c>
      <c r="F4459" s="12" t="n">
        <f aca="false">(Sens!$O$4458+Sens!$E$4458)/(Sens!$O$4438+Sens!$E$4438)</f>
        <v>0.37480827803158</v>
      </c>
      <c r="G4459" s="12" t="n">
        <f aca="false">Sens!$G$4458/Sens!$G$4438</f>
        <v>0.392434440489471</v>
      </c>
      <c r="H4459" s="12" t="n">
        <f aca="false">Sens!$F$4459</f>
        <v>0.37480827803158</v>
      </c>
      <c r="I4459" s="12" t="n">
        <f aca="false">Sens!$F$4459</f>
        <v>0.37480827803158</v>
      </c>
      <c r="J4459" s="12" t="n">
        <f aca="false">Sens!$F$4459</f>
        <v>0.37480827803158</v>
      </c>
      <c r="K4459" s="12" t="n">
        <f aca="false">Sens!$F$4459</f>
        <v>0.37480827803158</v>
      </c>
      <c r="L4459" s="12" t="n">
        <f aca="false">Sens!$F$4459</f>
        <v>0.37480827803158</v>
      </c>
      <c r="M4459" s="12" t="n">
        <f aca="false">Sens!$F$4459</f>
        <v>0.37480827803158</v>
      </c>
      <c r="N4459" s="12" t="n">
        <f aca="false">Sens!$N$4458/Sens!$N$4438</f>
        <v>0.364039571356823</v>
      </c>
      <c r="O4459" s="12" t="n">
        <f aca="false">Sens!$O$4458/Sens!$O$4438</f>
        <v>0.332819892300086</v>
      </c>
      <c r="P4459" s="8" t="s">
        <v>606</v>
      </c>
    </row>
    <row r="4460" customFormat="false" ht="17.15" hidden="false" customHeight="false" outlineLevel="0" collapsed="false">
      <c r="A4460" s="0" t="s">
        <v>607</v>
      </c>
      <c r="B4460" s="0" t="s">
        <v>52</v>
      </c>
      <c r="D4460" s="12" t="n">
        <f aca="false">(Q!$E$31-ext_sh*Sens!$D$4449)/Sens!$D$4438</f>
        <v>0.154572973163571</v>
      </c>
    </row>
    <row r="4461" customFormat="false" ht="17.15" hidden="false" customHeight="false" outlineLevel="0" collapsed="false">
      <c r="A4461" s="0" t="s">
        <v>608</v>
      </c>
      <c r="B4461" s="0" t="s">
        <v>73</v>
      </c>
      <c r="C4461" s="38" t="n">
        <f aca="false">Q!$D$31</f>
        <v>13.32</v>
      </c>
      <c r="D4461" s="38" t="n">
        <f aca="false">Q!$E$31</f>
        <v>21.45</v>
      </c>
      <c r="E4461" s="38" t="n">
        <f aca="false">Q!$P$31</f>
        <v>15.353</v>
      </c>
      <c r="F4461" s="38" t="n">
        <f aca="false">ext_sh*Sens!$F$4449+Sens!$D$4460*Sens!$F$4438</f>
        <v>17.3614451462707</v>
      </c>
      <c r="G4461" s="38" t="n">
        <f aca="false">Sens!$E$4461+Sens!$F$4461</f>
        <v>32.7144451462707</v>
      </c>
      <c r="H4461" s="38" t="n">
        <f aca="false">ext_sh*Sens!$H$4449+Sens!$D$4460*Sens!$H$4438</f>
        <v>56.1966092719415</v>
      </c>
      <c r="I4461" s="38" t="n">
        <f aca="false">ext_sh*Sens!$I$4449+Sens!$D$4460*Sens!$I$4438</f>
        <v>82.9744039068297</v>
      </c>
      <c r="J4461" s="38" t="n">
        <f aca="false">ext_sh*Sens!$J$4449+Sens!$D$4460*Sens!$J$4438</f>
        <v>109.943252237669</v>
      </c>
      <c r="K4461" s="38" t="n">
        <f aca="false">ext_sh*Sens!$K$4449+Sens!$D$4460*Sens!$K$4438</f>
        <v>136.406703436571</v>
      </c>
      <c r="L4461" s="38" t="n">
        <f aca="false">ext_sh*Sens!$L$4449+Sens!$D$4460*Sens!$L$4438</f>
        <v>161.485870454155</v>
      </c>
      <c r="M4461" s="38" t="n">
        <f aca="false">ext_sh*Sens!$M$4449+Sens!$D$4460*Sens!$M$4438</f>
        <v>187.389846618199</v>
      </c>
      <c r="N4461" s="38" t="n">
        <f aca="false">Q!$N$31</f>
        <v>9.234</v>
      </c>
      <c r="O4461" s="38" t="n">
        <f aca="false">Q!$O$31</f>
        <v>12.216</v>
      </c>
    </row>
    <row r="4462" customFormat="false" ht="17.15" hidden="false" customHeight="false" outlineLevel="0" collapsed="false">
      <c r="A4462" s="1" t="s">
        <v>609</v>
      </c>
    </row>
    <row r="4463" customFormat="false" ht="17.15" hidden="false" customHeight="false" outlineLevel="0" collapsed="false">
      <c r="A4463" s="14" t="s">
        <v>610</v>
      </c>
      <c r="B4463" s="13" t="s">
        <v>52</v>
      </c>
      <c r="C4463" s="13"/>
      <c r="D4463" s="13"/>
      <c r="E4463" s="13"/>
      <c r="F4463" s="13"/>
      <c r="G4463" s="16" t="n">
        <f aca="false">Sens!$G$4453*(1-tax)/(ext_sh*(Sens!$D$4450+Sens!$G$4450)/2)</f>
        <v>0.0492184452944045</v>
      </c>
      <c r="H4463" s="16" t="n">
        <f aca="false">Sens!$H$4453*(1-tax)/(ext_sh*(Sens!$G$4450+Sens!$H$4450)/2)</f>
        <v>0.0619414246858107</v>
      </c>
      <c r="I4463" s="16" t="n">
        <f aca="false">Sens!$I$4453*(1-tax)/(ext_sh*(Sens!$H$4450+Sens!$I$4450)/2)</f>
        <v>0.0656831488051666</v>
      </c>
      <c r="J4463" s="16" t="n">
        <f aca="false">Sens!$J$4453*(1-tax)/(ext_sh*(Sens!$I$4450+Sens!$J$4450)/2)</f>
        <v>0.0690334849962116</v>
      </c>
      <c r="K4463" s="16" t="n">
        <f aca="false">Sens!$K$4453*(1-tax)/(ext_sh*(Sens!$J$4450+Sens!$K$4450)/2)</f>
        <v>0.0728680488295485</v>
      </c>
      <c r="L4463" s="16" t="n">
        <f aca="false">Sens!$L$4453*(1-tax)/(ext_sh*(Sens!$K$4450+Sens!$L$4450)/2)</f>
        <v>0.0785052878122331</v>
      </c>
      <c r="M4463" s="16" t="n">
        <f aca="false">Sens!$M$4453*(1-tax)/(ext_sh*(Sens!$L$4450+Sens!$M$4450)/2)</f>
        <v>0.0804526580722741</v>
      </c>
      <c r="N4463" s="13"/>
      <c r="O4463" s="13"/>
      <c r="P4463" s="8" t="s">
        <v>611</v>
      </c>
    </row>
    <row r="4464" customFormat="false" ht="17.15" hidden="false" customHeight="false" outlineLevel="0" collapsed="false">
      <c r="A4464" s="5" t="s">
        <v>612</v>
      </c>
      <c r="B4464" s="0" t="s">
        <v>57</v>
      </c>
      <c r="H4464" s="36" t="n">
        <f aca="false">Sens!$H$4434*1000/(mw_open*he_open+Sens!$H$4432*Sens!$H$4429)</f>
        <v>0.991949006767191</v>
      </c>
      <c r="I4464" s="36" t="n">
        <f aca="false">Sens!$I$4434*1000/(mw_open*he_open+Sens!$I$4432*Sens!$I$4429)</f>
        <v>0.991949006767191</v>
      </c>
      <c r="J4464" s="36" t="n">
        <f aca="false">Sens!$J$4434*1000/(mw_open*he_open+Sens!$J$4432*Sens!$J$4429)</f>
        <v>0.991949006767191</v>
      </c>
      <c r="K4464" s="36" t="n">
        <f aca="false">Sens!$K$4434*1000/(mw_open*he_open+Sens!$K$4432*Sens!$K$4429)</f>
        <v>0.991949006767191</v>
      </c>
      <c r="L4464" s="36" t="n">
        <f aca="false">Sens!$L$4434*1000/(mw_open*he_open+Sens!$L$4432*Sens!$L$4429)</f>
        <v>0.991949006767191</v>
      </c>
      <c r="M4464" s="36" t="n">
        <f aca="false">Sens!$M$4434*1000/(mw_open*he_open+Sens!$M$4432*Sens!$M$4429)</f>
        <v>0.991949006767192</v>
      </c>
    </row>
    <row r="4465" customFormat="false" ht="17.15" hidden="false" customHeight="false" outlineLevel="0" collapsed="false">
      <c r="A4465" s="5" t="s">
        <v>613</v>
      </c>
      <c r="B4465" s="0" t="s">
        <v>57</v>
      </c>
      <c r="H4465" s="36" t="n">
        <f aca="false">Sens!$H$4464*(Sens!$H$4434+(wacc-0.01)*ext_sh*(Sens!$G$4450+Sens!$H$4450)/2/(1-tax)-Sens!$H$4453)/Sens!$H$4434</f>
        <v>1.26365585717752</v>
      </c>
      <c r="I4465" s="36" t="n">
        <f aca="false">Sens!$I$4464*(Sens!$I$4434+(wacc-0.01)*ext_sh*(Sens!$H$4450+Sens!$I$4450)/2/(1-tax)-Sens!$I$4453)/Sens!$I$4434</f>
        <v>1.21257666847439</v>
      </c>
      <c r="J4465" s="36" t="n">
        <f aca="false">Sens!$J$4464*(Sens!$J$4434+(wacc-0.01)*ext_sh*(Sens!$I$4450+Sens!$J$4450)/2/(1-tax)-Sens!$J$4453)/Sens!$J$4434</f>
        <v>1.17784370568221</v>
      </c>
      <c r="K4465" s="36" t="n">
        <f aca="false">Sens!$K$4464*(Sens!$K$4434+(wacc-0.01)*ext_sh*(Sens!$J$4450+Sens!$K$4450)/2/(1-tax)-Sens!$K$4453)/Sens!$K$4434</f>
        <v>1.14709891134438</v>
      </c>
      <c r="L4465" s="36" t="n">
        <f aca="false">Sens!$L$4464*(Sens!$L$4434+(wacc-0.01)*ext_sh*(Sens!$K$4450+Sens!$L$4450)/2/(1-tax)-Sens!$L$4453)/Sens!$L$4434</f>
        <v>1.11679307873026</v>
      </c>
      <c r="M4465" s="36" t="n">
        <f aca="false">Sens!$M$4464*(Sens!$M$4434+(wacc-0.01)*ext_sh*(Sens!$L$4450+Sens!$M$4450)/2/(1-tax)-Sens!$M$4453)/Sens!$M$4434</f>
        <v>1.10645821434404</v>
      </c>
    </row>
    <row r="4466" customFormat="false" ht="17.15" hidden="false" customHeight="false" outlineLevel="0" collapsed="false">
      <c r="A4466" s="5" t="s">
        <v>614</v>
      </c>
      <c r="B4466" s="0" t="s">
        <v>52</v>
      </c>
      <c r="C4466" s="12" t="n">
        <f aca="false">Sens!$C$4435/tk_pq</f>
        <v>0.195316432429398</v>
      </c>
      <c r="D4466" s="12" t="n">
        <f aca="false">Sens!$D$4435/tk_pq</f>
        <v>0.195316432429398</v>
      </c>
      <c r="E4466" s="12" t="n">
        <f aca="false">Sens!$E$4435/tk_pq</f>
        <v>0.195316432429398</v>
      </c>
      <c r="F4466" s="12" t="n">
        <f aca="false">Sens!$F$4435/tk_pq</f>
        <v>0.202241827274866</v>
      </c>
      <c r="G4466" s="12" t="n">
        <f aca="false">Sens!$G$4435/tk_pq</f>
        <v>0.199675016194063</v>
      </c>
      <c r="H4466" s="12" t="n">
        <f aca="false">Sens!$H$4435/tk_pq</f>
        <v>0.212647947710325</v>
      </c>
      <c r="I4466" s="12" t="n">
        <f aca="false">Sens!$I$4435/tk_pq</f>
        <v>0.219285125475351</v>
      </c>
      <c r="J4466" s="12" t="n">
        <f aca="false">Sens!$J$4435/tk_pq</f>
        <v>0.222492493217189</v>
      </c>
      <c r="K4466" s="12" t="n">
        <f aca="false">Sens!$K$4435/tk_pq</f>
        <v>0.224371415939166</v>
      </c>
      <c r="L4466" s="12" t="n">
        <f aca="false">Sens!$L$4435/tk_pq</f>
        <v>0.225603749825993</v>
      </c>
      <c r="M4466" s="12" t="n">
        <f aca="false">Sens!$M$4435/tk_pq</f>
        <v>0.22647376274628</v>
      </c>
      <c r="N4466" s="12" t="n">
        <f aca="false">Sens!$N$4435/tk_pq</f>
        <v>0.195316432429398</v>
      </c>
      <c r="O4466" s="12" t="n">
        <f aca="false">Sens!$O$4435/tk_pq</f>
        <v>0.195316432429398</v>
      </c>
      <c r="P4466" s="5" t="s">
        <v>615</v>
      </c>
    </row>
    <row r="4469" customFormat="false" ht="17.15" hidden="false" customHeight="false" outlineLevel="0" collapsed="false">
      <c r="A4469" s="1" t="s">
        <v>642</v>
      </c>
    </row>
    <row r="4470" customFormat="false" ht="17.15" hidden="false" customHeight="false" outlineLevel="0" collapsed="false">
      <c r="A4470" s="0" t="s">
        <v>643</v>
      </c>
      <c r="B4470" s="0" t="s">
        <v>73</v>
      </c>
      <c r="C4470" s="38" t="n">
        <f aca="false">Sens!$C$4434</f>
        <v>2.32100535697364</v>
      </c>
      <c r="D4470" s="38" t="n">
        <f aca="false">Sens!$D$4434</f>
        <v>8.70377008865116</v>
      </c>
      <c r="E4470" s="38" t="n">
        <f aca="false">Sens!$E$4434</f>
        <v>8.51035297557002</v>
      </c>
      <c r="F4470" s="38" t="n">
        <f aca="false">Sens!$F$4434</f>
        <v>14.9634336447205</v>
      </c>
      <c r="G4470" s="38" t="n">
        <f aca="false">Sens!$G$4434</f>
        <v>23.4737866202905</v>
      </c>
      <c r="H4470" s="38" t="n">
        <f aca="false">Sens!$H$4434</f>
        <v>60.1658907497746</v>
      </c>
      <c r="I4470" s="38" t="n">
        <f aca="false">Sens!$I$4434</f>
        <v>101.503699136432</v>
      </c>
      <c r="J4470" s="38" t="n">
        <f aca="false">Sens!$J$4434</f>
        <v>143.025407151278</v>
      </c>
      <c r="K4470" s="38" t="n">
        <f aca="false">Sens!$K$4434</f>
        <v>184.608415042187</v>
      </c>
      <c r="L4470" s="38" t="n">
        <f aca="false">Sens!$L$4434</f>
        <v>226.219286513125</v>
      </c>
      <c r="M4470" s="38" t="n">
        <f aca="false">Sens!$M$4434</f>
        <v>267.845161450232</v>
      </c>
      <c r="N4470" s="38" t="n">
        <f aca="false">Sens!$N$4434</f>
        <v>3.04631953102791</v>
      </c>
      <c r="O4470" s="38" t="n">
        <f aca="false">Sens!$O$4434</f>
        <v>5.65745055762326</v>
      </c>
      <c r="P4470" s="8" t="s">
        <v>644</v>
      </c>
    </row>
    <row r="4471" customFormat="false" ht="17.15" hidden="false" customHeight="false" outlineLevel="0" collapsed="false">
      <c r="A4471" s="0" t="s">
        <v>645</v>
      </c>
      <c r="B4471" s="0" t="s">
        <v>73</v>
      </c>
      <c r="C4471" s="38" t="n">
        <f aca="false">Sens!$C$4438</f>
        <v>105.234994643026</v>
      </c>
      <c r="D4471" s="38" t="n">
        <f aca="false">Sens!$D$4438</f>
        <v>120.021229911349</v>
      </c>
      <c r="E4471" s="38" t="n">
        <f aca="false">Sens!$E$4438</f>
        <v>71.30864702443</v>
      </c>
      <c r="F4471" s="38" t="n">
        <f aca="false">Sens!$F$4438</f>
        <v>78.5950104186653</v>
      </c>
      <c r="G4471" s="38" t="n">
        <f aca="false">Sens!$G$4438</f>
        <v>149.903657443095</v>
      </c>
      <c r="H4471" s="38" t="n">
        <f aca="false">Sens!$H$4438</f>
        <v>180.893560768142</v>
      </c>
      <c r="I4471" s="38" t="n">
        <f aca="false">Sens!$I$4438</f>
        <v>210.64839721501</v>
      </c>
      <c r="J4471" s="38" t="n">
        <f aca="false">Sens!$J$4438</f>
        <v>236.398909446495</v>
      </c>
      <c r="K4471" s="38" t="n">
        <f aca="false">Sens!$K$4438</f>
        <v>255.310822202215</v>
      </c>
      <c r="L4471" s="38" t="n">
        <f aca="false">Sens!$L$4438</f>
        <v>275.735687978392</v>
      </c>
      <c r="M4471" s="38" t="n">
        <f aca="false">Sens!$M$4438</f>
        <v>297.794543016663</v>
      </c>
      <c r="N4471" s="38" t="n">
        <f aca="false">Sens!$N$4438</f>
        <v>57.0936804689721</v>
      </c>
      <c r="O4471" s="38" t="n">
        <f aca="false">Sens!$O$4438</f>
        <v>62.9275494423768</v>
      </c>
      <c r="P4471" s="8" t="s">
        <v>644</v>
      </c>
    </row>
    <row r="4472" customFormat="false" ht="17.15" hidden="false" customHeight="false" outlineLevel="0" collapsed="false">
      <c r="A4472" s="1" t="s">
        <v>476</v>
      </c>
      <c r="B4472" s="8" t="s">
        <v>73</v>
      </c>
      <c r="C4472" s="38" t="n">
        <f aca="false">Q!$D$7</f>
        <v>107.556</v>
      </c>
      <c r="D4472" s="38" t="n">
        <f aca="false">Q!$E$7</f>
        <v>128.725</v>
      </c>
      <c r="E4472" s="38" t="n">
        <f aca="false">Q!$P$7</f>
        <v>79.819</v>
      </c>
      <c r="F4472" s="38" t="n">
        <f aca="false">Sens!$F$4470+Sens!$F$4471</f>
        <v>93.5584440633857</v>
      </c>
      <c r="G4472" s="38" t="n">
        <f aca="false">Sens!$G$4470+Sens!$G$4471</f>
        <v>173.377444063386</v>
      </c>
      <c r="H4472" s="38" t="n">
        <f aca="false">Sens!$H$4470+Sens!$H$4471</f>
        <v>241.059451517916</v>
      </c>
      <c r="I4472" s="38" t="n">
        <f aca="false">Sens!$I$4470+Sens!$I$4471</f>
        <v>312.152096351442</v>
      </c>
      <c r="J4472" s="38" t="n">
        <f aca="false">Sens!$J$4470+Sens!$J$4471</f>
        <v>379.424316597773</v>
      </c>
      <c r="K4472" s="38" t="n">
        <f aca="false">Sens!$K$4470+Sens!$K$4471</f>
        <v>439.919237244402</v>
      </c>
      <c r="L4472" s="38" t="n">
        <f aca="false">Sens!$L$4470+Sens!$L$4471</f>
        <v>501.954974491517</v>
      </c>
      <c r="M4472" s="38" t="n">
        <f aca="false">Sens!$M$4470+Sens!$M$4471</f>
        <v>565.639704466895</v>
      </c>
      <c r="N4472" s="38" t="n">
        <f aca="false">Q!$N$7</f>
        <v>60.14</v>
      </c>
      <c r="O4472" s="38" t="n">
        <f aca="false">Q!$O$7</f>
        <v>68.585</v>
      </c>
      <c r="P4472" s="5" t="s">
        <v>646</v>
      </c>
    </row>
    <row r="4473" customFormat="false" ht="15" hidden="false" customHeight="false" outlineLevel="0" collapsed="false">
      <c r="A4473" s="3" t="s">
        <v>647</v>
      </c>
      <c r="B4473" s="8" t="s">
        <v>73</v>
      </c>
      <c r="C4473" s="38" t="n">
        <f aca="false">Q!$D$8</f>
        <v>637.959</v>
      </c>
      <c r="D4473" s="38" t="n">
        <f aca="false">Q!$E$8</f>
        <v>716.924</v>
      </c>
      <c r="E4473" s="38" t="n">
        <f aca="false">Q!$P$8</f>
        <v>382.125</v>
      </c>
      <c r="F4473" s="38" t="n">
        <f aca="false">Sens!$F$4407+Sens!$F$4472</f>
        <v>450.494873271816</v>
      </c>
      <c r="G4473" s="38" t="n">
        <f aca="false">Sens!$G$4407+Sens!$G$4472</f>
        <v>832.619873271816</v>
      </c>
      <c r="H4473" s="38" t="n">
        <f aca="false">Sens!$H$4407+Sens!$H$4472</f>
        <v>970.995189139617</v>
      </c>
      <c r="I4473" s="38" t="n">
        <f aca="false">Sens!$I$4407+Sens!$I$4472</f>
        <v>1110.44766604932</v>
      </c>
      <c r="J4473" s="38" t="n">
        <f aca="false">Sens!$J$4407+Sens!$J$4472</f>
        <v>1241.16113892356</v>
      </c>
      <c r="K4473" s="38" t="n">
        <f aca="false">Sens!$K$4407+Sens!$K$4472</f>
        <v>1357.47672934633</v>
      </c>
      <c r="L4473" s="38" t="n">
        <f aca="false">Sens!$L$4407+Sens!$L$4472</f>
        <v>1479.24006423468</v>
      </c>
      <c r="M4473" s="38" t="n">
        <f aca="false">Sens!$M$4407+Sens!$M$4472</f>
        <v>1606.8537230104</v>
      </c>
      <c r="N4473" s="38" t="n">
        <f aca="false">Q!$N$8</f>
        <v>323.369</v>
      </c>
      <c r="O4473" s="38" t="n">
        <f aca="false">Q!$O$8</f>
        <v>393.555</v>
      </c>
    </row>
    <row r="4474" customFormat="false" ht="17.15" hidden="false" customHeight="false" outlineLevel="0" collapsed="false">
      <c r="A4474" s="24" t="s">
        <v>655</v>
      </c>
      <c r="B4474" s="25" t="s">
        <v>73</v>
      </c>
      <c r="C4474" s="39" t="n">
        <f aca="false">Sens!$C$4407-(Sens!$C$4409+Sens!$C$4410)</f>
        <v>0</v>
      </c>
      <c r="D4474" s="39" t="n">
        <f aca="false">Sens!$D$4407-(Sens!$D$4409+Sens!$D$4410)</f>
        <v>0</v>
      </c>
      <c r="E4474" s="39" t="n">
        <f aca="false">Sens!$E$4407-(Sens!$E$4409+Sens!$E$4410)</f>
        <v>0</v>
      </c>
      <c r="F4474" s="39" t="n">
        <f aca="false">Sens!$F$4407-(Sens!$F$4409+Sens!$F$4410)</f>
        <v>0</v>
      </c>
      <c r="G4474" s="39" t="n">
        <f aca="false">Sens!$G$4407-(Sens!$G$4409+Sens!$G$4410)</f>
        <v>0</v>
      </c>
      <c r="H4474" s="39" t="n">
        <f aca="false">Sens!$H$4407-(Sens!$H$4409+Sens!$H$4410)</f>
        <v>0</v>
      </c>
      <c r="I4474" s="39" t="n">
        <f aca="false">Sens!$I$4407-(Sens!$I$4409+Sens!$I$4410)</f>
        <v>0</v>
      </c>
      <c r="J4474" s="39" t="n">
        <f aca="false">Sens!$J$4407-(Sens!$J$4409+Sens!$J$4410)</f>
        <v>0</v>
      </c>
      <c r="K4474" s="39" t="n">
        <f aca="false">Sens!$K$4407-(Sens!$K$4409+Sens!$K$4410)</f>
        <v>0</v>
      </c>
      <c r="L4474" s="39" t="n">
        <f aca="false">Sens!$L$4407-(Sens!$L$4409+Sens!$L$4410)</f>
        <v>0</v>
      </c>
      <c r="M4474" s="39" t="n">
        <f aca="false">Sens!$M$4407-(Sens!$M$4409+Sens!$M$4410)</f>
        <v>0</v>
      </c>
      <c r="N4474" s="39" t="n">
        <f aca="false">Sens!$N$4407-(Sens!$N$4409+Sens!$N$4410)</f>
        <v>0</v>
      </c>
      <c r="O4474" s="39" t="n">
        <f aca="false">Sens!$O$4407-(Sens!$O$4409+Sens!$O$4410)</f>
        <v>0</v>
      </c>
    </row>
    <row r="4475" customFormat="false" ht="17.15" hidden="false" customHeight="false" outlineLevel="0" collapsed="false">
      <c r="A4475" s="24" t="s">
        <v>656</v>
      </c>
      <c r="B4475" s="25" t="s">
        <v>73</v>
      </c>
      <c r="C4475" s="39" t="n">
        <f aca="false">Sens!$C$4470+Sens!$C$4471-Sens!$C$4472</f>
        <v>0</v>
      </c>
      <c r="D4475" s="39" t="n">
        <f aca="false">Sens!$D$4470+Sens!$D$4471-Sens!$D$4472</f>
        <v>0</v>
      </c>
      <c r="E4475" s="39" t="n">
        <f aca="false">Sens!$E$4470+Sens!$E$4471-Sens!$E$4472</f>
        <v>0</v>
      </c>
      <c r="F4475" s="39" t="n">
        <f aca="false">Sens!$F$4470+Sens!$F$4471-Sens!$F$4472</f>
        <v>0</v>
      </c>
      <c r="G4475" s="39" t="n">
        <f aca="false">Sens!$G$4470+Sens!$G$4471-Sens!$G$4472</f>
        <v>0</v>
      </c>
      <c r="H4475" s="39" t="n">
        <f aca="false">Sens!$H$4470+Sens!$H$4471-Sens!$H$4472</f>
        <v>0</v>
      </c>
      <c r="I4475" s="39" t="n">
        <f aca="false">Sens!$I$4470+Sens!$I$4471-Sens!$I$4472</f>
        <v>0</v>
      </c>
      <c r="J4475" s="39" t="n">
        <f aca="false">Sens!$J$4470+Sens!$J$4471-Sens!$J$4472</f>
        <v>0</v>
      </c>
      <c r="K4475" s="39" t="n">
        <f aca="false">Sens!$K$4470+Sens!$K$4471-Sens!$K$4472</f>
        <v>0</v>
      </c>
      <c r="L4475" s="39" t="n">
        <f aca="false">Sens!$L$4470+Sens!$L$4471-Sens!$L$4472</f>
        <v>0</v>
      </c>
      <c r="M4475" s="39" t="n">
        <f aca="false">Sens!$M$4470+Sens!$M$4471-Sens!$M$4472</f>
        <v>0</v>
      </c>
      <c r="N4475" s="39" t="n">
        <f aca="false">Sens!$N$4470+Sens!$N$4471-Sens!$N$4472</f>
        <v>0</v>
      </c>
      <c r="O4475" s="39" t="n">
        <f aca="false">Sens!$O$4470+Sens!$O$4471-Sens!$O$4472</f>
        <v>0</v>
      </c>
    </row>
    <row r="4476" customFormat="false" ht="17.15" hidden="false" customHeight="false" outlineLevel="0" collapsed="false">
      <c r="A4476" s="24" t="s">
        <v>657</v>
      </c>
      <c r="B4476" s="25" t="s">
        <v>73</v>
      </c>
      <c r="C4476" s="39" t="n">
        <f aca="false">Sens!$C$4409+Sens!$C$4410+Sens!$C$4472-Sens!$C$4473</f>
        <v>0</v>
      </c>
      <c r="D4476" s="39" t="n">
        <f aca="false">Sens!$D$4409+Sens!$D$4410+Sens!$D$4472-Sens!$D$4473</f>
        <v>0</v>
      </c>
      <c r="E4476" s="39" t="n">
        <f aca="false">Sens!$E$4409+Sens!$E$4410+Sens!$E$4472-Sens!$E$4473</f>
        <v>0</v>
      </c>
      <c r="F4476" s="39" t="n">
        <f aca="false">Sens!$F$4409+Sens!$F$4410+Sens!$F$4472-Sens!$F$4473</f>
        <v>0</v>
      </c>
      <c r="G4476" s="39" t="n">
        <f aca="false">Sens!$G$4409+Sens!$G$4410+Sens!$G$4472-Sens!$G$4473</f>
        <v>0</v>
      </c>
      <c r="H4476" s="39" t="n">
        <f aca="false">Sens!$H$4409+Sens!$H$4410+Sens!$H$4472-Sens!$H$4473</f>
        <v>0</v>
      </c>
      <c r="I4476" s="39" t="n">
        <f aca="false">Sens!$I$4409+Sens!$I$4410+Sens!$I$4472-Sens!$I$4473</f>
        <v>0</v>
      </c>
      <c r="J4476" s="39" t="n">
        <f aca="false">Sens!$J$4409+Sens!$J$4410+Sens!$J$4472-Sens!$J$4473</f>
        <v>0</v>
      </c>
      <c r="K4476" s="39" t="n">
        <f aca="false">Sens!$K$4409+Sens!$K$4410+Sens!$K$4472-Sens!$K$4473</f>
        <v>0</v>
      </c>
      <c r="L4476" s="39" t="n">
        <f aca="false">Sens!$L$4409+Sens!$L$4410+Sens!$L$4472-Sens!$L$4473</f>
        <v>0</v>
      </c>
      <c r="M4476" s="39" t="n">
        <f aca="false">Sens!$M$4409+Sens!$M$4410+Sens!$M$4472-Sens!$M$4473</f>
        <v>0</v>
      </c>
      <c r="N4476" s="39" t="n">
        <f aca="false">Sens!$N$4409+Sens!$N$4410+Sens!$N$4472-Sens!$N$4473</f>
        <v>0</v>
      </c>
      <c r="O4476" s="39" t="n">
        <f aca="false">Sens!$O$4409+Sens!$O$4410+Sens!$O$4472-Sens!$O$4473</f>
        <v>0</v>
      </c>
    </row>
    <row r="4477" customFormat="false" ht="15" hidden="false" customHeight="false" outlineLevel="0" collapsed="false">
      <c r="A4477" s="5" t="s">
        <v>651</v>
      </c>
      <c r="B4477" s="0" t="s">
        <v>52</v>
      </c>
      <c r="G4477" s="12" t="n">
        <f aca="false">Sens!$G$4473/Sens!$D$4473-1</f>
        <v>0.161378156222718</v>
      </c>
      <c r="H4477" s="12" t="n">
        <f aca="false">Sens!$H$4473/Sens!$G$4473-1</f>
        <v>0.166192665236357</v>
      </c>
      <c r="I4477" s="12" t="n">
        <f aca="false">Sens!$I$4473/Sens!$H$4473-1</f>
        <v>0.143618092519351</v>
      </c>
      <c r="J4477" s="12" t="n">
        <f aca="false">Sens!$J$4473/Sens!$I$4473-1</f>
        <v>0.117712411733268</v>
      </c>
      <c r="K4477" s="12" t="n">
        <f aca="false">Sens!$K$4473/Sens!$J$4473-1</f>
        <v>0.0937151404237868</v>
      </c>
      <c r="L4477" s="12" t="n">
        <f aca="false">Sens!$L$4473/Sens!$K$4473-1</f>
        <v>0.0896982852494186</v>
      </c>
      <c r="M4477" s="12" t="n">
        <f aca="false">Sens!$M$4473/Sens!$L$4473-1</f>
        <v>0.0862697420528154</v>
      </c>
    </row>
    <row r="4478" customFormat="false" ht="17.15" hidden="false" customHeight="false" outlineLevel="0" collapsed="false">
      <c r="A4478" s="0" t="s">
        <v>652</v>
      </c>
      <c r="B4478" s="0" t="s">
        <v>52</v>
      </c>
      <c r="C4478" s="12" t="n">
        <f aca="false">Sens!$C$4472/Sens!$C$4473</f>
        <v>0.168593906504964</v>
      </c>
      <c r="D4478" s="12" t="n">
        <f aca="false">Sens!$D$4472/Sens!$D$4473</f>
        <v>0.179551807444025</v>
      </c>
      <c r="E4478" s="12" t="n">
        <f aca="false">Sens!$E$4472/Sens!$E$4473</f>
        <v>0.208881910369643</v>
      </c>
      <c r="F4478" s="12" t="n">
        <f aca="false">Sens!$F$4472/Sens!$F$4473</f>
        <v>0.207679264769203</v>
      </c>
      <c r="G4478" s="12" t="n">
        <f aca="false">Sens!$G$4472/Sens!$G$4473</f>
        <v>0.208231210458731</v>
      </c>
      <c r="H4478" s="12" t="n">
        <f aca="false">Sens!$H$4472/Sens!$H$4473</f>
        <v>0.248260191414043</v>
      </c>
      <c r="I4478" s="12" t="n">
        <f aca="false">Sens!$I$4472/Sens!$I$4473</f>
        <v>0.28110473450946</v>
      </c>
      <c r="J4478" s="12" t="n">
        <f aca="false">Sens!$J$4472/Sens!$J$4473</f>
        <v>0.30570109287086</v>
      </c>
      <c r="K4478" s="12" t="n">
        <f aca="false">Sens!$K$4472/Sens!$K$4473</f>
        <v>0.324071291782835</v>
      </c>
      <c r="L4478" s="12" t="n">
        <f aca="false">Sens!$L$4472/Sens!$L$4473</f>
        <v>0.339333003903741</v>
      </c>
      <c r="M4478" s="12" t="n">
        <f aca="false">Sens!$M$4472/Sens!$M$4473</f>
        <v>0.3520169237354</v>
      </c>
      <c r="N4478" s="12" t="n">
        <f aca="false">Sens!$N$4472/Sens!$N$4473</f>
        <v>0.185979484737251</v>
      </c>
      <c r="O4478" s="12" t="n">
        <f aca="false">Sens!$O$4472/Sens!$O$4473</f>
        <v>0.174270432341096</v>
      </c>
    </row>
    <row r="4479" customFormat="false" ht="17.15" hidden="false" customHeight="false" outlineLevel="0" collapsed="false">
      <c r="A4479" s="0" t="s">
        <v>653</v>
      </c>
      <c r="B4479" s="0" t="s">
        <v>52</v>
      </c>
      <c r="C4479" s="12" t="n">
        <f aca="false">Sens!$C$4470/Sens!$C$4472</f>
        <v>0.0215795060896058</v>
      </c>
      <c r="D4479" s="12" t="n">
        <f aca="false">Sens!$D$4470/Sens!$D$4472</f>
        <v>0.0676152269462122</v>
      </c>
      <c r="E4479" s="12" t="n">
        <f aca="false">Sens!$E$4470/Sens!$E$4472</f>
        <v>0.106620641395783</v>
      </c>
      <c r="F4479" s="12" t="n">
        <f aca="false">Sens!$F$4470/Sens!$F$4472</f>
        <v>0.159936751776064</v>
      </c>
      <c r="G4479" s="12" t="n">
        <f aca="false">Sens!$G$4470/Sens!$G$4472</f>
        <v>0.135391237003751</v>
      </c>
      <c r="H4479" s="12" t="n">
        <f aca="false">Sens!$H$4470/Sens!$H$4472</f>
        <v>0.249589428545194</v>
      </c>
      <c r="I4479" s="12" t="n">
        <f aca="false">Sens!$I$4470/Sens!$I$4472</f>
        <v>0.325173850577483</v>
      </c>
      <c r="J4479" s="12" t="n">
        <f aca="false">Sens!$J$4470/Sens!$J$4472</f>
        <v>0.376953718817392</v>
      </c>
      <c r="K4479" s="12" t="n">
        <f aca="false">Sens!$K$4470/Sens!$K$4472</f>
        <v>0.419641605578676</v>
      </c>
      <c r="L4479" s="12" t="n">
        <f aca="false">Sens!$L$4470/Sens!$L$4472</f>
        <v>0.450676451094615</v>
      </c>
      <c r="M4479" s="12" t="n">
        <f aca="false">Sens!$M$4470/Sens!$M$4472</f>
        <v>0.473526096798086</v>
      </c>
      <c r="N4479" s="12" t="n">
        <f aca="false">Sens!$N$4470/Sens!$N$4472</f>
        <v>0.0506537999838362</v>
      </c>
      <c r="O4479" s="12" t="n">
        <f aca="false">Sens!$O$4470/Sens!$O$4472</f>
        <v>0.0824881615167056</v>
      </c>
    </row>
    <row r="4482" customFormat="false" ht="19.4" hidden="false" customHeight="false" outlineLevel="0" collapsed="false">
      <c r="A4482" s="31" t="s">
        <v>1140</v>
      </c>
    </row>
    <row r="4483" customFormat="false" ht="17.15" hidden="false" customHeight="false" outlineLevel="0" collapsed="false">
      <c r="A4483" s="6" t="s">
        <v>16</v>
      </c>
      <c r="B4483" s="6" t="s">
        <v>17</v>
      </c>
      <c r="C4483" s="20" t="s">
        <v>457</v>
      </c>
      <c r="D4483" s="20" t="s">
        <v>458</v>
      </c>
      <c r="E4483" s="20" t="s">
        <v>540</v>
      </c>
      <c r="F4483" s="20" t="s">
        <v>541</v>
      </c>
      <c r="G4483" s="20" t="s">
        <v>542</v>
      </c>
      <c r="H4483" s="20" t="s">
        <v>543</v>
      </c>
      <c r="I4483" s="20" t="s">
        <v>544</v>
      </c>
      <c r="J4483" s="20" t="s">
        <v>545</v>
      </c>
      <c r="K4483" s="20" t="s">
        <v>546</v>
      </c>
      <c r="L4483" s="20" t="s">
        <v>547</v>
      </c>
      <c r="M4483" s="20" t="s">
        <v>548</v>
      </c>
      <c r="N4483" s="20" t="s">
        <v>549</v>
      </c>
      <c r="O4483" s="20" t="s">
        <v>550</v>
      </c>
      <c r="P4483" s="6" t="s">
        <v>23</v>
      </c>
      <c r="R4483" s="20" t="n">
        <v>2023</v>
      </c>
      <c r="S4483" s="20" t="n">
        <v>2024</v>
      </c>
      <c r="T4483" s="20" t="n">
        <v>2025</v>
      </c>
      <c r="U4483" s="20" t="n">
        <v>2026</v>
      </c>
      <c r="V4483" s="20" t="n">
        <v>2027</v>
      </c>
      <c r="W4483" s="20" t="n">
        <v>2028</v>
      </c>
      <c r="X4483" s="20" t="n">
        <v>2029</v>
      </c>
      <c r="Y4483" s="20" t="n">
        <v>2030</v>
      </c>
      <c r="Z4483" s="20" t="n">
        <v>2031</v>
      </c>
      <c r="AA4483" s="20" t="n">
        <v>2032</v>
      </c>
    </row>
    <row r="4484" customFormat="false" ht="17.15" hidden="false" customHeight="false" outlineLevel="0" collapsed="false">
      <c r="A4484" s="1" t="s">
        <v>668</v>
      </c>
    </row>
    <row r="4485" customFormat="false" ht="15" hidden="false" customHeight="false" outlineLevel="0" collapsed="false">
      <c r="A4485" s="0" t="s">
        <v>479</v>
      </c>
      <c r="B4485" s="0" t="s">
        <v>73</v>
      </c>
      <c r="C4485" s="38" t="n">
        <f aca="false">Sens!$C$4395</f>
        <v>247.029</v>
      </c>
      <c r="D4485" s="38" t="n">
        <f aca="false">Sens!$D$4395</f>
        <v>269.287</v>
      </c>
      <c r="E4485" s="38" t="n">
        <f aca="false">Sens!$E$4395</f>
        <v>134.686</v>
      </c>
      <c r="F4485" s="38" t="n">
        <f aca="false">Sens!$F$4395</f>
        <v>160.728085930082</v>
      </c>
      <c r="G4485" s="38" t="n">
        <f aca="false">Sens!$G$4395</f>
        <v>295.414085930082</v>
      </c>
      <c r="H4485" s="38" t="n">
        <f aca="false">Sens!$H$4395</f>
        <v>320.828163943375</v>
      </c>
      <c r="I4485" s="38" t="n">
        <f aca="false">Sens!$I$4395</f>
        <v>344.575578072228</v>
      </c>
      <c r="J4485" s="38" t="n">
        <f aca="false">Sens!$J$4395</f>
        <v>365.942555779681</v>
      </c>
      <c r="K4485" s="38" t="n">
        <f aca="false">Sens!$K$4395</f>
        <v>384.239683568665</v>
      </c>
      <c r="L4485" s="38" t="n">
        <f aca="false">Sens!$L$4395</f>
        <v>403.451667747098</v>
      </c>
      <c r="M4485" s="38" t="n">
        <f aca="false">Sens!$M$4395</f>
        <v>423.624251134453</v>
      </c>
      <c r="N4485" s="38" t="n">
        <f aca="false">Sens!$N$4395</f>
        <v>118.892</v>
      </c>
      <c r="O4485" s="38" t="n">
        <f aca="false">Sens!$O$4395</f>
        <v>150.395</v>
      </c>
    </row>
    <row r="4486" customFormat="false" ht="15" hidden="false" customHeight="false" outlineLevel="0" collapsed="false">
      <c r="A4486" s="0" t="s">
        <v>480</v>
      </c>
      <c r="B4486" s="0" t="s">
        <v>73</v>
      </c>
      <c r="C4486" s="38" t="n">
        <f aca="false">Sens!$C$4397</f>
        <v>21.215</v>
      </c>
      <c r="D4486" s="38" t="n">
        <f aca="false">Sens!$D$4397</f>
        <v>22.561</v>
      </c>
      <c r="E4486" s="38" t="n">
        <f aca="false">Sens!$E$4397</f>
        <v>11.579</v>
      </c>
      <c r="F4486" s="38" t="n">
        <f aca="false">Sens!$F$4397</f>
        <v>12.0952613121125</v>
      </c>
      <c r="G4486" s="38" t="n">
        <f aca="false">Sens!$G$4397</f>
        <v>23.6742613121125</v>
      </c>
      <c r="H4486" s="38" t="n">
        <f aca="false">Sens!$H$4397</f>
        <v>24.8803243963206</v>
      </c>
      <c r="I4486" s="38" t="n">
        <f aca="false">Sens!$I$4397</f>
        <v>25.9741308664154</v>
      </c>
      <c r="J4486" s="38" t="n">
        <f aca="false">Sens!$J$4397</f>
        <v>26.9346894124267</v>
      </c>
      <c r="K4486" s="38" t="n">
        <f aca="false">Sens!$K$4397</f>
        <v>27.7427300947995</v>
      </c>
      <c r="L4486" s="38" t="n">
        <f aca="false">Sens!$L$4397</f>
        <v>28.5750119976435</v>
      </c>
      <c r="M4486" s="38" t="n">
        <f aca="false">Sens!$M$4397</f>
        <v>29.4322623575728</v>
      </c>
      <c r="N4486" s="38" t="n">
        <f aca="false">Sens!$N$4397</f>
        <v>11.128</v>
      </c>
      <c r="O4486" s="38" t="n">
        <f aca="false">Sens!$O$4397</f>
        <v>11.433</v>
      </c>
    </row>
    <row r="4487" customFormat="false" ht="15" hidden="false" customHeight="false" outlineLevel="0" collapsed="false">
      <c r="A4487" s="0" t="s">
        <v>481</v>
      </c>
      <c r="B4487" s="0" t="s">
        <v>73</v>
      </c>
      <c r="C4487" s="38" t="n">
        <f aca="false">Sens!$C$4399</f>
        <v>156.146</v>
      </c>
      <c r="D4487" s="38" t="n">
        <f aca="false">Sens!$D$4399</f>
        <v>172.162</v>
      </c>
      <c r="E4487" s="38" t="n">
        <f aca="false">Sens!$E$4399</f>
        <v>88.358</v>
      </c>
      <c r="F4487" s="38" t="n">
        <f aca="false">Sens!$F$4399</f>
        <v>103.62028337149</v>
      </c>
      <c r="G4487" s="38" t="n">
        <f aca="false">Sens!$G$4399</f>
        <v>191.97828337149</v>
      </c>
      <c r="H4487" s="38" t="n">
        <f aca="false">Sens!$H$4399</f>
        <v>212.128608444755</v>
      </c>
      <c r="I4487" s="38" t="n">
        <f aca="false">Sens!$I$4399</f>
        <v>231.92183134134</v>
      </c>
      <c r="J4487" s="38" t="n">
        <f aca="false">Sens!$J$4399</f>
        <v>250.859136487863</v>
      </c>
      <c r="K4487" s="38" t="n">
        <f aca="false">Sens!$K$4399</f>
        <v>268.419276042014</v>
      </c>
      <c r="L4487" s="38" t="n">
        <f aca="false">Sens!$L$4399</f>
        <v>287.208625364954</v>
      </c>
      <c r="M4487" s="38" t="n">
        <f aca="false">Sens!$M$4399</f>
        <v>307.313229140501</v>
      </c>
      <c r="N4487" s="38" t="n">
        <f aca="false">Sens!$N$4399</f>
        <v>76.86</v>
      </c>
      <c r="O4487" s="38" t="n">
        <f aca="false">Sens!$O$4399</f>
        <v>95.302</v>
      </c>
    </row>
    <row r="4488" customFormat="false" ht="15" hidden="false" customHeight="false" outlineLevel="0" collapsed="false">
      <c r="A4488" s="0" t="s">
        <v>482</v>
      </c>
      <c r="B4488" s="0" t="s">
        <v>73</v>
      </c>
      <c r="C4488" s="38" t="n">
        <f aca="false">Sens!$C$4401</f>
        <v>56.214</v>
      </c>
      <c r="D4488" s="38" t="n">
        <f aca="false">Sens!$D$4401</f>
        <v>68.635</v>
      </c>
      <c r="E4488" s="38" t="n">
        <f aca="false">Sens!$E$4401</f>
        <v>37.052</v>
      </c>
      <c r="F4488" s="38" t="n">
        <f aca="false">Sens!$F$4401</f>
        <v>48.1533381827382</v>
      </c>
      <c r="G4488" s="38" t="n">
        <f aca="false">Sens!$G$4401</f>
        <v>85.2053381827382</v>
      </c>
      <c r="H4488" s="38" t="n">
        <f aca="false">Sens!$H$4401</f>
        <v>102.29336185894</v>
      </c>
      <c r="I4488" s="38" t="n">
        <f aca="false">Sens!$I$4401</f>
        <v>119.379837585241</v>
      </c>
      <c r="J4488" s="38" t="n">
        <f aca="false">Sens!$J$4401</f>
        <v>135.319079048844</v>
      </c>
      <c r="K4488" s="38" t="n">
        <f aca="false">Sens!$K$4401</f>
        <v>148.850986953729</v>
      </c>
      <c r="L4488" s="38" t="n">
        <f aca="false">Sens!$L$4401</f>
        <v>163.736085649102</v>
      </c>
      <c r="M4488" s="38" t="n">
        <f aca="false">Sens!$M$4401</f>
        <v>180.109694214012</v>
      </c>
      <c r="N4488" s="38" t="n">
        <f aca="false">Sens!$N$4401</f>
        <v>29.615</v>
      </c>
      <c r="O4488" s="38" t="n">
        <f aca="false">Sens!$O$4401</f>
        <v>39.02</v>
      </c>
    </row>
    <row r="4489" customFormat="false" ht="15" hidden="false" customHeight="false" outlineLevel="0" collapsed="false">
      <c r="A4489" s="0" t="s">
        <v>483</v>
      </c>
      <c r="B4489" s="0" t="s">
        <v>73</v>
      </c>
      <c r="C4489" s="38" t="n">
        <f aca="false">Sens!$C$4403</f>
        <v>44.374</v>
      </c>
      <c r="D4489" s="38" t="n">
        <f aca="false">Sens!$D$4403</f>
        <v>49.619</v>
      </c>
      <c r="E4489" s="38" t="n">
        <f aca="false">Sens!$E$4403</f>
        <v>27.157</v>
      </c>
      <c r="F4489" s="38" t="n">
        <f aca="false">Sens!$F$4403</f>
        <v>28.9776360923374</v>
      </c>
      <c r="G4489" s="38" t="n">
        <f aca="false">Sens!$G$4403</f>
        <v>56.1346360923374</v>
      </c>
      <c r="H4489" s="38" t="n">
        <f aca="false">Sens!$H$4403</f>
        <v>62.4937078946075</v>
      </c>
      <c r="I4489" s="38" t="n">
        <f aca="false">Sens!$I$4403</f>
        <v>68.6715233062498</v>
      </c>
      <c r="J4489" s="38" t="n">
        <f aca="false">Sens!$J$4403</f>
        <v>74.4692882949818</v>
      </c>
      <c r="K4489" s="38" t="n">
        <f aca="false">Sens!$K$4403</f>
        <v>79.6821384756306</v>
      </c>
      <c r="L4489" s="38" t="n">
        <f aca="false">Sens!$L$4403</f>
        <v>85.2598881689247</v>
      </c>
      <c r="M4489" s="38" t="n">
        <f aca="false">Sens!$M$4403</f>
        <v>91.2280803407494</v>
      </c>
      <c r="N4489" s="38" t="n">
        <f aca="false">Sens!$N$4403</f>
        <v>23.923</v>
      </c>
      <c r="O4489" s="38" t="n">
        <f aca="false">Sens!$O$4403</f>
        <v>25.696</v>
      </c>
    </row>
    <row r="4490" customFormat="false" ht="15" hidden="false" customHeight="false" outlineLevel="0" collapsed="false">
      <c r="A4490" s="0" t="s">
        <v>484</v>
      </c>
      <c r="B4490" s="0" t="s">
        <v>73</v>
      </c>
      <c r="C4490" s="38" t="n">
        <f aca="false">Sens!$C$4405</f>
        <v>5.425</v>
      </c>
      <c r="D4490" s="38" t="n">
        <f aca="false">Sens!$D$4405</f>
        <v>5.935</v>
      </c>
      <c r="E4490" s="38" t="n">
        <f aca="false">Sens!$E$4405</f>
        <v>3.474</v>
      </c>
      <c r="F4490" s="38" t="n">
        <f aca="false">Sens!$F$4405</f>
        <v>3.36182431966931</v>
      </c>
      <c r="G4490" s="38" t="n">
        <f aca="false">Sens!$G$4405</f>
        <v>6.83582431966931</v>
      </c>
      <c r="H4490" s="38" t="n">
        <f aca="false">Sens!$H$4405</f>
        <v>7.31157108370141</v>
      </c>
      <c r="I4490" s="38" t="n">
        <f aca="false">Sens!$I$4405</f>
        <v>7.77266852639815</v>
      </c>
      <c r="J4490" s="38" t="n">
        <f aca="false">Sens!$J$4405</f>
        <v>8.2120733019884</v>
      </c>
      <c r="K4490" s="38" t="n">
        <f aca="false">Sens!$K$4405</f>
        <v>8.62267696708783</v>
      </c>
      <c r="L4490" s="38" t="n">
        <f aca="false">Sens!$L$4405</f>
        <v>9.05381081544222</v>
      </c>
      <c r="M4490" s="38" t="n">
        <f aca="false">Sens!$M$4405</f>
        <v>9.50650135621433</v>
      </c>
      <c r="N4490" s="38" t="n">
        <f aca="false">Sens!$N$4405</f>
        <v>2.811</v>
      </c>
      <c r="O4490" s="38" t="n">
        <f aca="false">Sens!$O$4405</f>
        <v>3.124</v>
      </c>
    </row>
    <row r="4491" customFormat="false" ht="17.15" hidden="false" customHeight="false" outlineLevel="0" collapsed="false">
      <c r="A4491" s="0" t="s">
        <v>669</v>
      </c>
      <c r="B4491" s="0" t="s">
        <v>73</v>
      </c>
      <c r="C4491" s="38" t="n">
        <f aca="false">Sens!$C$4472</f>
        <v>107.556</v>
      </c>
      <c r="D4491" s="38" t="n">
        <f aca="false">Sens!$D$4472</f>
        <v>128.725</v>
      </c>
      <c r="E4491" s="38" t="n">
        <f aca="false">Sens!$E$4472</f>
        <v>79.819</v>
      </c>
      <c r="F4491" s="38" t="n">
        <f aca="false">Sens!$F$4472</f>
        <v>93.5584440633857</v>
      </c>
      <c r="G4491" s="38" t="n">
        <f aca="false">Sens!$G$4472</f>
        <v>173.377444063386</v>
      </c>
      <c r="H4491" s="38" t="n">
        <f aca="false">Sens!$H$4472</f>
        <v>241.059451517916</v>
      </c>
      <c r="I4491" s="38" t="n">
        <f aca="false">Sens!$I$4472</f>
        <v>312.152096351442</v>
      </c>
      <c r="J4491" s="38" t="n">
        <f aca="false">Sens!$J$4472</f>
        <v>379.424316597773</v>
      </c>
      <c r="K4491" s="38" t="n">
        <f aca="false">Sens!$K$4472</f>
        <v>439.919237244402</v>
      </c>
      <c r="L4491" s="38" t="n">
        <f aca="false">Sens!$L$4472</f>
        <v>501.954974491517</v>
      </c>
      <c r="M4491" s="38" t="n">
        <f aca="false">Sens!$M$4472</f>
        <v>565.639704466895</v>
      </c>
      <c r="N4491" s="38" t="n">
        <f aca="false">Sens!$N$4472</f>
        <v>60.14</v>
      </c>
      <c r="O4491" s="38" t="n">
        <f aca="false">Sens!$O$4472</f>
        <v>68.585</v>
      </c>
    </row>
    <row r="4492" customFormat="false" ht="15" hidden="false" customHeight="false" outlineLevel="0" collapsed="false">
      <c r="A4492" s="1" t="s">
        <v>472</v>
      </c>
      <c r="B4492" s="8" t="s">
        <v>73</v>
      </c>
      <c r="C4492" s="38" t="n">
        <f aca="false">Sens!$C$4409</f>
        <v>387.497</v>
      </c>
      <c r="D4492" s="38" t="n">
        <f aca="false">Sens!$D$4409</f>
        <v>426.305</v>
      </c>
      <c r="E4492" s="38" t="n">
        <f aca="false">Sens!$E$4409</f>
        <v>220.32</v>
      </c>
      <c r="F4492" s="38" t="n">
        <f aca="false">Sens!$F$4409</f>
        <v>256.304015003807</v>
      </c>
      <c r="G4492" s="38" t="n">
        <f aca="false">Sens!$G$4409</f>
        <v>476.624015003807</v>
      </c>
      <c r="H4492" s="38" t="n">
        <f aca="false">Sens!$H$4409</f>
        <v>527.734391091543</v>
      </c>
      <c r="I4492" s="38" t="n">
        <f aca="false">Sens!$I$4409</f>
        <v>577.157693029577</v>
      </c>
      <c r="J4492" s="38" t="n">
        <f aca="false">Sens!$J$4409</f>
        <v>623.024923663827</v>
      </c>
      <c r="K4492" s="38" t="n">
        <f aca="false">Sens!$K$4409</f>
        <v>663.382568393781</v>
      </c>
      <c r="L4492" s="38" t="n">
        <f aca="false">Sens!$L$4409</f>
        <v>706.564873010432</v>
      </c>
      <c r="M4492" s="38" t="n">
        <f aca="false">Sens!$M$4409</f>
        <v>752.784687406019</v>
      </c>
      <c r="N4492" s="38" t="n">
        <f aca="false">Sens!$N$4409</f>
        <v>192.955</v>
      </c>
      <c r="O4492" s="38" t="n">
        <f aca="false">Sens!$O$4409</f>
        <v>233.35</v>
      </c>
    </row>
    <row r="4493" customFormat="false" ht="15" hidden="false" customHeight="false" outlineLevel="0" collapsed="false">
      <c r="A4493" s="1" t="s">
        <v>475</v>
      </c>
      <c r="B4493" s="8" t="s">
        <v>73</v>
      </c>
      <c r="C4493" s="38" t="n">
        <f aca="false">Sens!$C$4410</f>
        <v>142.906</v>
      </c>
      <c r="D4493" s="38" t="n">
        <f aca="false">Sens!$D$4410</f>
        <v>161.894</v>
      </c>
      <c r="E4493" s="38" t="n">
        <f aca="false">Sens!$E$4410</f>
        <v>81.986</v>
      </c>
      <c r="F4493" s="38" t="n">
        <f aca="false">Sens!$F$4410</f>
        <v>100.632414204623</v>
      </c>
      <c r="G4493" s="38" t="n">
        <f aca="false">Sens!$G$4410</f>
        <v>182.618414204623</v>
      </c>
      <c r="H4493" s="38" t="n">
        <f aca="false">Sens!$H$4410</f>
        <v>202.201346530158</v>
      </c>
      <c r="I4493" s="38" t="n">
        <f aca="false">Sens!$I$4410</f>
        <v>221.137876668296</v>
      </c>
      <c r="J4493" s="38" t="n">
        <f aca="false">Sens!$J$4410</f>
        <v>238.711898661958</v>
      </c>
      <c r="K4493" s="38" t="n">
        <f aca="false">Sens!$K$4410</f>
        <v>254.174923708144</v>
      </c>
      <c r="L4493" s="38" t="n">
        <f aca="false">Sens!$L$4410</f>
        <v>270.720216732733</v>
      </c>
      <c r="M4493" s="38" t="n">
        <f aca="false">Sens!$M$4410</f>
        <v>288.429331137484</v>
      </c>
      <c r="N4493" s="38" t="n">
        <f aca="false">Sens!$N$4410</f>
        <v>70.274</v>
      </c>
      <c r="O4493" s="38" t="n">
        <f aca="false">Sens!$O$4410</f>
        <v>91.62</v>
      </c>
    </row>
    <row r="4494" customFormat="false" ht="15" hidden="false" customHeight="false" outlineLevel="0" collapsed="false">
      <c r="A4494" s="1" t="s">
        <v>476</v>
      </c>
      <c r="B4494" s="8" t="s">
        <v>73</v>
      </c>
      <c r="C4494" s="38" t="n">
        <f aca="false">Sens!$C$4472</f>
        <v>107.556</v>
      </c>
      <c r="D4494" s="38" t="n">
        <f aca="false">Sens!$D$4472</f>
        <v>128.725</v>
      </c>
      <c r="E4494" s="38" t="n">
        <f aca="false">Sens!$E$4472</f>
        <v>79.819</v>
      </c>
      <c r="F4494" s="38" t="n">
        <f aca="false">Sens!$F$4472</f>
        <v>93.5584440633857</v>
      </c>
      <c r="G4494" s="38" t="n">
        <f aca="false">Sens!$G$4472</f>
        <v>173.377444063386</v>
      </c>
      <c r="H4494" s="38" t="n">
        <f aca="false">Sens!$H$4472</f>
        <v>241.059451517916</v>
      </c>
      <c r="I4494" s="38" t="n">
        <f aca="false">Sens!$I$4472</f>
        <v>312.152096351442</v>
      </c>
      <c r="J4494" s="38" t="n">
        <f aca="false">Sens!$J$4472</f>
        <v>379.424316597773</v>
      </c>
      <c r="K4494" s="38" t="n">
        <f aca="false">Sens!$K$4472</f>
        <v>439.919237244402</v>
      </c>
      <c r="L4494" s="38" t="n">
        <f aca="false">Sens!$L$4472</f>
        <v>501.954974491517</v>
      </c>
      <c r="M4494" s="38" t="n">
        <f aca="false">Sens!$M$4472</f>
        <v>565.639704466895</v>
      </c>
      <c r="N4494" s="38" t="n">
        <f aca="false">Sens!$N$4472</f>
        <v>60.14</v>
      </c>
      <c r="O4494" s="38" t="n">
        <f aca="false">Sens!$O$4472</f>
        <v>68.585</v>
      </c>
    </row>
    <row r="4495" customFormat="false" ht="17.15" hidden="false" customHeight="false" outlineLevel="0" collapsed="false">
      <c r="A4495" s="0" t="s">
        <v>643</v>
      </c>
      <c r="B4495" s="0" t="s">
        <v>73</v>
      </c>
      <c r="C4495" s="38" t="n">
        <f aca="false">Sens!$C$4470</f>
        <v>2.32100535697364</v>
      </c>
      <c r="D4495" s="38" t="n">
        <f aca="false">Sens!$D$4470</f>
        <v>8.70377008865116</v>
      </c>
      <c r="E4495" s="38" t="n">
        <f aca="false">Sens!$E$4470</f>
        <v>8.51035297557002</v>
      </c>
      <c r="F4495" s="38" t="n">
        <f aca="false">Sens!$F$4470</f>
        <v>14.9634336447205</v>
      </c>
      <c r="G4495" s="38" t="n">
        <f aca="false">Sens!$G$4470</f>
        <v>23.4737866202905</v>
      </c>
      <c r="H4495" s="38" t="n">
        <f aca="false">Sens!$H$4470</f>
        <v>60.1658907497746</v>
      </c>
      <c r="I4495" s="38" t="n">
        <f aca="false">Sens!$I$4470</f>
        <v>101.503699136432</v>
      </c>
      <c r="J4495" s="38" t="n">
        <f aca="false">Sens!$J$4470</f>
        <v>143.025407151278</v>
      </c>
      <c r="K4495" s="38" t="n">
        <f aca="false">Sens!$K$4470</f>
        <v>184.608415042187</v>
      </c>
      <c r="L4495" s="38" t="n">
        <f aca="false">Sens!$L$4470</f>
        <v>226.219286513125</v>
      </c>
      <c r="M4495" s="38" t="n">
        <f aca="false">Sens!$M$4470</f>
        <v>267.845161450232</v>
      </c>
      <c r="N4495" s="38" t="n">
        <f aca="false">Sens!$N$4470</f>
        <v>3.04631953102791</v>
      </c>
      <c r="O4495" s="38" t="n">
        <f aca="false">Sens!$O$4470</f>
        <v>5.65745055762326</v>
      </c>
    </row>
    <row r="4496" customFormat="false" ht="17.15" hidden="false" customHeight="false" outlineLevel="0" collapsed="false">
      <c r="A4496" s="0" t="s">
        <v>645</v>
      </c>
      <c r="B4496" s="0" t="s">
        <v>73</v>
      </c>
      <c r="C4496" s="38" t="n">
        <f aca="false">Sens!$C$4471</f>
        <v>105.234994643026</v>
      </c>
      <c r="D4496" s="38" t="n">
        <f aca="false">Sens!$D$4471</f>
        <v>120.021229911349</v>
      </c>
      <c r="E4496" s="38" t="n">
        <f aca="false">Sens!$E$4471</f>
        <v>71.30864702443</v>
      </c>
      <c r="F4496" s="38" t="n">
        <f aca="false">Sens!$F$4471</f>
        <v>78.5950104186653</v>
      </c>
      <c r="G4496" s="38" t="n">
        <f aca="false">Sens!$G$4471</f>
        <v>149.903657443095</v>
      </c>
      <c r="H4496" s="38" t="n">
        <f aca="false">Sens!$H$4471</f>
        <v>180.893560768142</v>
      </c>
      <c r="I4496" s="38" t="n">
        <f aca="false">Sens!$I$4471</f>
        <v>210.64839721501</v>
      </c>
      <c r="J4496" s="38" t="n">
        <f aca="false">Sens!$J$4471</f>
        <v>236.398909446495</v>
      </c>
      <c r="K4496" s="38" t="n">
        <f aca="false">Sens!$K$4471</f>
        <v>255.310822202215</v>
      </c>
      <c r="L4496" s="38" t="n">
        <f aca="false">Sens!$L$4471</f>
        <v>275.735687978392</v>
      </c>
      <c r="M4496" s="38" t="n">
        <f aca="false">Sens!$M$4471</f>
        <v>297.794543016663</v>
      </c>
      <c r="N4496" s="38" t="n">
        <f aca="false">Sens!$N$4471</f>
        <v>57.0936804689721</v>
      </c>
      <c r="O4496" s="38" t="n">
        <f aca="false">Sens!$O$4471</f>
        <v>62.9275494423768</v>
      </c>
    </row>
    <row r="4497" customFormat="false" ht="15" hidden="false" customHeight="false" outlineLevel="0" collapsed="false">
      <c r="A4497" s="3" t="s">
        <v>477</v>
      </c>
      <c r="B4497" s="8" t="s">
        <v>73</v>
      </c>
      <c r="C4497" s="38" t="n">
        <f aca="false">Sens!$C$4473</f>
        <v>637.959</v>
      </c>
      <c r="D4497" s="38" t="n">
        <f aca="false">Sens!$D$4473</f>
        <v>716.924</v>
      </c>
      <c r="E4497" s="38" t="n">
        <f aca="false">Sens!$E$4473</f>
        <v>382.125</v>
      </c>
      <c r="F4497" s="38" t="n">
        <f aca="false">Sens!$F$4473</f>
        <v>450.494873271816</v>
      </c>
      <c r="G4497" s="38" t="n">
        <f aca="false">Sens!$G$4473</f>
        <v>832.619873271816</v>
      </c>
      <c r="H4497" s="38" t="n">
        <f aca="false">Sens!$H$4473</f>
        <v>970.995189139617</v>
      </c>
      <c r="I4497" s="38" t="n">
        <f aca="false">Sens!$I$4473</f>
        <v>1110.44766604932</v>
      </c>
      <c r="J4497" s="38" t="n">
        <f aca="false">Sens!$J$4473</f>
        <v>1241.16113892356</v>
      </c>
      <c r="K4497" s="38" t="n">
        <f aca="false">Sens!$K$4473</f>
        <v>1357.47672934633</v>
      </c>
      <c r="L4497" s="38" t="n">
        <f aca="false">Sens!$L$4473</f>
        <v>1479.24006423468</v>
      </c>
      <c r="M4497" s="38" t="n">
        <f aca="false">Sens!$M$4473</f>
        <v>1606.8537230104</v>
      </c>
      <c r="N4497" s="38" t="n">
        <f aca="false">Sens!$N$4473</f>
        <v>323.369</v>
      </c>
      <c r="O4497" s="38" t="n">
        <f aca="false">Sens!$O$4473</f>
        <v>393.555</v>
      </c>
    </row>
    <row r="4498" customFormat="false" ht="17.15" hidden="false" customHeight="false" outlineLevel="0" collapsed="false">
      <c r="A4498" s="24" t="s">
        <v>655</v>
      </c>
      <c r="B4498" s="25" t="s">
        <v>73</v>
      </c>
      <c r="C4498" s="39" t="n">
        <f aca="false">Sens!$C$4485+Sens!$C$4486+Sens!$C$4487+Sens!$C$4488+Sens!$C$4489+Sens!$C$4490-(Sens!$C$4492+Sens!$C$4493)</f>
        <v>0</v>
      </c>
      <c r="D4498" s="39" t="n">
        <f aca="false">Sens!$D$4485+Sens!$D$4486+Sens!$D$4487+Sens!$D$4488+Sens!$D$4489+Sens!$D$4490-(Sens!$D$4492+Sens!$D$4493)</f>
        <v>0</v>
      </c>
      <c r="E4498" s="39" t="n">
        <f aca="false">Sens!$E$4485+Sens!$E$4486+Sens!$E$4487+Sens!$E$4488+Sens!$E$4489+Sens!$E$4490-(Sens!$E$4492+Sens!$E$4493)</f>
        <v>0</v>
      </c>
      <c r="F4498" s="39" t="n">
        <f aca="false">Sens!$F$4485+Sens!$F$4486+Sens!$F$4487+Sens!$F$4488+Sens!$F$4489+Sens!$F$4490-(Sens!$F$4492+Sens!$F$4493)</f>
        <v>0</v>
      </c>
      <c r="G4498" s="39" t="n">
        <f aca="false">Sens!$G$4485+Sens!$G$4486+Sens!$G$4487+Sens!$G$4488+Sens!$G$4489+Sens!$G$4490-(Sens!$G$4492+Sens!$G$4493)</f>
        <v>0</v>
      </c>
      <c r="H4498" s="39" t="n">
        <f aca="false">Sens!$H$4485+Sens!$H$4486+Sens!$H$4487+Sens!$H$4488+Sens!$H$4489+Sens!$H$4490-(Sens!$H$4492+Sens!$H$4493)</f>
        <v>0</v>
      </c>
      <c r="I4498" s="39" t="n">
        <f aca="false">Sens!$I$4485+Sens!$I$4486+Sens!$I$4487+Sens!$I$4488+Sens!$I$4489+Sens!$I$4490-(Sens!$I$4492+Sens!$I$4493)</f>
        <v>0</v>
      </c>
      <c r="J4498" s="39" t="n">
        <f aca="false">Sens!$J$4485+Sens!$J$4486+Sens!$J$4487+Sens!$J$4488+Sens!$J$4489+Sens!$J$4490-(Sens!$J$4492+Sens!$J$4493)</f>
        <v>0</v>
      </c>
      <c r="K4498" s="39" t="n">
        <f aca="false">Sens!$K$4485+Sens!$K$4486+Sens!$K$4487+Sens!$K$4488+Sens!$K$4489+Sens!$K$4490-(Sens!$K$4492+Sens!$K$4493)</f>
        <v>0</v>
      </c>
      <c r="L4498" s="39" t="n">
        <f aca="false">Sens!$L$4485+Sens!$L$4486+Sens!$L$4487+Sens!$L$4488+Sens!$L$4489+Sens!$L$4490-(Sens!$L$4492+Sens!$L$4493)</f>
        <v>0</v>
      </c>
      <c r="M4498" s="39" t="n">
        <f aca="false">Sens!$M$4485+Sens!$M$4486+Sens!$M$4487+Sens!$M$4488+Sens!$M$4489+Sens!$M$4490-(Sens!$M$4492+Sens!$M$4493)</f>
        <v>0</v>
      </c>
      <c r="N4498" s="39" t="n">
        <f aca="false">Sens!$N$4485+Sens!$N$4486+Sens!$N$4487+Sens!$N$4488+Sens!$N$4489+Sens!$N$4490-(Sens!$N$4492+Sens!$N$4493)</f>
        <v>0</v>
      </c>
      <c r="O4498" s="39" t="n">
        <f aca="false">Sens!$O$4485+Sens!$O$4486+Sens!$O$4487+Sens!$O$4488+Sens!$O$4489+Sens!$O$4490-(Sens!$O$4492+Sens!$O$4493)</f>
        <v>0</v>
      </c>
    </row>
    <row r="4499" customFormat="false" ht="17.15" hidden="false" customHeight="false" outlineLevel="0" collapsed="false">
      <c r="A4499" s="24" t="s">
        <v>656</v>
      </c>
      <c r="B4499" s="25" t="s">
        <v>73</v>
      </c>
      <c r="C4499" s="39" t="n">
        <f aca="false">Sens!$C$4495+Sens!$C$4496-Sens!$C$4494</f>
        <v>0</v>
      </c>
      <c r="D4499" s="39" t="n">
        <f aca="false">Sens!$D$4495+Sens!$D$4496-Sens!$D$4494</f>
        <v>0</v>
      </c>
      <c r="E4499" s="39" t="n">
        <f aca="false">Sens!$E$4495+Sens!$E$4496-Sens!$E$4494</f>
        <v>0</v>
      </c>
      <c r="F4499" s="39" t="n">
        <f aca="false">Sens!$F$4495+Sens!$F$4496-Sens!$F$4494</f>
        <v>0</v>
      </c>
      <c r="G4499" s="39" t="n">
        <f aca="false">Sens!$G$4495+Sens!$G$4496-Sens!$G$4494</f>
        <v>0</v>
      </c>
      <c r="H4499" s="39" t="n">
        <f aca="false">Sens!$H$4495+Sens!$H$4496-Sens!$H$4494</f>
        <v>0</v>
      </c>
      <c r="I4499" s="39" t="n">
        <f aca="false">Sens!$I$4495+Sens!$I$4496-Sens!$I$4494</f>
        <v>0</v>
      </c>
      <c r="J4499" s="39" t="n">
        <f aca="false">Sens!$J$4495+Sens!$J$4496-Sens!$J$4494</f>
        <v>0</v>
      </c>
      <c r="K4499" s="39" t="n">
        <f aca="false">Sens!$K$4495+Sens!$K$4496-Sens!$K$4494</f>
        <v>0</v>
      </c>
      <c r="L4499" s="39" t="n">
        <f aca="false">Sens!$L$4495+Sens!$L$4496-Sens!$L$4494</f>
        <v>0</v>
      </c>
      <c r="M4499" s="39" t="n">
        <f aca="false">Sens!$M$4495+Sens!$M$4496-Sens!$M$4494</f>
        <v>0</v>
      </c>
      <c r="N4499" s="39" t="n">
        <f aca="false">Sens!$N$4495+Sens!$N$4496-Sens!$N$4494</f>
        <v>0</v>
      </c>
      <c r="O4499" s="39" t="n">
        <f aca="false">Sens!$O$4495+Sens!$O$4496-Sens!$O$4494</f>
        <v>0</v>
      </c>
    </row>
    <row r="4500" customFormat="false" ht="17.15" hidden="false" customHeight="false" outlineLevel="0" collapsed="false">
      <c r="A4500" s="24" t="s">
        <v>710</v>
      </c>
      <c r="B4500" s="25" t="s">
        <v>73</v>
      </c>
      <c r="C4500" s="39" t="n">
        <f aca="false">Sens!$C$4485+Sens!$C$4486+Sens!$C$4487+Sens!$C$4488+Sens!$C$4489+Sens!$C$4490+Sens!$C$4491-Sens!$C$4497</f>
        <v>0</v>
      </c>
      <c r="D4500" s="39" t="n">
        <f aca="false">Sens!$D$4485+Sens!$D$4486+Sens!$D$4487+Sens!$D$4488+Sens!$D$4489+Sens!$D$4490+Sens!$D$4491-Sens!$D$4497</f>
        <v>0</v>
      </c>
      <c r="E4500" s="39" t="n">
        <f aca="false">Sens!$E$4485+Sens!$E$4486+Sens!$E$4487+Sens!$E$4488+Sens!$E$4489+Sens!$E$4490+Sens!$E$4491-Sens!$E$4497</f>
        <v>0</v>
      </c>
      <c r="F4500" s="39" t="n">
        <f aca="false">Sens!$F$4485+Sens!$F$4486+Sens!$F$4487+Sens!$F$4488+Sens!$F$4489+Sens!$F$4490+Sens!$F$4491-Sens!$F$4497</f>
        <v>0</v>
      </c>
      <c r="G4500" s="39" t="n">
        <f aca="false">Sens!$G$4485+Sens!$G$4486+Sens!$G$4487+Sens!$G$4488+Sens!$G$4489+Sens!$G$4490+Sens!$G$4491-Sens!$G$4497</f>
        <v>0</v>
      </c>
      <c r="H4500" s="39" t="n">
        <f aca="false">Sens!$H$4485+Sens!$H$4486+Sens!$H$4487+Sens!$H$4488+Sens!$H$4489+Sens!$H$4490+Sens!$H$4491-Sens!$H$4497</f>
        <v>0</v>
      </c>
      <c r="I4500" s="39" t="n">
        <f aca="false">Sens!$I$4485+Sens!$I$4486+Sens!$I$4487+Sens!$I$4488+Sens!$I$4489+Sens!$I$4490+Sens!$I$4491-Sens!$I$4497</f>
        <v>0</v>
      </c>
      <c r="J4500" s="39" t="n">
        <f aca="false">Sens!$J$4485+Sens!$J$4486+Sens!$J$4487+Sens!$J$4488+Sens!$J$4489+Sens!$J$4490+Sens!$J$4491-Sens!$J$4497</f>
        <v>0</v>
      </c>
      <c r="K4500" s="39" t="n">
        <f aca="false">Sens!$K$4485+Sens!$K$4486+Sens!$K$4487+Sens!$K$4488+Sens!$K$4489+Sens!$K$4490+Sens!$K$4491-Sens!$K$4497</f>
        <v>0</v>
      </c>
      <c r="L4500" s="39" t="n">
        <f aca="false">Sens!$L$4485+Sens!$L$4486+Sens!$L$4487+Sens!$L$4488+Sens!$L$4489+Sens!$L$4490+Sens!$L$4491-Sens!$L$4497</f>
        <v>0</v>
      </c>
      <c r="M4500" s="39" t="n">
        <f aca="false">Sens!$M$4485+Sens!$M$4486+Sens!$M$4487+Sens!$M$4488+Sens!$M$4489+Sens!$M$4490+Sens!$M$4491-Sens!$M$4497</f>
        <v>0</v>
      </c>
      <c r="N4500" s="39" t="n">
        <f aca="false">Sens!$N$4485+Sens!$N$4486+Sens!$N$4487+Sens!$N$4488+Sens!$N$4489+Sens!$N$4490+Sens!$N$4491-Sens!$N$4497</f>
        <v>0</v>
      </c>
      <c r="O4500" s="39" t="n">
        <f aca="false">Sens!$O$4485+Sens!$O$4486+Sens!$O$4487+Sens!$O$4488+Sens!$O$4489+Sens!$O$4490+Sens!$O$4491-Sens!$O$4497</f>
        <v>0</v>
      </c>
    </row>
    <row r="4501" customFormat="false" ht="17.15" hidden="false" customHeight="false" outlineLevel="0" collapsed="false">
      <c r="A4501" s="24" t="s">
        <v>657</v>
      </c>
      <c r="B4501" s="25" t="s">
        <v>73</v>
      </c>
      <c r="C4501" s="39" t="n">
        <f aca="false">Sens!$C$4492+Sens!$C$4493+Sens!$C$4494-Sens!$C$4497</f>
        <v>0</v>
      </c>
      <c r="D4501" s="39" t="n">
        <f aca="false">Sens!$D$4492+Sens!$D$4493+Sens!$D$4494-Sens!$D$4497</f>
        <v>0</v>
      </c>
      <c r="E4501" s="39" t="n">
        <f aca="false">Sens!$E$4492+Sens!$E$4493+Sens!$E$4494-Sens!$E$4497</f>
        <v>0</v>
      </c>
      <c r="F4501" s="39" t="n">
        <f aca="false">Sens!$F$4492+Sens!$F$4493+Sens!$F$4494-Sens!$F$4497</f>
        <v>0</v>
      </c>
      <c r="G4501" s="39" t="n">
        <f aca="false">Sens!$G$4492+Sens!$G$4493+Sens!$G$4494-Sens!$G$4497</f>
        <v>0</v>
      </c>
      <c r="H4501" s="39" t="n">
        <f aca="false">Sens!$H$4492+Sens!$H$4493+Sens!$H$4494-Sens!$H$4497</f>
        <v>0</v>
      </c>
      <c r="I4501" s="39" t="n">
        <f aca="false">Sens!$I$4492+Sens!$I$4493+Sens!$I$4494-Sens!$I$4497</f>
        <v>0</v>
      </c>
      <c r="J4501" s="39" t="n">
        <f aca="false">Sens!$J$4492+Sens!$J$4493+Sens!$J$4494-Sens!$J$4497</f>
        <v>0</v>
      </c>
      <c r="K4501" s="39" t="n">
        <f aca="false">Sens!$K$4492+Sens!$K$4493+Sens!$K$4494-Sens!$K$4497</f>
        <v>0</v>
      </c>
      <c r="L4501" s="39" t="n">
        <f aca="false">Sens!$L$4492+Sens!$L$4493+Sens!$L$4494-Sens!$L$4497</f>
        <v>0</v>
      </c>
      <c r="M4501" s="39" t="n">
        <f aca="false">Sens!$M$4492+Sens!$M$4493+Sens!$M$4494-Sens!$M$4497</f>
        <v>0</v>
      </c>
      <c r="N4501" s="39" t="n">
        <f aca="false">Sens!$N$4492+Sens!$N$4493+Sens!$N$4494-Sens!$N$4497</f>
        <v>0</v>
      </c>
      <c r="O4501" s="39" t="n">
        <f aca="false">Sens!$O$4492+Sens!$O$4493+Sens!$O$4494-Sens!$O$4497</f>
        <v>0</v>
      </c>
    </row>
    <row r="4502" customFormat="false" ht="17.15" hidden="false" customHeight="false" outlineLevel="0" collapsed="false">
      <c r="A4502" s="1" t="s">
        <v>671</v>
      </c>
    </row>
    <row r="4503" customFormat="false" ht="17.15" hidden="false" customHeight="false" outlineLevel="0" collapsed="false">
      <c r="A4503" s="0" t="s">
        <v>672</v>
      </c>
      <c r="B4503" s="0" t="s">
        <v>73</v>
      </c>
      <c r="C4503" s="38" t="n">
        <f aca="false">Sens!$C$4411*m_ad</f>
        <v>20.5341564414228</v>
      </c>
      <c r="D4503" s="38" t="n">
        <f aca="false">Sens!$D$4411*m_ad</f>
        <v>24.8720617299587</v>
      </c>
      <c r="E4503" s="38" t="n">
        <f aca="false">Sens!$E$4411*m_ad</f>
        <v>13.5017112462207</v>
      </c>
      <c r="F4503" s="38" t="n">
        <f aca="false">Sens!$F$4411*m_ad</f>
        <v>17.2886442824599</v>
      </c>
      <c r="G4503" s="38" t="n">
        <f aca="false">Sens!$G$4411*m_ad</f>
        <v>30.8011958765886</v>
      </c>
      <c r="H4503" s="38" t="n">
        <f aca="false">Sens!$H$4411*m_ad</f>
        <v>36.978409366026</v>
      </c>
      <c r="I4503" s="38" t="n">
        <f aca="false">Sens!$I$4411*m_ad</f>
        <v>43.155063281273</v>
      </c>
      <c r="J4503" s="38" t="n">
        <f aca="false">Sens!$J$4411*m_ad</f>
        <v>48.9169991988532</v>
      </c>
      <c r="K4503" s="38" t="n">
        <f aca="false">Sens!$K$4411*m_ad</f>
        <v>53.8086991187386</v>
      </c>
      <c r="L4503" s="38" t="n">
        <f aca="false">Sens!$L$4411*m_ad</f>
        <v>59.1895690306124</v>
      </c>
      <c r="M4503" s="38" t="n">
        <f aca="false">Sens!$M$4411*m_ad</f>
        <v>65.1085259336737</v>
      </c>
      <c r="N4503" s="38" t="n">
        <f aca="false">Sens!$N$4411*m_ad</f>
        <v>10.8543555706248</v>
      </c>
      <c r="O4503" s="38" t="n">
        <f aca="false">Sens!$O$4411*m_ad</f>
        <v>14.0094731821399</v>
      </c>
    </row>
    <row r="4504" customFormat="false" ht="17.15" hidden="false" customHeight="false" outlineLevel="0" collapsed="false">
      <c r="A4504" s="0" t="s">
        <v>673</v>
      </c>
      <c r="B4504" s="0" t="s">
        <v>73</v>
      </c>
      <c r="C4504" s="38" t="n">
        <f aca="false">Sens!$C$4409-Sens!$C$4411</f>
        <v>346.428687117154</v>
      </c>
      <c r="D4504" s="38" t="n">
        <f aca="false">Sens!$D$4409-Sens!$D$4411</f>
        <v>376.560876540083</v>
      </c>
      <c r="E4504" s="38" t="n">
        <f aca="false">Sens!$E$4409-Sens!$E$4411</f>
        <v>193.316577507559</v>
      </c>
      <c r="F4504" s="38" t="n">
        <f aca="false">Sens!$F$4409-Sens!$F$4411</f>
        <v>221.726726438887</v>
      </c>
      <c r="G4504" s="38" t="n">
        <f aca="false">Sens!$G$4409-Sens!$G$4411</f>
        <v>415.02162325063</v>
      </c>
      <c r="H4504" s="38" t="n">
        <f aca="false">Sens!$H$4409-Sens!$H$4411</f>
        <v>453.777572359491</v>
      </c>
      <c r="I4504" s="38" t="n">
        <f aca="false">Sens!$I$4409-Sens!$I$4411</f>
        <v>490.847566467031</v>
      </c>
      <c r="J4504" s="38" t="n">
        <f aca="false">Sens!$J$4409-Sens!$J$4411</f>
        <v>525.190925266121</v>
      </c>
      <c r="K4504" s="38" t="n">
        <f aca="false">Sens!$K$4409-Sens!$K$4411</f>
        <v>555.765170156304</v>
      </c>
      <c r="L4504" s="38" t="n">
        <f aca="false">Sens!$L$4409-Sens!$L$4411</f>
        <v>588.185734949207</v>
      </c>
      <c r="M4504" s="38" t="n">
        <f aca="false">Sens!$M$4409-Sens!$M$4411</f>
        <v>622.567635538672</v>
      </c>
      <c r="N4504" s="38" t="n">
        <f aca="false">Sens!$N$4409-Sens!$N$4411</f>
        <v>171.24628885875</v>
      </c>
      <c r="O4504" s="38" t="n">
        <f aca="false">Sens!$O$4409-Sens!$O$4411</f>
        <v>205.33105363572</v>
      </c>
    </row>
    <row r="4505" customFormat="false" ht="17.15" hidden="false" customHeight="false" outlineLevel="0" collapsed="false">
      <c r="A4505" s="0" t="s">
        <v>674</v>
      </c>
      <c r="B4505" s="0" t="s">
        <v>73</v>
      </c>
      <c r="C4505" s="38" t="n">
        <f aca="false">Sens!$C$4456*Sens!$C$4408</f>
        <v>0.123617442257179</v>
      </c>
      <c r="D4505" s="38" t="n">
        <f aca="false">Sens!$D$4456*Sens!$D$4408</f>
        <v>0.874366899302609</v>
      </c>
      <c r="E4505" s="38" t="n">
        <f aca="false">Sens!$E$4456*Sens!$E$4408</f>
        <v>1.29318830502574</v>
      </c>
      <c r="F4505" s="38" t="n">
        <f aca="false">Sens!$F$4456*Sens!$F$4408</f>
        <v>1.51802024162534</v>
      </c>
      <c r="G4505" s="38" t="n">
        <f aca="false">Sens!$G$4456*Sens!$G$4408</f>
        <v>2.81130189308167</v>
      </c>
      <c r="H4505" s="38" t="n">
        <f aca="false">Sens!$H$4456*Sens!$H$4408</f>
        <v>7.38966789318209</v>
      </c>
      <c r="I4505" s="38" t="n">
        <f aca="false">Sens!$I$4456*Sens!$I$4408</f>
        <v>12.8987443661473</v>
      </c>
      <c r="J4505" s="38" t="n">
        <f aca="false">Sens!$J$4456*Sens!$J$4408</f>
        <v>18.5570025453645</v>
      </c>
      <c r="K4505" s="38" t="n">
        <f aca="false">Sens!$K$4456*Sens!$K$4408</f>
        <v>24.3158972773405</v>
      </c>
      <c r="L4505" s="38" t="n">
        <f aca="false">Sens!$L$4456*Sens!$L$4408</f>
        <v>29.7827375558674</v>
      </c>
      <c r="M4505" s="38" t="n">
        <f aca="false">Sens!$M$4456*Sens!$M$4408</f>
        <v>35.3532344973194</v>
      </c>
      <c r="N4505" s="38" t="n">
        <f aca="false">Sens!$N$4456*Sens!$N$4408</f>
        <v>0.389180508437431</v>
      </c>
      <c r="O4505" s="38" t="n">
        <f aca="false">Sens!$O$4456*Sens!$O$4408</f>
        <v>0.485052120082802</v>
      </c>
    </row>
    <row r="4506" customFormat="false" ht="17.15" hidden="false" customHeight="false" outlineLevel="0" collapsed="false">
      <c r="A4506" s="0" t="s">
        <v>675</v>
      </c>
      <c r="B4506" s="0" t="s">
        <v>52</v>
      </c>
      <c r="C4506" s="28" t="n">
        <f aca="false">(Sens!$C$4507-Sens!$C$4503+Sens!$C$4505)/Sens!$C$4504</f>
        <v>0.0131526665379575</v>
      </c>
      <c r="D4506" s="28" t="n">
        <f aca="false">(Sens!$D$4507-Sens!$D$4503+Sens!$D$4505)/Sens!$D$4504</f>
        <v>0.0149280116962589</v>
      </c>
      <c r="E4506" s="28" t="n">
        <f aca="false">(Sens!$E$4507-Sens!$E$4503+Sens!$E$4505)/Sens!$E$4504</f>
        <v>0.0268030663774938</v>
      </c>
      <c r="F4506" s="28" t="n">
        <f aca="false">Sens!$O$4506+(Sens!$E$4506-Sens!$N$4506)</f>
        <v>0.0232379346966962</v>
      </c>
      <c r="G4506" s="28" t="n">
        <f aca="false">(Sens!$G$4507-Sens!$G$4503+Sens!$G$4505)/Sens!$G$4504</f>
        <v>0.0248738876928168</v>
      </c>
      <c r="H4506" s="28" t="n">
        <f aca="false">Sens!$G$4506+step_na</f>
        <v>0.0278738876928168</v>
      </c>
      <c r="I4506" s="28" t="n">
        <f aca="false">Sens!$H$4506+step_na</f>
        <v>0.0308738876928168</v>
      </c>
      <c r="J4506" s="28" t="n">
        <f aca="false">Sens!$I$4506+step_na</f>
        <v>0.0338738876928168</v>
      </c>
      <c r="K4506" s="28" t="n">
        <f aca="false">Sens!$J$4506+step_na</f>
        <v>0.0368738876928168</v>
      </c>
      <c r="L4506" s="28" t="n">
        <f aca="false">Sens!$K$4506</f>
        <v>0.0368738876928168</v>
      </c>
      <c r="M4506" s="28" t="n">
        <f aca="false">Sens!$L$4506</f>
        <v>0.0368738876928168</v>
      </c>
      <c r="N4506" s="28" t="n">
        <f aca="false">(Sens!$N$4507-Sens!$N$4503+Sens!$N$4505)/Sens!$N$4504</f>
        <v>0.0168927744775755</v>
      </c>
      <c r="O4506" s="28" t="n">
        <f aca="false">(Sens!$O$4507-Sens!$O$4503+Sens!$O$4505)/Sens!$O$4504</f>
        <v>0.0133276427967779</v>
      </c>
      <c r="P4506" s="8" t="s">
        <v>676</v>
      </c>
    </row>
    <row r="4507" customFormat="false" ht="17.15" hidden="false" customHeight="false" outlineLevel="0" collapsed="false">
      <c r="A4507" s="1" t="s">
        <v>677</v>
      </c>
      <c r="B4507" s="8" t="s">
        <v>73</v>
      </c>
      <c r="C4507" s="38" t="n">
        <f aca="false">Q!$D$22</f>
        <v>24.967</v>
      </c>
      <c r="D4507" s="38" t="n">
        <f aca="false">Q!$E$22</f>
        <v>29.619</v>
      </c>
      <c r="E4507" s="38" t="n">
        <f aca="false">Q!$P$22</f>
        <v>17.39</v>
      </c>
      <c r="F4507" s="38" t="n">
        <f aca="false">Sens!$F$4503+Sens!$F$4504*Sens!$F$4506-Sens!$F$4505</f>
        <v>20.9230952303336</v>
      </c>
      <c r="G4507" s="38" t="n">
        <f aca="false">Sens!$E$4507+Sens!$F$4507</f>
        <v>38.3130952303336</v>
      </c>
      <c r="H4507" s="38" t="n">
        <f aca="false">Sens!$H$4503+Sens!$H$4504*Sens!$H$4506-Sens!$H$4505</f>
        <v>42.2372865623114</v>
      </c>
      <c r="I4507" s="38" t="n">
        <f aca="false">Sens!$I$4503+Sens!$I$4504*Sens!$I$4506-Sens!$I$4505</f>
        <v>45.4106915565213</v>
      </c>
      <c r="J4507" s="38" t="n">
        <f aca="false">Sens!$J$4503+Sens!$J$4504*Sens!$J$4506-Sens!$J$4505</f>
        <v>48.1502550732398</v>
      </c>
      <c r="K4507" s="38" t="n">
        <f aca="false">Sens!$K$4503+Sens!$K$4504*Sens!$K$4506-Sens!$K$4505</f>
        <v>49.9860243093208</v>
      </c>
      <c r="L4507" s="38" t="n">
        <f aca="false">Sens!$L$4503+Sens!$L$4504*Sens!$L$4506-Sens!$L$4505</f>
        <v>51.095526207779</v>
      </c>
      <c r="M4507" s="38" t="n">
        <f aca="false">Sens!$M$4503+Sens!$M$4504*Sens!$M$4506-Sens!$M$4505</f>
        <v>52.7117805103898</v>
      </c>
      <c r="N4507" s="38" t="n">
        <f aca="false">Q!$N$22</f>
        <v>13.358</v>
      </c>
      <c r="O4507" s="38" t="n">
        <f aca="false">Q!$O$22</f>
        <v>16.261</v>
      </c>
    </row>
    <row r="4508" customFormat="false" ht="17.15" hidden="false" customHeight="false" outlineLevel="0" collapsed="false">
      <c r="A4508" s="0" t="s">
        <v>678</v>
      </c>
      <c r="B4508" s="0" t="s">
        <v>73</v>
      </c>
      <c r="C4508" s="38" t="n">
        <f aca="false">Sens!$C$4412*m_ad</f>
        <v>7.57284355857716</v>
      </c>
      <c r="D4508" s="38" t="n">
        <f aca="false">Sens!$D$4412*m_ad</f>
        <v>9.44543827004127</v>
      </c>
      <c r="E4508" s="38" t="n">
        <f aca="false">Sens!$E$4412*m_ad</f>
        <v>5.02428875377928</v>
      </c>
      <c r="F4508" s="38" t="n">
        <f aca="false">Sens!$F$4412*m_ad</f>
        <v>6.78802480890925</v>
      </c>
      <c r="G4508" s="38" t="n">
        <f aca="false">Sens!$G$4412*m_ad</f>
        <v>11.8014732147805</v>
      </c>
      <c r="H4508" s="38" t="n">
        <f aca="false">Sens!$H$4412*m_ad</f>
        <v>14.1682715634442</v>
      </c>
      <c r="I4508" s="38" t="n">
        <f aca="false">Sens!$I$4412*m_ad</f>
        <v>16.5348555113474</v>
      </c>
      <c r="J4508" s="38" t="n">
        <f aca="false">Sens!$J$4412*m_ad</f>
        <v>18.7425403255689</v>
      </c>
      <c r="K4508" s="38" t="n">
        <f aca="false">Sens!$K$4412*m_ad</f>
        <v>20.6167943581258</v>
      </c>
      <c r="L4508" s="38" t="n">
        <f aca="false">Sens!$L$4412*m_ad</f>
        <v>22.6784737939383</v>
      </c>
      <c r="M4508" s="38" t="n">
        <f aca="false">Sens!$M$4412*m_ad</f>
        <v>24.9463211733322</v>
      </c>
      <c r="N4508" s="38" t="n">
        <f aca="false">Sens!$N$4412*m_ad</f>
        <v>3.95314442937518</v>
      </c>
      <c r="O4508" s="38" t="n">
        <f aca="false">Sens!$O$4412*m_ad</f>
        <v>5.50052681786011</v>
      </c>
    </row>
    <row r="4509" customFormat="false" ht="17.15" hidden="false" customHeight="false" outlineLevel="0" collapsed="false">
      <c r="A4509" s="0" t="s">
        <v>679</v>
      </c>
      <c r="B4509" s="0" t="s">
        <v>73</v>
      </c>
      <c r="C4509" s="38" t="n">
        <f aca="false">Sens!$C$4410-Sens!$C$4412</f>
        <v>127.760312882846</v>
      </c>
      <c r="D4509" s="38" t="n">
        <f aca="false">Sens!$D$4410-Sens!$D$4412</f>
        <v>143.003123459917</v>
      </c>
      <c r="E4509" s="38" t="n">
        <f aca="false">Sens!$E$4410-Sens!$E$4412</f>
        <v>71.9374224924414</v>
      </c>
      <c r="F4509" s="38" t="n">
        <f aca="false">Sens!$F$4410-Sens!$F$4412</f>
        <v>87.0563645868046</v>
      </c>
      <c r="G4509" s="38" t="n">
        <f aca="false">Sens!$G$4410-Sens!$G$4412</f>
        <v>159.015467775062</v>
      </c>
      <c r="H4509" s="38" t="n">
        <f aca="false">Sens!$H$4410-Sens!$H$4412</f>
        <v>173.864803403269</v>
      </c>
      <c r="I4509" s="38" t="n">
        <f aca="false">Sens!$I$4410-Sens!$I$4412</f>
        <v>188.068165645601</v>
      </c>
      <c r="J4509" s="38" t="n">
        <f aca="false">Sens!$J$4410-Sens!$J$4412</f>
        <v>201.22681801082</v>
      </c>
      <c r="K4509" s="38" t="n">
        <f aca="false">Sens!$K$4410-Sens!$K$4412</f>
        <v>212.941334991893</v>
      </c>
      <c r="L4509" s="38" t="n">
        <f aca="false">Sens!$L$4410-Sens!$L$4412</f>
        <v>225.363269144856</v>
      </c>
      <c r="M4509" s="38" t="n">
        <f aca="false">Sens!$M$4410-Sens!$M$4412</f>
        <v>238.536688790819</v>
      </c>
      <c r="N4509" s="38" t="n">
        <f aca="false">Sens!$N$4410-Sens!$N$4412</f>
        <v>62.3677111412496</v>
      </c>
      <c r="O4509" s="38" t="n">
        <f aca="false">Sens!$O$4410-Sens!$O$4412</f>
        <v>80.6189463642798</v>
      </c>
    </row>
    <row r="4510" customFormat="false" ht="17.15" hidden="false" customHeight="false" outlineLevel="0" collapsed="false">
      <c r="A4510" s="0" t="s">
        <v>680</v>
      </c>
      <c r="B4510" s="0" t="s">
        <v>73</v>
      </c>
      <c r="C4510" s="38" t="n">
        <f aca="false">Sens!$C$4456*(1-Sens!$C$4408)</f>
        <v>0.0455891896019953</v>
      </c>
      <c r="D4510" s="38" t="n">
        <f aca="false">Sens!$D$4456*(1-Sens!$D$4408)</f>
        <v>0.332050421167231</v>
      </c>
      <c r="E4510" s="38" t="n">
        <f aca="false">Sens!$E$4456*(1-Sens!$E$4408)</f>
        <v>0.481224293644882</v>
      </c>
      <c r="F4510" s="38" t="n">
        <f aca="false">Sens!$F$4456*(1-Sens!$F$4408)</f>
        <v>0.596018918096053</v>
      </c>
      <c r="G4510" s="38" t="n">
        <f aca="false">Sens!$G$4456*(1-Sens!$G$4408)</f>
        <v>1.07714986531035</v>
      </c>
      <c r="H4510" s="38" t="n">
        <f aca="false">Sens!$H$4456*(1-Sens!$H$4408)</f>
        <v>2.83135005721638</v>
      </c>
      <c r="I4510" s="38" t="n">
        <f aca="false">Sens!$I$4456*(1-Sens!$I$4408)</f>
        <v>4.9421518161602</v>
      </c>
      <c r="J4510" s="38" t="n">
        <f aca="false">Sens!$J$4456*(1-Sens!$J$4408)</f>
        <v>7.11011252170866</v>
      </c>
      <c r="K4510" s="38" t="n">
        <f aca="false">Sens!$K$4456*(1-Sens!$K$4408)</f>
        <v>9.31663210615807</v>
      </c>
      <c r="L4510" s="38" t="n">
        <f aca="false">Sens!$L$4456*(1-Sens!$L$4408)</f>
        <v>11.411251074039</v>
      </c>
      <c r="M4510" s="38" t="n">
        <f aca="false">Sens!$M$4456*(1-Sens!$M$4408)</f>
        <v>13.5455860755423</v>
      </c>
      <c r="N4510" s="38" t="n">
        <f aca="false">Sens!$N$4456*(1-Sens!$N$4408)</f>
        <v>0.141739115596548</v>
      </c>
      <c r="O4510" s="38" t="n">
        <f aca="false">Sens!$O$4456*(1-Sens!$O$4408)</f>
        <v>0.190445576353059</v>
      </c>
    </row>
    <row r="4511" customFormat="false" ht="17.15" hidden="false" customHeight="false" outlineLevel="0" collapsed="false">
      <c r="A4511" s="0" t="s">
        <v>681</v>
      </c>
      <c r="B4511" s="0" t="s">
        <v>52</v>
      </c>
      <c r="C4511" s="28" t="n">
        <f aca="false">(Sens!$C$4512-Sens!$C$4508+Sens!$C$4510)/Sens!$C$4509</f>
        <v>-0.0292364215826579</v>
      </c>
      <c r="D4511" s="28" t="n">
        <f aca="false">(Sens!$D$4512-Sens!$D$4508+Sens!$D$4510)/Sens!$D$4509</f>
        <v>-0.0305125352740778</v>
      </c>
      <c r="E4511" s="28" t="n">
        <f aca="false">(Sens!$E$4512-Sens!$E$4508+Sens!$E$4510)/Sens!$E$4509</f>
        <v>-0.019490056934994</v>
      </c>
      <c r="F4511" s="28" t="n">
        <f aca="false">Sens!$O$4511+(Sens!$E$4511-Sens!$N$4511)</f>
        <v>-0.0367332293992226</v>
      </c>
      <c r="G4511" s="28" t="n">
        <f aca="false">(Sens!$G$4512-Sens!$G$4508+Sens!$G$4510)/Sens!$G$4509</f>
        <v>-0.0288599526442178</v>
      </c>
      <c r="H4511" s="28" t="n">
        <f aca="false">Sens!$G$4511+step_in</f>
        <v>-0.0288599526442178</v>
      </c>
      <c r="I4511" s="28" t="n">
        <f aca="false">Sens!$H$4511+step_in</f>
        <v>-0.0288599526442178</v>
      </c>
      <c r="J4511" s="28" t="n">
        <f aca="false">Sens!$I$4511+step_in</f>
        <v>-0.0288599526442178</v>
      </c>
      <c r="K4511" s="28" t="n">
        <f aca="false">Sens!$J$4511+step_in</f>
        <v>-0.0288599526442178</v>
      </c>
      <c r="L4511" s="28" t="n">
        <f aca="false">Sens!$K$4511</f>
        <v>-0.0288599526442178</v>
      </c>
      <c r="M4511" s="28" t="n">
        <f aca="false">Sens!$L$4511</f>
        <v>-0.0288599526442178</v>
      </c>
      <c r="N4511" s="28" t="n">
        <f aca="false">(Sens!$N$4512-Sens!$N$4508+Sens!$N$4510)/Sens!$N$4509</f>
        <v>-0.02085061789158</v>
      </c>
      <c r="O4511" s="28" t="n">
        <f aca="false">(Sens!$O$4512-Sens!$O$4508+Sens!$O$4510)/Sens!$O$4509</f>
        <v>-0.0380937903558086</v>
      </c>
      <c r="P4511" s="8" t="s">
        <v>676</v>
      </c>
    </row>
    <row r="4512" customFormat="false" ht="17.15" hidden="false" customHeight="false" outlineLevel="0" collapsed="false">
      <c r="A4512" s="1" t="s">
        <v>682</v>
      </c>
      <c r="B4512" s="8" t="s">
        <v>73</v>
      </c>
      <c r="C4512" s="38" t="n">
        <f aca="false">Q!$D$23</f>
        <v>3.792</v>
      </c>
      <c r="D4512" s="38" t="n">
        <f aca="false">Q!$E$23</f>
        <v>4.75</v>
      </c>
      <c r="E4512" s="38" t="n">
        <f aca="false">Q!$P$23</f>
        <v>3.141</v>
      </c>
      <c r="F4512" s="38" t="n">
        <f aca="false">Sens!$F$4508+Sens!$F$4509*Sens!$F$4511-Sens!$F$4510</f>
        <v>2.99414447978375</v>
      </c>
      <c r="G4512" s="38" t="n">
        <f aca="false">Sens!$E$4512+Sens!$F$4512</f>
        <v>6.13514447978375</v>
      </c>
      <c r="H4512" s="38" t="n">
        <f aca="false">Sens!$H$4508+Sens!$H$4509*Sens!$H$4511-Sens!$H$4510</f>
        <v>6.31919151351322</v>
      </c>
      <c r="I4512" s="38" t="n">
        <f aca="false">Sens!$I$4508+Sens!$I$4509*Sens!$I$4511-Sens!$I$4510</f>
        <v>6.16506534077027</v>
      </c>
      <c r="J4512" s="38" t="n">
        <f aca="false">Sens!$J$4508+Sens!$J$4509*Sens!$J$4511-Sens!$J$4510</f>
        <v>5.8250313653213</v>
      </c>
      <c r="K4512" s="38" t="n">
        <f aca="false">Sens!$K$4508+Sens!$K$4509*Sens!$K$4511-Sens!$K$4510</f>
        <v>5.15468540810514</v>
      </c>
      <c r="L4512" s="38" t="n">
        <f aca="false">Sens!$L$4508+Sens!$L$4509*Sens!$L$4511-Sens!$L$4510</f>
        <v>4.76324944463266</v>
      </c>
      <c r="M4512" s="38" t="n">
        <f aca="false">Sens!$M$4508+Sens!$M$4509*Sens!$M$4511-Sens!$M$4510</f>
        <v>4.51657755537829</v>
      </c>
      <c r="N4512" s="38" t="n">
        <f aca="false">Q!$N$23</f>
        <v>2.511</v>
      </c>
      <c r="O4512" s="38" t="n">
        <f aca="false">Q!$O$23</f>
        <v>2.239</v>
      </c>
    </row>
    <row r="4513" customFormat="false" ht="17.15" hidden="false" customHeight="false" outlineLevel="0" collapsed="false">
      <c r="A4513" s="0" t="s">
        <v>683</v>
      </c>
      <c r="B4513" s="0" t="s">
        <v>73</v>
      </c>
      <c r="C4513" s="38" t="n">
        <f aca="false">Sens!$C$4453</f>
        <v>1.64417882953695</v>
      </c>
      <c r="D4513" s="38" t="n">
        <f aca="false">Sens!$D$4453</f>
        <v>3.8781008067718</v>
      </c>
      <c r="E4513" s="38" t="n">
        <f aca="false">Sens!$E$4453</f>
        <v>1.41270258088753</v>
      </c>
      <c r="F4513" s="38" t="n">
        <f aca="false">Sens!$F$4453</f>
        <v>6.50727700583486</v>
      </c>
      <c r="G4513" s="38" t="n">
        <f aca="false">Sens!$G$4453</f>
        <v>7.9199795867224</v>
      </c>
      <c r="H4513" s="38" t="n">
        <f aca="false">Sens!$H$4453</f>
        <v>19.2818189481807</v>
      </c>
      <c r="I4513" s="38" t="n">
        <f aca="false">Sens!$I$4453</f>
        <v>30.140114407202</v>
      </c>
      <c r="J4513" s="38" t="n">
        <f aca="false">Sens!$J$4453</f>
        <v>40.3569468829854</v>
      </c>
      <c r="K4513" s="38" t="n">
        <f aca="false">Sens!$K$4453</f>
        <v>50.0782975081929</v>
      </c>
      <c r="L4513" s="38" t="n">
        <f aca="false">Sens!$L$4453</f>
        <v>61.443331993499</v>
      </c>
      <c r="M4513" s="38" t="n">
        <f aca="false">Sens!$M$4453</f>
        <v>72.2498791587849</v>
      </c>
      <c r="N4513" s="38" t="n">
        <f aca="false">Sens!$N$4453</f>
        <v>0.92264103489199</v>
      </c>
      <c r="O4513" s="38" t="n">
        <f aca="false">Sens!$O$4453</f>
        <v>2.95545977187981</v>
      </c>
    </row>
    <row r="4514" customFormat="false" ht="17.15" hidden="false" customHeight="false" outlineLevel="0" collapsed="false">
      <c r="A4514" s="0" t="s">
        <v>603</v>
      </c>
      <c r="B4514" s="0" t="s">
        <v>73</v>
      </c>
      <c r="C4514" s="38" t="n">
        <f aca="false">Sens!$C$4458</f>
        <v>38.1898211704631</v>
      </c>
      <c r="D4514" s="38" t="n">
        <f aca="false">Sens!$D$4458</f>
        <v>41.7278991932282</v>
      </c>
      <c r="E4514" s="38" t="n">
        <f aca="false">Sens!$E$4458</f>
        <v>29.3692974191125</v>
      </c>
      <c r="F4514" s="38" t="n">
        <f aca="false">Sens!$F$4458</f>
        <v>29.458060516894</v>
      </c>
      <c r="G4514" s="38" t="n">
        <f aca="false">Sens!$G$4458</f>
        <v>58.8273579360065</v>
      </c>
      <c r="H4514" s="38" t="n">
        <f aca="false">Sens!$H$4458</f>
        <v>67.8004040185081</v>
      </c>
      <c r="I4514" s="38" t="n">
        <f aca="false">Sens!$I$4458</f>
        <v>78.9527630302702</v>
      </c>
      <c r="J4514" s="38" t="n">
        <f aca="false">Sens!$J$4458</f>
        <v>88.6042681781841</v>
      </c>
      <c r="K4514" s="38" t="n">
        <f aca="false">Sens!$K$4458</f>
        <v>95.6926096324389</v>
      </c>
      <c r="L4514" s="38" t="n">
        <f aca="false">Sens!$L$4458</f>
        <v>103.348018403034</v>
      </c>
      <c r="M4514" s="38" t="n">
        <f aca="false">Sens!$M$4458</f>
        <v>111.615859875277</v>
      </c>
      <c r="N4514" s="38" t="n">
        <f aca="false">Sens!$N$4458</f>
        <v>20.784358965108</v>
      </c>
      <c r="O4514" s="38" t="n">
        <f aca="false">Sens!$O$4458</f>
        <v>20.9435402281202</v>
      </c>
    </row>
    <row r="4515" customFormat="false" ht="17.15" hidden="false" customHeight="false" outlineLevel="0" collapsed="false">
      <c r="A4515" s="1" t="s">
        <v>684</v>
      </c>
      <c r="B4515" s="8" t="s">
        <v>73</v>
      </c>
      <c r="C4515" s="38" t="n">
        <f aca="false">Q!$D$24</f>
        <v>39.834</v>
      </c>
      <c r="D4515" s="38" t="n">
        <f aca="false">Q!$E$24</f>
        <v>45.606</v>
      </c>
      <c r="E4515" s="38" t="n">
        <f aca="false">Q!$P$24</f>
        <v>30.782</v>
      </c>
      <c r="F4515" s="38" t="n">
        <f aca="false">Sens!$F$4513+Sens!$F$4514</f>
        <v>35.9653375227289</v>
      </c>
      <c r="G4515" s="38" t="n">
        <f aca="false">Sens!$G$4513+Sens!$G$4514</f>
        <v>66.7473375227289</v>
      </c>
      <c r="H4515" s="38" t="n">
        <f aca="false">Sens!$H$4513+Sens!$H$4514</f>
        <v>87.0822229666888</v>
      </c>
      <c r="I4515" s="38" t="n">
        <f aca="false">Sens!$I$4513+Sens!$I$4514</f>
        <v>109.092877437472</v>
      </c>
      <c r="J4515" s="38" t="n">
        <f aca="false">Sens!$J$4513+Sens!$J$4514</f>
        <v>128.96121506117</v>
      </c>
      <c r="K4515" s="38" t="n">
        <f aca="false">Sens!$K$4513+Sens!$K$4514</f>
        <v>145.770907140632</v>
      </c>
      <c r="L4515" s="38" t="n">
        <f aca="false">Sens!$L$4513+Sens!$L$4514</f>
        <v>164.791350396533</v>
      </c>
      <c r="M4515" s="38" t="n">
        <f aca="false">Sens!$M$4513+Sens!$M$4514</f>
        <v>183.865739034062</v>
      </c>
      <c r="N4515" s="38" t="n">
        <f aca="false">Q!$N$24</f>
        <v>21.707</v>
      </c>
      <c r="O4515" s="38" t="n">
        <f aca="false">Q!$O$24</f>
        <v>23.899</v>
      </c>
    </row>
    <row r="4516" customFormat="false" ht="17.15" hidden="false" customHeight="false" outlineLevel="0" collapsed="false">
      <c r="A4516" s="5" t="s">
        <v>685</v>
      </c>
      <c r="B4516" s="0" t="s">
        <v>73</v>
      </c>
      <c r="C4516" s="38" t="n">
        <f aca="false">Q!$D$26</f>
        <v>0</v>
      </c>
      <c r="D4516" s="38" t="n">
        <f aca="false">Q!$E$26</f>
        <v>0</v>
      </c>
      <c r="E4516" s="38" t="n">
        <f aca="false">Q!$P$26</f>
        <v>0</v>
      </c>
      <c r="F4516" s="41" t="n">
        <v>0</v>
      </c>
      <c r="G4516" s="38" t="n">
        <f aca="false">Sens!$E$4516+Sens!$F$4516</f>
        <v>0</v>
      </c>
      <c r="H4516" s="41" t="n">
        <v>0</v>
      </c>
      <c r="I4516" s="41" t="n">
        <v>0</v>
      </c>
      <c r="J4516" s="41" t="n">
        <v>0</v>
      </c>
      <c r="K4516" s="41" t="n">
        <v>0</v>
      </c>
      <c r="L4516" s="41" t="n">
        <v>0</v>
      </c>
      <c r="M4516" s="41" t="n">
        <v>0</v>
      </c>
      <c r="N4516" s="38" t="n">
        <f aca="false">Q!$N$26</f>
        <v>0</v>
      </c>
      <c r="O4516" s="38" t="n">
        <f aca="false">Q!$O$26</f>
        <v>0</v>
      </c>
    </row>
    <row r="4517" customFormat="false" ht="15" hidden="false" customHeight="false" outlineLevel="0" collapsed="false">
      <c r="A4517" s="3" t="s">
        <v>494</v>
      </c>
      <c r="B4517" s="8" t="s">
        <v>73</v>
      </c>
      <c r="C4517" s="38" t="n">
        <f aca="false">Q!$D$25</f>
        <v>68.593</v>
      </c>
      <c r="D4517" s="38" t="n">
        <f aca="false">Q!$E$25</f>
        <v>79.975</v>
      </c>
      <c r="E4517" s="38" t="n">
        <f aca="false">Q!$P$25</f>
        <v>51.313</v>
      </c>
      <c r="F4517" s="38" t="n">
        <f aca="false">Sens!$F$4507+Sens!$F$4512+Sens!$F$4515+Sens!$F$4516</f>
        <v>59.8825772328462</v>
      </c>
      <c r="G4517" s="38" t="n">
        <f aca="false">Sens!$G$4507+Sens!$G$4512+Sens!$G$4515+Sens!$G$4516</f>
        <v>111.195577232846</v>
      </c>
      <c r="H4517" s="38" t="n">
        <f aca="false">Sens!$H$4507+Sens!$H$4512+Sens!$H$4515+Sens!$H$4516</f>
        <v>135.638701042513</v>
      </c>
      <c r="I4517" s="38" t="n">
        <f aca="false">Sens!$I$4507+Sens!$I$4512+Sens!$I$4515+Sens!$I$4516</f>
        <v>160.668634334764</v>
      </c>
      <c r="J4517" s="38" t="n">
        <f aca="false">Sens!$J$4507+Sens!$J$4512+Sens!$J$4515+Sens!$J$4516</f>
        <v>182.936501499731</v>
      </c>
      <c r="K4517" s="38" t="n">
        <f aca="false">Sens!$K$4507+Sens!$K$4512+Sens!$K$4515+Sens!$K$4516</f>
        <v>200.911616858058</v>
      </c>
      <c r="L4517" s="38" t="n">
        <f aca="false">Sens!$L$4507+Sens!$L$4512+Sens!$L$4515+Sens!$L$4516</f>
        <v>220.650126048945</v>
      </c>
      <c r="M4517" s="38" t="n">
        <f aca="false">Sens!$M$4507+Sens!$M$4512+Sens!$M$4515+Sens!$M$4516</f>
        <v>241.09409709983</v>
      </c>
      <c r="N4517" s="38" t="n">
        <f aca="false">Q!$N$25</f>
        <v>37.576</v>
      </c>
      <c r="O4517" s="38" t="n">
        <f aca="false">Q!$O$25</f>
        <v>42.399</v>
      </c>
    </row>
    <row r="4518" customFormat="false" ht="17.15" hidden="false" customHeight="false" outlineLevel="0" collapsed="false">
      <c r="A4518" s="24" t="s">
        <v>711</v>
      </c>
      <c r="B4518" s="25" t="s">
        <v>73</v>
      </c>
      <c r="C4518" s="39" t="n">
        <f aca="false">Sens!$C$4507+Sens!$C$4512+Sens!$C$4515+Sens!$C$4516-Sens!$C$4517</f>
        <v>0</v>
      </c>
      <c r="D4518" s="39" t="n">
        <f aca="false">Sens!$D$4507+Sens!$D$4512+Sens!$D$4515+Sens!$D$4516-Sens!$D$4517</f>
        <v>0</v>
      </c>
      <c r="E4518" s="39" t="n">
        <f aca="false">Sens!$E$4507+Sens!$E$4512+Sens!$E$4515+Sens!$E$4516-Sens!$E$4517</f>
        <v>0</v>
      </c>
      <c r="F4518" s="39" t="n">
        <f aca="false">Sens!$F$4507+Sens!$F$4512+Sens!$F$4515+Sens!$F$4516-Sens!$F$4517</f>
        <v>0</v>
      </c>
      <c r="G4518" s="39" t="n">
        <f aca="false">Sens!$G$4507+Sens!$G$4512+Sens!$G$4515+Sens!$G$4516-Sens!$G$4517</f>
        <v>0</v>
      </c>
      <c r="H4518" s="39" t="n">
        <f aca="false">Sens!$H$4507+Sens!$H$4512+Sens!$H$4515+Sens!$H$4516-Sens!$H$4517</f>
        <v>0</v>
      </c>
      <c r="I4518" s="39" t="n">
        <f aca="false">Sens!$I$4507+Sens!$I$4512+Sens!$I$4515+Sens!$I$4516-Sens!$I$4517</f>
        <v>0</v>
      </c>
      <c r="J4518" s="39" t="n">
        <f aca="false">Sens!$J$4507+Sens!$J$4512+Sens!$J$4515+Sens!$J$4516-Sens!$J$4517</f>
        <v>0</v>
      </c>
      <c r="K4518" s="39" t="n">
        <f aca="false">Sens!$K$4507+Sens!$K$4512+Sens!$K$4515+Sens!$K$4516-Sens!$K$4517</f>
        <v>0</v>
      </c>
      <c r="L4518" s="39" t="n">
        <f aca="false">Sens!$L$4507+Sens!$L$4512+Sens!$L$4515+Sens!$L$4516-Sens!$L$4517</f>
        <v>0</v>
      </c>
      <c r="M4518" s="39" t="n">
        <f aca="false">Sens!$M$4507+Sens!$M$4512+Sens!$M$4515+Sens!$M$4516-Sens!$M$4517</f>
        <v>0</v>
      </c>
      <c r="N4518" s="39" t="n">
        <f aca="false">Sens!$N$4507+Sens!$N$4512+Sens!$N$4515+Sens!$N$4516-Sens!$N$4517</f>
        <v>0</v>
      </c>
      <c r="O4518" s="39" t="n">
        <f aca="false">Sens!$O$4507+Sens!$O$4512+Sens!$O$4515+Sens!$O$4516-Sens!$O$4517</f>
        <v>0</v>
      </c>
    </row>
    <row r="4519" customFormat="false" ht="17.15" hidden="false" customHeight="false" outlineLevel="0" collapsed="false">
      <c r="A4519" s="0" t="s">
        <v>687</v>
      </c>
      <c r="B4519" s="0" t="s">
        <v>52</v>
      </c>
      <c r="C4519" s="12" t="n">
        <f aca="false">Sens!$C$4507/Sens!$C$4492</f>
        <v>0.0644314665661928</v>
      </c>
      <c r="D4519" s="12" t="n">
        <f aca="false">Sens!$D$4507/Sens!$D$4492</f>
        <v>0.0694784250712518</v>
      </c>
      <c r="E4519" s="12" t="n">
        <f aca="false">Sens!$E$4507/Sens!$E$4492</f>
        <v>0.0789306463326071</v>
      </c>
      <c r="F4519" s="12" t="n">
        <f aca="false">Sens!$F$4507/Sens!$F$4492</f>
        <v>0.0816338957078875</v>
      </c>
      <c r="G4519" s="12" t="n">
        <f aca="false">Sens!$G$4507/Sens!$G$4492</f>
        <v>0.080384315570057</v>
      </c>
      <c r="H4519" s="12" t="n">
        <f aca="false">Sens!$H$4507/Sens!$H$4492</f>
        <v>0.080035122355679</v>
      </c>
      <c r="I4519" s="12" t="n">
        <f aca="false">Sens!$I$4507/Sens!$I$4492</f>
        <v>0.0786798687862144</v>
      </c>
      <c r="J4519" s="12" t="n">
        <f aca="false">Sens!$J$4507/Sens!$J$4492</f>
        <v>0.0772846370095153</v>
      </c>
      <c r="K4519" s="12" t="n">
        <f aca="false">Sens!$K$4507/Sens!$K$4492</f>
        <v>0.0753502227686655</v>
      </c>
      <c r="L4519" s="12" t="n">
        <f aca="false">Sens!$L$4507/Sens!$L$4492</f>
        <v>0.0723154067793922</v>
      </c>
      <c r="M4519" s="12" t="n">
        <f aca="false">Sens!$M$4507/Sens!$M$4492</f>
        <v>0.070022386735876</v>
      </c>
      <c r="N4519" s="12" t="n">
        <f aca="false">Sens!$N$4507/Sens!$N$4492</f>
        <v>0.069228576611127</v>
      </c>
      <c r="O4519" s="12" t="n">
        <f aca="false">Sens!$O$4507/Sens!$O$4492</f>
        <v>0.069685022498393</v>
      </c>
    </row>
    <row r="4520" customFormat="false" ht="17.15" hidden="false" customHeight="false" outlineLevel="0" collapsed="false">
      <c r="A4520" s="0" t="s">
        <v>688</v>
      </c>
      <c r="B4520" s="0" t="s">
        <v>52</v>
      </c>
      <c r="C4520" s="12" t="n">
        <f aca="false">Sens!$C$4512/Sens!$C$4493</f>
        <v>0.026534925055631</v>
      </c>
      <c r="D4520" s="12" t="n">
        <f aca="false">Sens!$D$4512/Sens!$D$4493</f>
        <v>0.0293401855535103</v>
      </c>
      <c r="E4520" s="12" t="n">
        <f aca="false">Sens!$E$4512/Sens!$E$4493</f>
        <v>0.03831141902276</v>
      </c>
      <c r="F4520" s="12" t="n">
        <f aca="false">Sens!$F$4512/Sens!$F$4493</f>
        <v>0.0297532808235678</v>
      </c>
      <c r="G4520" s="12" t="n">
        <f aca="false">Sens!$G$4512/Sens!$G$4493</f>
        <v>0.0335954317997163</v>
      </c>
      <c r="H4520" s="12" t="n">
        <f aca="false">Sens!$H$4512/Sens!$H$4493</f>
        <v>0.0312519754292078</v>
      </c>
      <c r="I4520" s="12" t="n">
        <f aca="false">Sens!$I$4512/Sens!$I$4493</f>
        <v>0.0278788303191397</v>
      </c>
      <c r="J4520" s="12" t="n">
        <f aca="false">Sens!$J$4512/Sens!$J$4493</f>
        <v>0.0244019313573061</v>
      </c>
      <c r="K4520" s="12" t="n">
        <f aca="false">Sens!$K$4512/Sens!$K$4493</f>
        <v>0.020280070641524</v>
      </c>
      <c r="L4520" s="12" t="n">
        <f aca="false">Sens!$L$4512/Sens!$L$4493</f>
        <v>0.0175947312030086</v>
      </c>
      <c r="M4520" s="12" t="n">
        <f aca="false">Sens!$M$4512/Sens!$M$4493</f>
        <v>0.0156592172424565</v>
      </c>
      <c r="N4520" s="12" t="n">
        <f aca="false">Sens!$N$4512/Sens!$N$4493</f>
        <v>0.0357315650169337</v>
      </c>
      <c r="O4520" s="12" t="n">
        <f aca="false">Sens!$O$4512/Sens!$O$4493</f>
        <v>0.0244378956559703</v>
      </c>
    </row>
    <row r="4521" customFormat="false" ht="17.15" hidden="false" customHeight="false" outlineLevel="0" collapsed="false">
      <c r="A4521" s="13" t="s">
        <v>689</v>
      </c>
      <c r="B4521" s="13" t="s">
        <v>52</v>
      </c>
      <c r="C4521" s="16" t="n">
        <f aca="false">Sens!$C$4515/Sens!$C$4494</f>
        <v>0.370355907620217</v>
      </c>
      <c r="D4521" s="16" t="n">
        <f aca="false">Sens!$D$4515/Sens!$D$4494</f>
        <v>0.35429015342785</v>
      </c>
      <c r="E4521" s="16" t="n">
        <f aca="false">Sens!$E$4515/Sens!$E$4494</f>
        <v>0.385647527531039</v>
      </c>
      <c r="F4521" s="16" t="n">
        <f aca="false">Sens!$F$4515/Sens!$F$4494</f>
        <v>0.384415729470259</v>
      </c>
      <c r="G4521" s="16" t="n">
        <f aca="false">Sens!$G$4515/Sens!$G$4494</f>
        <v>0.38498282105443</v>
      </c>
      <c r="H4521" s="16" t="n">
        <f aca="false">Sens!$H$4515/Sens!$H$4494</f>
        <v>0.361247909668527</v>
      </c>
      <c r="I4521" s="16" t="n">
        <f aca="false">Sens!$I$4515/Sens!$I$4494</f>
        <v>0.349486287974975</v>
      </c>
      <c r="J4521" s="16" t="n">
        <f aca="false">Sens!$J$4515/Sens!$J$4494</f>
        <v>0.339886531832068</v>
      </c>
      <c r="K4521" s="16" t="n">
        <f aca="false">Sens!$K$4515/Sens!$K$4494</f>
        <v>0.33135833762061</v>
      </c>
      <c r="L4521" s="16" t="n">
        <f aca="false">Sens!$L$4515/Sens!$L$4494</f>
        <v>0.328299068185284</v>
      </c>
      <c r="M4521" s="16" t="n">
        <f aca="false">Sens!$M$4515/Sens!$M$4494</f>
        <v>0.325058049465166</v>
      </c>
      <c r="N4521" s="16" t="n">
        <f aca="false">Sens!$N$4515/Sens!$N$4494</f>
        <v>0.360941137346192</v>
      </c>
      <c r="O4521" s="16" t="n">
        <f aca="false">Sens!$O$4515/Sens!$O$4494</f>
        <v>0.348458117664212</v>
      </c>
    </row>
    <row r="4522" customFormat="false" ht="17.15" hidden="false" customHeight="false" outlineLevel="0" collapsed="false">
      <c r="A4522" s="0" t="s">
        <v>690</v>
      </c>
      <c r="B4522" s="0" t="s">
        <v>52</v>
      </c>
      <c r="C4522" s="12" t="n">
        <f aca="false">Sens!$C$4513/Sens!$C$4495</f>
        <v>0.708390794789371</v>
      </c>
      <c r="D4522" s="12" t="n">
        <f aca="false">Sens!$D$4513/Sens!$D$4495</f>
        <v>0.445565630441968</v>
      </c>
      <c r="E4522" s="12" t="n">
        <f aca="false">Sens!$E$4513/Sens!$E$4495</f>
        <v>0.165998118402711</v>
      </c>
      <c r="F4522" s="12" t="n">
        <f aca="false">Sens!$F$4513/Sens!$F$4495</f>
        <v>0.434878595403858</v>
      </c>
      <c r="G4522" s="12" t="n">
        <f aca="false">Sens!$G$4513/Sens!$G$4495</f>
        <v>0.3373967615381</v>
      </c>
      <c r="H4522" s="12" t="n">
        <f aca="false">Sens!$H$4513/Sens!$H$4495</f>
        <v>0.320477578041224</v>
      </c>
      <c r="I4522" s="12" t="n">
        <f aca="false">Sens!$I$4513/Sens!$I$4495</f>
        <v>0.296936118226494</v>
      </c>
      <c r="J4522" s="12" t="n">
        <f aca="false">Sens!$J$4513/Sens!$J$4495</f>
        <v>0.282166278613001</v>
      </c>
      <c r="K4522" s="12" t="n">
        <f aca="false">Sens!$K$4513/Sens!$K$4495</f>
        <v>0.271267685694333</v>
      </c>
      <c r="L4522" s="12" t="n">
        <f aca="false">Sens!$L$4513/Sens!$L$4495</f>
        <v>0.27160960915653</v>
      </c>
      <c r="M4522" s="12" t="n">
        <f aca="false">Sens!$M$4513/Sens!$M$4495</f>
        <v>0.26974494804234</v>
      </c>
      <c r="N4522" s="12" t="n">
        <f aca="false">Sens!$N$4513/Sens!$N$4495</f>
        <v>0.302870734830849</v>
      </c>
      <c r="O4522" s="12" t="n">
        <f aca="false">Sens!$O$4513/Sens!$O$4495</f>
        <v>0.52240134346334</v>
      </c>
    </row>
    <row r="4523" customFormat="false" ht="15" hidden="false" customHeight="false" outlineLevel="0" collapsed="false">
      <c r="A4523" s="5" t="s">
        <v>691</v>
      </c>
      <c r="B4523" s="0" t="s">
        <v>52</v>
      </c>
      <c r="C4523" s="12" t="n">
        <f aca="false">Sens!$C$4517/Sens!$C$4497</f>
        <v>0.107519448742004</v>
      </c>
      <c r="D4523" s="12" t="n">
        <f aca="false">Sens!$D$4517/Sens!$D$4497</f>
        <v>0.111552967957552</v>
      </c>
      <c r="E4523" s="12" t="n">
        <f aca="false">Sens!$E$4517/Sens!$E$4497</f>
        <v>0.13428328426562</v>
      </c>
      <c r="F4523" s="12" t="n">
        <f aca="false">Sens!$F$4517/Sens!$F$4497</f>
        <v>0.132926212451512</v>
      </c>
      <c r="G4523" s="12" t="n">
        <f aca="false">Sens!$G$4517/Sens!$G$4497</f>
        <v>0.133549030959228</v>
      </c>
      <c r="H4523" s="12" t="n">
        <f aca="false">Sens!$H$4517/Sens!$H$4497</f>
        <v>0.139690394514416</v>
      </c>
      <c r="I4523" s="12" t="n">
        <f aca="false">Sens!$I$4517/Sens!$I$4497</f>
        <v>0.144688164284573</v>
      </c>
      <c r="J4523" s="12" t="n">
        <f aca="false">Sens!$J$4517/Sens!$J$4497</f>
        <v>0.147391419021054</v>
      </c>
      <c r="K4523" s="12" t="n">
        <f aca="false">Sens!$K$4517/Sens!$K$4497</f>
        <v>0.148003728177944</v>
      </c>
      <c r="L4523" s="12" t="n">
        <f aca="false">Sens!$L$4517/Sens!$L$4497</f>
        <v>0.149164514525979</v>
      </c>
      <c r="M4523" s="12" t="n">
        <f aca="false">Sens!$M$4517/Sens!$M$4497</f>
        <v>0.150041098108262</v>
      </c>
      <c r="N4523" s="12" t="n">
        <f aca="false">Sens!$N$4517/Sens!$N$4497</f>
        <v>0.116201614873411</v>
      </c>
      <c r="O4523" s="12" t="n">
        <f aca="false">Sens!$O$4517/Sens!$O$4497</f>
        <v>0.107733353660861</v>
      </c>
    </row>
    <row r="4524" customFormat="false" ht="17.15" hidden="false" customHeight="false" outlineLevel="0" collapsed="false">
      <c r="A4524" s="1" t="s">
        <v>692</v>
      </c>
    </row>
    <row r="4525" customFormat="false" ht="17.15" hidden="false" customHeight="false" outlineLevel="0" collapsed="false">
      <c r="A4525" s="5" t="s">
        <v>693</v>
      </c>
      <c r="B4525" s="0" t="s">
        <v>52</v>
      </c>
      <c r="D4525" s="28" t="n">
        <f aca="false">(Q!$E$29+Q!$E$30-(1-ext_sh)*Sens!$D$4449)/Sens!$D$4407</f>
        <v>0.0334674312393194</v>
      </c>
    </row>
    <row r="4526" customFormat="false" ht="17.15" hidden="false" customHeight="false" outlineLevel="0" collapsed="false">
      <c r="A4526" s="0" t="s">
        <v>498</v>
      </c>
      <c r="B4526" s="0" t="s">
        <v>73</v>
      </c>
      <c r="C4526" s="38" t="n">
        <f aca="false">Q!$D$29</f>
        <v>14.285</v>
      </c>
      <c r="D4526" s="38" t="n">
        <f aca="false">Q!$E$29</f>
        <v>15.503</v>
      </c>
      <c r="E4526" s="38" t="n">
        <f aca="false">Q!$P$29</f>
        <v>8.78</v>
      </c>
      <c r="F4526" s="38" t="n">
        <f aca="false">(Sens!$D$4525*Sens!$F$4407+(1-ext_sh)*Sens!$F$4449)*Sens!$F$4408</f>
        <v>9.51361751569285</v>
      </c>
      <c r="G4526" s="38" t="n">
        <f aca="false">Sens!$E$4526+Sens!$F$4526</f>
        <v>18.2936175156929</v>
      </c>
      <c r="H4526" s="38" t="n">
        <f aca="false">(Sens!$D$4525*Sens!$H$4407+(1-ext_sh)*Sens!$H$4449)*Sens!$H$4408</f>
        <v>22.7653661801943</v>
      </c>
      <c r="I4526" s="38" t="n">
        <f aca="false">(Sens!$D$4525*Sens!$I$4407+(1-ext_sh)*Sens!$I$4449)*Sens!$I$4408</f>
        <v>28.4281317305062</v>
      </c>
      <c r="J4526" s="38" t="n">
        <f aca="false">(Sens!$D$4525*Sens!$J$4407+(1-ext_sh)*Sens!$J$4449)*Sens!$J$4408</f>
        <v>34.1182922009732</v>
      </c>
      <c r="K4526" s="38" t="n">
        <f aca="false">(Sens!$D$4525*Sens!$K$4407+(1-ext_sh)*Sens!$K$4449)*Sens!$K$4408</f>
        <v>39.7237727987046</v>
      </c>
      <c r="L4526" s="38" t="n">
        <f aca="false">(Sens!$D$4525*Sens!$L$4407+(1-ext_sh)*Sens!$L$4449)*Sens!$L$4408</f>
        <v>45.1313127180263</v>
      </c>
      <c r="M4526" s="38" t="n">
        <f aca="false">(Sens!$D$4525*Sens!$M$4407+(1-ext_sh)*Sens!$M$4449)*Sens!$M$4408</f>
        <v>50.743940615442</v>
      </c>
      <c r="N4526" s="38" t="n">
        <f aca="false">Q!$N$29</f>
        <v>7.272</v>
      </c>
      <c r="O4526" s="38" t="n">
        <f aca="false">Q!$O$29</f>
        <v>8.231</v>
      </c>
    </row>
    <row r="4527" customFormat="false" ht="17.15" hidden="false" customHeight="false" outlineLevel="0" collapsed="false">
      <c r="A4527" s="0" t="s">
        <v>500</v>
      </c>
      <c r="B4527" s="0" t="s">
        <v>73</v>
      </c>
      <c r="C4527" s="38" t="n">
        <f aca="false">Q!$D$30</f>
        <v>4.462</v>
      </c>
      <c r="D4527" s="38" t="n">
        <f aca="false">Q!$E$30</f>
        <v>4.907</v>
      </c>
      <c r="E4527" s="38" t="n">
        <f aca="false">Q!$P$30</f>
        <v>2.57</v>
      </c>
      <c r="F4527" s="38" t="n">
        <f aca="false">(Sens!$D$4525*Sens!$F$4407+(1-ext_sh)*Sens!$F$4449)*(1-Sens!$F$4408)</f>
        <v>3.7353230631574</v>
      </c>
      <c r="G4527" s="38" t="n">
        <f aca="false">Sens!$E$4527+Sens!$F$4527</f>
        <v>6.3053230631574</v>
      </c>
      <c r="H4527" s="38" t="n">
        <f aca="false">(Sens!$D$4525*Sens!$H$4407+(1-ext_sh)*Sens!$H$4449)*(1-Sens!$H$4408)</f>
        <v>8.72254636724805</v>
      </c>
      <c r="I4527" s="38" t="n">
        <f aca="false">(Sens!$D$4525*Sens!$I$4407+(1-ext_sh)*Sens!$I$4449)*(1-Sens!$I$4408)</f>
        <v>10.8922340713019</v>
      </c>
      <c r="J4527" s="38" t="n">
        <f aca="false">(Sens!$D$4525*Sens!$J$4407+(1-ext_sh)*Sens!$J$4449)*(1-Sens!$J$4408)</f>
        <v>13.0724181345791</v>
      </c>
      <c r="K4527" s="38" t="n">
        <f aca="false">(Sens!$D$4525*Sens!$K$4407+(1-ext_sh)*Sens!$K$4449)*(1-Sens!$K$4408)</f>
        <v>15.2201571183236</v>
      </c>
      <c r="L4527" s="38" t="n">
        <f aca="false">(Sens!$D$4525*Sens!$L$4407+(1-ext_sh)*Sens!$L$4449)*(1-Sens!$L$4408)</f>
        <v>17.2920551631732</v>
      </c>
      <c r="M4527" s="38" t="n">
        <f aca="false">(Sens!$D$4525*Sens!$M$4407+(1-ext_sh)*Sens!$M$4449)*(1-Sens!$M$4408)</f>
        <v>19.4425326336348</v>
      </c>
      <c r="N4527" s="38" t="n">
        <f aca="false">Q!$N$30</f>
        <v>2.316</v>
      </c>
      <c r="O4527" s="38" t="n">
        <f aca="false">Q!$O$30</f>
        <v>2.591</v>
      </c>
    </row>
    <row r="4528" customFormat="false" ht="17.15" hidden="false" customHeight="false" outlineLevel="0" collapsed="false">
      <c r="A4528" s="0" t="s">
        <v>501</v>
      </c>
      <c r="B4528" s="0" t="s">
        <v>73</v>
      </c>
      <c r="C4528" s="38" t="n">
        <f aca="false">Sens!$C$4461</f>
        <v>13.32</v>
      </c>
      <c r="D4528" s="38" t="n">
        <f aca="false">Sens!$D$4461</f>
        <v>21.45</v>
      </c>
      <c r="E4528" s="38" t="n">
        <f aca="false">Sens!$E$4461</f>
        <v>15.353</v>
      </c>
      <c r="F4528" s="38" t="n">
        <f aca="false">Sens!$F$4461</f>
        <v>17.3614451462707</v>
      </c>
      <c r="G4528" s="38" t="n">
        <f aca="false">Sens!$G$4461</f>
        <v>32.7144451462707</v>
      </c>
      <c r="H4528" s="38" t="n">
        <f aca="false">Sens!$H$4461</f>
        <v>56.1966092719415</v>
      </c>
      <c r="I4528" s="38" t="n">
        <f aca="false">Sens!$I$4461</f>
        <v>82.9744039068297</v>
      </c>
      <c r="J4528" s="38" t="n">
        <f aca="false">Sens!$J$4461</f>
        <v>109.943252237669</v>
      </c>
      <c r="K4528" s="38" t="n">
        <f aca="false">Sens!$K$4461</f>
        <v>136.406703436571</v>
      </c>
      <c r="L4528" s="38" t="n">
        <f aca="false">Sens!$L$4461</f>
        <v>161.485870454155</v>
      </c>
      <c r="M4528" s="38" t="n">
        <f aca="false">Sens!$M$4461</f>
        <v>187.389846618199</v>
      </c>
      <c r="N4528" s="38" t="n">
        <f aca="false">Sens!$N$4461</f>
        <v>9.234</v>
      </c>
      <c r="O4528" s="38" t="n">
        <f aca="false">Sens!$O$4461</f>
        <v>12.216</v>
      </c>
    </row>
    <row r="4529" customFormat="false" ht="17.15" hidden="false" customHeight="false" outlineLevel="0" collapsed="false">
      <c r="A4529" s="5" t="s">
        <v>694</v>
      </c>
      <c r="B4529" s="0" t="s">
        <v>73</v>
      </c>
      <c r="C4529" s="38" t="n">
        <f aca="false">Sens!$C$4526+Sens!$C$4527+Sens!$C$4528</f>
        <v>32.067</v>
      </c>
      <c r="D4529" s="38" t="n">
        <f aca="false">Sens!$D$4526+Sens!$D$4527+Sens!$D$4528</f>
        <v>41.86</v>
      </c>
      <c r="E4529" s="38" t="n">
        <f aca="false">Sens!$E$4526+Sens!$E$4527+Sens!$E$4528</f>
        <v>26.703</v>
      </c>
      <c r="F4529" s="38" t="n">
        <f aca="false">Sens!$F$4526+Sens!$F$4527+Sens!$F$4528</f>
        <v>30.6103857251209</v>
      </c>
      <c r="G4529" s="38" t="n">
        <f aca="false">Sens!$G$4526+Sens!$G$4527+Sens!$G$4528</f>
        <v>57.3133857251209</v>
      </c>
      <c r="H4529" s="38" t="n">
        <f aca="false">Sens!$H$4526+Sens!$H$4527+Sens!$H$4528</f>
        <v>87.6845218193838</v>
      </c>
      <c r="I4529" s="38" t="n">
        <f aca="false">Sens!$I$4526+Sens!$I$4527+Sens!$I$4528</f>
        <v>122.294769708638</v>
      </c>
      <c r="J4529" s="38" t="n">
        <f aca="false">Sens!$J$4526+Sens!$J$4527+Sens!$J$4528</f>
        <v>157.133962573221</v>
      </c>
      <c r="K4529" s="38" t="n">
        <f aca="false">Sens!$K$4526+Sens!$K$4527+Sens!$K$4528</f>
        <v>191.350633353599</v>
      </c>
      <c r="L4529" s="38" t="n">
        <f aca="false">Sens!$L$4526+Sens!$L$4527+Sens!$L$4528</f>
        <v>223.909238335354</v>
      </c>
      <c r="M4529" s="38" t="n">
        <f aca="false">Sens!$M$4526+Sens!$M$4527+Sens!$M$4528</f>
        <v>257.576319867276</v>
      </c>
      <c r="N4529" s="38" t="n">
        <f aca="false">Sens!$N$4526+Sens!$N$4527+Sens!$N$4528</f>
        <v>18.822</v>
      </c>
      <c r="O4529" s="38" t="n">
        <f aca="false">Sens!$O$4526+Sens!$O$4527+Sens!$O$4528</f>
        <v>23.038</v>
      </c>
    </row>
    <row r="4530" customFormat="false" ht="17.15" hidden="false" customHeight="false" outlineLevel="0" collapsed="false">
      <c r="A4530" s="0" t="s">
        <v>695</v>
      </c>
      <c r="B4530" s="0" t="s">
        <v>73</v>
      </c>
      <c r="C4530" s="38" t="n">
        <f aca="false">Sens!$C$4503+Sens!$C$4508</f>
        <v>28.107</v>
      </c>
      <c r="D4530" s="38" t="n">
        <f aca="false">Sens!$D$4503+Sens!$D$4508</f>
        <v>34.3175</v>
      </c>
      <c r="E4530" s="38" t="n">
        <f aca="false">Sens!$E$4503+Sens!$E$4508</f>
        <v>18.526</v>
      </c>
      <c r="F4530" s="38" t="n">
        <f aca="false">Sens!$F$4503+Sens!$F$4508</f>
        <v>24.0766690913691</v>
      </c>
      <c r="G4530" s="38" t="n">
        <f aca="false">Sens!$G$4503+Sens!$G$4508</f>
        <v>42.6026690913691</v>
      </c>
      <c r="H4530" s="38" t="n">
        <f aca="false">Sens!$H$4503+Sens!$H$4508</f>
        <v>51.1466809294702</v>
      </c>
      <c r="I4530" s="38" t="n">
        <f aca="false">Sens!$I$4503+Sens!$I$4508</f>
        <v>59.6899187926205</v>
      </c>
      <c r="J4530" s="38" t="n">
        <f aca="false">Sens!$J$4503+Sens!$J$4508</f>
        <v>67.6595395244221</v>
      </c>
      <c r="K4530" s="38" t="n">
        <f aca="false">Sens!$K$4503+Sens!$K$4508</f>
        <v>74.4254934768643</v>
      </c>
      <c r="L4530" s="38" t="n">
        <f aca="false">Sens!$L$4503+Sens!$L$4508</f>
        <v>81.8680428245508</v>
      </c>
      <c r="M4530" s="38" t="n">
        <f aca="false">Sens!$M$4503+Sens!$M$4508</f>
        <v>90.0548471070059</v>
      </c>
      <c r="N4530" s="38" t="n">
        <f aca="false">Sens!$N$4503+Sens!$N$4508</f>
        <v>14.8075</v>
      </c>
      <c r="O4530" s="38" t="n">
        <f aca="false">Sens!$O$4503+Sens!$O$4508</f>
        <v>19.51</v>
      </c>
    </row>
    <row r="4531" customFormat="false" ht="17.15" hidden="false" customHeight="false" outlineLevel="0" collapsed="false">
      <c r="A4531" s="0" t="s">
        <v>696</v>
      </c>
      <c r="B4531" s="0" t="s">
        <v>73</v>
      </c>
      <c r="C4531" s="38" t="n">
        <f aca="false">Sens!$C$4507+Sens!$C$4512+Sens!$C$4526+Sens!$C$4527-Sens!$C$4530</f>
        <v>19.399</v>
      </c>
      <c r="D4531" s="38" t="n">
        <f aca="false">Sens!$D$4507+Sens!$D$4512+Sens!$D$4526+Sens!$D$4527-Sens!$D$4530</f>
        <v>20.4615</v>
      </c>
      <c r="E4531" s="38" t="n">
        <f aca="false">Sens!$E$4507+Sens!$E$4512+Sens!$E$4526+Sens!$E$4527-Sens!$E$4530</f>
        <v>13.355</v>
      </c>
      <c r="F4531" s="38" t="n">
        <f aca="false">Sens!$F$4507+Sens!$F$4512+Sens!$F$4526+Sens!$F$4527-Sens!$F$4530</f>
        <v>13.0895111975985</v>
      </c>
      <c r="G4531" s="38" t="n">
        <f aca="false">Sens!$G$4507+Sens!$G$4512+Sens!$G$4526+Sens!$G$4527-Sens!$G$4530</f>
        <v>26.4445111975985</v>
      </c>
      <c r="H4531" s="38" t="n">
        <f aca="false">Sens!$H$4507+Sens!$H$4512+Sens!$H$4526+Sens!$H$4527-Sens!$H$4530</f>
        <v>28.8977096937968</v>
      </c>
      <c r="I4531" s="38" t="n">
        <f aca="false">Sens!$I$4507+Sens!$I$4512+Sens!$I$4526+Sens!$I$4527-Sens!$I$4530</f>
        <v>31.2062039064791</v>
      </c>
      <c r="J4531" s="38" t="n">
        <f aca="false">Sens!$J$4507+Sens!$J$4512+Sens!$J$4526+Sens!$J$4527-Sens!$J$4530</f>
        <v>33.5064572496913</v>
      </c>
      <c r="K4531" s="38" t="n">
        <f aca="false">Sens!$K$4507+Sens!$K$4512+Sens!$K$4526+Sens!$K$4527-Sens!$K$4530</f>
        <v>35.6591461575899</v>
      </c>
      <c r="L4531" s="38" t="n">
        <f aca="false">Sens!$L$4507+Sens!$L$4512+Sens!$L$4526+Sens!$L$4527-Sens!$L$4530</f>
        <v>36.4141007090604</v>
      </c>
      <c r="M4531" s="38" t="n">
        <f aca="false">Sens!$M$4507+Sens!$M$4512+Sens!$M$4526+Sens!$M$4527-Sens!$M$4530</f>
        <v>37.359984207839</v>
      </c>
      <c r="N4531" s="38" t="n">
        <f aca="false">Sens!$N$4507+Sens!$N$4512+Sens!$N$4526+Sens!$N$4527-Sens!$N$4530</f>
        <v>10.6495</v>
      </c>
      <c r="O4531" s="38" t="n">
        <f aca="false">Sens!$O$4507+Sens!$O$4512+Sens!$O$4526+Sens!$O$4527-Sens!$O$4530</f>
        <v>9.81200000000001</v>
      </c>
    </row>
    <row r="4532" customFormat="false" ht="17.15" hidden="false" customHeight="false" outlineLevel="0" collapsed="false">
      <c r="A4532" s="0" t="s">
        <v>697</v>
      </c>
      <c r="B4532" s="0" t="s">
        <v>73</v>
      </c>
      <c r="C4532" s="38" t="n">
        <f aca="false">Sens!$C$4514+Sens!$C$4528-ext_sh*Sens!$C$4449</f>
        <v>51.3470500115664</v>
      </c>
      <c r="D4532" s="38" t="n">
        <f aca="false">Sens!$D$4514+Sens!$D$4528-ext_sh*Sens!$D$4449</f>
        <v>60.2799375433739</v>
      </c>
      <c r="E4532" s="38" t="n">
        <f aca="false">Sens!$E$4514+Sens!$E$4528-ext_sh*Sens!$E$4449</f>
        <v>39.5095167090767</v>
      </c>
      <c r="F4532" s="38" t="n">
        <f aca="false">Sens!$F$4514+Sens!$F$4528-ext_sh*Sens!$F$4449</f>
        <v>41.606724953129</v>
      </c>
      <c r="G4532" s="38" t="n">
        <f aca="false">Sens!$G$4514+Sens!$G$4528-ext_sh*Sens!$G$4449</f>
        <v>81.1162416622057</v>
      </c>
      <c r="H4532" s="38" t="n">
        <f aca="false">Sens!$H$4514+Sens!$H$4528-ext_sh*Sens!$H$4449</f>
        <v>95.7616595325849</v>
      </c>
      <c r="I4532" s="38" t="n">
        <f aca="false">Sens!$I$4514+Sens!$I$4528-ext_sh*Sens!$I$4449</f>
        <v>111.513312079935</v>
      </c>
      <c r="J4532" s="38" t="n">
        <f aca="false">Sens!$J$4514+Sens!$J$4528-ext_sh*Sens!$J$4449</f>
        <v>125.145150463955</v>
      </c>
      <c r="K4532" s="38" t="n">
        <f aca="false">Sens!$K$4514+Sens!$K$4528-ext_sh*Sens!$K$4449</f>
        <v>135.156762501071</v>
      </c>
      <c r="L4532" s="38" t="n">
        <f aca="false">Sens!$L$4514+Sens!$L$4528-ext_sh*Sens!$L$4449</f>
        <v>145.969303501157</v>
      </c>
      <c r="M4532" s="38" t="n">
        <f aca="false">Sens!$M$4514+Sens!$M$4528-ext_sh*Sens!$M$4449</f>
        <v>157.646847781249</v>
      </c>
      <c r="N4532" s="38" t="n">
        <f aca="false">Sens!$N$4514+Sens!$N$4528-ext_sh*Sens!$N$4449</f>
        <v>28.5693781401809</v>
      </c>
      <c r="O4532" s="38" t="n">
        <f aca="false">Sens!$O$4514+Sens!$O$4528-ext_sh*Sens!$O$4449</f>
        <v>31.7105594031931</v>
      </c>
    </row>
    <row r="4533" customFormat="false" ht="17.15" hidden="false" customHeight="false" outlineLevel="0" collapsed="false">
      <c r="A4533" s="0" t="s">
        <v>698</v>
      </c>
      <c r="B4533" s="0" t="s">
        <v>73</v>
      </c>
      <c r="C4533" s="38" t="n">
        <f aca="false">Sens!$C$4452</f>
        <v>1.80694998843362</v>
      </c>
      <c r="D4533" s="38" t="n">
        <f aca="false">Sens!$D$4452</f>
        <v>6.77606245662607</v>
      </c>
      <c r="E4533" s="38" t="n">
        <f aca="false">Sens!$E$4452</f>
        <v>6.62548329092326</v>
      </c>
      <c r="F4533" s="38" t="n">
        <f aca="false">Sens!$F$4452</f>
        <v>11.7200577158706</v>
      </c>
      <c r="G4533" s="38" t="n">
        <f aca="false">Sens!$G$4452</f>
        <v>18.3455410067939</v>
      </c>
      <c r="H4533" s="38" t="n">
        <f aca="false">Sens!$H$4452</f>
        <v>47.5171727060453</v>
      </c>
      <c r="I4533" s="38" t="n">
        <f aca="false">Sens!$I$4452</f>
        <v>80.5539692643667</v>
      </c>
      <c r="J4533" s="38" t="n">
        <f aca="false">Sens!$J$4452</f>
        <v>113.759316834883</v>
      </c>
      <c r="K4533" s="38" t="n">
        <f aca="false">Sens!$K$4452</f>
        <v>147.020848076132</v>
      </c>
      <c r="L4533" s="38" t="n">
        <f aca="false">Sens!$L$4452</f>
        <v>180.307917349531</v>
      </c>
      <c r="M4533" s="38" t="n">
        <f aca="false">Sens!$M$4452</f>
        <v>213.608737871012</v>
      </c>
      <c r="N4533" s="38" t="n">
        <f aca="false">Sens!$N$4452</f>
        <v>2.37162185981912</v>
      </c>
      <c r="O4533" s="38" t="n">
        <f aca="false">Sens!$O$4452</f>
        <v>4.40444059680694</v>
      </c>
    </row>
    <row r="4534" customFormat="false" ht="17.15" hidden="false" customHeight="false" outlineLevel="0" collapsed="false">
      <c r="A4534" s="0" t="s">
        <v>699</v>
      </c>
      <c r="B4534" s="0" t="s">
        <v>73</v>
      </c>
      <c r="C4534" s="38" t="n">
        <f aca="false">Sens!$C$4517+Sens!$C$4529</f>
        <v>100.66</v>
      </c>
      <c r="D4534" s="38" t="n">
        <f aca="false">Sens!$D$4517+Sens!$D$4529</f>
        <v>121.835</v>
      </c>
      <c r="E4534" s="38" t="n">
        <f aca="false">Sens!$E$4517+Sens!$E$4529</f>
        <v>78.016</v>
      </c>
      <c r="F4534" s="38" t="n">
        <f aca="false">Sens!$F$4517+Sens!$F$4529</f>
        <v>90.4929629579672</v>
      </c>
      <c r="G4534" s="38" t="n">
        <f aca="false">Sens!$G$4517+Sens!$G$4529</f>
        <v>168.508962957967</v>
      </c>
      <c r="H4534" s="38" t="n">
        <f aca="false">Sens!$H$4517+Sens!$H$4529</f>
        <v>223.323222861897</v>
      </c>
      <c r="I4534" s="38" t="n">
        <f aca="false">Sens!$I$4517+Sens!$I$4529</f>
        <v>282.963404043402</v>
      </c>
      <c r="J4534" s="38" t="n">
        <f aca="false">Sens!$J$4517+Sens!$J$4529</f>
        <v>340.070464072952</v>
      </c>
      <c r="K4534" s="38" t="n">
        <f aca="false">Sens!$K$4517+Sens!$K$4529</f>
        <v>392.262250211657</v>
      </c>
      <c r="L4534" s="38" t="n">
        <f aca="false">Sens!$L$4517+Sens!$L$4529</f>
        <v>444.559364384299</v>
      </c>
      <c r="M4534" s="38" t="n">
        <f aca="false">Sens!$M$4517+Sens!$M$4529</f>
        <v>498.670416967106</v>
      </c>
      <c r="N4534" s="38" t="n">
        <f aca="false">Sens!$N$4517+Sens!$N$4529</f>
        <v>56.398</v>
      </c>
      <c r="O4534" s="38" t="n">
        <f aca="false">Sens!$O$4517+Sens!$O$4529</f>
        <v>65.437</v>
      </c>
    </row>
    <row r="4535" customFormat="false" ht="17.15" hidden="false" customHeight="false" outlineLevel="0" collapsed="false">
      <c r="A4535" s="1" t="s">
        <v>700</v>
      </c>
    </row>
    <row r="4536" customFormat="false" ht="15" hidden="false" customHeight="false" outlineLevel="0" collapsed="false">
      <c r="A4536" s="5" t="s">
        <v>504</v>
      </c>
      <c r="B4536" s="0" t="s">
        <v>73</v>
      </c>
      <c r="C4536" s="38" t="n">
        <f aca="false">Q!$D$34</f>
        <v>2.406</v>
      </c>
      <c r="D4536" s="38" t="n">
        <f aca="false">Q!$E$34</f>
        <v>2.274</v>
      </c>
      <c r="E4536" s="38" t="n">
        <f aca="false">Q!$P$34</f>
        <v>2.114</v>
      </c>
      <c r="F4536" s="38" t="n">
        <f aca="false">Sens!$F$4572</f>
        <v>3.24888964316061</v>
      </c>
      <c r="G4536" s="38" t="n">
        <f aca="false">Sens!$E$4536+Sens!$F$4536</f>
        <v>5.36288964316061</v>
      </c>
      <c r="H4536" s="38" t="n">
        <f aca="false">Sens!$H$4572</f>
        <v>7.42354178632123</v>
      </c>
      <c r="I4536" s="38" t="n">
        <f aca="false">Sens!$I$4572</f>
        <v>7.51827597635917</v>
      </c>
      <c r="J4536" s="38" t="n">
        <f aca="false">Sens!$J$4572</f>
        <v>7.76994062068418</v>
      </c>
      <c r="K4536" s="38" t="n">
        <f aca="false">Sens!$K$4572</f>
        <v>7.76994062068418</v>
      </c>
      <c r="L4536" s="38" t="n">
        <f aca="false">Sens!$L$4572</f>
        <v>7.76994062068418</v>
      </c>
      <c r="M4536" s="38" t="n">
        <f aca="false">Sens!$M$4572</f>
        <v>7.76994062068418</v>
      </c>
      <c r="N4536" s="38" t="n">
        <f aca="false">Q!$N$34</f>
        <v>1.057</v>
      </c>
      <c r="O4536" s="38" t="n">
        <f aca="false">Q!$O$34</f>
        <v>1.217</v>
      </c>
    </row>
    <row r="4537" customFormat="false" ht="15" hidden="false" customHeight="false" outlineLevel="0" collapsed="false">
      <c r="A4537" s="5" t="s">
        <v>701</v>
      </c>
      <c r="B4537" s="0" t="s">
        <v>73</v>
      </c>
      <c r="F4537" s="38" t="n">
        <f aca="false">Sens!$F$4573</f>
        <v>2.59</v>
      </c>
      <c r="H4537" s="38" t="n">
        <f aca="false">Sens!$H$4573</f>
        <v>4.00971603121774</v>
      </c>
      <c r="I4537" s="38" t="n">
        <f aca="false">Sens!$I$4573</f>
        <v>2.10589651022864</v>
      </c>
      <c r="J4537" s="38" t="n">
        <f aca="false">Sens!$J$4573</f>
        <v>2.10589651022864</v>
      </c>
      <c r="K4537" s="38" t="n">
        <f aca="false">Sens!$K$4573</f>
        <v>3.77985822695893</v>
      </c>
      <c r="L4537" s="38" t="n">
        <f aca="false">Sens!$L$4573</f>
        <v>7.24081936505971</v>
      </c>
      <c r="M4537" s="38" t="n">
        <f aca="false">Sens!$M$4573</f>
        <v>11.205150593419</v>
      </c>
    </row>
    <row r="4538" customFormat="false" ht="17.15" hidden="false" customHeight="false" outlineLevel="0" collapsed="false">
      <c r="A4538" s="5" t="s">
        <v>702</v>
      </c>
      <c r="B4538" s="0" t="s">
        <v>73</v>
      </c>
      <c r="C4538" s="38" t="n">
        <f aca="false">Q!$D$39</f>
        <v>2.427</v>
      </c>
      <c r="D4538" s="38" t="n">
        <f aca="false">Q!$E$39</f>
        <v>19.61</v>
      </c>
      <c r="E4538" s="38" t="n">
        <f aca="false">Q!$P$39</f>
        <v>71.492</v>
      </c>
      <c r="F4538" s="41" t="n">
        <v>0</v>
      </c>
      <c r="G4538" s="38" t="n">
        <f aca="false">Sens!$E$4538+Sens!$F$4538</f>
        <v>71.492</v>
      </c>
      <c r="H4538" s="41" t="n">
        <v>0</v>
      </c>
      <c r="I4538" s="41" t="n">
        <v>0</v>
      </c>
      <c r="J4538" s="41" t="n">
        <v>0</v>
      </c>
      <c r="K4538" s="41" t="n">
        <v>0</v>
      </c>
      <c r="L4538" s="41" t="n">
        <v>0</v>
      </c>
      <c r="M4538" s="41" t="n">
        <v>0</v>
      </c>
      <c r="N4538" s="38" t="n">
        <f aca="false">Q!$N$39</f>
        <v>6.017</v>
      </c>
      <c r="O4538" s="38" t="n">
        <f aca="false">Q!$O$39</f>
        <v>13.593</v>
      </c>
      <c r="P4538" s="5" t="s">
        <v>703</v>
      </c>
    </row>
    <row r="4539" customFormat="false" ht="15" hidden="false" customHeight="false" outlineLevel="0" collapsed="false">
      <c r="A4539" s="5" t="s">
        <v>507</v>
      </c>
      <c r="B4539" s="0" t="s">
        <v>73</v>
      </c>
      <c r="C4539" s="38" t="n">
        <f aca="false">Q!$D$36</f>
        <v>68.614</v>
      </c>
      <c r="D4539" s="38" t="n">
        <f aca="false">Q!$E$36</f>
        <v>97.311</v>
      </c>
      <c r="E4539" s="38" t="n">
        <f aca="false">Q!$P$36</f>
        <v>120.691</v>
      </c>
      <c r="F4539" s="38" t="n">
        <f aca="false">Sens!$F$4517-Sens!$F$4536+Sens!$F$4537+Sens!$F$4538</f>
        <v>59.2236875896856</v>
      </c>
      <c r="G4539" s="38" t="n">
        <f aca="false">Sens!$E$4539+Sens!$F$4539</f>
        <v>179.914687589686</v>
      </c>
      <c r="H4539" s="38" t="n">
        <f aca="false">Sens!$H$4517-Sens!$H$4536+Sens!$H$4537+Sens!$H$4538</f>
        <v>132.22487528741</v>
      </c>
      <c r="I4539" s="38" t="n">
        <f aca="false">Sens!$I$4517-Sens!$I$4536+Sens!$I$4537+Sens!$I$4538</f>
        <v>155.256254868633</v>
      </c>
      <c r="J4539" s="38" t="n">
        <f aca="false">Sens!$J$4517-Sens!$J$4536+Sens!$J$4537+Sens!$J$4538</f>
        <v>177.272457389275</v>
      </c>
      <c r="K4539" s="38" t="n">
        <f aca="false">Sens!$K$4517-Sens!$K$4536+Sens!$K$4537+Sens!$K$4538</f>
        <v>196.921534464333</v>
      </c>
      <c r="L4539" s="38" t="n">
        <f aca="false">Sens!$L$4517-Sens!$L$4536+Sens!$L$4537+Sens!$L$4538</f>
        <v>220.12100479332</v>
      </c>
      <c r="M4539" s="38" t="n">
        <f aca="false">Sens!$M$4517-Sens!$M$4536+Sens!$M$4537+Sens!$M$4538</f>
        <v>244.529307072564</v>
      </c>
      <c r="N4539" s="38" t="n">
        <f aca="false">Q!$N$36</f>
        <v>42.536</v>
      </c>
      <c r="O4539" s="38" t="n">
        <f aca="false">Q!$O$36</f>
        <v>54.775</v>
      </c>
    </row>
    <row r="4540" customFormat="false" ht="15" hidden="false" customHeight="false" outlineLevel="0" collapsed="false">
      <c r="A4540" s="5" t="s">
        <v>508</v>
      </c>
      <c r="B4540" s="0" t="s">
        <v>73</v>
      </c>
      <c r="C4540" s="38" t="n">
        <f aca="false">Q!$D$37</f>
        <v>9.265</v>
      </c>
      <c r="D4540" s="38" t="n">
        <f aca="false">Q!$E$37</f>
        <v>19.087</v>
      </c>
      <c r="E4540" s="38" t="n">
        <f aca="false">Q!$P$37</f>
        <v>27.759</v>
      </c>
      <c r="F4540" s="38" t="n">
        <f aca="false">Sens!$F$4539*tax</f>
        <v>10.2803157750071</v>
      </c>
      <c r="G4540" s="38" t="n">
        <f aca="false">Sens!$E$4540+Sens!$F$4540</f>
        <v>38.0393157750071</v>
      </c>
      <c r="H4540" s="38" t="n">
        <f aca="false">Sens!$H$4539*tax</f>
        <v>22.9521923842892</v>
      </c>
      <c r="I4540" s="38" t="n">
        <f aca="false">Sens!$I$4539*tax</f>
        <v>26.9500835063251</v>
      </c>
      <c r="J4540" s="38" t="n">
        <f aca="false">Sens!$J$4539*tax</f>
        <v>30.7717555988633</v>
      </c>
      <c r="K4540" s="38" t="n">
        <f aca="false">Sens!$K$4539*tax</f>
        <v>34.1825313414772</v>
      </c>
      <c r="L4540" s="38" t="n">
        <f aca="false">Sens!$L$4539*tax</f>
        <v>38.209600416393</v>
      </c>
      <c r="M4540" s="38" t="n">
        <f aca="false">Sens!$M$4539*tax</f>
        <v>42.4465040131586</v>
      </c>
      <c r="N4540" s="38" t="n">
        <f aca="false">Q!$N$37</f>
        <v>7.231</v>
      </c>
      <c r="O4540" s="38" t="n">
        <f aca="false">Q!$O$37</f>
        <v>11.856</v>
      </c>
    </row>
    <row r="4541" customFormat="false" ht="15" hidden="false" customHeight="false" outlineLevel="0" collapsed="false">
      <c r="A4541" s="3" t="s">
        <v>509</v>
      </c>
      <c r="B4541" s="8" t="s">
        <v>73</v>
      </c>
      <c r="C4541" s="38" t="n">
        <f aca="false">Q!$D$38</f>
        <v>59.248</v>
      </c>
      <c r="D4541" s="38" t="n">
        <f aca="false">Q!$E$38</f>
        <v>77.67</v>
      </c>
      <c r="E4541" s="38" t="n">
        <f aca="false">Q!$P$38</f>
        <v>92.902</v>
      </c>
      <c r="F4541" s="38" t="n">
        <f aca="false">Sens!$F$4539-Sens!$F$4540</f>
        <v>48.9433718146785</v>
      </c>
      <c r="G4541" s="38" t="n">
        <f aca="false">Sens!$E$4541+Sens!$F$4541</f>
        <v>141.845371814679</v>
      </c>
      <c r="H4541" s="38" t="n">
        <f aca="false">Sens!$H$4539-Sens!$H$4540</f>
        <v>109.272682903121</v>
      </c>
      <c r="I4541" s="38" t="n">
        <f aca="false">Sens!$I$4539-Sens!$I$4540</f>
        <v>128.306171362308</v>
      </c>
      <c r="J4541" s="38" t="n">
        <f aca="false">Sens!$J$4539-Sens!$J$4540</f>
        <v>146.500701790412</v>
      </c>
      <c r="K4541" s="38" t="n">
        <f aca="false">Sens!$K$4539-Sens!$K$4540</f>
        <v>162.739003122855</v>
      </c>
      <c r="L4541" s="38" t="n">
        <f aca="false">Sens!$L$4539-Sens!$L$4540</f>
        <v>181.911404376927</v>
      </c>
      <c r="M4541" s="38" t="n">
        <f aca="false">Sens!$M$4539-Sens!$M$4540</f>
        <v>202.082803059406</v>
      </c>
      <c r="N4541" s="38" t="n">
        <f aca="false">Q!$N$38</f>
        <v>35.291</v>
      </c>
      <c r="O4541" s="38" t="n">
        <f aca="false">Q!$O$38</f>
        <v>42.379</v>
      </c>
    </row>
    <row r="4542" customFormat="false" ht="17.15" hidden="false" customHeight="false" outlineLevel="0" collapsed="false">
      <c r="A4542" s="5" t="s">
        <v>512</v>
      </c>
      <c r="B4542" s="5" t="s">
        <v>33</v>
      </c>
      <c r="C4542" s="22" t="n">
        <f aca="false">Q!$D$41</f>
        <v>10.721</v>
      </c>
      <c r="D4542" s="22" t="n">
        <f aca="false">Q!$E$41</f>
        <v>10.827</v>
      </c>
      <c r="E4542" s="22" t="n">
        <f aca="false">(Q!$L$41+Q!$M$41)/2</f>
        <v>10.8885</v>
      </c>
      <c r="F4542" s="22" t="n">
        <f aca="false">Sens!$G$4542</f>
        <v>10.924806</v>
      </c>
      <c r="G4542" s="22" t="n">
        <f aca="false">Q!$M$41*(1+sh_g*0.25)</f>
        <v>10.924806</v>
      </c>
      <c r="H4542" s="22" t="n">
        <f aca="false">Sens!$G$4542*(1+sh_g)</f>
        <v>11.012204448</v>
      </c>
      <c r="I4542" s="22" t="n">
        <f aca="false">Sens!$H$4542*(1+sh_g)</f>
        <v>11.100302083584</v>
      </c>
      <c r="J4542" s="22" t="n">
        <f aca="false">Sens!$I$4542*(1+sh_g)</f>
        <v>11.1891045002527</v>
      </c>
      <c r="K4542" s="22" t="n">
        <f aca="false">Sens!$J$4542*(1+sh_g)</f>
        <v>11.2786173362547</v>
      </c>
      <c r="L4542" s="22" t="n">
        <f aca="false">Sens!$K$4542*(1+sh_g)</f>
        <v>11.3688462749447</v>
      </c>
      <c r="M4542" s="22" t="n">
        <f aca="false">Sens!$L$4542*(1+sh_g)</f>
        <v>11.4597970451443</v>
      </c>
      <c r="P4542" s="5" t="s">
        <v>704</v>
      </c>
    </row>
    <row r="4543" customFormat="false" ht="17.15" hidden="false" customHeight="false" outlineLevel="0" collapsed="false">
      <c r="A4543" s="42" t="s">
        <v>705</v>
      </c>
      <c r="B4543" s="13" t="s">
        <v>27</v>
      </c>
      <c r="C4543" s="43" t="n">
        <f aca="false">Sens!$C$4541/Sens!$C$4542</f>
        <v>5.52635015390355</v>
      </c>
      <c r="D4543" s="43" t="n">
        <f aca="false">Sens!$D$4541/Sens!$D$4542</f>
        <v>7.1737323358271</v>
      </c>
      <c r="E4543" s="43" t="n">
        <f aca="false">Sens!$E$4541/Sens!$E$4542</f>
        <v>8.53212104513937</v>
      </c>
      <c r="F4543" s="13"/>
      <c r="G4543" s="43" t="n">
        <f aca="false">Sens!$G$4541/Sens!$G$4542</f>
        <v>12.9837886196495</v>
      </c>
      <c r="H4543" s="43" t="n">
        <f aca="false">Sens!$H$4541/Sens!$H$4542</f>
        <v>9.92287088558062</v>
      </c>
      <c r="I4543" s="43" t="n">
        <f aca="false">Sens!$I$4541/Sens!$I$4542</f>
        <v>11.5587999674403</v>
      </c>
      <c r="J4543" s="43" t="n">
        <f aca="false">Sens!$J$4541/Sens!$J$4542</f>
        <v>13.0931569892035</v>
      </c>
      <c r="K4543" s="43" t="n">
        <f aca="false">Sens!$K$4541/Sens!$K$4542</f>
        <v>14.4289852444711</v>
      </c>
      <c r="L4543" s="43" t="n">
        <f aca="false">Sens!$L$4541/Sens!$L$4542</f>
        <v>16.0008676322621</v>
      </c>
      <c r="M4543" s="43" t="n">
        <f aca="false">Sens!$M$4541/Sens!$M$4542</f>
        <v>17.6340647450673</v>
      </c>
      <c r="N4543" s="13"/>
      <c r="O4543" s="13"/>
    </row>
    <row r="4544" customFormat="false" ht="17.15" hidden="false" customHeight="false" outlineLevel="0" collapsed="false">
      <c r="A4544" s="0" t="s">
        <v>706</v>
      </c>
      <c r="B4544" s="0" t="s">
        <v>27</v>
      </c>
      <c r="C4544" s="30" t="n">
        <f aca="false">(Sens!$C$4541-Sens!$C$4538*(1-tax))/Sens!$C$4542</f>
        <v>5.33926775917445</v>
      </c>
      <c r="D4544" s="30" t="n">
        <f aca="false">(Sens!$D$4541-Sens!$D$4538*(1-tax))/Sens!$D$4542</f>
        <v>5.67691812755503</v>
      </c>
      <c r="E4544" s="30" t="n">
        <f aca="false">(Sens!$E$4541-Sens!$E$4538*(1-tax))/Sens!$E$4542</f>
        <v>3.10602057006846</v>
      </c>
      <c r="G4544" s="30" t="n">
        <f aca="false">(Sens!$G$4541-Sens!$G$4538*(1-tax))/Sens!$G$4542</f>
        <v>7.57572050175252</v>
      </c>
      <c r="H4544" s="30" t="n">
        <f aca="false">(Sens!$H$4541-Sens!$H$4538*(1-tax))/Sens!$H$4542</f>
        <v>9.92287088558062</v>
      </c>
      <c r="I4544" s="30" t="n">
        <f aca="false">(Sens!$I$4541-Sens!$I$4538*(1-tax))/Sens!$I$4542</f>
        <v>11.5587999674403</v>
      </c>
      <c r="J4544" s="30" t="n">
        <f aca="false">(Sens!$J$4541-Sens!$J$4538*(1-tax))/Sens!$J$4542</f>
        <v>13.0931569892035</v>
      </c>
      <c r="K4544" s="30" t="n">
        <f aca="false">(Sens!$K$4541-Sens!$K$4538*(1-tax))/Sens!$K$4542</f>
        <v>14.4289852444711</v>
      </c>
      <c r="L4544" s="30" t="n">
        <f aca="false">(Sens!$L$4541-Sens!$L$4538*(1-tax))/Sens!$L$4542</f>
        <v>16.0008676322621</v>
      </c>
      <c r="M4544" s="30" t="n">
        <f aca="false">(Sens!$M$4541-Sens!$M$4538*(1-tax))/Sens!$M$4542</f>
        <v>17.6340647450673</v>
      </c>
      <c r="P4544" s="5" t="s">
        <v>707</v>
      </c>
    </row>
    <row r="4545" customFormat="false" ht="17.15" hidden="false" customHeight="false" outlineLevel="0" collapsed="false">
      <c r="A4545" s="0" t="s">
        <v>708</v>
      </c>
      <c r="B4545" s="0" t="s">
        <v>52</v>
      </c>
      <c r="H4545" s="12" t="n">
        <f aca="false">Sens!$H$4543/Sens!$G$4543-1</f>
        <v>-0.23574919645846</v>
      </c>
      <c r="I4545" s="12" t="n">
        <f aca="false">Sens!$I$4543/Sens!$H$4543-1</f>
        <v>0.164864493423664</v>
      </c>
      <c r="J4545" s="12" t="n">
        <f aca="false">Sens!$J$4543/Sens!$I$4543-1</f>
        <v>0.132743626162345</v>
      </c>
      <c r="K4545" s="12" t="n">
        <f aca="false">Sens!$K$4543/Sens!$J$4543-1</f>
        <v>0.102024917013454</v>
      </c>
      <c r="L4545" s="12" t="n">
        <f aca="false">Sens!$L$4543/Sens!$K$4543-1</f>
        <v>0.108939219297719</v>
      </c>
      <c r="M4545" s="12" t="n">
        <f aca="false">Sens!$M$4543/Sens!$L$4543-1</f>
        <v>0.102069284637555</v>
      </c>
    </row>
    <row r="4548" customFormat="false" ht="19.4" hidden="false" customHeight="false" outlineLevel="0" collapsed="false">
      <c r="A4548" s="31" t="s">
        <v>1141</v>
      </c>
    </row>
    <row r="4549" customFormat="false" ht="17.15" hidden="false" customHeight="false" outlineLevel="0" collapsed="false">
      <c r="A4549" s="6" t="s">
        <v>16</v>
      </c>
      <c r="B4549" s="6" t="s">
        <v>17</v>
      </c>
      <c r="C4549" s="20" t="s">
        <v>457</v>
      </c>
      <c r="D4549" s="20" t="s">
        <v>458</v>
      </c>
      <c r="E4549" s="20" t="s">
        <v>540</v>
      </c>
      <c r="F4549" s="20" t="s">
        <v>541</v>
      </c>
      <c r="G4549" s="20" t="s">
        <v>542</v>
      </c>
      <c r="H4549" s="20" t="s">
        <v>543</v>
      </c>
      <c r="I4549" s="20" t="s">
        <v>544</v>
      </c>
      <c r="J4549" s="20" t="s">
        <v>545</v>
      </c>
      <c r="K4549" s="20" t="s">
        <v>546</v>
      </c>
      <c r="L4549" s="20" t="s">
        <v>547</v>
      </c>
      <c r="M4549" s="20" t="s">
        <v>548</v>
      </c>
      <c r="N4549" s="20" t="s">
        <v>549</v>
      </c>
      <c r="O4549" s="20" t="s">
        <v>550</v>
      </c>
      <c r="P4549" s="6" t="s">
        <v>23</v>
      </c>
      <c r="R4549" s="20" t="n">
        <v>2023</v>
      </c>
      <c r="S4549" s="20" t="n">
        <v>2024</v>
      </c>
      <c r="T4549" s="20" t="n">
        <v>2025</v>
      </c>
      <c r="U4549" s="20" t="n">
        <v>2026</v>
      </c>
      <c r="V4549" s="20" t="n">
        <v>2027</v>
      </c>
      <c r="W4549" s="20" t="n">
        <v>2028</v>
      </c>
      <c r="X4549" s="20" t="n">
        <v>2029</v>
      </c>
      <c r="Y4549" s="20" t="n">
        <v>2030</v>
      </c>
      <c r="Z4549" s="20" t="n">
        <v>2031</v>
      </c>
      <c r="AA4549" s="20" t="n">
        <v>2032</v>
      </c>
    </row>
    <row r="4550" customFormat="false" ht="15" hidden="false" customHeight="false" outlineLevel="0" collapsed="false">
      <c r="A4550" s="5" t="s">
        <v>509</v>
      </c>
      <c r="B4550" s="0" t="s">
        <v>73</v>
      </c>
      <c r="C4550" s="38" t="n">
        <f aca="false">Sens!$C$4541</f>
        <v>59.248</v>
      </c>
      <c r="D4550" s="38" t="n">
        <f aca="false">Sens!$D$4541</f>
        <v>77.67</v>
      </c>
      <c r="E4550" s="38" t="n">
        <f aca="false">Sens!$E$4541</f>
        <v>92.902</v>
      </c>
      <c r="F4550" s="38" t="n">
        <f aca="false">Sens!$F$4541</f>
        <v>48.9433718146785</v>
      </c>
      <c r="G4550" s="38" t="n">
        <f aca="false">Sens!$G$4541</f>
        <v>141.845371814679</v>
      </c>
      <c r="H4550" s="38" t="n">
        <f aca="false">Sens!$H$4541</f>
        <v>109.272682903121</v>
      </c>
      <c r="I4550" s="38" t="n">
        <f aca="false">Sens!$I$4541</f>
        <v>128.306171362308</v>
      </c>
      <c r="J4550" s="38" t="n">
        <f aca="false">Sens!$J$4541</f>
        <v>146.500701790412</v>
      </c>
      <c r="K4550" s="38" t="n">
        <f aca="false">Sens!$K$4541</f>
        <v>162.739003122855</v>
      </c>
      <c r="L4550" s="38" t="n">
        <f aca="false">Sens!$L$4541</f>
        <v>181.911404376927</v>
      </c>
      <c r="M4550" s="38" t="n">
        <f aca="false">Sens!$M$4541</f>
        <v>202.082803059406</v>
      </c>
    </row>
    <row r="4551" customFormat="false" ht="17.15" hidden="false" customHeight="false" outlineLevel="0" collapsed="false">
      <c r="A4551" s="5" t="s">
        <v>730</v>
      </c>
      <c r="B4551" s="0" t="s">
        <v>73</v>
      </c>
      <c r="C4551" s="38" t="n">
        <f aca="false">Sens!$C$4529</f>
        <v>32.067</v>
      </c>
      <c r="D4551" s="38" t="n">
        <f aca="false">Sens!$D$4529</f>
        <v>41.86</v>
      </c>
      <c r="E4551" s="38" t="n">
        <f aca="false">Sens!$E$4529</f>
        <v>26.703</v>
      </c>
      <c r="F4551" s="38" t="n">
        <f aca="false">Sens!$F$4529</f>
        <v>30.6103857251209</v>
      </c>
      <c r="G4551" s="38" t="n">
        <f aca="false">Sens!$G$4529</f>
        <v>57.3133857251209</v>
      </c>
      <c r="H4551" s="38" t="n">
        <f aca="false">Sens!$H$4529</f>
        <v>87.6845218193838</v>
      </c>
      <c r="I4551" s="38" t="n">
        <f aca="false">Sens!$I$4529</f>
        <v>122.294769708638</v>
      </c>
      <c r="J4551" s="38" t="n">
        <f aca="false">Sens!$J$4529</f>
        <v>157.133962573221</v>
      </c>
      <c r="K4551" s="38" t="n">
        <f aca="false">Sens!$K$4529</f>
        <v>191.350633353599</v>
      </c>
      <c r="L4551" s="38" t="n">
        <f aca="false">Sens!$L$4529</f>
        <v>223.909238335354</v>
      </c>
      <c r="M4551" s="38" t="n">
        <f aca="false">Sens!$M$4529</f>
        <v>257.576319867276</v>
      </c>
    </row>
    <row r="4552" customFormat="false" ht="15" hidden="false" customHeight="false" outlineLevel="0" collapsed="false">
      <c r="A4552" s="5" t="s">
        <v>731</v>
      </c>
      <c r="B4552" s="0" t="s">
        <v>73</v>
      </c>
      <c r="C4552" s="38" t="n">
        <f aca="false">Q!$D$48</f>
        <v>22.011</v>
      </c>
      <c r="D4552" s="38" t="n">
        <f aca="false">Q!$E$48</f>
        <v>19.467</v>
      </c>
      <c r="E4552" s="38" t="n">
        <f aca="false">Q!$P$48</f>
        <v>10.07</v>
      </c>
      <c r="F4552" s="38" t="n">
        <f aca="false">sbc_r*Sens!$F$4473</f>
        <v>11.2170714500462</v>
      </c>
      <c r="G4552" s="38" t="n">
        <f aca="false">Sens!$E$4552+Sens!$F$4552</f>
        <v>21.2870714500462</v>
      </c>
      <c r="H4552" s="38" t="n">
        <f aca="false">sbc_r*Sens!$H$4473</f>
        <v>24.1772394325528</v>
      </c>
      <c r="I4552" s="38" t="n">
        <f aca="false">sbc_r*Sens!$I$4473</f>
        <v>27.6495284422397</v>
      </c>
      <c r="J4552" s="38" t="n">
        <f aca="false">sbc_r*Sens!$J$4473</f>
        <v>30.9042211184633</v>
      </c>
      <c r="K4552" s="38" t="n">
        <f aca="false">sbc_r*Sens!$K$4473</f>
        <v>33.8004145402678</v>
      </c>
      <c r="L4552" s="38" t="n">
        <f aca="false">sbc_r*Sens!$L$4473</f>
        <v>36.8322537652494</v>
      </c>
      <c r="M4552" s="38" t="n">
        <f aca="false">sbc_r*Sens!$M$4473</f>
        <v>40.0097627968013</v>
      </c>
    </row>
    <row r="4553" customFormat="false" ht="17.15" hidden="false" customHeight="false" outlineLevel="0" collapsed="false">
      <c r="A4553" s="5" t="s">
        <v>732</v>
      </c>
      <c r="B4553" s="0" t="s">
        <v>73</v>
      </c>
      <c r="C4553" s="38" t="n">
        <f aca="false">Q!$D$44-Sens!$C$4550-Sens!$C$4551-Sens!$C$4552</f>
        <v>2.551</v>
      </c>
      <c r="D4553" s="38" t="n">
        <f aca="false">Q!$E$44-Sens!$D$4550-Sens!$D$4551-Sens!$D$4552</f>
        <v>0.51700000000001</v>
      </c>
      <c r="E4553" s="38" t="n">
        <f aca="false">Q!$P$44-Sens!$E$4550-Sens!$E$4551-Sens!$E$4552</f>
        <v>-58.256</v>
      </c>
      <c r="F4553" s="38" t="n">
        <f aca="false">wc_2h26+oth_r*Sens!$F$4473</f>
        <v>7.34599241893378</v>
      </c>
      <c r="G4553" s="38" t="n">
        <f aca="false">Sens!$E$4553+Sens!$F$4553</f>
        <v>-50.9100075810662</v>
      </c>
      <c r="H4553" s="38" t="n">
        <f aca="false">oth_r*Sens!$H$4473</f>
        <v>11.6369707537667</v>
      </c>
      <c r="I4553" s="38" t="n">
        <f aca="false">oth_r*Sens!$I$4473</f>
        <v>13.3082502961262</v>
      </c>
      <c r="J4553" s="38" t="n">
        <f aca="false">oth_r*Sens!$J$4473</f>
        <v>14.8747965344332</v>
      </c>
      <c r="K4553" s="38" t="n">
        <f aca="false">oth_r*Sens!$K$4473</f>
        <v>16.2687901804328</v>
      </c>
      <c r="L4553" s="38" t="n">
        <f aca="false">oth_r*Sens!$L$4473</f>
        <v>17.7280727627002</v>
      </c>
      <c r="M4553" s="38" t="n">
        <f aca="false">oth_r*Sens!$M$4473</f>
        <v>19.2574690270319</v>
      </c>
      <c r="P4553" s="8" t="s">
        <v>733</v>
      </c>
    </row>
    <row r="4554" customFormat="false" ht="15" hidden="false" customHeight="false" outlineLevel="0" collapsed="false">
      <c r="A4554" s="3" t="s">
        <v>515</v>
      </c>
      <c r="B4554" s="8" t="s">
        <v>73</v>
      </c>
      <c r="C4554" s="38" t="n">
        <f aca="false">Q!$D$44</f>
        <v>115.877</v>
      </c>
      <c r="D4554" s="38" t="n">
        <f aca="false">Q!$E$44</f>
        <v>139.514</v>
      </c>
      <c r="E4554" s="38" t="n">
        <f aca="false">Q!$P$44</f>
        <v>71.419</v>
      </c>
      <c r="F4554" s="38" t="n">
        <f aca="false">Sens!$F$4550+Sens!$F$4551+Sens!$F$4552+Sens!$F$4553</f>
        <v>98.1168214087795</v>
      </c>
      <c r="G4554" s="38" t="n">
        <f aca="false">Sens!$E$4554+Sens!$F$4554</f>
        <v>169.535821408779</v>
      </c>
      <c r="H4554" s="38" t="n">
        <f aca="false">Sens!$H$4550+Sens!$H$4551+Sens!$H$4552+Sens!$H$4553</f>
        <v>232.771414908824</v>
      </c>
      <c r="I4554" s="38" t="n">
        <f aca="false">Sens!$I$4550+Sens!$I$4551+Sens!$I$4552+Sens!$I$4553</f>
        <v>291.558719809312</v>
      </c>
      <c r="J4554" s="38" t="n">
        <f aca="false">Sens!$J$4550+Sens!$J$4551+Sens!$J$4552+Sens!$J$4553</f>
        <v>349.413682016529</v>
      </c>
      <c r="K4554" s="38" t="n">
        <f aca="false">Sens!$K$4550+Sens!$K$4551+Sens!$K$4552+Sens!$K$4553</f>
        <v>404.158841197156</v>
      </c>
      <c r="L4554" s="38" t="n">
        <f aca="false">Sens!$L$4550+Sens!$L$4551+Sens!$L$4552+Sens!$L$4553</f>
        <v>460.380969240231</v>
      </c>
      <c r="M4554" s="38" t="n">
        <f aca="false">Sens!$M$4550+Sens!$M$4551+Sens!$M$4552+Sens!$M$4553</f>
        <v>518.926354750515</v>
      </c>
    </row>
    <row r="4555" customFormat="false" ht="17.15" hidden="false" customHeight="false" outlineLevel="0" collapsed="false">
      <c r="A4555" s="5" t="s">
        <v>734</v>
      </c>
      <c r="B4555" s="0" t="s">
        <v>73</v>
      </c>
      <c r="C4555" s="38" t="n">
        <f aca="false">Sens!$C$4443</f>
        <v>25.2781053077374</v>
      </c>
      <c r="D4555" s="38" t="n">
        <f aca="false">Sens!$D$4443</f>
        <v>69.5686316310026</v>
      </c>
      <c r="E4555" s="38" t="n">
        <f aca="false">Sens!$E$4443</f>
        <v>64.1899206485108</v>
      </c>
      <c r="F4555" s="38" t="n">
        <f aca="false">Sens!$F$4443</f>
        <v>96.2481299895</v>
      </c>
      <c r="G4555" s="38" t="n">
        <f aca="false">Sens!$G$4443</f>
        <v>160.438050638011</v>
      </c>
      <c r="H4555" s="38" t="n">
        <f aca="false">Sens!$H$4443</f>
        <v>198.57136494475</v>
      </c>
      <c r="I4555" s="38" t="n">
        <f aca="false">Sens!$I$4443</f>
        <v>204.6464699105</v>
      </c>
      <c r="J4555" s="38" t="n">
        <f aca="false">Sens!$J$4443</f>
        <v>209.8832381105</v>
      </c>
      <c r="K4555" s="38" t="n">
        <f aca="false">Sens!$K$4443</f>
        <v>215.1200063105</v>
      </c>
      <c r="L4555" s="38" t="n">
        <f aca="false">Sens!$L$4443</f>
        <v>251.7773837105</v>
      </c>
      <c r="M4555" s="38" t="n">
        <f aca="false">Sens!$M$4443</f>
        <v>311.87584476575</v>
      </c>
    </row>
    <row r="4556" customFormat="false" ht="17.15" hidden="false" customHeight="false" outlineLevel="0" collapsed="false">
      <c r="A4556" s="5" t="s">
        <v>735</v>
      </c>
      <c r="B4556" s="0" t="s">
        <v>73</v>
      </c>
      <c r="C4556" s="38" t="n">
        <f aca="false">cx_awso*Sens!$C$4471</f>
        <v>21.0469989286053</v>
      </c>
      <c r="D4556" s="38" t="n">
        <f aca="false">cx_awso*Sens!$D$4471</f>
        <v>24.0042459822698</v>
      </c>
      <c r="E4556" s="38" t="n">
        <f aca="false">cx_awso*Sens!$E$4471</f>
        <v>14.261729404886</v>
      </c>
      <c r="F4556" s="38" t="n">
        <f aca="false">cx_awso*Sens!$F$4471</f>
        <v>15.7190020837331</v>
      </c>
      <c r="G4556" s="38" t="n">
        <f aca="false">Sens!$E$4556+Sens!$F$4556</f>
        <v>29.9807314886191</v>
      </c>
      <c r="H4556" s="38" t="n">
        <f aca="false">cx_awso*Sens!$H$4471</f>
        <v>36.1787121536283</v>
      </c>
      <c r="I4556" s="38" t="n">
        <f aca="false">cx_awso*Sens!$I$4471</f>
        <v>42.1296794430021</v>
      </c>
      <c r="J4556" s="38" t="n">
        <f aca="false">cx_awso*Sens!$J$4471</f>
        <v>47.279781889299</v>
      </c>
      <c r="K4556" s="38" t="n">
        <f aca="false">cx_awso*Sens!$K$4471</f>
        <v>51.0621644404429</v>
      </c>
      <c r="L4556" s="38" t="n">
        <f aca="false">cx_awso*Sens!$L$4471</f>
        <v>55.1471375956783</v>
      </c>
      <c r="M4556" s="38" t="n">
        <f aca="false">cx_awso*Sens!$M$4471</f>
        <v>59.5589086033326</v>
      </c>
    </row>
    <row r="4557" customFormat="false" ht="17.15" hidden="false" customHeight="false" outlineLevel="0" collapsed="false">
      <c r="A4557" s="5" t="s">
        <v>736</v>
      </c>
      <c r="B4557" s="0" t="s">
        <v>73</v>
      </c>
      <c r="C4557" s="38" t="n">
        <f aca="false">Q!$D$46-Sens!$C$4555-Sens!$C$4556</f>
        <v>31.3328957636573</v>
      </c>
      <c r="D4557" s="38" t="n">
        <f aca="false">Q!$E$46-Sens!$D$4555-Sens!$D$4556</f>
        <v>34.7471223867276</v>
      </c>
      <c r="E4557" s="38" t="n">
        <f aca="false">Q!$P$46-Sens!$E$4555-Sens!$E$4556</f>
        <v>17.8583499466032</v>
      </c>
      <c r="F4557" s="38" t="n">
        <f aca="false">cx_rt*Sens!$F$4407</f>
        <v>21.0855744229195</v>
      </c>
      <c r="G4557" s="38" t="n">
        <f aca="false">Sens!$E$4557+Sens!$F$4557</f>
        <v>38.9439243695228</v>
      </c>
      <c r="H4557" s="38" t="n">
        <f aca="false">cx_rt*Sens!$H$4407</f>
        <v>43.1200434029767</v>
      </c>
      <c r="I4557" s="38" t="n">
        <f aca="false">cx_rt*Sens!$I$4407</f>
        <v>47.1583152318763</v>
      </c>
      <c r="J4557" s="38" t="n">
        <f aca="false">cx_rt*Sens!$J$4407</f>
        <v>50.9060281137911</v>
      </c>
      <c r="K4557" s="38" t="n">
        <f aca="false">cx_rt*Sens!$K$4407</f>
        <v>54.2035645673053</v>
      </c>
      <c r="L4557" s="38" t="n">
        <f aca="false">cx_rt*Sens!$L$4407</f>
        <v>57.7318979121519</v>
      </c>
      <c r="M4557" s="38" t="n">
        <f aca="false">cx_rt*Sens!$M$4407</f>
        <v>61.5084196557756</v>
      </c>
    </row>
    <row r="4558" customFormat="false" ht="15" hidden="false" customHeight="false" outlineLevel="0" collapsed="false">
      <c r="A4558" s="3" t="s">
        <v>737</v>
      </c>
      <c r="B4558" s="8" t="s">
        <v>73</v>
      </c>
      <c r="C4558" s="38" t="n">
        <f aca="false">Q!$D$46</f>
        <v>77.658</v>
      </c>
      <c r="D4558" s="38" t="n">
        <f aca="false">Q!$E$46</f>
        <v>128.32</v>
      </c>
      <c r="E4558" s="38" t="n">
        <f aca="false">Q!$P$46</f>
        <v>96.31</v>
      </c>
      <c r="F4558" s="38" t="n">
        <f aca="false">Sens!$F$4555+Sens!$F$4556+Sens!$F$4557</f>
        <v>133.052706496153</v>
      </c>
      <c r="G4558" s="38" t="n">
        <f aca="false">Sens!$E$4558+Sens!$F$4558</f>
        <v>229.362706496153</v>
      </c>
      <c r="H4558" s="38" t="n">
        <f aca="false">Sens!$H$4555+Sens!$H$4556+Sens!$H$4557</f>
        <v>277.870120501355</v>
      </c>
      <c r="I4558" s="38" t="n">
        <f aca="false">Sens!$I$4555+Sens!$I$4556+Sens!$I$4557</f>
        <v>293.934464585378</v>
      </c>
      <c r="J4558" s="38" t="n">
        <f aca="false">Sens!$J$4555+Sens!$J$4556+Sens!$J$4557</f>
        <v>308.06904811359</v>
      </c>
      <c r="K4558" s="38" t="n">
        <f aca="false">Sens!$K$4555+Sens!$K$4556+Sens!$K$4557</f>
        <v>320.385735318248</v>
      </c>
      <c r="L4558" s="38" t="n">
        <f aca="false">Sens!$L$4555+Sens!$L$4556+Sens!$L$4557</f>
        <v>364.65641921833</v>
      </c>
      <c r="M4558" s="38" t="n">
        <f aca="false">Sens!$M$4555+Sens!$M$4556+Sens!$M$4557</f>
        <v>432.943173024858</v>
      </c>
    </row>
    <row r="4559" customFormat="false" ht="17.15" hidden="false" customHeight="false" outlineLevel="0" collapsed="false">
      <c r="A4559" s="5" t="s">
        <v>523</v>
      </c>
      <c r="B4559" s="0" t="s">
        <v>73</v>
      </c>
      <c r="C4559" s="38" t="n">
        <f aca="false">Q!$D$50</f>
        <v>2.043</v>
      </c>
      <c r="D4559" s="38" t="n">
        <f aca="false">Q!$E$50</f>
        <v>1.557</v>
      </c>
      <c r="E4559" s="38" t="n">
        <f aca="false">lease_pr/2</f>
        <v>0.8</v>
      </c>
      <c r="F4559" s="38" t="n">
        <f aca="false">lease_pr/2</f>
        <v>0.8</v>
      </c>
      <c r="G4559" s="38" t="n">
        <f aca="false">Sens!$E$4559+Sens!$F$4559</f>
        <v>1.6</v>
      </c>
      <c r="H4559" s="38" t="n">
        <f aca="false">lease_pr</f>
        <v>1.6</v>
      </c>
      <c r="I4559" s="38" t="n">
        <f aca="false">lease_pr</f>
        <v>1.6</v>
      </c>
      <c r="J4559" s="38" t="n">
        <f aca="false">lease_pr</f>
        <v>1.6</v>
      </c>
      <c r="K4559" s="38" t="n">
        <f aca="false">lease_pr</f>
        <v>1.6</v>
      </c>
      <c r="L4559" s="38" t="n">
        <f aca="false">lease_pr</f>
        <v>1.6</v>
      </c>
      <c r="M4559" s="38" t="n">
        <f aca="false">lease_pr</f>
        <v>1.6</v>
      </c>
      <c r="P4559" s="8" t="s">
        <v>738</v>
      </c>
    </row>
    <row r="4560" customFormat="false" ht="15" hidden="false" customHeight="false" outlineLevel="0" collapsed="false">
      <c r="A4560" s="46" t="s">
        <v>739</v>
      </c>
      <c r="B4560" s="13" t="s">
        <v>73</v>
      </c>
      <c r="C4560" s="47" t="n">
        <f aca="false">Sens!$C$4554-Sens!$C$4558-Sens!$C$4559</f>
        <v>36.176</v>
      </c>
      <c r="D4560" s="47" t="n">
        <f aca="false">Sens!$D$4554-Sens!$D$4558-Sens!$D$4559</f>
        <v>9.63700000000002</v>
      </c>
      <c r="E4560" s="47" t="n">
        <f aca="false">Sens!$E$4554-Sens!$E$4558-Sens!$E$4559</f>
        <v>-25.691</v>
      </c>
      <c r="F4560" s="47" t="n">
        <f aca="false">Sens!$F$4554-Sens!$F$4558-Sens!$F$4559</f>
        <v>-35.7358850873731</v>
      </c>
      <c r="G4560" s="47" t="n">
        <f aca="false">Sens!$G$4554-Sens!$G$4558-Sens!$G$4559</f>
        <v>-61.4268850873731</v>
      </c>
      <c r="H4560" s="47" t="n">
        <f aca="false">Sens!$H$4554-Sens!$H$4558-Sens!$H$4559</f>
        <v>-46.6987055925312</v>
      </c>
      <c r="I4560" s="47" t="n">
        <f aca="false">Sens!$I$4554-Sens!$I$4558-Sens!$I$4559</f>
        <v>-3.97574477606648</v>
      </c>
      <c r="J4560" s="47" t="n">
        <f aca="false">Sens!$J$4554-Sens!$J$4558-Sens!$J$4559</f>
        <v>39.7446339029391</v>
      </c>
      <c r="K4560" s="47" t="n">
        <f aca="false">Sens!$K$4554-Sens!$K$4558-Sens!$K$4559</f>
        <v>82.1731058789073</v>
      </c>
      <c r="L4560" s="47" t="n">
        <f aca="false">Sens!$L$4554-Sens!$L$4558-Sens!$L$4559</f>
        <v>94.1245500219009</v>
      </c>
      <c r="M4560" s="47" t="n">
        <f aca="false">Sens!$M$4554-Sens!$M$4558-Sens!$M$4559</f>
        <v>84.3831817256571</v>
      </c>
      <c r="N4560" s="13"/>
      <c r="O4560" s="13"/>
    </row>
    <row r="4561" customFormat="false" ht="17.15" hidden="false" customHeight="false" outlineLevel="0" collapsed="false">
      <c r="A4561" s="5" t="s">
        <v>740</v>
      </c>
      <c r="B4561" s="0" t="s">
        <v>73</v>
      </c>
      <c r="C4561" s="38" t="n">
        <f aca="false">dps*Sens!$C$4542</f>
        <v>0</v>
      </c>
      <c r="D4561" s="38" t="n">
        <f aca="false">dps*Sens!$D$4542</f>
        <v>0</v>
      </c>
      <c r="E4561" s="38" t="n">
        <f aca="false">dps*Sens!$E$4542</f>
        <v>0</v>
      </c>
      <c r="F4561" s="38" t="n">
        <f aca="false">0</f>
        <v>0</v>
      </c>
      <c r="G4561" s="38" t="n">
        <f aca="false">dps*Sens!$G$4542</f>
        <v>0</v>
      </c>
      <c r="H4561" s="38" t="n">
        <f aca="false">dps*Sens!$H$4542</f>
        <v>0</v>
      </c>
      <c r="I4561" s="38" t="n">
        <f aca="false">dps*Sens!$I$4542</f>
        <v>0</v>
      </c>
      <c r="J4561" s="38" t="n">
        <f aca="false">dps*Sens!$J$4542</f>
        <v>0</v>
      </c>
      <c r="K4561" s="38" t="n">
        <f aca="false">dps*Sens!$K$4542</f>
        <v>0</v>
      </c>
      <c r="L4561" s="38" t="n">
        <f aca="false">dps*Sens!$L$4542</f>
        <v>0</v>
      </c>
      <c r="M4561" s="38" t="n">
        <f aca="false">dps*Sens!$M$4542</f>
        <v>0</v>
      </c>
      <c r="P4561" s="8" t="s">
        <v>741</v>
      </c>
    </row>
    <row r="4562" customFormat="false" ht="17.15" hidden="false" customHeight="false" outlineLevel="0" collapsed="false">
      <c r="A4562" s="5" t="s">
        <v>742</v>
      </c>
      <c r="B4562" s="0" t="s">
        <v>73</v>
      </c>
      <c r="C4562" s="38" t="n">
        <f aca="false">0</f>
        <v>0</v>
      </c>
      <c r="D4562" s="38" t="n">
        <f aca="false">0</f>
        <v>0</v>
      </c>
      <c r="E4562" s="38" t="n">
        <f aca="false">0</f>
        <v>0</v>
      </c>
      <c r="F4562" s="38" t="n">
        <f aca="false">0</f>
        <v>0</v>
      </c>
      <c r="G4562" s="38" t="n">
        <f aca="false">0</f>
        <v>0</v>
      </c>
      <c r="H4562" s="38" t="n">
        <f aca="false">0</f>
        <v>0</v>
      </c>
      <c r="I4562" s="38" t="n">
        <f aca="false">0</f>
        <v>0</v>
      </c>
      <c r="J4562" s="38" t="n">
        <f aca="false">0</f>
        <v>0</v>
      </c>
      <c r="K4562" s="38" t="n">
        <f aca="false">0</f>
        <v>0</v>
      </c>
      <c r="L4562" s="38" t="n">
        <f aca="false">0</f>
        <v>0</v>
      </c>
      <c r="M4562" s="38" t="n">
        <f aca="false">0</f>
        <v>0</v>
      </c>
      <c r="P4562" s="8" t="s">
        <v>743</v>
      </c>
    </row>
    <row r="4563" customFormat="false" ht="15" hidden="false" customHeight="false" outlineLevel="0" collapsed="false">
      <c r="A4563" s="3" t="s">
        <v>744</v>
      </c>
      <c r="B4563" s="8" t="s">
        <v>73</v>
      </c>
      <c r="C4563" s="38" t="n">
        <f aca="false">Sens!$C$4560-Sens!$C$4561</f>
        <v>36.176</v>
      </c>
      <c r="D4563" s="38" t="n">
        <f aca="false">Sens!$D$4560-Sens!$D$4561</f>
        <v>9.63700000000002</v>
      </c>
      <c r="E4563" s="38" t="n">
        <f aca="false">Sens!$E$4560-Sens!$E$4561</f>
        <v>-25.691</v>
      </c>
      <c r="F4563" s="38" t="n">
        <f aca="false">Sens!$F$4560-Sens!$F$4561</f>
        <v>-35.7358850873731</v>
      </c>
      <c r="G4563" s="38" t="n">
        <f aca="false">Sens!$G$4560-Sens!$G$4561</f>
        <v>-61.4268850873731</v>
      </c>
      <c r="H4563" s="38" t="n">
        <f aca="false">Sens!$H$4560-Sens!$H$4561</f>
        <v>-46.6987055925312</v>
      </c>
      <c r="I4563" s="38" t="n">
        <f aca="false">Sens!$I$4560-Sens!$I$4561</f>
        <v>-3.97574477606648</v>
      </c>
      <c r="J4563" s="38" t="n">
        <f aca="false">Sens!$J$4560-Sens!$J$4561</f>
        <v>39.7446339029391</v>
      </c>
      <c r="K4563" s="38" t="n">
        <f aca="false">Sens!$K$4560-Sens!$K$4561</f>
        <v>82.1731058789073</v>
      </c>
      <c r="L4563" s="38" t="n">
        <f aca="false">Sens!$L$4560-Sens!$L$4561</f>
        <v>94.1245500219009</v>
      </c>
      <c r="M4563" s="38" t="n">
        <f aca="false">Sens!$M$4560-Sens!$M$4561</f>
        <v>84.3831817256571</v>
      </c>
    </row>
    <row r="4564" customFormat="false" ht="17.15" hidden="false" customHeight="false" outlineLevel="0" collapsed="false">
      <c r="A4564" s="5" t="s">
        <v>745</v>
      </c>
      <c r="B4564" s="0" t="s">
        <v>73</v>
      </c>
      <c r="E4564" s="38" t="n">
        <f aca="false">Q!$P$53</f>
        <v>39.767</v>
      </c>
      <c r="F4564" s="38" t="n">
        <f aca="false">inv_2h26</f>
        <v>21.3</v>
      </c>
      <c r="G4564" s="38" t="n">
        <f aca="false">Sens!$E$4564+Sens!$F$4564</f>
        <v>61.067</v>
      </c>
      <c r="H4564" s="41" t="n">
        <v>0</v>
      </c>
      <c r="I4564" s="41" t="n">
        <v>0</v>
      </c>
      <c r="J4564" s="41" t="n">
        <v>0</v>
      </c>
      <c r="K4564" s="41" t="n">
        <v>0</v>
      </c>
      <c r="L4564" s="41" t="n">
        <v>0</v>
      </c>
      <c r="M4564" s="41" t="n">
        <v>0</v>
      </c>
    </row>
    <row r="4565" customFormat="false" ht="17.15" hidden="false" customHeight="false" outlineLevel="0" collapsed="false">
      <c r="A4565" s="5" t="s">
        <v>746</v>
      </c>
      <c r="B4565" s="0" t="s">
        <v>73</v>
      </c>
      <c r="F4565" s="38" t="n">
        <f aca="false">iss_2h26</f>
        <v>29.25</v>
      </c>
      <c r="G4565" s="38" t="n">
        <f aca="false">Sens!$F$4565</f>
        <v>29.25</v>
      </c>
      <c r="H4565" s="41" t="n">
        <v>0</v>
      </c>
      <c r="I4565" s="41" t="n">
        <v>0</v>
      </c>
      <c r="J4565" s="41" t="n">
        <v>0</v>
      </c>
      <c r="K4565" s="41" t="n">
        <v>0</v>
      </c>
      <c r="L4565" s="41" t="n">
        <v>0</v>
      </c>
      <c r="M4565" s="41" t="n">
        <v>0</v>
      </c>
    </row>
    <row r="4566" customFormat="false" ht="17.15" hidden="false" customHeight="false" outlineLevel="0" collapsed="false">
      <c r="A4566" s="5" t="s">
        <v>747</v>
      </c>
      <c r="B4566" s="0" t="s">
        <v>73</v>
      </c>
      <c r="F4566" s="38" t="n">
        <f aca="false">cash_q2</f>
        <v>122.988</v>
      </c>
      <c r="G4566" s="38" t="n">
        <f aca="false">cash_q2</f>
        <v>122.988</v>
      </c>
      <c r="H4566" s="38" t="n">
        <f aca="false">Sens!$G$4569</f>
        <v>95.2021149126269</v>
      </c>
      <c r="I4566" s="38" t="n">
        <f aca="false">Sens!$H$4569</f>
        <v>50</v>
      </c>
      <c r="J4566" s="38" t="n">
        <f aca="false">Sens!$I$4569</f>
        <v>50</v>
      </c>
      <c r="K4566" s="38" t="n">
        <f aca="false">Sens!$J$4569</f>
        <v>89.7446339029391</v>
      </c>
      <c r="L4566" s="38" t="n">
        <f aca="false">Sens!$K$4569</f>
        <v>171.917739781846</v>
      </c>
      <c r="M4566" s="38" t="n">
        <f aca="false">Sens!$L$4569</f>
        <v>266.042289803747</v>
      </c>
    </row>
    <row r="4567" customFormat="false" ht="15" hidden="false" customHeight="false" outlineLevel="0" collapsed="false">
      <c r="A4567" s="5" t="s">
        <v>748</v>
      </c>
      <c r="B4567" s="0" t="s">
        <v>73</v>
      </c>
      <c r="F4567" s="38" t="n">
        <f aca="false">Sens!$F$4566+Sens!$F$4563-Sens!$F$4562-Sens!$F$4564+Sens!$F$4565</f>
        <v>95.2021149126269</v>
      </c>
      <c r="H4567" s="38" t="n">
        <f aca="false">Sens!$H$4566+Sens!$H$4563-Sens!$H$4562-Sens!$H$4564+Sens!$H$4565</f>
        <v>48.5034093200957</v>
      </c>
      <c r="I4567" s="38" t="n">
        <f aca="false">Sens!$I$4566+Sens!$I$4563-Sens!$I$4562-Sens!$I$4564+Sens!$I$4565</f>
        <v>46.0242552239335</v>
      </c>
      <c r="J4567" s="38" t="n">
        <f aca="false">Sens!$J$4566+Sens!$J$4563-Sens!$J$4562-Sens!$J$4564+Sens!$J$4565</f>
        <v>89.7446339029391</v>
      </c>
      <c r="K4567" s="38" t="n">
        <f aca="false">Sens!$K$4566+Sens!$K$4563-Sens!$K$4562-Sens!$K$4564+Sens!$K$4565</f>
        <v>171.917739781846</v>
      </c>
      <c r="L4567" s="38" t="n">
        <f aca="false">Sens!$L$4566+Sens!$L$4563-Sens!$L$4562-Sens!$L$4564+Sens!$L$4565</f>
        <v>266.042289803747</v>
      </c>
      <c r="M4567" s="38" t="n">
        <f aca="false">Sens!$M$4566+Sens!$M$4563-Sens!$M$4562-Sens!$M$4564+Sens!$M$4565</f>
        <v>350.425471529404</v>
      </c>
    </row>
    <row r="4568" customFormat="false" ht="17.15" hidden="false" customHeight="false" outlineLevel="0" collapsed="false">
      <c r="A4568" s="5" t="s">
        <v>749</v>
      </c>
      <c r="B4568" s="0" t="s">
        <v>73</v>
      </c>
      <c r="F4568" s="38" t="n">
        <f aca="false">MAX(0,min_cash-Sens!$F$4567)</f>
        <v>0</v>
      </c>
      <c r="G4568" s="38" t="n">
        <f aca="false">Sens!$F$4568</f>
        <v>0</v>
      </c>
      <c r="H4568" s="38" t="n">
        <f aca="false">MAX(0,min_cash-Sens!$H$4567)</f>
        <v>1.49659067990431</v>
      </c>
      <c r="I4568" s="38" t="n">
        <f aca="false">MAX(0,min_cash-Sens!$I$4567)</f>
        <v>3.97574477606648</v>
      </c>
      <c r="J4568" s="38" t="n">
        <f aca="false">MAX(0,min_cash-Sens!$J$4567)</f>
        <v>0</v>
      </c>
      <c r="K4568" s="38" t="n">
        <f aca="false">MAX(0,min_cash-Sens!$K$4567)</f>
        <v>0</v>
      </c>
      <c r="L4568" s="38" t="n">
        <f aca="false">MAX(0,min_cash-Sens!$L$4567)</f>
        <v>0</v>
      </c>
      <c r="M4568" s="38" t="n">
        <f aca="false">MAX(0,min_cash-Sens!$M$4567)</f>
        <v>0</v>
      </c>
      <c r="P4568" s="5" t="s">
        <v>750</v>
      </c>
    </row>
    <row r="4569" customFormat="false" ht="15" hidden="false" customHeight="false" outlineLevel="0" collapsed="false">
      <c r="A4569" s="5" t="s">
        <v>751</v>
      </c>
      <c r="B4569" s="0" t="s">
        <v>73</v>
      </c>
      <c r="D4569" s="38" t="n">
        <f aca="false">Q!$E$61</f>
        <v>123.029</v>
      </c>
      <c r="E4569" s="38" t="n">
        <f aca="false">Q!$M$61</f>
        <v>122.988</v>
      </c>
      <c r="F4569" s="38" t="n">
        <f aca="false">Sens!$F$4567+Sens!$F$4568</f>
        <v>95.2021149126269</v>
      </c>
      <c r="G4569" s="38" t="n">
        <f aca="false">Sens!$F$4569</f>
        <v>95.2021149126269</v>
      </c>
      <c r="H4569" s="38" t="n">
        <f aca="false">Sens!$H$4567+Sens!$H$4568</f>
        <v>50</v>
      </c>
      <c r="I4569" s="38" t="n">
        <f aca="false">Sens!$I$4567+Sens!$I$4568</f>
        <v>50</v>
      </c>
      <c r="J4569" s="38" t="n">
        <f aca="false">Sens!$J$4567+Sens!$J$4568</f>
        <v>89.7446339029391</v>
      </c>
      <c r="K4569" s="38" t="n">
        <f aca="false">Sens!$K$4567+Sens!$K$4568</f>
        <v>171.917739781846</v>
      </c>
      <c r="L4569" s="38" t="n">
        <f aca="false">Sens!$L$4567+Sens!$L$4568</f>
        <v>266.042289803747</v>
      </c>
      <c r="M4569" s="38" t="n">
        <f aca="false">Sens!$M$4567+Sens!$M$4568</f>
        <v>350.425471529404</v>
      </c>
    </row>
    <row r="4570" customFormat="false" ht="15" hidden="false" customHeight="false" outlineLevel="0" collapsed="false">
      <c r="A4570" s="5" t="s">
        <v>752</v>
      </c>
      <c r="B4570" s="0" t="s">
        <v>73</v>
      </c>
      <c r="D4570" s="38" t="n">
        <f aca="false">Q!$E$62</f>
        <v>68.836</v>
      </c>
      <c r="E4570" s="38" t="n">
        <f aca="false">Q!$M$62</f>
        <v>132.995</v>
      </c>
      <c r="F4570" s="38" t="n">
        <f aca="false">debt_q2+Sens!$F$4565+Sens!$F$4568</f>
        <v>162.245</v>
      </c>
      <c r="G4570" s="38" t="n">
        <f aca="false">Sens!$F$4570</f>
        <v>162.245</v>
      </c>
      <c r="H4570" s="38" t="n">
        <f aca="false">Sens!$G$4570+Sens!$H$4568</f>
        <v>163.741590679904</v>
      </c>
      <c r="I4570" s="38" t="n">
        <f aca="false">Sens!$H$4570+Sens!$I$4568</f>
        <v>167.717335455971</v>
      </c>
      <c r="J4570" s="38" t="n">
        <f aca="false">Sens!$I$4570+Sens!$J$4568</f>
        <v>167.717335455971</v>
      </c>
      <c r="K4570" s="38" t="n">
        <f aca="false">Sens!$J$4570+Sens!$K$4568</f>
        <v>167.717335455971</v>
      </c>
      <c r="L4570" s="38" t="n">
        <f aca="false">Sens!$K$4570+Sens!$L$4568</f>
        <v>167.717335455971</v>
      </c>
      <c r="M4570" s="38" t="n">
        <f aca="false">Sens!$L$4570+Sens!$M$4568</f>
        <v>167.717335455971</v>
      </c>
    </row>
    <row r="4571" customFormat="false" ht="15" hidden="false" customHeight="false" outlineLevel="0" collapsed="false">
      <c r="A4571" s="5" t="s">
        <v>753</v>
      </c>
      <c r="B4571" s="0" t="s">
        <v>73</v>
      </c>
      <c r="D4571" s="38" t="n">
        <f aca="false">Sens!$D$4570-Sens!$D$4569</f>
        <v>-54.193</v>
      </c>
      <c r="E4571" s="38" t="n">
        <f aca="false">Sens!$E$4570-Sens!$E$4569</f>
        <v>10.007</v>
      </c>
      <c r="F4571" s="38" t="n">
        <f aca="false">Sens!$F$4570-Sens!$F$4569</f>
        <v>67.0428850873731</v>
      </c>
      <c r="G4571" s="38" t="n">
        <f aca="false">Sens!$G$4570-Sens!$G$4569</f>
        <v>67.0428850873731</v>
      </c>
      <c r="H4571" s="38" t="n">
        <f aca="false">Sens!$H$4570-Sens!$H$4569</f>
        <v>113.741590679904</v>
      </c>
      <c r="I4571" s="38" t="n">
        <f aca="false">Sens!$I$4570-Sens!$I$4569</f>
        <v>117.717335455971</v>
      </c>
      <c r="J4571" s="38" t="n">
        <f aca="false">Sens!$J$4570-Sens!$J$4569</f>
        <v>77.9727015530317</v>
      </c>
      <c r="K4571" s="38" t="n">
        <f aca="false">Sens!$K$4570-Sens!$K$4569</f>
        <v>-4.20040432587558</v>
      </c>
      <c r="L4571" s="38" t="n">
        <f aca="false">Sens!$L$4570-Sens!$L$4569</f>
        <v>-98.3249543477765</v>
      </c>
      <c r="M4571" s="38" t="n">
        <f aca="false">Sens!$M$4570-Sens!$M$4569</f>
        <v>-182.708136073434</v>
      </c>
    </row>
    <row r="4572" customFormat="false" ht="17.15" hidden="false" customHeight="false" outlineLevel="0" collapsed="false">
      <c r="A4572" s="5" t="s">
        <v>754</v>
      </c>
      <c r="B4572" s="0" t="s">
        <v>73</v>
      </c>
      <c r="F4572" s="38" t="n">
        <f aca="false">debt_q2*kd_book*0.5+iss_2h26*kd_new*0.25</f>
        <v>3.24888964316061</v>
      </c>
      <c r="H4572" s="38" t="n">
        <f aca="false">debt_q2*kd_book+(Sens!$G$4570-debt_q2)*kd_new</f>
        <v>7.42354178632123</v>
      </c>
      <c r="I4572" s="38" t="n">
        <f aca="false">debt_q2*kd_book+(Sens!$H$4570-debt_q2)*kd_new</f>
        <v>7.51827597635917</v>
      </c>
      <c r="J4572" s="38" t="n">
        <f aca="false">debt_q2*kd_book+(Sens!$I$4570-debt_q2)*kd_new</f>
        <v>7.76994062068418</v>
      </c>
      <c r="K4572" s="38" t="n">
        <f aca="false">debt_q2*kd_book+(Sens!$J$4570-debt_q2)*kd_new</f>
        <v>7.76994062068418</v>
      </c>
      <c r="L4572" s="38" t="n">
        <f aca="false">debt_q2*kd_book+(Sens!$K$4570-debt_q2)*kd_new</f>
        <v>7.76994062068418</v>
      </c>
      <c r="M4572" s="38" t="n">
        <f aca="false">debt_q2*kd_book+(Sens!$L$4570-debt_q2)*kd_new</f>
        <v>7.76994062068418</v>
      </c>
    </row>
    <row r="4573" customFormat="false" ht="17.15" hidden="false" customHeight="false" outlineLevel="0" collapsed="false">
      <c r="A4573" s="5" t="s">
        <v>755</v>
      </c>
      <c r="B4573" s="0" t="s">
        <v>73</v>
      </c>
      <c r="F4573" s="38" t="n">
        <f aca="false">cash_q2*y_cash*0.5</f>
        <v>2.59</v>
      </c>
      <c r="H4573" s="38" t="n">
        <f aca="false">Sens!$G$4569*y_cash</f>
        <v>4.00971603121774</v>
      </c>
      <c r="I4573" s="38" t="n">
        <f aca="false">Sens!$H$4569*y_cash</f>
        <v>2.10589651022864</v>
      </c>
      <c r="J4573" s="38" t="n">
        <f aca="false">Sens!$I$4569*y_cash</f>
        <v>2.10589651022864</v>
      </c>
      <c r="K4573" s="38" t="n">
        <f aca="false">Sens!$J$4569*y_cash</f>
        <v>3.77985822695893</v>
      </c>
      <c r="L4573" s="38" t="n">
        <f aca="false">Sens!$K$4569*y_cash</f>
        <v>7.24081936505971</v>
      </c>
      <c r="M4573" s="38" t="n">
        <f aca="false">Sens!$L$4569*y_cash</f>
        <v>11.205150593419</v>
      </c>
    </row>
    <row r="4574" customFormat="false" ht="17.15" hidden="false" customHeight="false" outlineLevel="0" collapsed="false">
      <c r="A4574" s="46" t="s">
        <v>756</v>
      </c>
      <c r="B4574" s="13" t="s">
        <v>73</v>
      </c>
      <c r="C4574" s="13"/>
      <c r="D4574" s="13"/>
      <c r="E4574" s="13"/>
      <c r="F4574" s="13"/>
      <c r="G4574" s="47" t="n">
        <f aca="false">SUM(Sens!$G$4563:$K$4563)</f>
        <v>9.81640432587554</v>
      </c>
      <c r="H4574" s="13"/>
      <c r="I4574" s="13"/>
      <c r="J4574" s="13"/>
      <c r="K4574" s="13"/>
      <c r="L4574" s="13"/>
      <c r="M4574" s="13"/>
      <c r="N4574" s="13"/>
      <c r="O4574" s="13"/>
    </row>
    <row r="4575" customFormat="false" ht="17.15" hidden="false" customHeight="false" outlineLevel="0" collapsed="false">
      <c r="A4575" s="0" t="s">
        <v>723</v>
      </c>
      <c r="B4575" s="0" t="s">
        <v>73</v>
      </c>
      <c r="G4575" s="38" t="n">
        <f aca="false">SUM(Sens!$G$4568:$K$4568)</f>
        <v>5.47233545597079</v>
      </c>
    </row>
    <row r="4578" customFormat="false" ht="19.4" hidden="false" customHeight="false" outlineLevel="0" collapsed="false">
      <c r="A4578" s="31" t="s">
        <v>1142</v>
      </c>
    </row>
    <row r="4579" customFormat="false" ht="17.15" hidden="false" customHeight="false" outlineLevel="0" collapsed="false">
      <c r="A4579" s="6" t="s">
        <v>16</v>
      </c>
      <c r="B4579" s="6" t="s">
        <v>17</v>
      </c>
      <c r="C4579" s="20" t="s">
        <v>457</v>
      </c>
      <c r="D4579" s="20" t="s">
        <v>458</v>
      </c>
      <c r="E4579" s="20" t="s">
        <v>540</v>
      </c>
      <c r="F4579" s="20" t="s">
        <v>541</v>
      </c>
      <c r="G4579" s="20" t="s">
        <v>542</v>
      </c>
      <c r="H4579" s="20" t="s">
        <v>543</v>
      </c>
      <c r="I4579" s="20" t="s">
        <v>544</v>
      </c>
      <c r="J4579" s="20" t="s">
        <v>545</v>
      </c>
      <c r="K4579" s="20" t="s">
        <v>546</v>
      </c>
      <c r="L4579" s="20" t="s">
        <v>547</v>
      </c>
      <c r="M4579" s="20" t="s">
        <v>548</v>
      </c>
      <c r="N4579" s="20" t="s">
        <v>549</v>
      </c>
      <c r="O4579" s="20" t="s">
        <v>550</v>
      </c>
      <c r="P4579" s="6" t="s">
        <v>23</v>
      </c>
      <c r="R4579" s="20" t="n">
        <v>2023</v>
      </c>
      <c r="S4579" s="20" t="n">
        <v>2024</v>
      </c>
      <c r="T4579" s="20" t="n">
        <v>2025</v>
      </c>
      <c r="U4579" s="20" t="n">
        <v>2026</v>
      </c>
      <c r="V4579" s="20" t="n">
        <v>2027</v>
      </c>
      <c r="W4579" s="20" t="n">
        <v>2028</v>
      </c>
      <c r="X4579" s="20" t="n">
        <v>2029</v>
      </c>
      <c r="Y4579" s="20" t="n">
        <v>2030</v>
      </c>
      <c r="Z4579" s="20" t="n">
        <v>2031</v>
      </c>
      <c r="AA4579" s="20" t="n">
        <v>2032</v>
      </c>
    </row>
    <row r="4580" customFormat="false" ht="17.15" hidden="false" customHeight="false" outlineLevel="0" collapsed="false">
      <c r="A4580" s="1" t="s">
        <v>851</v>
      </c>
    </row>
    <row r="4581" customFormat="false" ht="17.15" hidden="false" customHeight="false" outlineLevel="0" collapsed="false">
      <c r="A4581" s="0" t="s">
        <v>852</v>
      </c>
      <c r="B4581" s="0" t="s">
        <v>73</v>
      </c>
      <c r="H4581" s="38" t="n">
        <f aca="false">Sens!$H$4517*(1-tax)</f>
        <v>112.093921330558</v>
      </c>
      <c r="I4581" s="38" t="n">
        <f aca="false">Sens!$I$4517*(1-tax)</f>
        <v>132.779045500917</v>
      </c>
      <c r="J4581" s="38" t="n">
        <f aca="false">Sens!$J$4517*(1-tax)</f>
        <v>151.181555485193</v>
      </c>
      <c r="K4581" s="38" t="n">
        <f aca="false">Sens!$K$4517*(1-tax)</f>
        <v>166.036468953087</v>
      </c>
      <c r="L4581" s="38" t="n">
        <f aca="false">Sens!$L$4517*(1-tax)</f>
        <v>182.348678369869</v>
      </c>
      <c r="M4581" s="38" t="n">
        <f aca="false">Sens!$M$4517*(1-tax)</f>
        <v>199.243892383632</v>
      </c>
    </row>
    <row r="4582" customFormat="false" ht="15" hidden="false" customHeight="false" outlineLevel="0" collapsed="false">
      <c r="A4582" s="5" t="s">
        <v>853</v>
      </c>
      <c r="B4582" s="0" t="s">
        <v>73</v>
      </c>
      <c r="H4582" s="38" t="n">
        <f aca="false">Sens!$H$4529</f>
        <v>87.6845218193838</v>
      </c>
      <c r="I4582" s="38" t="n">
        <f aca="false">Sens!$I$4529</f>
        <v>122.294769708638</v>
      </c>
      <c r="J4582" s="38" t="n">
        <f aca="false">Sens!$J$4529</f>
        <v>157.133962573221</v>
      </c>
      <c r="K4582" s="38" t="n">
        <f aca="false">Sens!$K$4529</f>
        <v>191.350633353599</v>
      </c>
      <c r="L4582" s="38" t="n">
        <f aca="false">Sens!$L$4529</f>
        <v>223.909238335354</v>
      </c>
      <c r="M4582" s="38" t="n">
        <f aca="false">Sens!$M$4529</f>
        <v>257.576319867276</v>
      </c>
    </row>
    <row r="4583" customFormat="false" ht="15" hidden="false" customHeight="false" outlineLevel="0" collapsed="false">
      <c r="A4583" s="5" t="s">
        <v>854</v>
      </c>
      <c r="B4583" s="0" t="s">
        <v>73</v>
      </c>
      <c r="H4583" s="38" t="n">
        <f aca="false">Sens!$H$4558</f>
        <v>277.870120501355</v>
      </c>
      <c r="I4583" s="38" t="n">
        <f aca="false">Sens!$I$4558</f>
        <v>293.934464585378</v>
      </c>
      <c r="J4583" s="38" t="n">
        <f aca="false">Sens!$J$4558</f>
        <v>308.06904811359</v>
      </c>
      <c r="K4583" s="38" t="n">
        <f aca="false">Sens!$K$4558</f>
        <v>320.385735318248</v>
      </c>
      <c r="L4583" s="38" t="n">
        <f aca="false">Sens!$L$4558</f>
        <v>364.65641921833</v>
      </c>
      <c r="M4583" s="38" t="n">
        <f aca="false">Sens!$M$4558</f>
        <v>432.943173024858</v>
      </c>
    </row>
    <row r="4584" customFormat="false" ht="15" hidden="false" customHeight="false" outlineLevel="0" collapsed="false">
      <c r="A4584" s="5" t="s">
        <v>855</v>
      </c>
      <c r="B4584" s="0" t="s">
        <v>73</v>
      </c>
      <c r="H4584" s="38" t="n">
        <f aca="false">Sens!$H$4559</f>
        <v>1.6</v>
      </c>
      <c r="I4584" s="38" t="n">
        <f aca="false">Sens!$I$4559</f>
        <v>1.6</v>
      </c>
      <c r="J4584" s="38" t="n">
        <f aca="false">Sens!$J$4559</f>
        <v>1.6</v>
      </c>
      <c r="K4584" s="38" t="n">
        <f aca="false">Sens!$K$4559</f>
        <v>1.6</v>
      </c>
      <c r="L4584" s="38" t="n">
        <f aca="false">Sens!$L$4559</f>
        <v>1.6</v>
      </c>
      <c r="M4584" s="38" t="n">
        <f aca="false">Sens!$M$4559</f>
        <v>1.6</v>
      </c>
    </row>
    <row r="4585" customFormat="false" ht="15" hidden="false" customHeight="false" outlineLevel="0" collapsed="false">
      <c r="A4585" s="5" t="s">
        <v>856</v>
      </c>
      <c r="B4585" s="0" t="s">
        <v>73</v>
      </c>
      <c r="H4585" s="38" t="n">
        <f aca="false">Sens!$H$4553</f>
        <v>11.6369707537667</v>
      </c>
      <c r="I4585" s="38" t="n">
        <f aca="false">Sens!$I$4553</f>
        <v>13.3082502961262</v>
      </c>
      <c r="J4585" s="38" t="n">
        <f aca="false">Sens!$J$4553</f>
        <v>14.8747965344332</v>
      </c>
      <c r="K4585" s="38" t="n">
        <f aca="false">Sens!$K$4553</f>
        <v>16.2687901804328</v>
      </c>
      <c r="L4585" s="38" t="n">
        <f aca="false">Sens!$L$4553</f>
        <v>17.7280727627002</v>
      </c>
      <c r="M4585" s="38" t="n">
        <f aca="false">Sens!$M$4553</f>
        <v>19.2574690270319</v>
      </c>
    </row>
    <row r="4586" customFormat="false" ht="17.15" hidden="false" customHeight="false" outlineLevel="0" collapsed="false">
      <c r="A4586" s="1" t="s">
        <v>857</v>
      </c>
      <c r="B4586" s="8" t="s">
        <v>73</v>
      </c>
      <c r="H4586" s="38" t="n">
        <f aca="false">Sens!$H$4581+Sens!$H$4582-Sens!$H$4583-Sens!$H$4584+Sens!$H$4585</f>
        <v>-68.0547065976468</v>
      </c>
      <c r="I4586" s="38" t="n">
        <f aca="false">Sens!$I$4581+Sens!$I$4582-Sens!$I$4583-Sens!$I$4584+Sens!$I$4585</f>
        <v>-27.1523990796972</v>
      </c>
      <c r="J4586" s="38" t="n">
        <f aca="false">Sens!$J$4581+Sens!$J$4582-Sens!$J$4583-Sens!$J$4584+Sens!$J$4585</f>
        <v>13.5212664792573</v>
      </c>
      <c r="K4586" s="38" t="n">
        <f aca="false">Sens!$K$4581+Sens!$K$4582-Sens!$K$4583-Sens!$K$4584+Sens!$K$4585</f>
        <v>51.6701571688709</v>
      </c>
      <c r="L4586" s="38" t="n">
        <f aca="false">Sens!$L$4581+Sens!$L$4582-Sens!$L$4583-Sens!$L$4584+Sens!$L$4585</f>
        <v>57.7295702495933</v>
      </c>
      <c r="M4586" s="38" t="n">
        <f aca="false">Sens!$M$4581+Sens!$M$4582-Sens!$M$4583-Sens!$M$4584+Sens!$M$4585</f>
        <v>41.534508253082</v>
      </c>
    </row>
    <row r="4587" customFormat="false" ht="15" hidden="false" customHeight="false" outlineLevel="0" collapsed="false">
      <c r="A4587" s="5" t="s">
        <v>858</v>
      </c>
      <c r="B4587" s="0" t="s">
        <v>57</v>
      </c>
      <c r="H4587" s="51" t="n">
        <f aca="false">1/(1+(wacc-0.01))^(2027-2026-0.5)</f>
        <v>0.947077246230261</v>
      </c>
      <c r="I4587" s="51" t="n">
        <f aca="false">1/(1+(wacc-0.01))^(2028-2026-0.5)</f>
        <v>0.849485965296193</v>
      </c>
      <c r="J4587" s="51" t="n">
        <f aca="false">1/(1+(wacc-0.01))^(2029-2026-0.5)</f>
        <v>0.761950947620757</v>
      </c>
      <c r="K4587" s="51" t="n">
        <f aca="false">1/(1+(wacc-0.01))^(2030-2026-0.5)</f>
        <v>0.6834359486772</v>
      </c>
      <c r="L4587" s="51" t="n">
        <f aca="false">1/(1+(wacc-0.01))^(2031-2026-0.5)</f>
        <v>0.613011503434449</v>
      </c>
      <c r="M4587" s="51" t="n">
        <f aca="false">1/(1+(wacc-0.01))^(2032-2026-0.5)</f>
        <v>0.549843923297125</v>
      </c>
    </row>
    <row r="4588" customFormat="false" ht="15" hidden="false" customHeight="false" outlineLevel="0" collapsed="false">
      <c r="A4588" s="5" t="s">
        <v>859</v>
      </c>
      <c r="B4588" s="0" t="s">
        <v>73</v>
      </c>
      <c r="H4588" s="38" t="n">
        <f aca="false">Sens!$H$4586*Sens!$H$4587</f>
        <v>-64.4530641175077</v>
      </c>
      <c r="I4588" s="38" t="n">
        <f aca="false">Sens!$I$4586*Sens!$I$4587</f>
        <v>-23.0655819423241</v>
      </c>
      <c r="J4588" s="38" t="n">
        <f aca="false">Sens!$J$4586*Sens!$J$4587</f>
        <v>10.3025418069029</v>
      </c>
      <c r="K4588" s="38" t="n">
        <f aca="false">Sens!$K$4586*Sens!$K$4587</f>
        <v>35.3132428830073</v>
      </c>
      <c r="L4588" s="38" t="n">
        <f aca="false">Sens!$L$4586*Sens!$L$4587</f>
        <v>35.3888906513278</v>
      </c>
      <c r="M4588" s="38" t="n">
        <f aca="false">Sens!$M$4586*Sens!$M$4587</f>
        <v>22.8374969700914</v>
      </c>
    </row>
    <row r="4589" customFormat="false" ht="15" hidden="false" customHeight="false" outlineLevel="0" collapsed="false">
      <c r="A4589" s="5" t="s">
        <v>860</v>
      </c>
      <c r="B4589" s="0" t="s">
        <v>73</v>
      </c>
      <c r="C4589" s="38" t="n">
        <f aca="false">SUM(Sens!$H$4588:$M$4588)</f>
        <v>16.3235262514977</v>
      </c>
    </row>
    <row r="4590" customFormat="false" ht="17.15" hidden="false" customHeight="false" outlineLevel="0" collapsed="false">
      <c r="A4590" s="5" t="s">
        <v>861</v>
      </c>
      <c r="B4590" s="0" t="s">
        <v>73</v>
      </c>
      <c r="C4590" s="38" t="n">
        <f aca="false">Sens!$M$4581*(1+tg)*(1-tg/ronic)/((wacc-0.01)-tg)</f>
        <v>1836.90892453882</v>
      </c>
    </row>
    <row r="4591" customFormat="false" ht="15" hidden="false" customHeight="false" outlineLevel="0" collapsed="false">
      <c r="A4591" s="5" t="s">
        <v>862</v>
      </c>
      <c r="B4591" s="0" t="s">
        <v>73</v>
      </c>
      <c r="C4591" s="38" t="n">
        <f aca="false">Sens!$C$4590/(1+(wacc-0.01))^6</f>
        <v>956.560529401079</v>
      </c>
    </row>
    <row r="4592" customFormat="false" ht="17.15" hidden="false" customHeight="false" outlineLevel="0" collapsed="false">
      <c r="A4592" s="5" t="s">
        <v>863</v>
      </c>
      <c r="B4592" s="0" t="s">
        <v>73</v>
      </c>
      <c r="C4592" s="38" t="n">
        <f aca="false">Sens!$C$4589+Sens!$C$4591</f>
        <v>972.884055652577</v>
      </c>
    </row>
    <row r="4593" customFormat="false" ht="17.15" hidden="false" customHeight="false" outlineLevel="0" collapsed="false">
      <c r="A4593" s="5" t="s">
        <v>864</v>
      </c>
      <c r="B4593" s="0" t="s">
        <v>52</v>
      </c>
      <c r="C4593" s="12" t="n">
        <f aca="false">Sens!$C$4591/Sens!$C$4592</f>
        <v>0.983221509123666</v>
      </c>
    </row>
    <row r="4594" customFormat="false" ht="17.15" hidden="false" customHeight="false" outlineLevel="0" collapsed="false">
      <c r="A4594" s="5" t="s">
        <v>865</v>
      </c>
      <c r="B4594" s="0" t="s">
        <v>73</v>
      </c>
      <c r="C4594" s="38" t="n">
        <f aca="false">Sens!$G$4571</f>
        <v>67.0428850873731</v>
      </c>
    </row>
    <row r="4595" customFormat="false" ht="17.15" hidden="false" customHeight="false" outlineLevel="0" collapsed="false">
      <c r="A4595" s="5" t="s">
        <v>866</v>
      </c>
      <c r="B4595" s="0" t="s">
        <v>73</v>
      </c>
      <c r="C4595" s="38" t="n">
        <f aca="false">(ant_val*ant_sh+oai_val*oai_sh)*(1-liq_disc)</f>
        <v>178.944</v>
      </c>
    </row>
    <row r="4596" customFormat="false" ht="15" hidden="false" customHeight="false" outlineLevel="0" collapsed="false">
      <c r="A4596" s="5" t="s">
        <v>867</v>
      </c>
      <c r="B4596" s="0" t="s">
        <v>73</v>
      </c>
      <c r="C4596" s="38" t="n">
        <f aca="false">Sens!$C$4592-Sens!$C$4594+Sens!$C$4595</f>
        <v>1084.7851705652</v>
      </c>
    </row>
    <row r="4597" customFormat="false" ht="17.15" hidden="false" customHeight="false" outlineLevel="0" collapsed="false">
      <c r="A4597" s="5" t="s">
        <v>868</v>
      </c>
      <c r="B4597" s="0" t="s">
        <v>27</v>
      </c>
      <c r="C4597" s="30" t="n">
        <f aca="false">Sens!$C$4596/sh_val</f>
        <v>98.3458105150228</v>
      </c>
    </row>
    <row r="4598" customFormat="false" ht="17.15" hidden="false" customHeight="false" outlineLevel="0" collapsed="false">
      <c r="A4598" s="1" t="s">
        <v>869</v>
      </c>
      <c r="B4598" s="8" t="s">
        <v>27</v>
      </c>
      <c r="C4598" s="30" t="n">
        <f aca="false">Sens!$C$4597*(1+ke)^tp_yf</f>
        <v>108.617530868126</v>
      </c>
    </row>
    <row r="4599" customFormat="false" ht="17.15" hidden="false" customHeight="false" outlineLevel="0" collapsed="false">
      <c r="A4599" s="3" t="s">
        <v>870</v>
      </c>
    </row>
    <row r="4600" customFormat="false" ht="17.15" hidden="false" customHeight="false" outlineLevel="0" collapsed="false">
      <c r="A4600" s="5" t="s">
        <v>871</v>
      </c>
      <c r="B4600" s="0" t="s">
        <v>73</v>
      </c>
      <c r="C4600" s="38" t="n">
        <f aca="false">0.25*Sens!$H$4530+0.75*Sens!$I$4530</f>
        <v>57.5541093268329</v>
      </c>
    </row>
    <row r="4601" customFormat="false" ht="15" hidden="false" customHeight="false" outlineLevel="0" collapsed="false">
      <c r="A4601" s="5" t="s">
        <v>872</v>
      </c>
      <c r="B4601" s="0" t="s">
        <v>57</v>
      </c>
      <c r="C4601" s="30" t="n">
        <f aca="false">m_ads*m_x</f>
        <v>9.11</v>
      </c>
    </row>
    <row r="4602" customFormat="false" ht="17.15" hidden="false" customHeight="false" outlineLevel="0" collapsed="false">
      <c r="A4602" s="5" t="s">
        <v>873</v>
      </c>
      <c r="B4602" s="0" t="s">
        <v>73</v>
      </c>
      <c r="C4602" s="38" t="n">
        <f aca="false">Sens!$C$4600*Sens!$C$4601</f>
        <v>524.317935967448</v>
      </c>
    </row>
    <row r="4603" customFormat="false" ht="17.15" hidden="false" customHeight="false" outlineLevel="0" collapsed="false">
      <c r="A4603" s="5" t="s">
        <v>874</v>
      </c>
      <c r="B4603" s="0" t="s">
        <v>73</v>
      </c>
      <c r="C4603" s="38" t="n">
        <f aca="false">0.25*Sens!$H$4531+0.75*Sens!$I$4531</f>
        <v>30.6290803533085</v>
      </c>
    </row>
    <row r="4604" customFormat="false" ht="15" hidden="false" customHeight="false" outlineLevel="0" collapsed="false">
      <c r="A4604" s="5" t="s">
        <v>875</v>
      </c>
      <c r="B4604" s="0" t="s">
        <v>57</v>
      </c>
      <c r="C4604" s="30" t="n">
        <f aca="false">m_retail*m_x</f>
        <v>17.72</v>
      </c>
    </row>
    <row r="4605" customFormat="false" ht="17.15" hidden="false" customHeight="false" outlineLevel="0" collapsed="false">
      <c r="A4605" s="5" t="s">
        <v>876</v>
      </c>
      <c r="B4605" s="0" t="s">
        <v>73</v>
      </c>
      <c r="C4605" s="38" t="n">
        <f aca="false">Sens!$C$4603*Sens!$C$4604</f>
        <v>542.747303860627</v>
      </c>
    </row>
    <row r="4606" customFormat="false" ht="17.15" hidden="false" customHeight="false" outlineLevel="0" collapsed="false">
      <c r="A4606" s="0" t="s">
        <v>877</v>
      </c>
      <c r="B4606" s="0" t="s">
        <v>73</v>
      </c>
      <c r="C4606" s="38" t="n">
        <f aca="false">0.25*Sens!$H$4532+0.75*Sens!$I$4532</f>
        <v>107.575398943098</v>
      </c>
    </row>
    <row r="4607" customFormat="false" ht="17.15" hidden="false" customHeight="false" outlineLevel="0" collapsed="false">
      <c r="A4607" s="0" t="s">
        <v>878</v>
      </c>
      <c r="B4607" s="0" t="s">
        <v>57</v>
      </c>
      <c r="C4607" s="30" t="n">
        <f aca="false">m_cloud*m_x</f>
        <v>13.82</v>
      </c>
    </row>
    <row r="4608" customFormat="false" ht="17.15" hidden="false" customHeight="false" outlineLevel="0" collapsed="false">
      <c r="A4608" s="0" t="s">
        <v>879</v>
      </c>
      <c r="B4608" s="0" t="s">
        <v>73</v>
      </c>
      <c r="C4608" s="38" t="n">
        <f aca="false">Sens!$C$4606*Sens!$C$4607</f>
        <v>1486.69201339361</v>
      </c>
    </row>
    <row r="4609" customFormat="false" ht="17.15" hidden="false" customHeight="false" outlineLevel="0" collapsed="false">
      <c r="A4609" s="0" t="s">
        <v>880</v>
      </c>
      <c r="B4609" s="0" t="s">
        <v>73</v>
      </c>
      <c r="C4609" s="38" t="n">
        <f aca="false">0.25*Sens!$H$4533+0.75*Sens!$I$4533</f>
        <v>72.2947701247864</v>
      </c>
    </row>
    <row r="4610" customFormat="false" ht="17.15" hidden="false" customHeight="false" outlineLevel="0" collapsed="false">
      <c r="A4610" s="0" t="s">
        <v>881</v>
      </c>
      <c r="B4610" s="0" t="s">
        <v>57</v>
      </c>
      <c r="C4610" s="30" t="n">
        <f aca="false">m_ai</f>
        <v>6</v>
      </c>
    </row>
    <row r="4611" customFormat="false" ht="17.15" hidden="false" customHeight="false" outlineLevel="0" collapsed="false">
      <c r="A4611" s="0" t="s">
        <v>882</v>
      </c>
      <c r="B4611" s="0" t="s">
        <v>73</v>
      </c>
      <c r="C4611" s="38" t="n">
        <f aca="false">Sens!$C$4609*Sens!$C$4610</f>
        <v>433.768620748718</v>
      </c>
    </row>
    <row r="4612" customFormat="false" ht="17.15" hidden="false" customHeight="false" outlineLevel="0" collapsed="false">
      <c r="A4612" s="5" t="s">
        <v>883</v>
      </c>
      <c r="B4612" s="0" t="s">
        <v>73</v>
      </c>
      <c r="C4612" s="38" t="n">
        <f aca="false">Sens!$C$4602+Sens!$C$4605+Sens!$C$4608+Sens!$C$4611</f>
        <v>2987.5258739704</v>
      </c>
    </row>
    <row r="4613" customFormat="false" ht="17.15" hidden="false" customHeight="false" outlineLevel="0" collapsed="false">
      <c r="A4613" s="5" t="s">
        <v>884</v>
      </c>
      <c r="B4613" s="0" t="s">
        <v>73</v>
      </c>
      <c r="C4613" s="38" t="n">
        <f aca="false">Sens!$H$4571</f>
        <v>113.741590679904</v>
      </c>
    </row>
    <row r="4614" customFormat="false" ht="15" hidden="false" customHeight="false" outlineLevel="0" collapsed="false">
      <c r="A4614" s="5" t="s">
        <v>885</v>
      </c>
      <c r="B4614" s="0" t="s">
        <v>73</v>
      </c>
      <c r="C4614" s="38" t="n">
        <f aca="false">Sens!$C$4612-Sens!$C$4613+Sens!$C$4595</f>
        <v>3052.7282832905</v>
      </c>
    </row>
    <row r="4615" customFormat="false" ht="15" hidden="false" customHeight="false" outlineLevel="0" collapsed="false">
      <c r="A4615" s="3" t="s">
        <v>886</v>
      </c>
      <c r="B4615" s="8" t="s">
        <v>27</v>
      </c>
      <c r="C4615" s="30" t="n">
        <f aca="false">Sens!$C$4614/sh_val</f>
        <v>276.758058137828</v>
      </c>
    </row>
    <row r="4616" customFormat="false" ht="17.15" hidden="false" customHeight="false" outlineLevel="0" collapsed="false">
      <c r="A4616" s="46" t="s">
        <v>887</v>
      </c>
      <c r="B4616" s="13" t="s">
        <v>27</v>
      </c>
      <c r="C4616" s="43" t="n">
        <f aca="false">w_dcf*Sens!$C$4598+(1-w_dcf)*Sens!$C$4615</f>
        <v>192.687794502977</v>
      </c>
      <c r="D4616" s="13"/>
      <c r="E4616" s="13"/>
      <c r="F4616" s="13"/>
      <c r="G4616" s="13"/>
      <c r="H4616" s="13"/>
      <c r="I4616" s="13"/>
      <c r="J4616" s="13"/>
      <c r="K4616" s="13"/>
      <c r="L4616" s="13"/>
      <c r="M4616" s="13"/>
      <c r="N4616" s="13"/>
      <c r="O4616" s="13"/>
    </row>
    <row r="4617" customFormat="false" ht="17.15" hidden="false" customHeight="false" outlineLevel="0" collapsed="false">
      <c r="A4617" s="5" t="s">
        <v>888</v>
      </c>
      <c r="B4617" s="0" t="s">
        <v>27</v>
      </c>
      <c r="C4617" s="30" t="n">
        <f aca="false">0.45*Sens!$C$4598+0.55*Sens!$C$4615</f>
        <v>201.094820866462</v>
      </c>
    </row>
    <row r="4620" customFormat="false" ht="19.4" hidden="false" customHeight="false" outlineLevel="0" collapsed="false">
      <c r="A4620" s="31" t="s">
        <v>1143</v>
      </c>
    </row>
    <row r="4621" customFormat="false" ht="17.15" hidden="false" customHeight="false" outlineLevel="0" collapsed="false">
      <c r="A4621" s="6" t="s">
        <v>16</v>
      </c>
      <c r="B4621" s="6" t="s">
        <v>17</v>
      </c>
      <c r="C4621" s="20" t="s">
        <v>457</v>
      </c>
      <c r="D4621" s="20" t="s">
        <v>458</v>
      </c>
      <c r="E4621" s="20" t="s">
        <v>540</v>
      </c>
      <c r="F4621" s="20" t="s">
        <v>541</v>
      </c>
      <c r="G4621" s="20" t="s">
        <v>542</v>
      </c>
      <c r="H4621" s="20" t="s">
        <v>543</v>
      </c>
      <c r="I4621" s="20" t="s">
        <v>544</v>
      </c>
      <c r="J4621" s="20" t="s">
        <v>545</v>
      </c>
      <c r="K4621" s="20" t="s">
        <v>546</v>
      </c>
      <c r="L4621" s="20" t="s">
        <v>547</v>
      </c>
      <c r="M4621" s="20" t="s">
        <v>548</v>
      </c>
      <c r="N4621" s="20" t="s">
        <v>549</v>
      </c>
      <c r="O4621" s="20" t="s">
        <v>550</v>
      </c>
      <c r="P4621" s="6" t="s">
        <v>23</v>
      </c>
      <c r="R4621" s="20" t="n">
        <v>2023</v>
      </c>
      <c r="S4621" s="20" t="n">
        <v>2024</v>
      </c>
      <c r="T4621" s="20" t="n">
        <v>2025</v>
      </c>
      <c r="U4621" s="20" t="n">
        <v>2026</v>
      </c>
      <c r="V4621" s="20" t="n">
        <v>2027</v>
      </c>
      <c r="W4621" s="20" t="n">
        <v>2028</v>
      </c>
      <c r="X4621" s="20" t="n">
        <v>2029</v>
      </c>
      <c r="Y4621" s="20" t="n">
        <v>2030</v>
      </c>
      <c r="Z4621" s="20" t="n">
        <v>2031</v>
      </c>
      <c r="AA4621" s="20" t="n">
        <v>2032</v>
      </c>
    </row>
    <row r="4622" customFormat="false" ht="17.15" hidden="false" customHeight="false" outlineLevel="0" collapsed="false">
      <c r="A4622" s="1" t="s">
        <v>620</v>
      </c>
    </row>
    <row r="4623" customFormat="false" ht="17.15" hidden="false" customHeight="false" outlineLevel="0" collapsed="false">
      <c r="A4623" s="0" t="s">
        <v>479</v>
      </c>
      <c r="B4623" s="0" t="s">
        <v>73</v>
      </c>
      <c r="C4623" s="38" t="n">
        <f aca="false">Q!$D$10</f>
        <v>247.029</v>
      </c>
      <c r="D4623" s="38" t="n">
        <f aca="false">Q!$E$10</f>
        <v>269.287</v>
      </c>
      <c r="E4623" s="38" t="n">
        <f aca="false">Q!$P$10</f>
        <v>134.686</v>
      </c>
      <c r="F4623" s="38" t="n">
        <f aca="false">Sens!$O$4623*(1+Sens!$F$4624)-pd_amt*Q!$O$10/(Q!$O$10+Q!$O$12)</f>
        <v>160.728085930082</v>
      </c>
      <c r="G4623" s="38" t="n">
        <f aca="false">Sens!$E$4623+Sens!$F$4623</f>
        <v>295.414085930082</v>
      </c>
      <c r="H4623" s="38" t="n">
        <f aca="false">Sens!$G$4623*(1+Sens!$H$4624)</f>
        <v>320.828163943375</v>
      </c>
      <c r="I4623" s="38" t="n">
        <f aca="false">Sens!$H$4623*(1+Sens!$I$4624)</f>
        <v>344.575578072228</v>
      </c>
      <c r="J4623" s="38" t="n">
        <f aca="false">Sens!$I$4623*(1+Sens!$J$4624)</f>
        <v>365.942555779681</v>
      </c>
      <c r="K4623" s="38" t="n">
        <f aca="false">Sens!$J$4623*(1+Sens!$K$4624)</f>
        <v>384.239683568665</v>
      </c>
      <c r="L4623" s="38" t="n">
        <f aca="false">Sens!$K$4623*(1+Sens!$L$4624)</f>
        <v>403.451667747098</v>
      </c>
      <c r="M4623" s="38" t="n">
        <f aca="false">Sens!$L$4623*(1+Sens!$M$4624)</f>
        <v>423.624251134453</v>
      </c>
      <c r="N4623" s="38" t="n">
        <f aca="false">Q!$N$10</f>
        <v>118.892</v>
      </c>
      <c r="O4623" s="38" t="n">
        <f aca="false">Q!$O$10</f>
        <v>150.395</v>
      </c>
      <c r="P4623" s="8" t="s">
        <v>621</v>
      </c>
    </row>
    <row r="4624" customFormat="false" ht="17.15" hidden="false" customHeight="false" outlineLevel="0" collapsed="false">
      <c r="A4624" s="0" t="s">
        <v>622</v>
      </c>
      <c r="B4624" s="0" t="s">
        <v>52</v>
      </c>
      <c r="E4624" s="12" t="n">
        <f aca="false">Sens!$E$4623/Sens!$N$4623-1</f>
        <v>0.132843252699929</v>
      </c>
      <c r="F4624" s="12" t="n">
        <f aca="false">Sens!$O$4623/(Q!$F$10+Q!$G$10)-1</f>
        <v>0.0980382135842941</v>
      </c>
      <c r="G4624" s="12" t="n">
        <f aca="false">Sens!$G$4623/Sens!$D$4623-1</f>
        <v>0.0970231980380869</v>
      </c>
      <c r="H4624" s="12" t="n">
        <f aca="false">Sens!$F$4624+(g_os-Sens!$F$4624)*1/4</f>
        <v>0.0860286601882206</v>
      </c>
      <c r="I4624" s="12" t="n">
        <f aca="false">Sens!$F$4624+(g_os-Sens!$F$4624)*2/4</f>
        <v>0.074019106792147</v>
      </c>
      <c r="J4624" s="12" t="n">
        <f aca="false">Sens!$F$4624+(g_os-Sens!$F$4624)*3/4</f>
        <v>0.0620095533960735</v>
      </c>
      <c r="K4624" s="12" t="n">
        <f aca="false">Sens!$F$4624+(g_os-Sens!$F$4624)*4/4</f>
        <v>0.05</v>
      </c>
      <c r="L4624" s="12" t="n">
        <f aca="false">g_os</f>
        <v>0.05</v>
      </c>
      <c r="M4624" s="12" t="n">
        <f aca="false">g_os</f>
        <v>0.05</v>
      </c>
      <c r="P4624" s="8" t="s">
        <v>623</v>
      </c>
    </row>
    <row r="4625" customFormat="false" ht="17.15" hidden="false" customHeight="false" outlineLevel="0" collapsed="false">
      <c r="A4625" s="0" t="s">
        <v>480</v>
      </c>
      <c r="B4625" s="0" t="s">
        <v>73</v>
      </c>
      <c r="C4625" s="38" t="n">
        <f aca="false">Q!$D$11</f>
        <v>21.215</v>
      </c>
      <c r="D4625" s="38" t="n">
        <f aca="false">Q!$E$11</f>
        <v>22.561</v>
      </c>
      <c r="E4625" s="38" t="n">
        <f aca="false">Q!$P$11</f>
        <v>11.579</v>
      </c>
      <c r="F4625" s="38" t="n">
        <f aca="false">Sens!$O$4625*(1+Sens!$F$4626)</f>
        <v>12.0952613121125</v>
      </c>
      <c r="G4625" s="38" t="n">
        <f aca="false">Sens!$E$4625+Sens!$F$4625</f>
        <v>23.6742613121125</v>
      </c>
      <c r="H4625" s="38" t="n">
        <f aca="false">Sens!$G$4625*(1+Sens!$H$4626)</f>
        <v>24.8803243963206</v>
      </c>
      <c r="I4625" s="38" t="n">
        <f aca="false">Sens!$H$4625*(1+Sens!$I$4626)</f>
        <v>25.9741308664154</v>
      </c>
      <c r="J4625" s="38" t="n">
        <f aca="false">Sens!$I$4625*(1+Sens!$J$4626)</f>
        <v>26.9346894124267</v>
      </c>
      <c r="K4625" s="38" t="n">
        <f aca="false">Sens!$J$4625*(1+Sens!$K$4626)</f>
        <v>27.7427300947995</v>
      </c>
      <c r="L4625" s="38" t="n">
        <f aca="false">Sens!$K$4625*(1+Sens!$L$4626)</f>
        <v>28.5750119976435</v>
      </c>
      <c r="M4625" s="38" t="n">
        <f aca="false">Sens!$L$4625*(1+Sens!$M$4626)</f>
        <v>29.4322623575728</v>
      </c>
      <c r="N4625" s="38" t="n">
        <f aca="false">Q!$N$11</f>
        <v>11.128</v>
      </c>
      <c r="O4625" s="38" t="n">
        <f aca="false">Q!$O$11</f>
        <v>11.433</v>
      </c>
      <c r="P4625" s="8" t="s">
        <v>621</v>
      </c>
    </row>
    <row r="4626" customFormat="false" ht="17.15" hidden="false" customHeight="false" outlineLevel="0" collapsed="false">
      <c r="A4626" s="0" t="s">
        <v>624</v>
      </c>
      <c r="B4626" s="0" t="s">
        <v>52</v>
      </c>
      <c r="E4626" s="12" t="n">
        <f aca="false">Sens!$E$4625/Sens!$N$4625-1</f>
        <v>0.0405283968368082</v>
      </c>
      <c r="F4626" s="12" t="n">
        <f aca="false">Sens!$O$4625/(Q!$F$11+Q!$G$11)-1</f>
        <v>0.0579254187100955</v>
      </c>
      <c r="G4626" s="12" t="n">
        <f aca="false">Sens!$G$4625/Sens!$D$4625-1</f>
        <v>0.0493445021103904</v>
      </c>
      <c r="H4626" s="12" t="n">
        <f aca="false">Sens!$F$4626+(g_ps-Sens!$F$4626)*1/4</f>
        <v>0.0509440640325716</v>
      </c>
      <c r="I4626" s="12" t="n">
        <f aca="false">Sens!$F$4626+(g_ps-Sens!$F$4626)*2/4</f>
        <v>0.0439627093550477</v>
      </c>
      <c r="J4626" s="12" t="n">
        <f aca="false">Sens!$F$4626+(g_ps-Sens!$F$4626)*3/4</f>
        <v>0.0369813546775239</v>
      </c>
      <c r="K4626" s="12" t="n">
        <f aca="false">Sens!$F$4626+(g_ps-Sens!$F$4626)*4/4</f>
        <v>0.03</v>
      </c>
      <c r="L4626" s="12" t="n">
        <f aca="false">g_ps</f>
        <v>0.03</v>
      </c>
      <c r="M4626" s="12" t="n">
        <f aca="false">g_ps</f>
        <v>0.03</v>
      </c>
      <c r="P4626" s="8" t="s">
        <v>625</v>
      </c>
    </row>
    <row r="4627" customFormat="false" ht="17.15" hidden="false" customHeight="false" outlineLevel="0" collapsed="false">
      <c r="A4627" s="0" t="s">
        <v>481</v>
      </c>
      <c r="B4627" s="0" t="s">
        <v>73</v>
      </c>
      <c r="C4627" s="38" t="n">
        <f aca="false">Q!$D$12</f>
        <v>156.146</v>
      </c>
      <c r="D4627" s="38" t="n">
        <f aca="false">Q!$E$12</f>
        <v>172.162</v>
      </c>
      <c r="E4627" s="38" t="n">
        <f aca="false">Q!$P$12</f>
        <v>88.358</v>
      </c>
      <c r="F4627" s="38" t="n">
        <f aca="false">Sens!$O$4627*(1+Sens!$F$4628)-pd_amt*Q!$O$12/(Q!$O$10+Q!$O$12)</f>
        <v>103.62028337149</v>
      </c>
      <c r="G4627" s="38" t="n">
        <f aca="false">Sens!$E$4627+Sens!$F$4627</f>
        <v>191.97828337149</v>
      </c>
      <c r="H4627" s="38" t="n">
        <f aca="false">Sens!$G$4627*(1+Sens!$H$4628)</f>
        <v>212.128608444755</v>
      </c>
      <c r="I4627" s="38" t="n">
        <f aca="false">Sens!$H$4627*(1+Sens!$I$4628)</f>
        <v>231.92183134134</v>
      </c>
      <c r="J4627" s="38" t="n">
        <f aca="false">Sens!$I$4627*(1+Sens!$J$4628)</f>
        <v>250.859136487863</v>
      </c>
      <c r="K4627" s="38" t="n">
        <f aca="false">Sens!$J$4627*(1+Sens!$K$4628)</f>
        <v>268.419276042014</v>
      </c>
      <c r="L4627" s="38" t="n">
        <f aca="false">Sens!$K$4627*(1+Sens!$L$4628)</f>
        <v>287.208625364954</v>
      </c>
      <c r="M4627" s="38" t="n">
        <f aca="false">Sens!$L$4627*(1+Sens!$M$4628)</f>
        <v>307.313229140501</v>
      </c>
      <c r="N4627" s="38" t="n">
        <f aca="false">Q!$N$12</f>
        <v>76.86</v>
      </c>
      <c r="O4627" s="38" t="n">
        <f aca="false">Q!$O$12</f>
        <v>95.302</v>
      </c>
      <c r="P4627" s="8" t="s">
        <v>621</v>
      </c>
    </row>
    <row r="4628" customFormat="false" ht="17.15" hidden="false" customHeight="false" outlineLevel="0" collapsed="false">
      <c r="A4628" s="0" t="s">
        <v>626</v>
      </c>
      <c r="B4628" s="0" t="s">
        <v>52</v>
      </c>
      <c r="E4628" s="12" t="n">
        <f aca="false">Sens!$E$4627/Sens!$N$4627-1</f>
        <v>0.1495966692688</v>
      </c>
      <c r="F4628" s="12" t="n">
        <f aca="false">Sens!$O$4627/(Q!$F$12+Q!$G$12)-1</f>
        <v>0.11661530890813</v>
      </c>
      <c r="G4628" s="12" t="n">
        <f aca="false">Sens!$G$4627/Sens!$D$4627-1</f>
        <v>0.115102539303041</v>
      </c>
      <c r="H4628" s="12" t="n">
        <f aca="false">Sens!$F$4628+(g_sp-Sens!$F$4628)*1/4</f>
        <v>0.104961481681098</v>
      </c>
      <c r="I4628" s="12" t="n">
        <f aca="false">Sens!$F$4628+(g_sp-Sens!$F$4628)*2/4</f>
        <v>0.0933076544540651</v>
      </c>
      <c r="J4628" s="12" t="n">
        <f aca="false">Sens!$F$4628+(g_sp-Sens!$F$4628)*3/4</f>
        <v>0.0816538272270325</v>
      </c>
      <c r="K4628" s="12" t="n">
        <f aca="false">Sens!$F$4628+(g_sp-Sens!$F$4628)*4/4</f>
        <v>0.07</v>
      </c>
      <c r="L4628" s="12" t="n">
        <f aca="false">g_sp</f>
        <v>0.07</v>
      </c>
      <c r="M4628" s="12" t="n">
        <f aca="false">g_sp</f>
        <v>0.07</v>
      </c>
      <c r="P4628" s="8" t="s">
        <v>627</v>
      </c>
    </row>
    <row r="4629" customFormat="false" ht="17.15" hidden="false" customHeight="false" outlineLevel="0" collapsed="false">
      <c r="A4629" s="0" t="s">
        <v>482</v>
      </c>
      <c r="B4629" s="0" t="s">
        <v>73</v>
      </c>
      <c r="C4629" s="38" t="n">
        <f aca="false">Q!$D$13</f>
        <v>56.214</v>
      </c>
      <c r="D4629" s="38" t="n">
        <f aca="false">Q!$E$13</f>
        <v>68.635</v>
      </c>
      <c r="E4629" s="38" t="n">
        <f aca="false">Q!$P$13</f>
        <v>37.052</v>
      </c>
      <c r="F4629" s="38" t="n">
        <f aca="false">Sens!$O$4629*(1+Sens!$F$4630)</f>
        <v>48.1533381827382</v>
      </c>
      <c r="G4629" s="38" t="n">
        <f aca="false">Sens!$E$4629+Sens!$F$4629</f>
        <v>85.2053381827382</v>
      </c>
      <c r="H4629" s="38" t="n">
        <f aca="false">Sens!$G$4629*(1+Sens!$H$4630)</f>
        <v>102.29336185894</v>
      </c>
      <c r="I4629" s="38" t="n">
        <f aca="false">Sens!$H$4629*(1+Sens!$I$4630)</f>
        <v>119.379837585241</v>
      </c>
      <c r="J4629" s="38" t="n">
        <f aca="false">Sens!$I$4629*(1+Sens!$J$4630)</f>
        <v>135.319079048844</v>
      </c>
      <c r="K4629" s="38" t="n">
        <f aca="false">Sens!$J$4629*(1+Sens!$K$4630)</f>
        <v>148.850986953729</v>
      </c>
      <c r="L4629" s="38" t="n">
        <f aca="false">Sens!$K$4629*(1+Sens!$L$4630)</f>
        <v>163.736085649102</v>
      </c>
      <c r="M4629" s="38" t="n">
        <f aca="false">Sens!$L$4629*(1+Sens!$M$4630)</f>
        <v>180.109694214012</v>
      </c>
      <c r="N4629" s="38" t="n">
        <f aca="false">Q!$N$13</f>
        <v>29.615</v>
      </c>
      <c r="O4629" s="38" t="n">
        <f aca="false">Q!$O$13</f>
        <v>39.02</v>
      </c>
      <c r="P4629" s="8" t="s">
        <v>621</v>
      </c>
    </row>
    <row r="4630" customFormat="false" ht="17.15" hidden="false" customHeight="false" outlineLevel="0" collapsed="false">
      <c r="A4630" s="0" t="s">
        <v>628</v>
      </c>
      <c r="B4630" s="0" t="s">
        <v>52</v>
      </c>
      <c r="E4630" s="12" t="n">
        <f aca="false">Sens!$E$4629/Sens!$N$4629-1</f>
        <v>0.25112274185379</v>
      </c>
      <c r="F4630" s="12" t="n">
        <f aca="false">Sens!$O$4629/(Q!$F$13+Q!$G$13)-1</f>
        <v>0.234068123596572</v>
      </c>
      <c r="G4630" s="12" t="n">
        <f aca="false">Sens!$G$4629/Sens!$D$4629-1</f>
        <v>0.241426942270536</v>
      </c>
      <c r="H4630" s="12" t="n">
        <f aca="false">Sens!$F$4630+(g_ad-Sens!$F$4630)*1/4</f>
        <v>0.200551092697429</v>
      </c>
      <c r="I4630" s="12" t="n">
        <f aca="false">Sens!$F$4630+(g_ad-Sens!$F$4630)*2/4</f>
        <v>0.167034061798286</v>
      </c>
      <c r="J4630" s="12" t="n">
        <f aca="false">Sens!$F$4630+(g_ad-Sens!$F$4630)*3/4</f>
        <v>0.133517030899143</v>
      </c>
      <c r="K4630" s="12" t="n">
        <f aca="false">Sens!$F$4630+(g_ad-Sens!$F$4630)*4/4</f>
        <v>0.1</v>
      </c>
      <c r="L4630" s="12" t="n">
        <f aca="false">g_ad</f>
        <v>0.1</v>
      </c>
      <c r="M4630" s="12" t="n">
        <f aca="false">g_ad</f>
        <v>0.1</v>
      </c>
      <c r="P4630" s="8" t="s">
        <v>629</v>
      </c>
    </row>
    <row r="4631" customFormat="false" ht="17.15" hidden="false" customHeight="false" outlineLevel="0" collapsed="false">
      <c r="A4631" s="0" t="s">
        <v>483</v>
      </c>
      <c r="B4631" s="0" t="s">
        <v>73</v>
      </c>
      <c r="C4631" s="38" t="n">
        <f aca="false">Q!$D$14</f>
        <v>44.374</v>
      </c>
      <c r="D4631" s="38" t="n">
        <f aca="false">Q!$E$14</f>
        <v>49.619</v>
      </c>
      <c r="E4631" s="38" t="n">
        <f aca="false">Q!$P$14</f>
        <v>27.157</v>
      </c>
      <c r="F4631" s="38" t="n">
        <f aca="false">Sens!$O$4631*(1+Sens!$F$4632)</f>
        <v>28.9776360923374</v>
      </c>
      <c r="G4631" s="38" t="n">
        <f aca="false">Sens!$E$4631+Sens!$F$4631</f>
        <v>56.1346360923374</v>
      </c>
      <c r="H4631" s="38" t="n">
        <f aca="false">Sens!$G$4631*(1+Sens!$H$4632)</f>
        <v>62.4937078946075</v>
      </c>
      <c r="I4631" s="38" t="n">
        <f aca="false">Sens!$H$4631*(1+Sens!$I$4632)</f>
        <v>68.6715233062498</v>
      </c>
      <c r="J4631" s="38" t="n">
        <f aca="false">Sens!$I$4631*(1+Sens!$J$4632)</f>
        <v>74.4692882949818</v>
      </c>
      <c r="K4631" s="38" t="n">
        <f aca="false">Sens!$J$4631*(1+Sens!$K$4632)</f>
        <v>79.6821384756306</v>
      </c>
      <c r="L4631" s="38" t="n">
        <f aca="false">Sens!$K$4631*(1+Sens!$L$4632)</f>
        <v>85.2598881689247</v>
      </c>
      <c r="M4631" s="38" t="n">
        <f aca="false">Sens!$L$4631*(1+Sens!$M$4632)</f>
        <v>91.2280803407494</v>
      </c>
      <c r="N4631" s="38" t="n">
        <f aca="false">Q!$N$14</f>
        <v>23.923</v>
      </c>
      <c r="O4631" s="38" t="n">
        <f aca="false">Q!$O$14</f>
        <v>25.696</v>
      </c>
      <c r="P4631" s="8" t="s">
        <v>621</v>
      </c>
    </row>
    <row r="4632" customFormat="false" ht="17.15" hidden="false" customHeight="false" outlineLevel="0" collapsed="false">
      <c r="A4632" s="0" t="s">
        <v>630</v>
      </c>
      <c r="B4632" s="0" t="s">
        <v>52</v>
      </c>
      <c r="E4632" s="12" t="n">
        <f aca="false">Sens!$E$4631/Sens!$N$4631-1</f>
        <v>0.135183714417088</v>
      </c>
      <c r="F4632" s="12" t="n">
        <f aca="false">Sens!$O$4631/(Q!$F$14+Q!$G$14)-1</f>
        <v>0.127709997366804</v>
      </c>
      <c r="G4632" s="12" t="n">
        <f aca="false">Sens!$G$4631/Sens!$D$4631-1</f>
        <v>0.131313329416905</v>
      </c>
      <c r="H4632" s="12" t="n">
        <f aca="false">Sens!$F$4632+(g_sub-Sens!$F$4632)*1/4</f>
        <v>0.113282498025103</v>
      </c>
      <c r="I4632" s="12" t="n">
        <f aca="false">Sens!$F$4632+(g_sub-Sens!$F$4632)*2/4</f>
        <v>0.0988549986834021</v>
      </c>
      <c r="J4632" s="12" t="n">
        <f aca="false">Sens!$F$4632+(g_sub-Sens!$F$4632)*3/4</f>
        <v>0.084427499341701</v>
      </c>
      <c r="K4632" s="12" t="n">
        <f aca="false">Sens!$F$4632+(g_sub-Sens!$F$4632)*4/4</f>
        <v>0.07</v>
      </c>
      <c r="L4632" s="12" t="n">
        <f aca="false">g_sub</f>
        <v>0.07</v>
      </c>
      <c r="M4632" s="12" t="n">
        <f aca="false">g_sub</f>
        <v>0.07</v>
      </c>
      <c r="P4632" s="8" t="s">
        <v>631</v>
      </c>
    </row>
    <row r="4633" customFormat="false" ht="17.15" hidden="false" customHeight="false" outlineLevel="0" collapsed="false">
      <c r="A4633" s="0" t="s">
        <v>484</v>
      </c>
      <c r="B4633" s="0" t="s">
        <v>73</v>
      </c>
      <c r="C4633" s="38" t="n">
        <f aca="false">Q!$D$15</f>
        <v>5.425</v>
      </c>
      <c r="D4633" s="38" t="n">
        <f aca="false">Q!$E$15</f>
        <v>5.935</v>
      </c>
      <c r="E4633" s="38" t="n">
        <f aca="false">Q!$P$15</f>
        <v>3.474</v>
      </c>
      <c r="F4633" s="38" t="n">
        <f aca="false">Sens!$O$4633*(1+Sens!$F$4634)</f>
        <v>3.36182431966931</v>
      </c>
      <c r="G4633" s="38" t="n">
        <f aca="false">Sens!$E$4633+Sens!$F$4633</f>
        <v>6.83582431966931</v>
      </c>
      <c r="H4633" s="38" t="n">
        <f aca="false">Sens!$G$4633*(1+Sens!$H$4634)</f>
        <v>7.31157108370141</v>
      </c>
      <c r="I4633" s="38" t="n">
        <f aca="false">Sens!$H$4633*(1+Sens!$I$4634)</f>
        <v>7.77266852639815</v>
      </c>
      <c r="J4633" s="38" t="n">
        <f aca="false">Sens!$I$4633*(1+Sens!$J$4634)</f>
        <v>8.2120733019884</v>
      </c>
      <c r="K4633" s="38" t="n">
        <f aca="false">Sens!$J$4633*(1+Sens!$K$4634)</f>
        <v>8.62267696708783</v>
      </c>
      <c r="L4633" s="38" t="n">
        <f aca="false">Sens!$K$4633*(1+Sens!$L$4634)</f>
        <v>9.05381081544222</v>
      </c>
      <c r="M4633" s="38" t="n">
        <f aca="false">Sens!$L$4633*(1+Sens!$M$4634)</f>
        <v>9.50650135621433</v>
      </c>
      <c r="N4633" s="38" t="n">
        <f aca="false">Q!$N$15</f>
        <v>2.811</v>
      </c>
      <c r="O4633" s="38" t="n">
        <f aca="false">Q!$O$15</f>
        <v>3.124</v>
      </c>
      <c r="P4633" s="8" t="s">
        <v>621</v>
      </c>
    </row>
    <row r="4634" customFormat="false" ht="17.15" hidden="false" customHeight="false" outlineLevel="0" collapsed="false">
      <c r="A4634" s="0" t="s">
        <v>632</v>
      </c>
      <c r="B4634" s="0" t="s">
        <v>52</v>
      </c>
      <c r="E4634" s="12" t="n">
        <f aca="false">Sens!$E$4633/Sens!$N$4633-1</f>
        <v>0.235859124866596</v>
      </c>
      <c r="F4634" s="12" t="n">
        <f aca="false">Sens!$O$4633/(Q!$F$15+Q!$G$15)-1</f>
        <v>0.0761281433000345</v>
      </c>
      <c r="G4634" s="12" t="n">
        <f aca="false">Sens!$G$4633/Sens!$D$4633-1</f>
        <v>0.151781688234087</v>
      </c>
      <c r="H4634" s="12" t="n">
        <f aca="false">Sens!$F$4634+(g_ot-Sens!$F$4634)*1/4</f>
        <v>0.0695961074750259</v>
      </c>
      <c r="I4634" s="12" t="n">
        <f aca="false">Sens!$F$4634+(g_ot-Sens!$F$4634)*2/4</f>
        <v>0.0630640716500172</v>
      </c>
      <c r="J4634" s="12" t="n">
        <f aca="false">Sens!$F$4634+(g_ot-Sens!$F$4634)*3/4</f>
        <v>0.0565320358250086</v>
      </c>
      <c r="K4634" s="12" t="n">
        <f aca="false">Sens!$F$4634+(g_ot-Sens!$F$4634)*4/4</f>
        <v>0.05</v>
      </c>
      <c r="L4634" s="12" t="n">
        <f aca="false">g_ot</f>
        <v>0.05</v>
      </c>
      <c r="M4634" s="12" t="n">
        <f aca="false">g_ot</f>
        <v>0.05</v>
      </c>
      <c r="P4634" s="8" t="s">
        <v>633</v>
      </c>
    </row>
    <row r="4635" customFormat="false" ht="17.15" hidden="false" customHeight="false" outlineLevel="0" collapsed="false">
      <c r="A4635" s="3" t="s">
        <v>634</v>
      </c>
      <c r="B4635" s="8" t="s">
        <v>73</v>
      </c>
      <c r="C4635" s="38" t="n">
        <f aca="false">Sens!$C$4623+Sens!$C$4625+Sens!$C$4627+Sens!$C$4629+Sens!$C$4631+Sens!$C$4633</f>
        <v>530.403</v>
      </c>
      <c r="D4635" s="38" t="n">
        <f aca="false">Sens!$D$4623+Sens!$D$4625+Sens!$D$4627+Sens!$D$4629+Sens!$D$4631+Sens!$D$4633</f>
        <v>588.199</v>
      </c>
      <c r="E4635" s="38" t="n">
        <f aca="false">Sens!$E$4623+Sens!$E$4625+Sens!$E$4627+Sens!$E$4629+Sens!$E$4631+Sens!$E$4633</f>
        <v>302.306</v>
      </c>
      <c r="F4635" s="38" t="n">
        <f aca="false">Sens!$F$4623+Sens!$F$4625+Sens!$F$4627+Sens!$F$4629+Sens!$F$4631+Sens!$F$4633</f>
        <v>356.93642920843</v>
      </c>
      <c r="G4635" s="38" t="n">
        <f aca="false">Sens!$G$4623+Sens!$G$4625+Sens!$G$4627+Sens!$G$4629+Sens!$G$4631+Sens!$G$4633</f>
        <v>659.24242920843</v>
      </c>
      <c r="H4635" s="38" t="n">
        <f aca="false">Sens!$H$4623+Sens!$H$4625+Sens!$H$4627+Sens!$H$4629+Sens!$H$4631+Sens!$H$4633</f>
        <v>729.935737621701</v>
      </c>
      <c r="I4635" s="38" t="n">
        <f aca="false">Sens!$I$4623+Sens!$I$4625+Sens!$I$4627+Sens!$I$4629+Sens!$I$4631+Sens!$I$4633</f>
        <v>798.295569697873</v>
      </c>
      <c r="J4635" s="38" t="n">
        <f aca="false">Sens!$J$4623+Sens!$J$4625+Sens!$J$4627+Sens!$J$4629+Sens!$J$4631+Sens!$J$4633</f>
        <v>861.736822325785</v>
      </c>
      <c r="K4635" s="38" t="n">
        <f aca="false">Sens!$K$4623+Sens!$K$4625+Sens!$K$4627+Sens!$K$4629+Sens!$K$4631+Sens!$K$4633</f>
        <v>917.557492101925</v>
      </c>
      <c r="L4635" s="38" t="n">
        <f aca="false">Sens!$L$4623+Sens!$L$4625+Sens!$L$4627+Sens!$L$4629+Sens!$L$4631+Sens!$L$4633</f>
        <v>977.285089743165</v>
      </c>
      <c r="M4635" s="38" t="n">
        <f aca="false">Sens!$M$4623+Sens!$M$4625+Sens!$M$4627+Sens!$M$4629+Sens!$M$4631+Sens!$M$4633</f>
        <v>1041.2140185435</v>
      </c>
      <c r="N4635" s="38" t="n">
        <f aca="false">Sens!$N$4623+Sens!$N$4625+Sens!$N$4627+Sens!$N$4629+Sens!$N$4631+Sens!$N$4633</f>
        <v>263.229</v>
      </c>
      <c r="O4635" s="38" t="n">
        <f aca="false">Sens!$O$4623+Sens!$O$4625+Sens!$O$4627+Sens!$O$4629+Sens!$O$4631+Sens!$O$4633</f>
        <v>324.97</v>
      </c>
    </row>
    <row r="4636" customFormat="false" ht="17.15" hidden="false" customHeight="false" outlineLevel="0" collapsed="false">
      <c r="A4636" s="5" t="s">
        <v>635</v>
      </c>
      <c r="B4636" s="0" t="s">
        <v>52</v>
      </c>
      <c r="C4636" s="12" t="n">
        <f aca="false">Q!$D$5/(Q!$D$5+Q!$D$6)</f>
        <v>0.730570905519011</v>
      </c>
      <c r="D4636" s="12" t="n">
        <f aca="false">Q!$E$5/(Q!$E$5+Q!$E$6)</f>
        <v>0.724763217890544</v>
      </c>
      <c r="E4636" s="12" t="n">
        <f aca="false">Q!$P$5/(Q!$P$5+Q!$P$6)</f>
        <v>0.728797972914861</v>
      </c>
      <c r="F4636" s="12" t="n">
        <f aca="false">Sens!$O$4636</f>
        <v>0.718066283041511</v>
      </c>
      <c r="G4636" s="12" t="n">
        <f aca="false">Sens!$G$4637/Sens!$G$4635</f>
        <v>0.722987468473627</v>
      </c>
      <c r="H4636" s="12" t="n">
        <f aca="false">Sens!$G$4636</f>
        <v>0.722987468473627</v>
      </c>
      <c r="I4636" s="12" t="n">
        <f aca="false">Sens!$G$4636</f>
        <v>0.722987468473627</v>
      </c>
      <c r="J4636" s="12" t="n">
        <f aca="false">Sens!$G$4636</f>
        <v>0.722987468473627</v>
      </c>
      <c r="K4636" s="12" t="n">
        <f aca="false">Sens!$G$4636</f>
        <v>0.722987468473627</v>
      </c>
      <c r="L4636" s="12" t="n">
        <f aca="false">Sens!$G$4636</f>
        <v>0.722987468473627</v>
      </c>
      <c r="M4636" s="12" t="n">
        <f aca="false">Sens!$G$4636</f>
        <v>0.722987468473627</v>
      </c>
      <c r="N4636" s="12" t="n">
        <f aca="false">Q!$N$5/(Q!$N$5+Q!$N$6)</f>
        <v>0.733030935041352</v>
      </c>
      <c r="O4636" s="12" t="n">
        <f aca="false">Q!$O$5/(Q!$O$5+Q!$O$6)</f>
        <v>0.718066283041511</v>
      </c>
      <c r="P4636" s="8" t="s">
        <v>636</v>
      </c>
    </row>
    <row r="4637" customFormat="false" ht="17.15" hidden="false" customHeight="false" outlineLevel="0" collapsed="false">
      <c r="A4637" s="1" t="s">
        <v>472</v>
      </c>
      <c r="B4637" s="8" t="s">
        <v>73</v>
      </c>
      <c r="C4637" s="38" t="n">
        <f aca="false">Q!$D$5</f>
        <v>387.497</v>
      </c>
      <c r="D4637" s="38" t="n">
        <f aca="false">Q!$E$5</f>
        <v>426.305</v>
      </c>
      <c r="E4637" s="38" t="n">
        <f aca="false">Q!$P$5</f>
        <v>220.32</v>
      </c>
      <c r="F4637" s="38" t="n">
        <f aca="false">Sens!$F$4635*Sens!$F$4636</f>
        <v>256.304015003807</v>
      </c>
      <c r="G4637" s="38" t="n">
        <f aca="false">Sens!$E$4637+Sens!$F$4637</f>
        <v>476.624015003807</v>
      </c>
      <c r="H4637" s="38" t="n">
        <f aca="false">Sens!$H$4635*Sens!$H$4636</f>
        <v>527.734391091543</v>
      </c>
      <c r="I4637" s="38" t="n">
        <f aca="false">Sens!$I$4635*Sens!$I$4636</f>
        <v>577.157693029577</v>
      </c>
      <c r="J4637" s="38" t="n">
        <f aca="false">Sens!$J$4635*Sens!$J$4636</f>
        <v>623.024923663827</v>
      </c>
      <c r="K4637" s="38" t="n">
        <f aca="false">Sens!$K$4635*Sens!$K$4636</f>
        <v>663.382568393781</v>
      </c>
      <c r="L4637" s="38" t="n">
        <f aca="false">Sens!$L$4635*Sens!$L$4636</f>
        <v>706.564873010432</v>
      </c>
      <c r="M4637" s="38" t="n">
        <f aca="false">Sens!$M$4635*Sens!$M$4636</f>
        <v>752.784687406019</v>
      </c>
      <c r="N4637" s="38" t="n">
        <f aca="false">Q!$N$5</f>
        <v>192.955</v>
      </c>
      <c r="O4637" s="38" t="n">
        <f aca="false">Q!$O$5</f>
        <v>233.35</v>
      </c>
      <c r="P4637" s="5" t="s">
        <v>637</v>
      </c>
    </row>
    <row r="4638" customFormat="false" ht="17.15" hidden="false" customHeight="false" outlineLevel="0" collapsed="false">
      <c r="A4638" s="1" t="s">
        <v>475</v>
      </c>
      <c r="B4638" s="8" t="s">
        <v>73</v>
      </c>
      <c r="C4638" s="38" t="n">
        <f aca="false">Q!$D$6</f>
        <v>142.906</v>
      </c>
      <c r="D4638" s="38" t="n">
        <f aca="false">Q!$E$6</f>
        <v>161.894</v>
      </c>
      <c r="E4638" s="38" t="n">
        <f aca="false">Q!$P$6</f>
        <v>81.986</v>
      </c>
      <c r="F4638" s="38" t="n">
        <f aca="false">Sens!$F$4635*(1-Sens!$F$4636)</f>
        <v>100.632414204623</v>
      </c>
      <c r="G4638" s="38" t="n">
        <f aca="false">Sens!$E$4638+Sens!$F$4638</f>
        <v>182.618414204623</v>
      </c>
      <c r="H4638" s="38" t="n">
        <f aca="false">Sens!$H$4635*(1-Sens!$H$4636)</f>
        <v>202.201346530158</v>
      </c>
      <c r="I4638" s="38" t="n">
        <f aca="false">Sens!$I$4635*(1-Sens!$I$4636)</f>
        <v>221.137876668296</v>
      </c>
      <c r="J4638" s="38" t="n">
        <f aca="false">Sens!$J$4635*(1-Sens!$J$4636)</f>
        <v>238.711898661958</v>
      </c>
      <c r="K4638" s="38" t="n">
        <f aca="false">Sens!$K$4635*(1-Sens!$K$4636)</f>
        <v>254.174923708144</v>
      </c>
      <c r="L4638" s="38" t="n">
        <f aca="false">Sens!$L$4635*(1-Sens!$L$4636)</f>
        <v>270.720216732733</v>
      </c>
      <c r="M4638" s="38" t="n">
        <f aca="false">Sens!$M$4635*(1-Sens!$M$4636)</f>
        <v>288.429331137484</v>
      </c>
      <c r="N4638" s="38" t="n">
        <f aca="false">Q!$N$6</f>
        <v>70.274</v>
      </c>
      <c r="O4638" s="38" t="n">
        <f aca="false">Q!$O$6</f>
        <v>91.62</v>
      </c>
      <c r="P4638" s="5" t="s">
        <v>638</v>
      </c>
    </row>
    <row r="4639" customFormat="false" ht="17.15" hidden="false" customHeight="false" outlineLevel="0" collapsed="false">
      <c r="A4639" s="5" t="s">
        <v>639</v>
      </c>
      <c r="B4639" s="0" t="s">
        <v>73</v>
      </c>
      <c r="C4639" s="38" t="n">
        <f aca="false">Sens!$C$4629*Sens!$C$4636</f>
        <v>41.0683128828457</v>
      </c>
      <c r="D4639" s="38" t="n">
        <f aca="false">Sens!$D$4629*Sens!$D$4636</f>
        <v>49.7441234599175</v>
      </c>
      <c r="E4639" s="38" t="n">
        <f aca="false">Sens!$E$4629*Sens!$E$4636</f>
        <v>27.0034224924414</v>
      </c>
      <c r="F4639" s="38" t="n">
        <f aca="false">Sens!$F$4629*Sens!$F$4636</f>
        <v>34.5772885649197</v>
      </c>
      <c r="G4639" s="38" t="n">
        <f aca="false">Sens!$G$4629*Sens!$G$4636</f>
        <v>61.6023917531772</v>
      </c>
      <c r="H4639" s="38" t="n">
        <f aca="false">Sens!$H$4629*Sens!$H$4636</f>
        <v>73.9568187320519</v>
      </c>
      <c r="I4639" s="38" t="n">
        <f aca="false">Sens!$I$4629*Sens!$I$4636</f>
        <v>86.3101265625461</v>
      </c>
      <c r="J4639" s="38" t="n">
        <f aca="false">Sens!$J$4629*Sens!$J$4636</f>
        <v>97.8339983977065</v>
      </c>
      <c r="K4639" s="38" t="n">
        <f aca="false">Sens!$K$4629*Sens!$K$4636</f>
        <v>107.617398237477</v>
      </c>
      <c r="L4639" s="38" t="n">
        <f aca="false">Sens!$L$4629*Sens!$L$4636</f>
        <v>118.379138061225</v>
      </c>
      <c r="M4639" s="38" t="n">
        <f aca="false">Sens!$M$4629*Sens!$M$4636</f>
        <v>130.217051867347</v>
      </c>
      <c r="N4639" s="38" t="n">
        <f aca="false">Sens!$N$4629*Sens!$N$4636</f>
        <v>21.7087111412496</v>
      </c>
      <c r="O4639" s="38" t="n">
        <f aca="false">Sens!$O$4629*Sens!$O$4636</f>
        <v>28.0189463642798</v>
      </c>
      <c r="P4639" s="5" t="s">
        <v>640</v>
      </c>
    </row>
    <row r="4640" customFormat="false" ht="15" hidden="false" customHeight="false" outlineLevel="0" collapsed="false">
      <c r="A4640" s="5" t="s">
        <v>641</v>
      </c>
      <c r="B4640" s="0" t="s">
        <v>73</v>
      </c>
      <c r="C4640" s="38" t="n">
        <f aca="false">Sens!$C$4629-Sens!$C$4639</f>
        <v>15.1456871171543</v>
      </c>
      <c r="D4640" s="38" t="n">
        <f aca="false">Sens!$D$4629-Sens!$D$4639</f>
        <v>18.8908765400825</v>
      </c>
      <c r="E4640" s="38" t="n">
        <f aca="false">Sens!$E$4629-Sens!$E$4639</f>
        <v>10.0485775075586</v>
      </c>
      <c r="F4640" s="38" t="n">
        <f aca="false">Sens!$F$4629-Sens!$F$4639</f>
        <v>13.5760496178185</v>
      </c>
      <c r="G4640" s="38" t="n">
        <f aca="false">Sens!$G$4629-Sens!$G$4639</f>
        <v>23.6029464295611</v>
      </c>
      <c r="H4640" s="38" t="n">
        <f aca="false">Sens!$H$4629-Sens!$H$4639</f>
        <v>28.3365431268884</v>
      </c>
      <c r="I4640" s="38" t="n">
        <f aca="false">Sens!$I$4629-Sens!$I$4639</f>
        <v>33.0697110226949</v>
      </c>
      <c r="J4640" s="38" t="n">
        <f aca="false">Sens!$J$4629-Sens!$J$4639</f>
        <v>37.4850806511378</v>
      </c>
      <c r="K4640" s="38" t="n">
        <f aca="false">Sens!$K$4629-Sens!$K$4639</f>
        <v>41.2335887162515</v>
      </c>
      <c r="L4640" s="38" t="n">
        <f aca="false">Sens!$L$4629-Sens!$L$4639</f>
        <v>45.3569475878767</v>
      </c>
      <c r="M4640" s="38" t="n">
        <f aca="false">Sens!$M$4629-Sens!$M$4639</f>
        <v>49.8926423466644</v>
      </c>
      <c r="N4640" s="38" t="n">
        <f aca="false">Sens!$N$4629-Sens!$N$4639</f>
        <v>7.90628885875037</v>
      </c>
      <c r="O4640" s="38" t="n">
        <f aca="false">Sens!$O$4629-Sens!$O$4639</f>
        <v>11.0010536357202</v>
      </c>
    </row>
    <row r="4641" customFormat="false" ht="19.4" hidden="false" customHeight="false" outlineLevel="0" collapsed="false">
      <c r="A4641" s="31" t="s">
        <v>1144</v>
      </c>
    </row>
    <row r="4642" customFormat="false" ht="17.15" hidden="false" customHeight="false" outlineLevel="0" collapsed="false">
      <c r="A4642" s="6" t="s">
        <v>16</v>
      </c>
      <c r="B4642" s="6" t="s">
        <v>17</v>
      </c>
      <c r="C4642" s="20" t="s">
        <v>457</v>
      </c>
      <c r="D4642" s="20" t="s">
        <v>458</v>
      </c>
      <c r="E4642" s="20" t="s">
        <v>540</v>
      </c>
      <c r="F4642" s="20" t="s">
        <v>541</v>
      </c>
      <c r="G4642" s="20" t="s">
        <v>542</v>
      </c>
      <c r="H4642" s="20" t="s">
        <v>543</v>
      </c>
      <c r="I4642" s="20" t="s">
        <v>544</v>
      </c>
      <c r="J4642" s="20" t="s">
        <v>545</v>
      </c>
      <c r="K4642" s="20" t="s">
        <v>546</v>
      </c>
      <c r="L4642" s="20" t="s">
        <v>547</v>
      </c>
      <c r="M4642" s="20" t="s">
        <v>548</v>
      </c>
      <c r="N4642" s="20" t="s">
        <v>549</v>
      </c>
      <c r="O4642" s="20" t="s">
        <v>550</v>
      </c>
      <c r="P4642" s="6" t="s">
        <v>23</v>
      </c>
      <c r="R4642" s="20" t="n">
        <v>2023</v>
      </c>
      <c r="S4642" s="20" t="n">
        <v>2024</v>
      </c>
      <c r="T4642" s="20" t="n">
        <v>2025</v>
      </c>
      <c r="U4642" s="20" t="n">
        <v>2026</v>
      </c>
      <c r="V4642" s="20" t="n">
        <v>2027</v>
      </c>
      <c r="W4642" s="20" t="n">
        <v>2028</v>
      </c>
      <c r="X4642" s="20" t="n">
        <v>2029</v>
      </c>
      <c r="Y4642" s="20" t="n">
        <v>2030</v>
      </c>
      <c r="Z4642" s="20" t="n">
        <v>2031</v>
      </c>
      <c r="AA4642" s="20" t="n">
        <v>2032</v>
      </c>
    </row>
    <row r="4643" customFormat="false" ht="17.15" hidden="false" customHeight="false" outlineLevel="0" collapsed="false">
      <c r="A4643" s="1" t="s">
        <v>551</v>
      </c>
    </row>
    <row r="4644" customFormat="false" ht="17.15" hidden="false" customHeight="false" outlineLevel="0" collapsed="false">
      <c r="A4644" s="14" t="s">
        <v>552</v>
      </c>
      <c r="B4644" s="13" t="s">
        <v>108</v>
      </c>
      <c r="C4644" s="32" t="n">
        <f aca="false">mw_ye24</f>
        <v>360</v>
      </c>
      <c r="D4644" s="32" t="n">
        <f aca="false">mw_ye25</f>
        <v>1440</v>
      </c>
      <c r="E4644" s="32" t="n">
        <f aca="false">mw_open</f>
        <v>2080</v>
      </c>
      <c r="F4644" s="32" t="n">
        <f aca="false">Sens!$E$4644+pace_B*0.5</f>
        <v>3897.15</v>
      </c>
      <c r="G4644" s="32" t="n">
        <f aca="false">Sens!$F$4644</f>
        <v>3897.15</v>
      </c>
      <c r="H4644" s="32" t="n">
        <f aca="false">Sens!$G$4644+pace_B</f>
        <v>7531.45</v>
      </c>
      <c r="I4644" s="32" t="n">
        <f aca="false">Sens!$H$4644+pace_B</f>
        <v>11165.75</v>
      </c>
      <c r="J4644" s="32" t="n">
        <f aca="false">Sens!$I$4644+pace_B</f>
        <v>14800.05</v>
      </c>
      <c r="K4644" s="32" t="n">
        <f aca="false">Sens!$J$4644+pace_B</f>
        <v>18434.35</v>
      </c>
      <c r="L4644" s="32" t="n">
        <f aca="false">Sens!$K$4644+pace_B</f>
        <v>22068.65</v>
      </c>
      <c r="M4644" s="32" t="n">
        <f aca="false">Sens!$L$4644+pace_B</f>
        <v>25702.95</v>
      </c>
      <c r="N4644" s="32" t="n">
        <f aca="false">(mw_ye24+mw_ye25)/2</f>
        <v>900</v>
      </c>
      <c r="O4644" s="32" t="n">
        <f aca="false">mw_ye25</f>
        <v>1440</v>
      </c>
      <c r="P4644" s="5" t="s">
        <v>553</v>
      </c>
    </row>
    <row r="4645" customFormat="false" ht="17.15" hidden="false" customHeight="false" outlineLevel="0" collapsed="false">
      <c r="A4645" s="5" t="s">
        <v>554</v>
      </c>
      <c r="B4645" s="0" t="s">
        <v>108</v>
      </c>
      <c r="C4645" s="33" t="n">
        <f aca="false">(mw_ye23+mw_ye24)/2</f>
        <v>240</v>
      </c>
      <c r="D4645" s="33" t="n">
        <f aca="false">(Sens!$C$4644+Sens!$D$4644)/2</f>
        <v>900</v>
      </c>
      <c r="E4645" s="33" t="n">
        <f aca="false">(Sens!$D$4644+Sens!$E$4644)/2</f>
        <v>1760</v>
      </c>
      <c r="F4645" s="33" t="n">
        <f aca="false">(Sens!$E$4644+Sens!$F$4644)/2</f>
        <v>2988.575</v>
      </c>
      <c r="G4645" s="33" t="n">
        <f aca="false">(Sens!$E$4645+Sens!$F$4645)/2</f>
        <v>2374.2875</v>
      </c>
      <c r="H4645" s="33" t="n">
        <f aca="false">(Sens!$G$4644+Sens!$H$4644)/2</f>
        <v>5714.3</v>
      </c>
      <c r="I4645" s="33" t="n">
        <f aca="false">(Sens!$H$4644+Sens!$I$4644)/2</f>
        <v>9348.6</v>
      </c>
      <c r="J4645" s="33" t="n">
        <f aca="false">(Sens!$I$4644+Sens!$J$4644)/2</f>
        <v>12982.9</v>
      </c>
      <c r="K4645" s="33" t="n">
        <f aca="false">(Sens!$J$4644+Sens!$K$4644)/2</f>
        <v>16617.2</v>
      </c>
      <c r="L4645" s="33" t="n">
        <f aca="false">(Sens!$K$4644+Sens!$L$4644)/2</f>
        <v>20251.5</v>
      </c>
      <c r="M4645" s="33" t="n">
        <f aca="false">(Sens!$L$4644+Sens!$M$4644)/2</f>
        <v>23885.8</v>
      </c>
      <c r="N4645" s="33" t="n">
        <f aca="false">(Sens!$C$4644+Sens!$N$4644)/2</f>
        <v>630</v>
      </c>
      <c r="O4645" s="33" t="n">
        <f aca="false">(Sens!$N$4644+Sens!$O$4644)/2</f>
        <v>1170</v>
      </c>
    </row>
    <row r="4646" customFormat="false" ht="15" hidden="false" customHeight="false" outlineLevel="0" collapsed="false">
      <c r="A4646" s="5" t="s">
        <v>555</v>
      </c>
      <c r="B4646" s="5" t="s">
        <v>102</v>
      </c>
      <c r="C4646" s="34" t="n">
        <v>1</v>
      </c>
      <c r="D4646" s="34" t="n">
        <v>1</v>
      </c>
      <c r="E4646" s="34" t="n">
        <v>0.5</v>
      </c>
      <c r="F4646" s="34" t="n">
        <v>0.5</v>
      </c>
      <c r="G4646" s="34" t="n">
        <v>1</v>
      </c>
      <c r="H4646" s="34" t="n">
        <v>1</v>
      </c>
      <c r="I4646" s="34" t="n">
        <v>1</v>
      </c>
      <c r="J4646" s="34" t="n">
        <v>1</v>
      </c>
      <c r="K4646" s="34" t="n">
        <v>1</v>
      </c>
      <c r="L4646" s="34" t="n">
        <v>1</v>
      </c>
      <c r="M4646" s="34" t="n">
        <v>1</v>
      </c>
      <c r="N4646" s="34" t="n">
        <v>0.5</v>
      </c>
      <c r="O4646" s="34" t="n">
        <v>0.5</v>
      </c>
    </row>
    <row r="4647" customFormat="false" ht="17.15" hidden="false" customHeight="false" outlineLevel="0" collapsed="false">
      <c r="A4647" s="5" t="s">
        <v>556</v>
      </c>
      <c r="B4647" s="0" t="s">
        <v>108</v>
      </c>
      <c r="C4647" s="33" t="n">
        <f aca="false">Sens!$C$4644-mw_ye23</f>
        <v>240</v>
      </c>
      <c r="D4647" s="33" t="n">
        <f aca="false">Sens!$D$4644-Sens!$C$4644</f>
        <v>1080</v>
      </c>
      <c r="E4647" s="33" t="n">
        <f aca="false">Sens!$E$4644-Sens!$D$4644</f>
        <v>640</v>
      </c>
      <c r="F4647" s="33" t="n">
        <f aca="false">Sens!$F$4644-Sens!$E$4644</f>
        <v>1817.15</v>
      </c>
      <c r="G4647" s="33" t="n">
        <f aca="false">Sens!$E$4647+Sens!$F$4647</f>
        <v>2457.15</v>
      </c>
      <c r="H4647" s="33" t="n">
        <f aca="false">Sens!$H$4644-Sens!$G$4644</f>
        <v>3634.3</v>
      </c>
      <c r="I4647" s="33" t="n">
        <f aca="false">Sens!$I$4644-Sens!$H$4644</f>
        <v>3634.3</v>
      </c>
      <c r="J4647" s="33" t="n">
        <f aca="false">Sens!$J$4644-Sens!$I$4644</f>
        <v>3634.3</v>
      </c>
      <c r="K4647" s="33" t="n">
        <f aca="false">Sens!$K$4644-Sens!$J$4644</f>
        <v>3634.3</v>
      </c>
      <c r="L4647" s="33" t="n">
        <f aca="false">Sens!$L$4644-Sens!$K$4644</f>
        <v>3634.3</v>
      </c>
      <c r="M4647" s="33" t="n">
        <f aca="false">Sens!$M$4644-Sens!$L$4644</f>
        <v>3634.3</v>
      </c>
      <c r="N4647" s="33" t="n">
        <f aca="false">Sens!$N$4644-Sens!$C$4644</f>
        <v>540</v>
      </c>
      <c r="O4647" s="33" t="n">
        <f aca="false">Sens!$O$4644-Sens!$N$4644</f>
        <v>540</v>
      </c>
    </row>
    <row r="4648" customFormat="false" ht="17.15" hidden="false" customHeight="false" outlineLevel="0" collapsed="false">
      <c r="A4648" s="5" t="s">
        <v>557</v>
      </c>
      <c r="B4648" s="0" t="s">
        <v>108</v>
      </c>
      <c r="C4648" s="33" t="n">
        <f aca="false">Sens!$C$4647/ext_sh</f>
        <v>300</v>
      </c>
      <c r="D4648" s="33" t="n">
        <f aca="false">Sens!$D$4647/ext_sh</f>
        <v>1350</v>
      </c>
      <c r="E4648" s="33" t="n">
        <f aca="false">Sens!$E$4647/ext_sh</f>
        <v>800</v>
      </c>
      <c r="F4648" s="33" t="n">
        <f aca="false">Sens!$F$4647/ext_sh</f>
        <v>2271.4375</v>
      </c>
      <c r="G4648" s="33" t="n">
        <f aca="false">Sens!$G$4647/ext_sh</f>
        <v>3071.4375</v>
      </c>
      <c r="H4648" s="33" t="n">
        <f aca="false">Sens!$H$4647/ext_sh</f>
        <v>4542.875</v>
      </c>
      <c r="I4648" s="33" t="n">
        <f aca="false">Sens!$I$4647/ext_sh</f>
        <v>4542.875</v>
      </c>
      <c r="J4648" s="33" t="n">
        <f aca="false">Sens!$J$4647/ext_sh</f>
        <v>4542.875</v>
      </c>
      <c r="K4648" s="33" t="n">
        <f aca="false">Sens!$K$4647/ext_sh</f>
        <v>4542.875</v>
      </c>
      <c r="L4648" s="33" t="n">
        <f aca="false">Sens!$L$4647/ext_sh</f>
        <v>4542.875</v>
      </c>
      <c r="M4648" s="33" t="n">
        <f aca="false">Sens!$M$4647/ext_sh</f>
        <v>4542.875</v>
      </c>
      <c r="N4648" s="33" t="n">
        <f aca="false">Sens!$N$4647/ext_sh</f>
        <v>675</v>
      </c>
      <c r="O4648" s="33" t="n">
        <f aca="false">Sens!$O$4647/ext_sh</f>
        <v>675</v>
      </c>
      <c r="P4648" s="8" t="s">
        <v>558</v>
      </c>
      <c r="R4648" s="33" t="n">
        <f aca="false">mw_ye23/ext_sh</f>
        <v>150</v>
      </c>
      <c r="S4648" s="33" t="n">
        <f aca="false">Sens!$C$4648</f>
        <v>300</v>
      </c>
      <c r="T4648" s="33" t="n">
        <f aca="false">Sens!$D$4648</f>
        <v>1350</v>
      </c>
      <c r="U4648" s="33" t="n">
        <f aca="false">Sens!$G$4648</f>
        <v>3071.4375</v>
      </c>
      <c r="V4648" s="33" t="n">
        <f aca="false">Sens!$H$4648</f>
        <v>4542.875</v>
      </c>
      <c r="W4648" s="33" t="n">
        <f aca="false">Sens!$I$4648</f>
        <v>4542.875</v>
      </c>
      <c r="X4648" s="33" t="n">
        <f aca="false">Sens!$J$4648</f>
        <v>4542.875</v>
      </c>
      <c r="Y4648" s="33" t="n">
        <f aca="false">Sens!$K$4648</f>
        <v>4542.875</v>
      </c>
      <c r="Z4648" s="33" t="n">
        <f aca="false">Sens!$L$4648</f>
        <v>4542.875</v>
      </c>
      <c r="AA4648" s="33" t="n">
        <f aca="false">Sens!$M$4648</f>
        <v>4542.875</v>
      </c>
    </row>
    <row r="4649" customFormat="false" ht="17.15" hidden="false" customHeight="false" outlineLevel="0" collapsed="false">
      <c r="A4649" s="1" t="s">
        <v>559</v>
      </c>
    </row>
    <row r="4650" customFormat="false" ht="17.15" hidden="false" customHeight="false" outlineLevel="0" collapsed="false">
      <c r="A4650" s="0" t="s">
        <v>560</v>
      </c>
      <c r="B4650" s="0" t="s">
        <v>52</v>
      </c>
      <c r="F4650" s="35" t="n">
        <f aca="false">na_vr26</f>
        <v>0</v>
      </c>
      <c r="G4650" s="35" t="n">
        <f aca="false">na_vr26</f>
        <v>0</v>
      </c>
      <c r="H4650" s="35" t="n">
        <f aca="false">na_vr27</f>
        <v>0.5</v>
      </c>
      <c r="I4650" s="35" t="n">
        <f aca="false">na_vr28</f>
        <v>1</v>
      </c>
      <c r="J4650" s="35" t="n">
        <f aca="false">na_vr28</f>
        <v>1</v>
      </c>
      <c r="K4650" s="35" t="n">
        <f aca="false">na_vr28</f>
        <v>1</v>
      </c>
      <c r="L4650" s="35" t="n">
        <f aca="false">na_vr28</f>
        <v>1</v>
      </c>
      <c r="M4650" s="35" t="n">
        <f aca="false">na_vr28</f>
        <v>1</v>
      </c>
    </row>
    <row r="4651" customFormat="false" ht="17.15" hidden="false" customHeight="false" outlineLevel="0" collapsed="false">
      <c r="A4651" s="5" t="s">
        <v>561</v>
      </c>
      <c r="B4651" s="0" t="s">
        <v>151</v>
      </c>
      <c r="F4651" s="36" t="n">
        <f aca="false">cust_sh*tk_he_gb300*cf_chip+(1-cust_sh)*((1-Sens!$F$4650)*tk_he_gb300+Sens!$F$4650*tk_he_vr200)</f>
        <v>10.8864110021101</v>
      </c>
      <c r="G4651" s="36" t="n">
        <f aca="false">cust_sh*tk_he_gb300*cf_chip+(1-cust_sh)*((1-Sens!$G$4650)*tk_he_gb300+Sens!$G$4650*tk_he_vr200)</f>
        <v>10.8864110021101</v>
      </c>
      <c r="H4651" s="36" t="n">
        <f aca="false">cust_sh*tk_he_gb300*cf_chip+(1-cust_sh)*((1-Sens!$H$4650)*tk_he_gb300+Sens!$H$4650*tk_he_vr200)</f>
        <v>11.2211760027286</v>
      </c>
      <c r="I4651" s="36" t="n">
        <f aca="false">cust_sh*tk_he_gb300*cf_chip+(1-cust_sh)*((1-Sens!$I$4650)*tk_he_gb300+Sens!$I$4650*tk_he_vr200)</f>
        <v>11.5559410033471</v>
      </c>
      <c r="J4651" s="36" t="n">
        <f aca="false">cust_sh*tk_he_gb300*cf_chip+(1-cust_sh)*((1-Sens!$J$4650)*tk_he_gb300+Sens!$J$4650*tk_he_vr200)</f>
        <v>11.5559410033471</v>
      </c>
      <c r="K4651" s="36" t="n">
        <f aca="false">cust_sh*tk_he_gb300*cf_chip+(1-cust_sh)*((1-Sens!$K$4650)*tk_he_gb300+Sens!$K$4650*tk_he_vr200)</f>
        <v>11.5559410033471</v>
      </c>
      <c r="L4651" s="36" t="n">
        <f aca="false">cust_sh*tk_he_gb300*cf_chip+(1-cust_sh)*((1-Sens!$L$4650)*tk_he_gb300+Sens!$L$4650*tk_he_vr200)</f>
        <v>11.5559410033471</v>
      </c>
      <c r="M4651" s="36" t="n">
        <f aca="false">cust_sh*tk_he_gb300*cf_chip+(1-cust_sh)*((1-Sens!$M$4650)*tk_he_gb300+Sens!$M$4650*tk_he_vr200)</f>
        <v>11.5559410033471</v>
      </c>
    </row>
    <row r="4652" customFormat="false" ht="17.15" hidden="false" customHeight="false" outlineLevel="0" collapsed="false">
      <c r="A4652" s="5" t="s">
        <v>562</v>
      </c>
      <c r="B4652" s="0" t="s">
        <v>151</v>
      </c>
      <c r="F4652" s="36" t="n">
        <f aca="false">cust_sh*tk_ox_gb300+(1-cust_sh)*((1-Sens!$F$4650)*tk_ox_gb300+Sens!$F$4650*tk_ox_vr200)</f>
        <v>1.98263481314457</v>
      </c>
      <c r="G4652" s="36" t="n">
        <f aca="false">cust_sh*tk_ox_gb300+(1-cust_sh)*((1-Sens!$G$4650)*tk_ox_gb300+Sens!$G$4650*tk_ox_vr200)</f>
        <v>1.98263481314457</v>
      </c>
      <c r="H4652" s="36" t="n">
        <f aca="false">cust_sh*tk_ox_gb300+(1-cust_sh)*((1-Sens!$H$4650)*tk_ox_gb300+Sens!$H$4650*tk_ox_vr200)</f>
        <v>2.01034999693694</v>
      </c>
      <c r="I4652" s="36" t="n">
        <f aca="false">cust_sh*tk_ox_gb300+(1-cust_sh)*((1-Sens!$I$4650)*tk_ox_gb300+Sens!$I$4650*tk_ox_vr200)</f>
        <v>2.0380651807293</v>
      </c>
      <c r="J4652" s="36" t="n">
        <f aca="false">cust_sh*tk_ox_gb300+(1-cust_sh)*((1-Sens!$J$4650)*tk_ox_gb300+Sens!$J$4650*tk_ox_vr200)</f>
        <v>2.0380651807293</v>
      </c>
      <c r="K4652" s="36" t="n">
        <f aca="false">cust_sh*tk_ox_gb300+(1-cust_sh)*((1-Sens!$K$4650)*tk_ox_gb300+Sens!$K$4650*tk_ox_vr200)</f>
        <v>2.0380651807293</v>
      </c>
      <c r="L4652" s="36" t="n">
        <f aca="false">cust_sh*tk_ox_gb300+(1-cust_sh)*((1-Sens!$L$4650)*tk_ox_gb300+Sens!$L$4650*tk_ox_vr200)</f>
        <v>2.0380651807293</v>
      </c>
      <c r="M4652" s="36" t="n">
        <f aca="false">cust_sh*tk_ox_gb300+(1-cust_sh)*((1-Sens!$M$4650)*tk_ox_gb300+Sens!$M$4650*tk_ox_vr200)</f>
        <v>2.0380651807293</v>
      </c>
    </row>
    <row r="4653" customFormat="false" ht="17.15" hidden="false" customHeight="false" outlineLevel="0" collapsed="false">
      <c r="A4653" s="5" t="s">
        <v>563</v>
      </c>
      <c r="B4653" s="0" t="s">
        <v>170</v>
      </c>
      <c r="F4653" s="36" t="n">
        <f aca="false">cust_sh*tk_cx_gb300*cf_cx+(1-cust_sh)*((1-Sens!$F$4650)*tk_cx_gb300+Sens!$F$4650*tk_cx_vr200)</f>
        <v>32.237224</v>
      </c>
      <c r="G4653" s="36" t="n">
        <f aca="false">cust_sh*tk_cx_gb300*cf_cx+(1-cust_sh)*((1-Sens!$G$4650)*tk_cx_gb300+Sens!$G$4650*tk_cx_vr200)</f>
        <v>32.237224</v>
      </c>
      <c r="H4653" s="36" t="n">
        <f aca="false">cust_sh*tk_cx_gb300*cf_cx+(1-cust_sh)*((1-Sens!$H$4650)*tk_cx_gb300+Sens!$H$4650*tk_cx_vr200)</f>
        <v>33.574506</v>
      </c>
      <c r="I4653" s="36" t="n">
        <f aca="false">cust_sh*tk_cx_gb300*cf_cx+(1-cust_sh)*((1-Sens!$I$4650)*tk_cx_gb300+Sens!$I$4650*tk_cx_vr200)</f>
        <v>34.911788</v>
      </c>
      <c r="J4653" s="36" t="n">
        <f aca="false">cust_sh*tk_cx_gb300*cf_cx+(1-cust_sh)*((1-Sens!$J$4650)*tk_cx_gb300+Sens!$J$4650*tk_cx_vr200)</f>
        <v>34.911788</v>
      </c>
      <c r="K4653" s="36" t="n">
        <f aca="false">cust_sh*tk_cx_gb300*cf_cx+(1-cust_sh)*((1-Sens!$K$4650)*tk_cx_gb300+Sens!$K$4650*tk_cx_vr200)</f>
        <v>34.911788</v>
      </c>
      <c r="L4653" s="36" t="n">
        <f aca="false">cust_sh*tk_cx_gb300*cf_cx+(1-cust_sh)*((1-Sens!$L$4650)*tk_cx_gb300+Sens!$L$4650*tk_cx_vr200)</f>
        <v>34.911788</v>
      </c>
      <c r="M4653" s="36" t="n">
        <f aca="false">cust_sh*tk_cx_gb300*cf_cx+(1-cust_sh)*((1-Sens!$M$4650)*tk_cx_gb300+Sens!$M$4650*tk_cx_vr200)</f>
        <v>34.911788</v>
      </c>
    </row>
    <row r="4654" customFormat="false" ht="17.15" hidden="false" customHeight="false" outlineLevel="0" collapsed="false">
      <c r="A4654" s="5" t="s">
        <v>564</v>
      </c>
      <c r="B4654" s="0" t="s">
        <v>108</v>
      </c>
      <c r="F4654" s="33" t="n">
        <f aca="false">Sens!$F$4644-mw_open</f>
        <v>1817.15</v>
      </c>
      <c r="G4654" s="33" t="n">
        <f aca="false">Sens!$F$4654</f>
        <v>1817.15</v>
      </c>
      <c r="H4654" s="33" t="n">
        <f aca="false">Sens!$H$4644-mw_open</f>
        <v>5451.45</v>
      </c>
      <c r="I4654" s="33" t="n">
        <f aca="false">Sens!$I$4644-mw_open</f>
        <v>9085.75</v>
      </c>
      <c r="J4654" s="33" t="n">
        <f aca="false">Sens!$J$4644-mw_open</f>
        <v>12720.05</v>
      </c>
      <c r="K4654" s="33" t="n">
        <f aca="false">Sens!$K$4644-mw_open</f>
        <v>16354.35</v>
      </c>
      <c r="L4654" s="33" t="n">
        <f aca="false">Sens!$L$4644-mw_open</f>
        <v>19988.65</v>
      </c>
      <c r="M4654" s="33" t="n">
        <f aca="false">Sens!$M$4644-mw_open</f>
        <v>23622.95</v>
      </c>
    </row>
    <row r="4655" customFormat="false" ht="17.15" hidden="false" customHeight="false" outlineLevel="0" collapsed="false">
      <c r="A4655" s="0" t="s">
        <v>565</v>
      </c>
      <c r="B4655" s="0" t="s">
        <v>566</v>
      </c>
      <c r="F4655" s="33" t="n">
        <f aca="false">Sens!$F$4647*Sens!$F$4651</f>
        <v>19782.2417524844</v>
      </c>
      <c r="G4655" s="33" t="n">
        <f aca="false">Sens!$F$4655</f>
        <v>19782.2417524844</v>
      </c>
      <c r="H4655" s="33" t="n">
        <f aca="false">Sens!$G$4655+Sens!$H$4647*Sens!$H$4651</f>
        <v>60563.3616992009</v>
      </c>
      <c r="I4655" s="33" t="n">
        <f aca="false">Sens!$H$4655+Sens!$I$4647*Sens!$I$4651</f>
        <v>102561.118087665</v>
      </c>
      <c r="J4655" s="33" t="n">
        <f aca="false">Sens!$I$4655+Sens!$J$4647*Sens!$J$4651</f>
        <v>144558.87447613</v>
      </c>
      <c r="K4655" s="33" t="n">
        <f aca="false">Sens!$J$4655+Sens!$K$4647*Sens!$K$4651</f>
        <v>186556.630864594</v>
      </c>
      <c r="L4655" s="33" t="n">
        <f aca="false">Sens!$K$4655+Sens!$L$4647*Sens!$L$4651</f>
        <v>228554.387253058</v>
      </c>
      <c r="M4655" s="33" t="n">
        <f aca="false">Sens!$L$4655+Sens!$M$4647*Sens!$M$4651</f>
        <v>270552.143641523</v>
      </c>
    </row>
    <row r="4656" customFormat="false" ht="17.15" hidden="false" customHeight="false" outlineLevel="0" collapsed="false">
      <c r="A4656" s="0" t="s">
        <v>567</v>
      </c>
      <c r="B4656" s="0" t="s">
        <v>566</v>
      </c>
      <c r="F4656" s="33" t="n">
        <f aca="false">Sens!$F$4647*Sens!$F$4652</f>
        <v>3602.74485070566</v>
      </c>
      <c r="G4656" s="33" t="n">
        <f aca="false">Sens!$F$4656</f>
        <v>3602.74485070566</v>
      </c>
      <c r="H4656" s="33" t="n">
        <f aca="false">Sens!$G$4656+Sens!$H$4647*Sens!$H$4652</f>
        <v>10908.9598445736</v>
      </c>
      <c r="I4656" s="33" t="n">
        <f aca="false">Sens!$H$4656+Sens!$I$4647*Sens!$I$4652</f>
        <v>18315.9001308981</v>
      </c>
      <c r="J4656" s="33" t="n">
        <f aca="false">Sens!$I$4656+Sens!$J$4647*Sens!$J$4652</f>
        <v>25722.8404172225</v>
      </c>
      <c r="K4656" s="33" t="n">
        <f aca="false">Sens!$J$4656+Sens!$K$4647*Sens!$K$4652</f>
        <v>33129.780703547</v>
      </c>
      <c r="L4656" s="33" t="n">
        <f aca="false">Sens!$K$4656+Sens!$L$4647*Sens!$L$4652</f>
        <v>40536.7209898715</v>
      </c>
      <c r="M4656" s="33" t="n">
        <f aca="false">Sens!$L$4656+Sens!$M$4647*Sens!$M$4652</f>
        <v>47943.661276196</v>
      </c>
    </row>
    <row r="4657" customFormat="false" ht="17.15" hidden="false" customHeight="false" outlineLevel="0" collapsed="false">
      <c r="A4657" s="5" t="s">
        <v>568</v>
      </c>
      <c r="B4657" s="0" t="s">
        <v>151</v>
      </c>
      <c r="F4657" s="36" t="n">
        <f aca="false">IF(Sens!$F$4654&gt;0,Sens!$F$4655/Sens!$F$4654,Sens!$F$4651)</f>
        <v>10.8864110021101</v>
      </c>
      <c r="G4657" s="36" t="n">
        <f aca="false">IF(Sens!$G$4654&gt;0,Sens!$G$4655/Sens!$G$4654,Sens!$G$4651)</f>
        <v>10.8864110021101</v>
      </c>
      <c r="H4657" s="36" t="n">
        <f aca="false">IF(Sens!$H$4654&gt;0,Sens!$H$4655/Sens!$H$4654,Sens!$H$4651)</f>
        <v>11.1095876691891</v>
      </c>
      <c r="I4657" s="36" t="n">
        <f aca="false">IF(Sens!$I$4654&gt;0,Sens!$I$4655/Sens!$I$4654,Sens!$I$4651)</f>
        <v>11.2881290028523</v>
      </c>
      <c r="J4657" s="36" t="n">
        <f aca="false">IF(Sens!$J$4654&gt;0,Sens!$J$4655/Sens!$J$4654,Sens!$J$4651)</f>
        <v>11.3646467172794</v>
      </c>
      <c r="K4657" s="36" t="n">
        <f aca="false">IF(Sens!$K$4654&gt;0,Sens!$K$4655/Sens!$K$4654,Sens!$K$4651)</f>
        <v>11.4071565586278</v>
      </c>
      <c r="L4657" s="36" t="n">
        <f aca="false">IF(Sens!$L$4654&gt;0,Sens!$L$4655/Sens!$L$4654,Sens!$L$4651)</f>
        <v>11.4342082758495</v>
      </c>
      <c r="M4657" s="36" t="n">
        <f aca="false">IF(Sens!$M$4654&gt;0,Sens!$M$4655/Sens!$M$4654,Sens!$M$4651)</f>
        <v>11.4529363877722</v>
      </c>
    </row>
    <row r="4658" customFormat="false" ht="17.15" hidden="false" customHeight="false" outlineLevel="0" collapsed="false">
      <c r="A4658" s="5" t="s">
        <v>569</v>
      </c>
      <c r="B4658" s="0" t="s">
        <v>151</v>
      </c>
      <c r="F4658" s="36" t="n">
        <f aca="false">IF(Sens!$F$4654&gt;0,Sens!$F$4656/Sens!$F$4654,Sens!$F$4652)</f>
        <v>1.98263481314457</v>
      </c>
      <c r="G4658" s="36" t="n">
        <f aca="false">IF(Sens!$G$4654&gt;0,Sens!$G$4656/Sens!$G$4654,Sens!$G$4652)</f>
        <v>1.98263481314457</v>
      </c>
      <c r="H4658" s="36" t="n">
        <f aca="false">IF(Sens!$H$4654&gt;0,Sens!$H$4656/Sens!$H$4654,Sens!$H$4652)</f>
        <v>2.00111160233948</v>
      </c>
      <c r="I4658" s="36" t="n">
        <f aca="false">IF(Sens!$I$4654&gt;0,Sens!$I$4656/Sens!$I$4654,Sens!$I$4652)</f>
        <v>2.01589303369541</v>
      </c>
      <c r="J4658" s="36" t="n">
        <f aca="false">IF(Sens!$J$4654&gt;0,Sens!$J$4656/Sens!$J$4654,Sens!$J$4652)</f>
        <v>2.02222793284795</v>
      </c>
      <c r="K4658" s="36" t="n">
        <f aca="false">IF(Sens!$K$4654&gt;0,Sens!$K$4656/Sens!$K$4654,Sens!$K$4652)</f>
        <v>2.02574732126603</v>
      </c>
      <c r="L4658" s="36" t="n">
        <f aca="false">IF(Sens!$L$4654&gt;0,Sens!$L$4656/Sens!$L$4654,Sens!$L$4652)</f>
        <v>2.02798693207753</v>
      </c>
      <c r="M4658" s="36" t="n">
        <f aca="false">IF(Sens!$M$4654&gt;0,Sens!$M$4656/Sens!$M$4654,Sens!$M$4652)</f>
        <v>2.02953743187011</v>
      </c>
    </row>
    <row r="4659" customFormat="false" ht="17.15" hidden="false" customHeight="false" outlineLevel="0" collapsed="false">
      <c r="A4659" s="14" t="s">
        <v>570</v>
      </c>
      <c r="B4659" s="13" t="s">
        <v>151</v>
      </c>
      <c r="C4659" s="13"/>
      <c r="D4659" s="13"/>
      <c r="E4659" s="13"/>
      <c r="F4659" s="37" t="n">
        <f aca="false">Sens!$F$4657*k_B</f>
        <v>10.7987645808025</v>
      </c>
      <c r="G4659" s="37" t="n">
        <f aca="false">Sens!$G$4657*k_B</f>
        <v>10.7987645808025</v>
      </c>
      <c r="H4659" s="37" t="n">
        <f aca="false">Sens!$H$4657*k_B</f>
        <v>11.0201444540452</v>
      </c>
      <c r="I4659" s="37" t="n">
        <f aca="false">Sens!$I$4657*k_B</f>
        <v>11.1972483526393</v>
      </c>
      <c r="J4659" s="37" t="n">
        <f aca="false">Sens!$J$4657*k_B</f>
        <v>11.2731500234653</v>
      </c>
      <c r="K4659" s="37" t="n">
        <f aca="false">Sens!$K$4657*k_B</f>
        <v>11.3153176183687</v>
      </c>
      <c r="L4659" s="37" t="n">
        <f aca="false">Sens!$L$4657*k_B</f>
        <v>11.3421515423981</v>
      </c>
      <c r="M4659" s="37" t="n">
        <f aca="false">Sens!$M$4657*k_B</f>
        <v>11.3607288744184</v>
      </c>
      <c r="N4659" s="13"/>
      <c r="O4659" s="13"/>
      <c r="P4659" s="5" t="s">
        <v>571</v>
      </c>
    </row>
    <row r="4660" customFormat="false" ht="17.15" hidden="false" customHeight="false" outlineLevel="0" collapsed="false">
      <c r="A4660" s="5" t="s">
        <v>572</v>
      </c>
      <c r="B4660" s="0" t="s">
        <v>108</v>
      </c>
      <c r="F4660" s="33" t="n">
        <f aca="false">Sens!$F$4654/2</f>
        <v>908.575</v>
      </c>
      <c r="H4660" s="33" t="n">
        <f aca="false">(Sens!$G$4654+Sens!$H$4654)/2</f>
        <v>3634.3</v>
      </c>
      <c r="I4660" s="33" t="n">
        <f aca="false">(Sens!$H$4654+Sens!$I$4654)/2</f>
        <v>7268.6</v>
      </c>
      <c r="J4660" s="33" t="n">
        <f aca="false">(Sens!$I$4654+Sens!$J$4654)/2</f>
        <v>10902.9</v>
      </c>
      <c r="K4660" s="33" t="n">
        <f aca="false">(Sens!$J$4654+Sens!$K$4654)/2</f>
        <v>14537.2</v>
      </c>
      <c r="L4660" s="33" t="n">
        <f aca="false">(Sens!$K$4654+Sens!$L$4654)/2</f>
        <v>18171.5</v>
      </c>
      <c r="M4660" s="33" t="n">
        <f aca="false">(Sens!$L$4654+Sens!$M$4654)/2</f>
        <v>21805.8</v>
      </c>
    </row>
    <row r="4661" customFormat="false" ht="17.15" hidden="false" customHeight="false" outlineLevel="0" collapsed="false">
      <c r="A4661" s="1" t="s">
        <v>573</v>
      </c>
    </row>
    <row r="4662" customFormat="false" ht="17.15" hidden="false" customHeight="false" outlineLevel="0" collapsed="false">
      <c r="A4662" s="1" t="s">
        <v>574</v>
      </c>
      <c r="B4662" s="8" t="s">
        <v>73</v>
      </c>
      <c r="C4662" s="38" t="n">
        <f aca="false">Sens!$C$4645*rpm_open*Sens!$C$4646/1000</f>
        <v>2.32100535697364</v>
      </c>
      <c r="D4662" s="38" t="n">
        <f aca="false">Sens!$D$4645*rpm_open*Sens!$D$4646/1000</f>
        <v>8.70377008865116</v>
      </c>
      <c r="E4662" s="38" t="n">
        <f aca="false">Sens!$E$4645*rpm_open*Sens!$E$4646/1000</f>
        <v>8.51035297557002</v>
      </c>
      <c r="F4662" s="38" t="n">
        <f aca="false">(mw_open*rpm_open+Sens!$F$4660*Sens!$F$4659)*Sens!$F$4646/1000</f>
        <v>14.9634336447205</v>
      </c>
      <c r="G4662" s="38" t="n">
        <f aca="false">Sens!$E$4662+Sens!$F$4662</f>
        <v>23.4737866202905</v>
      </c>
      <c r="H4662" s="38" t="n">
        <f aca="false">(mw_open*rpm_open+Sens!$H$4660*Sens!$H$4659)/1000</f>
        <v>60.1658907497746</v>
      </c>
      <c r="I4662" s="38" t="n">
        <f aca="false">(mw_open*rpm_open+Sens!$I$4660*Sens!$I$4659)/1000</f>
        <v>101.503699136432</v>
      </c>
      <c r="J4662" s="38" t="n">
        <f aca="false">(mw_open*rpm_open+Sens!$J$4660*Sens!$J$4659)/1000</f>
        <v>143.025407151278</v>
      </c>
      <c r="K4662" s="38" t="n">
        <f aca="false">(mw_open*rpm_open+Sens!$K$4660*Sens!$K$4659)/1000</f>
        <v>184.608415042187</v>
      </c>
      <c r="L4662" s="38" t="n">
        <f aca="false">(mw_open*rpm_open+Sens!$L$4660*Sens!$L$4659)/1000</f>
        <v>226.219286513125</v>
      </c>
      <c r="M4662" s="38" t="n">
        <f aca="false">(mw_open*rpm_open+Sens!$M$4660*Sens!$M$4659)/1000</f>
        <v>267.845161450232</v>
      </c>
      <c r="N4662" s="38" t="n">
        <f aca="false">Sens!$N$4645*rpm_open*Sens!$N$4646/1000</f>
        <v>3.04631953102791</v>
      </c>
      <c r="O4662" s="38" t="n">
        <f aca="false">Sens!$O$4645*rpm_open*Sens!$O$4646/1000</f>
        <v>5.65745055762326</v>
      </c>
      <c r="P4662" s="5" t="s">
        <v>575</v>
      </c>
    </row>
    <row r="4663" customFormat="false" ht="17.15" hidden="false" customHeight="false" outlineLevel="0" collapsed="false">
      <c r="A4663" s="5" t="s">
        <v>576</v>
      </c>
      <c r="B4663" s="0" t="s">
        <v>151</v>
      </c>
      <c r="C4663" s="36" t="n">
        <f aca="false">Sens!$C$4662*1000/(Sens!$C$4645*Sens!$C$4646)</f>
        <v>9.67085565405685</v>
      </c>
      <c r="D4663" s="36" t="n">
        <f aca="false">Sens!$D$4662*1000/(Sens!$D$4645*Sens!$D$4646)</f>
        <v>9.67085565405685</v>
      </c>
      <c r="E4663" s="36" t="n">
        <f aca="false">Sens!$E$4662*1000/(Sens!$E$4645*Sens!$E$4646)</f>
        <v>9.67085565405685</v>
      </c>
      <c r="F4663" s="36" t="n">
        <f aca="false">Sens!$F$4662*1000/(Sens!$F$4645*Sens!$F$4646)</f>
        <v>10.0137581588017</v>
      </c>
      <c r="G4663" s="36" t="n">
        <f aca="false">Sens!$G$4662*1000/(Sens!$G$4645*Sens!$G$4646)</f>
        <v>9.88666562928478</v>
      </c>
      <c r="H4663" s="36" t="n">
        <f aca="false">Sens!$H$4662*1000/(Sens!$H$4645*Sens!$H$4646)</f>
        <v>10.5290045586992</v>
      </c>
      <c r="I4663" s="36" t="n">
        <f aca="false">Sens!$I$4662*1000/(Sens!$I$4645*Sens!$I$4646)</f>
        <v>10.8576363451674</v>
      </c>
      <c r="J4663" s="36" t="n">
        <f aca="false">Sens!$J$4662*1000/(Sens!$J$4645*Sens!$J$4646)</f>
        <v>11.0164452588619</v>
      </c>
      <c r="K4663" s="36" t="n">
        <f aca="false">Sens!$K$4662*1000/(Sens!$K$4645*Sens!$K$4646)</f>
        <v>11.1094778327388</v>
      </c>
      <c r="L4663" s="36" t="n">
        <f aca="false">Sens!$L$4662*1000/(Sens!$L$4645*Sens!$L$4646)</f>
        <v>11.1704953466718</v>
      </c>
      <c r="M4663" s="36" t="n">
        <f aca="false">Sens!$M$4662*1000/(Sens!$M$4645*Sens!$M$4646)</f>
        <v>11.2135729785158</v>
      </c>
      <c r="N4663" s="36" t="n">
        <f aca="false">Sens!$N$4662*1000/(Sens!$N$4645*Sens!$N$4646)</f>
        <v>9.67085565405685</v>
      </c>
      <c r="O4663" s="36" t="n">
        <f aca="false">Sens!$O$4662*1000/(Sens!$O$4645*Sens!$O$4646)</f>
        <v>9.67085565405685</v>
      </c>
    </row>
    <row r="4664" customFormat="false" ht="17.15" hidden="false" customHeight="false" outlineLevel="0" collapsed="false">
      <c r="A4664" s="0" t="s">
        <v>577</v>
      </c>
      <c r="B4664" s="0" t="s">
        <v>73</v>
      </c>
      <c r="C4664" s="38" t="n">
        <f aca="false">Sens!$C$4645/ext_sh*(ox_open+rent_mw)*Sens!$C$4646/1000</f>
        <v>0.642569210675032</v>
      </c>
      <c r="D4664" s="38" t="n">
        <f aca="false">Sens!$D$4645/ext_sh*(ox_open+rent_mw)*Sens!$D$4646/1000</f>
        <v>2.40963454003137</v>
      </c>
      <c r="E4664" s="38" t="n">
        <f aca="false">Sens!$E$4645/ext_sh*(ox_open+rent_mw)*Sens!$E$4646/1000</f>
        <v>2.35608710580845</v>
      </c>
      <c r="F4664" s="38" t="n">
        <f aca="false">((mw_open*ox_open+Sens!$F$4660*Sens!$F$4658)/ext_sh+Sens!$F$4645/ext_sh*rent_mw)*Sens!$F$4646/1000</f>
        <v>4.05421991106232</v>
      </c>
      <c r="G4664" s="38" t="n">
        <f aca="false">Sens!$E$4664+Sens!$F$4664</f>
        <v>6.41030701687077</v>
      </c>
      <c r="H4664" s="38" t="n">
        <f aca="false">((mw_open*ox_open+Sens!$H$4660*Sens!$H$4658)/ext_sh+Sens!$H$4645/ext_sh*rent_mw)*Sens!$H$4646/1000</f>
        <v>15.8108975546616</v>
      </c>
      <c r="I4664" s="38" t="n">
        <f aca="false">((mw_open*ox_open+Sens!$I$4660*Sens!$I$4658)/ext_sh+Sens!$I$4645/ext_sh*rent_mw)*Sens!$I$4646/1000</f>
        <v>26.1871623400817</v>
      </c>
      <c r="J4664" s="38" t="n">
        <f aca="false">((mw_open*ox_open+Sens!$J$4660*Sens!$J$4658)/ext_sh+Sens!$J$4645/ext_sh*rent_mw)*Sens!$J$4646/1000</f>
        <v>36.5826128954935</v>
      </c>
      <c r="K4664" s="38" t="n">
        <f aca="false">((mw_open*ox_open+Sens!$K$4660*Sens!$K$4658)/ext_sh+Sens!$K$4645/ext_sh*rent_mw)*Sens!$K$4646/1000</f>
        <v>46.9844587075692</v>
      </c>
      <c r="L4664" s="38" t="n">
        <f aca="false">((mw_open*ox_open+Sens!$L$4660*Sens!$L$4658)/ext_sh+Sens!$L$4645/ext_sh*rent_mw)*Sens!$L$4646/1000</f>
        <v>57.3892114544922</v>
      </c>
      <c r="M4664" s="38" t="n">
        <f aca="false">((mw_open*ox_open+Sens!$M$4660*Sens!$M$4658)/ext_sh+Sens!$M$4645/ext_sh*rent_mw)*Sens!$M$4646/1000</f>
        <v>67.7955294740252</v>
      </c>
      <c r="N4664" s="38" t="n">
        <f aca="false">Sens!$N$4645/ext_sh*(ox_open+rent_mw)*Sens!$N$4646/1000</f>
        <v>0.84337208901098</v>
      </c>
      <c r="O4664" s="38" t="n">
        <f aca="false">Sens!$O$4645/ext_sh*(ox_open+rent_mw)*Sens!$O$4646/1000</f>
        <v>1.56626245102039</v>
      </c>
    </row>
    <row r="4665" customFormat="false" ht="17.15" hidden="false" customHeight="false" outlineLevel="0" collapsed="false">
      <c r="A4665" s="0" t="s">
        <v>578</v>
      </c>
      <c r="B4665" s="0" t="s">
        <v>73</v>
      </c>
      <c r="C4665" s="38" t="n">
        <f aca="false">Q!$D$7</f>
        <v>107.556</v>
      </c>
      <c r="D4665" s="38" t="n">
        <f aca="false">Q!$E$7</f>
        <v>128.725</v>
      </c>
      <c r="E4665" s="38" t="n">
        <f aca="false">Q!$P$7</f>
        <v>79.819</v>
      </c>
      <c r="N4665" s="38" t="n">
        <f aca="false">Q!$N$7</f>
        <v>60.14</v>
      </c>
      <c r="O4665" s="38" t="n">
        <f aca="false">Q!$O$7</f>
        <v>68.585</v>
      </c>
    </row>
    <row r="4666" customFormat="false" ht="17.15" hidden="false" customHeight="false" outlineLevel="0" collapsed="false">
      <c r="A4666" s="1" t="s">
        <v>579</v>
      </c>
      <c r="B4666" s="8" t="s">
        <v>73</v>
      </c>
      <c r="C4666" s="38" t="n">
        <f aca="false">Sens!$C$4665-Sens!$C$4662</f>
        <v>105.234994643026</v>
      </c>
      <c r="D4666" s="38" t="n">
        <f aca="false">Sens!$D$4665-Sens!$D$4662</f>
        <v>120.021229911349</v>
      </c>
      <c r="E4666" s="38" t="n">
        <f aca="false">Sens!$E$4665-Sens!$E$4662</f>
        <v>71.30864702443</v>
      </c>
      <c r="F4666" s="38" t="n">
        <f aca="false">Sens!$O$4666*(1+Sens!$F$4667)</f>
        <v>78.5950104186653</v>
      </c>
      <c r="G4666" s="38" t="n">
        <f aca="false">Sens!$E$4666+Sens!$F$4666</f>
        <v>149.903657443095</v>
      </c>
      <c r="H4666" s="38" t="n">
        <f aca="false">Sens!$G$4666*(1+Sens!$H$4667)</f>
        <v>180.893560768142</v>
      </c>
      <c r="I4666" s="38" t="n">
        <f aca="false">Sens!$H$4666*(1+Sens!$I$4667)</f>
        <v>210.64839721501</v>
      </c>
      <c r="J4666" s="38" t="n">
        <f aca="false">Sens!$I$4666*(1+Sens!$J$4667)</f>
        <v>236.398909446495</v>
      </c>
      <c r="K4666" s="38" t="n">
        <f aca="false">Sens!$J$4666*(1+Sens!$K$4667)</f>
        <v>255.310822202215</v>
      </c>
      <c r="L4666" s="38" t="n">
        <f aca="false">Sens!$K$4666*(1+Sens!$L$4667)</f>
        <v>275.735687978392</v>
      </c>
      <c r="M4666" s="38" t="n">
        <f aca="false">Sens!$L$4666*(1+Sens!$M$4667)</f>
        <v>297.794543016663</v>
      </c>
      <c r="N4666" s="38" t="n">
        <f aca="false">Sens!$N$4665-Sens!$N$4662</f>
        <v>57.0936804689721</v>
      </c>
      <c r="O4666" s="38" t="n">
        <f aca="false">Sens!$O$4665-Sens!$O$4662</f>
        <v>62.9275494423768</v>
      </c>
      <c r="P4666" s="5" t="s">
        <v>580</v>
      </c>
    </row>
    <row r="4667" customFormat="false" ht="17.15" hidden="false" customHeight="false" outlineLevel="0" collapsed="false">
      <c r="A4667" s="0" t="s">
        <v>581</v>
      </c>
      <c r="B4667" s="0" t="s">
        <v>52</v>
      </c>
      <c r="E4667" s="12" t="n">
        <f aca="false">Sens!$E$4666/Sens!$N$4666-1</f>
        <v>0.248976181579029</v>
      </c>
      <c r="F4667" s="12" t="n">
        <f aca="false">Sens!$E$4667</f>
        <v>0.248976181579029</v>
      </c>
      <c r="G4667" s="12" t="n">
        <f aca="false">Sens!$G$4666/Sens!$D$4666-1</f>
        <v>0.248976181579029</v>
      </c>
      <c r="H4667" s="12" t="n">
        <f aca="false">Sens!$E$4667+(g_awso_lt-Sens!$E$4667)*1/4</f>
        <v>0.206732136184272</v>
      </c>
      <c r="I4667" s="12" t="n">
        <f aca="false">Sens!$E$4667+(g_awso_lt-Sens!$E$4667)*2/4</f>
        <v>0.164488090789515</v>
      </c>
      <c r="J4667" s="12" t="n">
        <f aca="false">Sens!$E$4667+(g_awso_lt-Sens!$E$4667)*3/4</f>
        <v>0.122244045394757</v>
      </c>
      <c r="K4667" s="12" t="n">
        <f aca="false">Sens!$E$4667+(g_awso_lt-Sens!$E$4667)*4/4</f>
        <v>0.08</v>
      </c>
      <c r="L4667" s="12" t="n">
        <f aca="false">g_awso_lt</f>
        <v>0.08</v>
      </c>
      <c r="M4667" s="12" t="n">
        <f aca="false">g_awso_lt</f>
        <v>0.08</v>
      </c>
      <c r="P4667" s="8" t="s">
        <v>582</v>
      </c>
    </row>
    <row r="4668" customFormat="false" ht="17.15" hidden="false" customHeight="false" outlineLevel="0" collapsed="false">
      <c r="A4668" s="1" t="s">
        <v>583</v>
      </c>
    </row>
    <row r="4669" customFormat="false" ht="17.15" hidden="false" customHeight="false" outlineLevel="0" collapsed="false">
      <c r="A4669" s="0" t="s">
        <v>584</v>
      </c>
      <c r="B4669" s="0" t="s">
        <v>73</v>
      </c>
      <c r="F4669" s="38" t="n">
        <f aca="false">cx_rt*Sens!$F$4635+cx_awso*Sens!$F$4666</f>
        <v>36.8045765066526</v>
      </c>
    </row>
    <row r="4670" customFormat="false" ht="17.15" hidden="false" customHeight="false" outlineLevel="0" collapsed="false">
      <c r="A4670" s="0" t="s">
        <v>585</v>
      </c>
      <c r="B4670" s="0" t="s">
        <v>52</v>
      </c>
      <c r="C4670" s="12" t="n">
        <f aca="false">tk_cx_h100/(tk_cx_h100+tk_fac*(1-colo_sh))</f>
        <v>0.730756458006641</v>
      </c>
      <c r="D4670" s="12" t="n">
        <f aca="false">tk_cx_h100/(tk_cx_h100+tk_fac*(1-colo_sh))</f>
        <v>0.730756458006641</v>
      </c>
      <c r="E4670" s="12" t="n">
        <f aca="false">Sens!$F$4670</f>
        <v>0.760792334328868</v>
      </c>
      <c r="F4670" s="12" t="n">
        <f aca="false">Sens!$F$4653/(Sens!$F$4653+tk_fac*(1-colo_sh))</f>
        <v>0.760792334328868</v>
      </c>
      <c r="G4670" s="12" t="n">
        <f aca="false">Sens!$G$4653/(Sens!$G$4653+tk_fac*(1-colo_sh))</f>
        <v>0.760792334328868</v>
      </c>
      <c r="H4670" s="12" t="n">
        <f aca="false">Sens!$H$4653/(Sens!$H$4653+tk_fac*(1-colo_sh))</f>
        <v>0.768110668862996</v>
      </c>
      <c r="I4670" s="12" t="n">
        <f aca="false">Sens!$I$4653/(Sens!$I$4653+tk_fac*(1-colo_sh))</f>
        <v>0.77499450139483</v>
      </c>
      <c r="J4670" s="12" t="n">
        <f aca="false">Sens!$J$4653/(Sens!$J$4653+tk_fac*(1-colo_sh))</f>
        <v>0.77499450139483</v>
      </c>
      <c r="K4670" s="12" t="n">
        <f aca="false">Sens!$K$4653/(Sens!$K$4653+tk_fac*(1-colo_sh))</f>
        <v>0.77499450139483</v>
      </c>
      <c r="L4670" s="12" t="n">
        <f aca="false">Sens!$L$4653/(Sens!$L$4653+tk_fac*(1-colo_sh))</f>
        <v>0.77499450139483</v>
      </c>
      <c r="M4670" s="12" t="n">
        <f aca="false">Sens!$M$4653/(Sens!$M$4653+tk_fac*(1-colo_sh))</f>
        <v>0.77499450139483</v>
      </c>
    </row>
    <row r="4671" customFormat="false" ht="17.15" hidden="false" customHeight="false" outlineLevel="0" collapsed="false">
      <c r="A4671" s="1" t="s">
        <v>586</v>
      </c>
      <c r="B4671" s="8" t="s">
        <v>73</v>
      </c>
      <c r="C4671" s="38" t="n">
        <f aca="false">Q!$D$46-cx_rt*Q!$D$16-cx_awso*Sens!$C$4666</f>
        <v>25.2781053077374</v>
      </c>
      <c r="D4671" s="38" t="n">
        <f aca="false">Q!$E$46-cx_rt*Q!$E$16-cx_awso*Sens!$D$4666</f>
        <v>69.5686316310026</v>
      </c>
      <c r="E4671" s="38" t="n">
        <f aca="false">Q!$P$46-cx_rt*Q!$P$16-cx_awso*Sens!$E$4666</f>
        <v>64.1899206485108</v>
      </c>
      <c r="F4671" s="38" t="n">
        <f aca="false">MAX(Sens!$F$4648*(Sens!$F$4653+tk_fac*(1-colo_sh))/1000,capex_g26-Q!$P$46-Sens!$F$4669)</f>
        <v>96.2481299895</v>
      </c>
      <c r="G4671" s="38" t="n">
        <f aca="false">Sens!$E$4671+Sens!$F$4671</f>
        <v>160.438050638011</v>
      </c>
      <c r="H4671" s="38" t="n">
        <f aca="false">Sens!$H$4648*(Sens!$H$4653+tk_fac*(1-colo_sh))/1000+Sens!$H$4672</f>
        <v>198.57136494475</v>
      </c>
      <c r="I4671" s="38" t="n">
        <f aca="false">Sens!$I$4648*(Sens!$I$4653+tk_fac*(1-colo_sh))/1000+Sens!$I$4672</f>
        <v>204.6464699105</v>
      </c>
      <c r="J4671" s="38" t="n">
        <f aca="false">Sens!$J$4648*(Sens!$J$4653+tk_fac*(1-colo_sh))/1000+Sens!$J$4672</f>
        <v>209.8832381105</v>
      </c>
      <c r="K4671" s="38" t="n">
        <f aca="false">Sens!$K$4648*(Sens!$K$4653+tk_fac*(1-colo_sh))/1000+Sens!$K$4672</f>
        <v>215.1200063105</v>
      </c>
      <c r="L4671" s="38" t="n">
        <f aca="false">Sens!$L$4648*(Sens!$L$4653+tk_fac*(1-colo_sh))/1000+Sens!$L$4672</f>
        <v>251.7773837105</v>
      </c>
      <c r="M4671" s="38" t="n">
        <f aca="false">Sens!$M$4648*(Sens!$M$4653+tk_fac*(1-colo_sh))/1000+Sens!$M$4672</f>
        <v>311.87584476575</v>
      </c>
      <c r="P4671" s="5" t="s">
        <v>587</v>
      </c>
      <c r="R4671" s="38" t="n">
        <f aca="false">Q!$C$46-cx_rt*Q!$C$16-cx_awso*(Q!$C$7-mw_ye23/2*rpm_open/1000)</f>
        <v>1.50429979529945</v>
      </c>
      <c r="S4671" s="38" t="n">
        <f aca="false">Sens!$C$4671</f>
        <v>25.2781053077374</v>
      </c>
      <c r="T4671" s="38" t="n">
        <f aca="false">Sens!$D$4671</f>
        <v>69.5686316310026</v>
      </c>
      <c r="U4671" s="38" t="n">
        <f aca="false">Sens!$G$4671</f>
        <v>160.438050638011</v>
      </c>
      <c r="V4671" s="38" t="n">
        <f aca="false">Sens!$H$4671</f>
        <v>198.57136494475</v>
      </c>
      <c r="W4671" s="38" t="n">
        <f aca="false">Sens!$I$4671</f>
        <v>204.6464699105</v>
      </c>
      <c r="X4671" s="38" t="n">
        <f aca="false">Sens!$J$4671</f>
        <v>209.8832381105</v>
      </c>
      <c r="Y4671" s="38" t="n">
        <f aca="false">Sens!$K$4671</f>
        <v>215.1200063105</v>
      </c>
      <c r="Z4671" s="38" t="n">
        <f aca="false">Sens!$L$4671</f>
        <v>251.7773837105</v>
      </c>
      <c r="AA4671" s="38" t="n">
        <f aca="false">Sens!$M$4671</f>
        <v>311.87584476575</v>
      </c>
    </row>
    <row r="4672" customFormat="false" ht="17.15" hidden="false" customHeight="false" outlineLevel="0" collapsed="false">
      <c r="A4672" s="0" t="s">
        <v>588</v>
      </c>
      <c r="B4672" s="0" t="s">
        <v>73</v>
      </c>
      <c r="H4672" s="38" t="n">
        <f aca="false">SUMPRODUCT(--(Sens!$R$4642:$AA$4642=2027-tk_life),Sens!$R$4648:$AA$4648)*Sens!$H$4653/1000</f>
        <v>0</v>
      </c>
      <c r="I4672" s="38" t="n">
        <f aca="false">SUMPRODUCT(--(Sens!$R$4642:$AA$4642=2028-tk_life),Sens!$R$4648:$AA$4648)*Sens!$I$4653/1000</f>
        <v>0</v>
      </c>
      <c r="J4672" s="38" t="n">
        <f aca="false">SUMPRODUCT(--(Sens!$R$4642:$AA$4642=2029-tk_life),Sens!$R$4648:$AA$4648)*Sens!$J$4653/1000</f>
        <v>5.2367682</v>
      </c>
      <c r="K4672" s="38" t="n">
        <f aca="false">SUMPRODUCT(--(Sens!$R$4642:$AA$4642=2030-tk_life),Sens!$R$4648:$AA$4648)*Sens!$K$4653/1000</f>
        <v>10.4735364</v>
      </c>
      <c r="L4672" s="38" t="n">
        <f aca="false">SUMPRODUCT(--(Sens!$R$4642:$AA$4642=2031-tk_life),Sens!$R$4648:$AA$4648)*Sens!$L$4653/1000</f>
        <v>47.1309138</v>
      </c>
      <c r="M4672" s="38" t="n">
        <f aca="false">SUMPRODUCT(--(Sens!$R$4642:$AA$4642=2032-tk_life),Sens!$R$4648:$AA$4648)*Sens!$M$4653/1000</f>
        <v>107.22937485525</v>
      </c>
    </row>
    <row r="4673" customFormat="false" ht="17.15" hidden="false" customHeight="false" outlineLevel="0" collapsed="false">
      <c r="A4673" s="5" t="s">
        <v>589</v>
      </c>
      <c r="B4673" s="0" t="s">
        <v>73</v>
      </c>
      <c r="C4673" s="38" t="n">
        <f aca="false">Sens!$C$4671*Sens!$C$4670</f>
        <v>18.472138699801</v>
      </c>
      <c r="D4673" s="38" t="n">
        <f aca="false">Sens!$D$4671*Sens!$D$4670</f>
        <v>50.8377268390402</v>
      </c>
      <c r="E4673" s="38" t="n">
        <f aca="false">Sens!$E$4671*Sens!$E$4670</f>
        <v>48.8351995705653</v>
      </c>
      <c r="F4673" s="38" t="n">
        <f aca="false">Sens!$F$4671*Sens!$F$4670</f>
        <v>73.2248394895</v>
      </c>
      <c r="G4673" s="38" t="n">
        <f aca="false">Sens!$E$4673+Sens!$F$4673</f>
        <v>122.060039060065</v>
      </c>
      <c r="H4673" s="38" t="n">
        <f aca="false">(Sens!$H$4671-Sens!$H$4672)*Sens!$H$4670+Sens!$H$4672</f>
        <v>152.52478394475</v>
      </c>
      <c r="I4673" s="38" t="n">
        <f aca="false">(Sens!$I$4671-Sens!$I$4672)*Sens!$I$4670+Sens!$I$4672</f>
        <v>158.5998889105</v>
      </c>
      <c r="J4673" s="38" t="n">
        <f aca="false">(Sens!$J$4671-Sens!$J$4672)*Sens!$J$4670+Sens!$J$4672</f>
        <v>163.8366571105</v>
      </c>
      <c r="K4673" s="38" t="n">
        <f aca="false">(Sens!$K$4671-Sens!$K$4672)*Sens!$K$4670+Sens!$K$4672</f>
        <v>169.0734253105</v>
      </c>
      <c r="L4673" s="38" t="n">
        <f aca="false">(Sens!$L$4671-Sens!$L$4672)*Sens!$L$4670+Sens!$L$4672</f>
        <v>205.7308027105</v>
      </c>
      <c r="M4673" s="38" t="n">
        <f aca="false">(Sens!$M$4671-Sens!$M$4672)*Sens!$M$4670+Sens!$M$4672</f>
        <v>265.82926376575</v>
      </c>
      <c r="R4673" s="38" t="n">
        <f aca="false">Sens!$R$4671*Sens!$C$4670</f>
        <v>1.09927679019314</v>
      </c>
      <c r="S4673" s="38" t="n">
        <f aca="false">Sens!$C$4673</f>
        <v>18.472138699801</v>
      </c>
      <c r="T4673" s="38" t="n">
        <f aca="false">Sens!$D$4673</f>
        <v>50.8377268390402</v>
      </c>
      <c r="U4673" s="38" t="n">
        <f aca="false">Sens!$G$4673</f>
        <v>122.060039060065</v>
      </c>
      <c r="V4673" s="38" t="n">
        <f aca="false">Sens!$H$4673</f>
        <v>152.52478394475</v>
      </c>
      <c r="W4673" s="38" t="n">
        <f aca="false">Sens!$I$4673</f>
        <v>158.5998889105</v>
      </c>
      <c r="X4673" s="38" t="n">
        <f aca="false">Sens!$J$4673</f>
        <v>163.8366571105</v>
      </c>
      <c r="Y4673" s="38" t="n">
        <f aca="false">Sens!$K$4673</f>
        <v>169.0734253105</v>
      </c>
      <c r="Z4673" s="38" t="n">
        <f aca="false">Sens!$L$4673</f>
        <v>205.7308027105</v>
      </c>
      <c r="AA4673" s="38" t="n">
        <f aca="false">Sens!$M$4673</f>
        <v>265.82926376575</v>
      </c>
    </row>
    <row r="4674" customFormat="false" ht="15" hidden="false" customHeight="false" outlineLevel="0" collapsed="false">
      <c r="A4674" s="5" t="s">
        <v>590</v>
      </c>
      <c r="B4674" s="0" t="s">
        <v>73</v>
      </c>
      <c r="R4674" s="38" t="n">
        <f aca="false">Sens!$R$4671-Sens!$R$4673</f>
        <v>0.405023005106309</v>
      </c>
      <c r="S4674" s="38" t="n">
        <f aca="false">Sens!$S$4671-Sens!$S$4673</f>
        <v>6.80596660793636</v>
      </c>
      <c r="T4674" s="38" t="n">
        <f aca="false">Sens!$T$4671-Sens!$T$4673</f>
        <v>18.7309047919624</v>
      </c>
      <c r="U4674" s="38" t="n">
        <f aca="false">Sens!$U$4671-Sens!$U$4673</f>
        <v>38.3780115779455</v>
      </c>
      <c r="V4674" s="38" t="n">
        <f aca="false">Sens!$V$4671-Sens!$V$4673</f>
        <v>46.046581</v>
      </c>
      <c r="W4674" s="38" t="n">
        <f aca="false">Sens!$W$4671-Sens!$W$4673</f>
        <v>46.046581</v>
      </c>
      <c r="X4674" s="38" t="n">
        <f aca="false">Sens!$X$4671-Sens!$X$4673</f>
        <v>46.046581</v>
      </c>
      <c r="Y4674" s="38" t="n">
        <f aca="false">Sens!$Y$4671-Sens!$Y$4673</f>
        <v>46.046581</v>
      </c>
      <c r="Z4674" s="38" t="n">
        <f aca="false">Sens!$Z$4671-Sens!$Z$4673</f>
        <v>46.046581</v>
      </c>
      <c r="AA4674" s="38" t="n">
        <f aca="false">Sens!$AA$4671-Sens!$AA$4673</f>
        <v>46.046581</v>
      </c>
    </row>
    <row r="4675" customFormat="false" ht="17.15" hidden="false" customHeight="false" outlineLevel="0" collapsed="false">
      <c r="A4675" s="0" t="s">
        <v>591</v>
      </c>
      <c r="B4675" s="0" t="s">
        <v>73</v>
      </c>
      <c r="C4675" s="38" t="n">
        <f aca="false">Sens!$S$4675</f>
        <v>0.183212798365523</v>
      </c>
      <c r="D4675" s="38" t="n">
        <f aca="false">Sens!$T$4675</f>
        <v>3.2619025816657</v>
      </c>
      <c r="E4675" s="38" t="n">
        <f aca="false">Sens!$G$4675/2</f>
        <v>5.86742852741953</v>
      </c>
      <c r="F4675" s="38" t="n">
        <f aca="false">Sens!$G$4675/2</f>
        <v>5.86742852741953</v>
      </c>
      <c r="G4675" s="38" t="n">
        <f aca="false">Sens!$U$4675</f>
        <v>11.7348570548391</v>
      </c>
      <c r="H4675" s="38" t="n">
        <f aca="false">Sens!$V$4675</f>
        <v>32.0781968981833</v>
      </c>
      <c r="I4675" s="38" t="n">
        <f aca="false">Sens!$W$4675</f>
        <v>57.4989942223083</v>
      </c>
      <c r="J4675" s="38" t="n">
        <f aca="false">Sens!$X$4675</f>
        <v>83.932309040725</v>
      </c>
      <c r="K4675" s="38" t="n">
        <f aca="false">Sens!$Y$4675</f>
        <v>111.055205760776</v>
      </c>
      <c r="L4675" s="38" t="n">
        <f aca="false">Sens!$Z$4675</f>
        <v>136.155420195893</v>
      </c>
      <c r="M4675" s="38" t="n">
        <f aca="false">Sens!$AA$4675</f>
        <v>161.970932841136</v>
      </c>
      <c r="N4675" s="38" t="n">
        <f aca="false">Sens!$D$4675/2</f>
        <v>1.63095129083285</v>
      </c>
      <c r="O4675" s="38" t="n">
        <f aca="false">Sens!$D$4675/2</f>
        <v>1.63095129083285</v>
      </c>
      <c r="R4675" s="38" t="n">
        <f aca="false">SUMPRODUCT(--(Sens!$R$4642:$AA$4642&lt;Sens!R$4642),--(Sens!$R$4642:$AA$4642&gt;=Sens!R$4642-tk_life),Sens!$R$4673:$AA$4673)/tk_life</f>
        <v>0</v>
      </c>
      <c r="S4675" s="38" t="n">
        <f aca="false">SUMPRODUCT(--(Sens!$R$4642:$AA$4642&lt;Sens!S$4642),--(Sens!$R$4642:$AA$4642&gt;=Sens!S$4642-tk_life),Sens!$R$4673:$AA$4673)/tk_life</f>
        <v>0.183212798365523</v>
      </c>
      <c r="T4675" s="38" t="n">
        <f aca="false">SUMPRODUCT(--(Sens!$R$4642:$AA$4642&lt;Sens!T$4642),--(Sens!$R$4642:$AA$4642&gt;=Sens!T$4642-tk_life),Sens!$R$4673:$AA$4673)/tk_life</f>
        <v>3.2619025816657</v>
      </c>
      <c r="U4675" s="38" t="n">
        <f aca="false">SUMPRODUCT(--(Sens!$R$4642:$AA$4642&lt;Sens!U$4642),--(Sens!$R$4642:$AA$4642&gt;=Sens!U$4642-tk_life),Sens!$R$4673:$AA$4673)/tk_life</f>
        <v>11.7348570548391</v>
      </c>
      <c r="V4675" s="38" t="n">
        <f aca="false">SUMPRODUCT(--(Sens!$R$4642:$AA$4642&lt;Sens!V$4642),--(Sens!$R$4642:$AA$4642&gt;=Sens!V$4642-tk_life),Sens!$R$4673:$AA$4673)/tk_life</f>
        <v>32.0781968981833</v>
      </c>
      <c r="W4675" s="38" t="n">
        <f aca="false">SUMPRODUCT(--(Sens!$R$4642:$AA$4642&lt;Sens!W$4642),--(Sens!$R$4642:$AA$4642&gt;=Sens!W$4642-tk_life),Sens!$R$4673:$AA$4673)/tk_life</f>
        <v>57.4989942223083</v>
      </c>
      <c r="X4675" s="38" t="n">
        <f aca="false">SUMPRODUCT(--(Sens!$R$4642:$AA$4642&lt;Sens!X$4642),--(Sens!$R$4642:$AA$4642&gt;=Sens!X$4642-tk_life),Sens!$R$4673:$AA$4673)/tk_life</f>
        <v>83.932309040725</v>
      </c>
      <c r="Y4675" s="38" t="n">
        <f aca="false">SUMPRODUCT(--(Sens!$R$4642:$AA$4642&lt;Sens!Y$4642),--(Sens!$R$4642:$AA$4642&gt;=Sens!Y$4642-tk_life),Sens!$R$4673:$AA$4673)/tk_life</f>
        <v>111.055205760776</v>
      </c>
      <c r="Z4675" s="38" t="n">
        <f aca="false">SUMPRODUCT(--(Sens!$R$4642:$AA$4642&lt;Sens!Z$4642),--(Sens!$R$4642:$AA$4642&gt;=Sens!Z$4642-tk_life),Sens!$R$4673:$AA$4673)/tk_life</f>
        <v>136.155420195893</v>
      </c>
      <c r="AA4675" s="38" t="n">
        <f aca="false">SUMPRODUCT(--(Sens!$R$4642:$AA$4642&lt;Sens!AA$4642),--(Sens!$R$4642:$AA$4642&gt;=Sens!AA$4642-tk_life),Sens!$R$4673:$AA$4673)/tk_life</f>
        <v>161.970932841136</v>
      </c>
    </row>
    <row r="4676" customFormat="false" ht="17.15" hidden="false" customHeight="false" outlineLevel="0" collapsed="false">
      <c r="A4676" s="0" t="s">
        <v>592</v>
      </c>
      <c r="B4676" s="0" t="s">
        <v>73</v>
      </c>
      <c r="C4676" s="38" t="n">
        <f aca="false">Sens!$S$4676</f>
        <v>0.0202511502553155</v>
      </c>
      <c r="D4676" s="38" t="n">
        <f aca="false">Sens!$T$4676</f>
        <v>0.360549480652134</v>
      </c>
      <c r="E4676" s="38" t="n">
        <f aca="false">Sens!$G$4676/2</f>
        <v>0.648547360125127</v>
      </c>
      <c r="F4676" s="38" t="n">
        <f aca="false">Sens!$G$4676/2</f>
        <v>0.648547360125127</v>
      </c>
      <c r="G4676" s="38" t="n">
        <f aca="false">Sens!$U$4676</f>
        <v>1.29709472025025</v>
      </c>
      <c r="H4676" s="38" t="n">
        <f aca="false">Sens!$V$4676</f>
        <v>3.21599529914753</v>
      </c>
      <c r="I4676" s="38" t="n">
        <f aca="false">Sens!$W$4676</f>
        <v>5.51832434914753</v>
      </c>
      <c r="J4676" s="38" t="n">
        <f aca="false">Sens!$X$4676</f>
        <v>7.82065339914753</v>
      </c>
      <c r="K4676" s="38" t="n">
        <f aca="false">Sens!$Y$4676</f>
        <v>10.1229824491475</v>
      </c>
      <c r="L4676" s="38" t="n">
        <f aca="false">Sens!$Z$4676</f>
        <v>12.4253114991475</v>
      </c>
      <c r="M4676" s="38" t="n">
        <f aca="false">Sens!$AA$4676</f>
        <v>14.7276405491475</v>
      </c>
      <c r="N4676" s="38" t="n">
        <f aca="false">Sens!$D$4676/2</f>
        <v>0.180274740326067</v>
      </c>
      <c r="O4676" s="38" t="n">
        <f aca="false">Sens!$D$4676/2</f>
        <v>0.180274740326067</v>
      </c>
      <c r="R4676" s="38" t="n">
        <f aca="false">SUMPRODUCT(--(Sens!$R$4642:$AA$4642&lt;Sens!R$4642),Sens!$R$4674:$AA$4674)/fac_life</f>
        <v>0</v>
      </c>
      <c r="S4676" s="38" t="n">
        <f aca="false">SUMPRODUCT(--(Sens!$R$4642:$AA$4642&lt;Sens!S$4642),Sens!$R$4674:$AA$4674)/fac_life</f>
        <v>0.0202511502553155</v>
      </c>
      <c r="T4676" s="38" t="n">
        <f aca="false">SUMPRODUCT(--(Sens!$R$4642:$AA$4642&lt;Sens!T$4642),Sens!$R$4674:$AA$4674)/fac_life</f>
        <v>0.360549480652134</v>
      </c>
      <c r="U4676" s="38" t="n">
        <f aca="false">SUMPRODUCT(--(Sens!$R$4642:$AA$4642&lt;Sens!U$4642),Sens!$R$4674:$AA$4674)/fac_life</f>
        <v>1.29709472025025</v>
      </c>
      <c r="V4676" s="38" t="n">
        <f aca="false">SUMPRODUCT(--(Sens!$R$4642:$AA$4642&lt;Sens!V$4642),Sens!$R$4674:$AA$4674)/fac_life</f>
        <v>3.21599529914753</v>
      </c>
      <c r="W4676" s="38" t="n">
        <f aca="false">SUMPRODUCT(--(Sens!$R$4642:$AA$4642&lt;Sens!W$4642),Sens!$R$4674:$AA$4674)/fac_life</f>
        <v>5.51832434914753</v>
      </c>
      <c r="X4676" s="38" t="n">
        <f aca="false">SUMPRODUCT(--(Sens!$R$4642:$AA$4642&lt;Sens!X$4642),Sens!$R$4674:$AA$4674)/fac_life</f>
        <v>7.82065339914753</v>
      </c>
      <c r="Y4676" s="38" t="n">
        <f aca="false">SUMPRODUCT(--(Sens!$R$4642:$AA$4642&lt;Sens!Y$4642),Sens!$R$4674:$AA$4674)/fac_life</f>
        <v>10.1229824491475</v>
      </c>
      <c r="Z4676" s="38" t="n">
        <f aca="false">SUMPRODUCT(--(Sens!$R$4642:$AA$4642&lt;Sens!Z$4642),Sens!$R$4674:$AA$4674)/fac_life</f>
        <v>12.4253114991475</v>
      </c>
      <c r="AA4676" s="38" t="n">
        <f aca="false">SUMPRODUCT(--(Sens!$R$4642:$AA$4642&lt;Sens!AA$4642),Sens!$R$4674:$AA$4674)/fac_life</f>
        <v>14.7276405491475</v>
      </c>
    </row>
    <row r="4677" customFormat="false" ht="17.15" hidden="false" customHeight="false" outlineLevel="0" collapsed="false">
      <c r="A4677" s="1" t="s">
        <v>593</v>
      </c>
      <c r="B4677" s="8" t="s">
        <v>73</v>
      </c>
      <c r="C4677" s="38" t="n">
        <f aca="false">Sens!$C$4675+Sens!$C$4676</f>
        <v>0.203463948620839</v>
      </c>
      <c r="D4677" s="38" t="n">
        <f aca="false">Sens!$D$4675+Sens!$D$4676</f>
        <v>3.62245206231783</v>
      </c>
      <c r="E4677" s="38" t="n">
        <f aca="false">Sens!$E$4675+Sens!$E$4676</f>
        <v>6.51597588754466</v>
      </c>
      <c r="F4677" s="38" t="n">
        <f aca="false">Sens!$F$4675+Sens!$F$4676</f>
        <v>6.51597588754466</v>
      </c>
      <c r="G4677" s="38" t="n">
        <f aca="false">Sens!$G$4675+Sens!$G$4676</f>
        <v>13.0319517750893</v>
      </c>
      <c r="H4677" s="38" t="n">
        <f aca="false">Sens!$H$4675+Sens!$H$4676</f>
        <v>35.2941921973308</v>
      </c>
      <c r="I4677" s="38" t="n">
        <f aca="false">Sens!$I$4675+Sens!$I$4676</f>
        <v>63.0173185714558</v>
      </c>
      <c r="J4677" s="38" t="n">
        <f aca="false">Sens!$J$4675+Sens!$J$4676</f>
        <v>91.7529624398725</v>
      </c>
      <c r="K4677" s="38" t="n">
        <f aca="false">Sens!$K$4675+Sens!$K$4676</f>
        <v>121.178188209924</v>
      </c>
      <c r="L4677" s="38" t="n">
        <f aca="false">Sens!$L$4675+Sens!$L$4676</f>
        <v>148.58073169504</v>
      </c>
      <c r="M4677" s="38" t="n">
        <f aca="false">Sens!$M$4675+Sens!$M$4676</f>
        <v>176.698573390283</v>
      </c>
      <c r="N4677" s="38" t="n">
        <f aca="false">Sens!$N$4675+Sens!$N$4676</f>
        <v>1.81122603115892</v>
      </c>
      <c r="O4677" s="38" t="n">
        <f aca="false">Sens!$O$4675+Sens!$O$4676</f>
        <v>1.81122603115892</v>
      </c>
      <c r="R4677" s="38" t="n">
        <f aca="false">Sens!$R$4675+Sens!$R$4676</f>
        <v>0</v>
      </c>
      <c r="S4677" s="38" t="n">
        <f aca="false">Sens!$S$4675+Sens!$S$4676</f>
        <v>0.203463948620839</v>
      </c>
      <c r="T4677" s="38" t="n">
        <f aca="false">Sens!$T$4675+Sens!$T$4676</f>
        <v>3.62245206231783</v>
      </c>
      <c r="U4677" s="38" t="n">
        <f aca="false">Sens!$U$4675+Sens!$U$4676</f>
        <v>13.0319517750893</v>
      </c>
      <c r="V4677" s="38" t="n">
        <f aca="false">Sens!$V$4675+Sens!$V$4676</f>
        <v>35.2941921973308</v>
      </c>
      <c r="W4677" s="38" t="n">
        <f aca="false">Sens!$W$4675+Sens!$W$4676</f>
        <v>63.0173185714558</v>
      </c>
      <c r="X4677" s="38" t="n">
        <f aca="false">Sens!$X$4675+Sens!$X$4676</f>
        <v>91.7529624398725</v>
      </c>
      <c r="Y4677" s="38" t="n">
        <f aca="false">Sens!$Y$4675+Sens!$Y$4676</f>
        <v>121.178188209924</v>
      </c>
      <c r="Z4677" s="38" t="n">
        <f aca="false">Sens!$Z$4675+Sens!$Z$4676</f>
        <v>148.58073169504</v>
      </c>
      <c r="AA4677" s="38" t="n">
        <f aca="false">Sens!$AA$4675+Sens!$AA$4676</f>
        <v>176.698573390283</v>
      </c>
    </row>
    <row r="4678" customFormat="false" ht="17.15" hidden="false" customHeight="false" outlineLevel="0" collapsed="false">
      <c r="A4678" s="0" t="s">
        <v>594</v>
      </c>
      <c r="B4678" s="0" t="s">
        <v>73</v>
      </c>
      <c r="C4678" s="38" t="n">
        <f aca="false">Sens!$S$4678</f>
        <v>26.578941154416</v>
      </c>
      <c r="D4678" s="38" t="n">
        <f aca="false">Sens!$T$4678</f>
        <v>92.5251207231008</v>
      </c>
      <c r="G4678" s="38" t="n">
        <f aca="false">Sens!$U$4678</f>
        <v>239.931219586022</v>
      </c>
      <c r="H4678" s="38" t="n">
        <f aca="false">Sens!$V$4678</f>
        <v>403.208392333442</v>
      </c>
      <c r="I4678" s="38" t="n">
        <f aca="false">Sens!$W$4678</f>
        <v>544.837543672486</v>
      </c>
      <c r="J4678" s="38" t="n">
        <f aca="false">Sens!$X$4678</f>
        <v>662.967819343113</v>
      </c>
      <c r="K4678" s="38" t="n">
        <f aca="false">Sens!$Y$4678</f>
        <v>756.90963744369</v>
      </c>
      <c r="L4678" s="38" t="n">
        <f aca="false">Sens!$Z$4678</f>
        <v>860.10628945915</v>
      </c>
      <c r="M4678" s="38" t="n">
        <f aca="false">Sens!$AA$4678</f>
        <v>995.283560834616</v>
      </c>
      <c r="R4678" s="38" t="n">
        <f aca="false">SUM(Sens!$R$4671:$R$4671)-SUM(Sens!$R$4677:$R$4677)</f>
        <v>1.50429979529945</v>
      </c>
      <c r="S4678" s="38" t="n">
        <f aca="false">SUM(Sens!$R$4671:$S$4671)-SUM(Sens!$R$4677:$S$4677)</f>
        <v>26.578941154416</v>
      </c>
      <c r="T4678" s="38" t="n">
        <f aca="false">SUM(Sens!$R$4671:$T$4671)-SUM(Sens!$R$4677:$T$4677)</f>
        <v>92.5251207231008</v>
      </c>
      <c r="U4678" s="38" t="n">
        <f aca="false">SUM(Sens!$R$4671:$U$4671)-SUM(Sens!$R$4677:$U$4677)</f>
        <v>239.931219586022</v>
      </c>
      <c r="V4678" s="38" t="n">
        <f aca="false">SUM(Sens!$R$4671:$V$4671)-SUM(Sens!$R$4677:$V$4677)</f>
        <v>403.208392333442</v>
      </c>
      <c r="W4678" s="38" t="n">
        <f aca="false">SUM(Sens!$R$4671:$W$4671)-SUM(Sens!$R$4677:$W$4677)</f>
        <v>544.837543672486</v>
      </c>
      <c r="X4678" s="38" t="n">
        <f aca="false">SUM(Sens!$R$4671:$X$4671)-SUM(Sens!$R$4677:$X$4677)</f>
        <v>662.967819343113</v>
      </c>
      <c r="Y4678" s="38" t="n">
        <f aca="false">SUM(Sens!$R$4671:$Y$4671)-SUM(Sens!$R$4677:$Y$4677)</f>
        <v>756.90963744369</v>
      </c>
      <c r="Z4678" s="38" t="n">
        <f aca="false">SUM(Sens!$R$4671:$Z$4671)-SUM(Sens!$R$4677:$Z$4677)</f>
        <v>860.10628945915</v>
      </c>
      <c r="AA4678" s="38" t="n">
        <f aca="false">SUM(Sens!$R$4671:$AA$4671)-SUM(Sens!$R$4677:$AA$4677)</f>
        <v>995.283560834616</v>
      </c>
    </row>
    <row r="4679" customFormat="false" ht="17.15" hidden="false" customHeight="false" outlineLevel="0" collapsed="false">
      <c r="A4679" s="1" t="s">
        <v>595</v>
      </c>
    </row>
    <row r="4680" customFormat="false" ht="17.15" hidden="false" customHeight="false" outlineLevel="0" collapsed="false">
      <c r="A4680" s="0" t="s">
        <v>596</v>
      </c>
      <c r="B4680" s="0" t="s">
        <v>73</v>
      </c>
      <c r="C4680" s="38" t="n">
        <f aca="false">Sens!$C$4662-ext_sh*Sens!$C$4664</f>
        <v>1.80694998843362</v>
      </c>
      <c r="D4680" s="38" t="n">
        <f aca="false">Sens!$D$4662-ext_sh*Sens!$D$4664</f>
        <v>6.77606245662607</v>
      </c>
      <c r="E4680" s="38" t="n">
        <f aca="false">Sens!$E$4662-ext_sh*Sens!$E$4664</f>
        <v>6.62548329092326</v>
      </c>
      <c r="F4680" s="38" t="n">
        <f aca="false">Sens!$F$4662-ext_sh*Sens!$F$4664</f>
        <v>11.7200577158706</v>
      </c>
      <c r="G4680" s="38" t="n">
        <f aca="false">Sens!$G$4662-ext_sh*Sens!$G$4664</f>
        <v>18.3455410067939</v>
      </c>
      <c r="H4680" s="38" t="n">
        <f aca="false">Sens!$H$4662-ext_sh*Sens!$H$4664</f>
        <v>47.5171727060453</v>
      </c>
      <c r="I4680" s="38" t="n">
        <f aca="false">Sens!$I$4662-ext_sh*Sens!$I$4664</f>
        <v>80.5539692643667</v>
      </c>
      <c r="J4680" s="38" t="n">
        <f aca="false">Sens!$J$4662-ext_sh*Sens!$J$4664</f>
        <v>113.759316834883</v>
      </c>
      <c r="K4680" s="38" t="n">
        <f aca="false">Sens!$K$4662-ext_sh*Sens!$K$4664</f>
        <v>147.020848076132</v>
      </c>
      <c r="L4680" s="38" t="n">
        <f aca="false">Sens!$L$4662-ext_sh*Sens!$L$4664</f>
        <v>180.307917349531</v>
      </c>
      <c r="M4680" s="38" t="n">
        <f aca="false">Sens!$M$4662-ext_sh*Sens!$M$4664</f>
        <v>213.608737871012</v>
      </c>
      <c r="N4680" s="38" t="n">
        <f aca="false">Sens!$N$4662-ext_sh*Sens!$N$4664</f>
        <v>2.37162185981912</v>
      </c>
      <c r="O4680" s="38" t="n">
        <f aca="false">Sens!$O$4662-ext_sh*Sens!$O$4664</f>
        <v>4.40444059680694</v>
      </c>
    </row>
    <row r="4681" customFormat="false" ht="17.15" hidden="false" customHeight="false" outlineLevel="0" collapsed="false">
      <c r="A4681" s="1" t="s">
        <v>597</v>
      </c>
      <c r="B4681" s="8" t="s">
        <v>73</v>
      </c>
      <c r="C4681" s="38" t="n">
        <f aca="false">Sens!$C$4680-ext_sh*Sens!$C$4677</f>
        <v>1.64417882953695</v>
      </c>
      <c r="D4681" s="38" t="n">
        <f aca="false">Sens!$D$4680-ext_sh*Sens!$D$4677</f>
        <v>3.8781008067718</v>
      </c>
      <c r="E4681" s="38" t="n">
        <f aca="false">Sens!$E$4680-ext_sh*Sens!$E$4677</f>
        <v>1.41270258088753</v>
      </c>
      <c r="F4681" s="38" t="n">
        <f aca="false">Sens!$F$4680-ext_sh*Sens!$F$4677</f>
        <v>6.50727700583486</v>
      </c>
      <c r="G4681" s="38" t="n">
        <f aca="false">Sens!$G$4680-ext_sh*Sens!$G$4677</f>
        <v>7.9199795867224</v>
      </c>
      <c r="H4681" s="38" t="n">
        <f aca="false">Sens!$H$4680-ext_sh*Sens!$H$4677</f>
        <v>19.2818189481807</v>
      </c>
      <c r="I4681" s="38" t="n">
        <f aca="false">Sens!$I$4680-ext_sh*Sens!$I$4677</f>
        <v>30.140114407202</v>
      </c>
      <c r="J4681" s="38" t="n">
        <f aca="false">Sens!$J$4680-ext_sh*Sens!$J$4677</f>
        <v>40.3569468829854</v>
      </c>
      <c r="K4681" s="38" t="n">
        <f aca="false">Sens!$K$4680-ext_sh*Sens!$K$4677</f>
        <v>50.0782975081929</v>
      </c>
      <c r="L4681" s="38" t="n">
        <f aca="false">Sens!$L$4680-ext_sh*Sens!$L$4677</f>
        <v>61.443331993499</v>
      </c>
      <c r="M4681" s="38" t="n">
        <f aca="false">Sens!$M$4680-ext_sh*Sens!$M$4677</f>
        <v>72.2498791587849</v>
      </c>
      <c r="N4681" s="38" t="n">
        <f aca="false">Sens!$N$4680-ext_sh*Sens!$N$4677</f>
        <v>0.92264103489199</v>
      </c>
      <c r="O4681" s="38" t="n">
        <f aca="false">Sens!$O$4680-ext_sh*Sens!$O$4677</f>
        <v>2.95545977187981</v>
      </c>
    </row>
    <row r="4682" customFormat="false" ht="17.15" hidden="false" customHeight="false" outlineLevel="0" collapsed="false">
      <c r="A4682" s="0" t="s">
        <v>598</v>
      </c>
      <c r="B4682" s="0" t="s">
        <v>52</v>
      </c>
      <c r="C4682" s="12" t="n">
        <f aca="false">Sens!$C$4681/Sens!$C$4662</f>
        <v>0.708390794789371</v>
      </c>
      <c r="D4682" s="12" t="n">
        <f aca="false">Sens!$D$4681/Sens!$D$4662</f>
        <v>0.445565630441968</v>
      </c>
      <c r="E4682" s="12" t="n">
        <f aca="false">Sens!$E$4681/Sens!$E$4662</f>
        <v>0.165998118402711</v>
      </c>
      <c r="F4682" s="12" t="n">
        <f aca="false">Sens!$F$4681/Sens!$F$4662</f>
        <v>0.434878595403858</v>
      </c>
      <c r="G4682" s="12" t="n">
        <f aca="false">Sens!$G$4681/Sens!$G$4662</f>
        <v>0.3373967615381</v>
      </c>
      <c r="H4682" s="12" t="n">
        <f aca="false">Sens!$H$4681/Sens!$H$4662</f>
        <v>0.320477578041224</v>
      </c>
      <c r="I4682" s="12" t="n">
        <f aca="false">Sens!$I$4681/Sens!$I$4662</f>
        <v>0.296936118226494</v>
      </c>
      <c r="J4682" s="12" t="n">
        <f aca="false">Sens!$J$4681/Sens!$J$4662</f>
        <v>0.282166278613001</v>
      </c>
      <c r="K4682" s="12" t="n">
        <f aca="false">Sens!$K$4681/Sens!$K$4662</f>
        <v>0.271267685694333</v>
      </c>
      <c r="L4682" s="12" t="n">
        <f aca="false">Sens!$L$4681/Sens!$L$4662</f>
        <v>0.27160960915653</v>
      </c>
      <c r="M4682" s="12" t="n">
        <f aca="false">Sens!$M$4681/Sens!$M$4662</f>
        <v>0.26974494804234</v>
      </c>
      <c r="N4682" s="12" t="n">
        <f aca="false">Sens!$N$4681/Sens!$N$4662</f>
        <v>0.302870734830849</v>
      </c>
      <c r="O4682" s="12" t="n">
        <f aca="false">Sens!$O$4681/Sens!$O$4662</f>
        <v>0.52240134346334</v>
      </c>
    </row>
    <row r="4683" customFormat="false" ht="17.15" hidden="false" customHeight="false" outlineLevel="0" collapsed="false">
      <c r="A4683" s="5" t="s">
        <v>599</v>
      </c>
      <c r="B4683" s="0" t="s">
        <v>73</v>
      </c>
      <c r="C4683" s="38" t="n">
        <f aca="false">rd2*(1-ext_sh)/ext_sh*Sens!$C$4645*he_open*Sens!$C$4646/1000</f>
        <v>0</v>
      </c>
      <c r="D4683" s="38" t="n">
        <f aca="false">rd2*(1-ext_sh)/ext_sh*Sens!$D$4645*he_open*Sens!$D$4646/1000</f>
        <v>0</v>
      </c>
      <c r="E4683" s="38" t="n">
        <f aca="false">rd2*(1-ext_sh)/ext_sh*Sens!$E$4645*he_open*Sens!$E$4646/1000</f>
        <v>0</v>
      </c>
      <c r="F4683" s="38" t="n">
        <f aca="false">rd2*(1-ext_sh)/ext_sh*(mw_open*he_open+Sens!$F$4660*Sens!$F$4657)*Sens!$F$4646/1000</f>
        <v>0</v>
      </c>
      <c r="G4683" s="38" t="n">
        <f aca="false">Sens!$E$4683+Sens!$F$4683</f>
        <v>0</v>
      </c>
      <c r="H4683" s="38" t="n">
        <f aca="false">rd2*(1-ext_sh)/ext_sh*(mw_open*he_open+Sens!$H$4660*Sens!$H$4657)*Sens!$H$4646/1000</f>
        <v>0</v>
      </c>
      <c r="I4683" s="38" t="n">
        <f aca="false">rd2*(1-ext_sh)/ext_sh*(mw_open*he_open+Sens!$I$4660*Sens!$I$4657)*Sens!$I$4646/1000</f>
        <v>0</v>
      </c>
      <c r="J4683" s="38" t="n">
        <f aca="false">rd2*(1-ext_sh)/ext_sh*(mw_open*he_open+Sens!$J$4660*Sens!$J$4657)*Sens!$J$4646/1000</f>
        <v>0</v>
      </c>
      <c r="K4683" s="38" t="n">
        <f aca="false">rd2*(1-ext_sh)/ext_sh*(mw_open*he_open+Sens!$K$4660*Sens!$K$4657)*Sens!$K$4646/1000</f>
        <v>0</v>
      </c>
      <c r="L4683" s="38" t="n">
        <f aca="false">rd2*(1-ext_sh)/ext_sh*(mw_open*he_open+Sens!$L$4660*Sens!$L$4657)*Sens!$L$4646/1000</f>
        <v>0</v>
      </c>
      <c r="M4683" s="38" t="n">
        <f aca="false">rd2*(1-ext_sh)/ext_sh*(mw_open*he_open+Sens!$M$4660*Sens!$M$4657)*Sens!$M$4646/1000</f>
        <v>0</v>
      </c>
      <c r="N4683" s="38" t="n">
        <f aca="false">rd2*(1-ext_sh)/ext_sh*Sens!$N$4645*he_open*Sens!$N$4646/1000</f>
        <v>0</v>
      </c>
      <c r="O4683" s="38" t="n">
        <f aca="false">rd2*(1-ext_sh)/ext_sh*Sens!$O$4645*he_open*Sens!$O$4646/1000</f>
        <v>0</v>
      </c>
      <c r="P4683" s="8" t="s">
        <v>600</v>
      </c>
    </row>
    <row r="4684" customFormat="false" ht="17.15" hidden="false" customHeight="false" outlineLevel="0" collapsed="false">
      <c r="A4684" s="5" t="s">
        <v>601</v>
      </c>
      <c r="B4684" s="0" t="s">
        <v>73</v>
      </c>
      <c r="C4684" s="38" t="n">
        <f aca="false">(1-ext_sh)*(Sens!$C$4664+Sens!$C$4677)-Sens!$C$4683</f>
        <v>0.169206631859174</v>
      </c>
      <c r="D4684" s="38" t="n">
        <f aca="false">(1-ext_sh)*(Sens!$D$4664+Sens!$D$4677)-Sens!$D$4683</f>
        <v>1.20641732046984</v>
      </c>
      <c r="E4684" s="38" t="n">
        <f aca="false">(1-ext_sh)*(Sens!$E$4664+Sens!$E$4677)-Sens!$E$4683</f>
        <v>1.77441259867062</v>
      </c>
      <c r="F4684" s="38" t="n">
        <f aca="false">(1-ext_sh)*(Sens!$F$4664+Sens!$F$4677)-Sens!$F$4683</f>
        <v>2.1140391597214</v>
      </c>
      <c r="G4684" s="38" t="n">
        <f aca="false">(1-ext_sh)*(Sens!$G$4664+Sens!$G$4677)-Sens!$G$4683</f>
        <v>3.88845175839202</v>
      </c>
      <c r="H4684" s="38" t="n">
        <f aca="false">(1-ext_sh)*(Sens!$H$4664+Sens!$H$4677)-Sens!$H$4683</f>
        <v>10.2210179503985</v>
      </c>
      <c r="I4684" s="38" t="n">
        <f aca="false">(1-ext_sh)*(Sens!$I$4664+Sens!$I$4677)-Sens!$I$4683</f>
        <v>17.8408961823075</v>
      </c>
      <c r="J4684" s="38" t="n">
        <f aca="false">(1-ext_sh)*(Sens!$J$4664+Sens!$J$4677)-Sens!$J$4683</f>
        <v>25.6671150670732</v>
      </c>
      <c r="K4684" s="38" t="n">
        <f aca="false">(1-ext_sh)*(Sens!$K$4664+Sens!$K$4677)-Sens!$K$4683</f>
        <v>33.6325293834986</v>
      </c>
      <c r="L4684" s="38" t="n">
        <f aca="false">(1-ext_sh)*(Sens!$L$4664+Sens!$L$4677)-Sens!$L$4683</f>
        <v>41.1939886299065</v>
      </c>
      <c r="M4684" s="38" t="n">
        <f aca="false">(1-ext_sh)*(Sens!$M$4664+Sens!$M$4677)-Sens!$M$4683</f>
        <v>48.8988205728617</v>
      </c>
      <c r="N4684" s="38" t="n">
        <f aca="false">(1-ext_sh)*(Sens!$N$4664+Sens!$N$4677)-Sens!$N$4683</f>
        <v>0.530919624033979</v>
      </c>
      <c r="O4684" s="38" t="n">
        <f aca="false">(1-ext_sh)*(Sens!$O$4664+Sens!$O$4677)-Sens!$O$4683</f>
        <v>0.675497696435861</v>
      </c>
    </row>
    <row r="4685" customFormat="false" ht="17.15" hidden="false" customHeight="false" outlineLevel="0" collapsed="false">
      <c r="A4685" s="0" t="s">
        <v>602</v>
      </c>
      <c r="B4685" s="0" t="s">
        <v>73</v>
      </c>
      <c r="C4685" s="38" t="n">
        <f aca="false">Q!$D$24</f>
        <v>39.834</v>
      </c>
      <c r="D4685" s="38" t="n">
        <f aca="false">Q!$E$24</f>
        <v>45.606</v>
      </c>
      <c r="E4685" s="38" t="n">
        <f aca="false">Q!$P$24</f>
        <v>30.782</v>
      </c>
      <c r="N4685" s="38" t="n">
        <f aca="false">Q!$N$24</f>
        <v>21.707</v>
      </c>
      <c r="O4685" s="38" t="n">
        <f aca="false">Q!$O$24</f>
        <v>23.899</v>
      </c>
    </row>
    <row r="4686" customFormat="false" ht="17.15" hidden="false" customHeight="false" outlineLevel="0" collapsed="false">
      <c r="A4686" s="0" t="s">
        <v>603</v>
      </c>
      <c r="B4686" s="0" t="s">
        <v>73</v>
      </c>
      <c r="C4686" s="38" t="n">
        <f aca="false">Sens!$C$4685-Sens!$C$4681</f>
        <v>38.1898211704631</v>
      </c>
      <c r="D4686" s="38" t="n">
        <f aca="false">Sens!$D$4685-Sens!$D$4681</f>
        <v>41.7278991932282</v>
      </c>
      <c r="E4686" s="38" t="n">
        <f aca="false">Sens!$E$4685-Sens!$E$4681</f>
        <v>29.3692974191125</v>
      </c>
      <c r="F4686" s="38" t="n">
        <f aca="false">Sens!$F$4666*Sens!$F$4687</f>
        <v>29.458060516894</v>
      </c>
      <c r="G4686" s="38" t="n">
        <f aca="false">Sens!$E$4686+Sens!$F$4686</f>
        <v>58.8273579360065</v>
      </c>
      <c r="H4686" s="38" t="n">
        <f aca="false">Sens!$H$4666*Sens!$H$4687</f>
        <v>67.8004040185081</v>
      </c>
      <c r="I4686" s="38" t="n">
        <f aca="false">Sens!$I$4666*Sens!$I$4687</f>
        <v>78.9527630302702</v>
      </c>
      <c r="J4686" s="38" t="n">
        <f aca="false">Sens!$J$4666*Sens!$J$4687</f>
        <v>88.6042681781841</v>
      </c>
      <c r="K4686" s="38" t="n">
        <f aca="false">Sens!$K$4666*Sens!$K$4687</f>
        <v>95.6926096324389</v>
      </c>
      <c r="L4686" s="38" t="n">
        <f aca="false">Sens!$L$4666*Sens!$L$4687</f>
        <v>103.348018403034</v>
      </c>
      <c r="M4686" s="38" t="n">
        <f aca="false">Sens!$M$4666*Sens!$M$4687</f>
        <v>111.615859875277</v>
      </c>
      <c r="N4686" s="38" t="n">
        <f aca="false">Sens!$N$4685-Sens!$N$4681</f>
        <v>20.784358965108</v>
      </c>
      <c r="O4686" s="38" t="n">
        <f aca="false">Sens!$O$4685-Sens!$O$4681</f>
        <v>20.9435402281202</v>
      </c>
      <c r="P4686" s="5" t="s">
        <v>604</v>
      </c>
    </row>
    <row r="4687" customFormat="false" ht="17.15" hidden="false" customHeight="false" outlineLevel="0" collapsed="false">
      <c r="A4687" s="0" t="s">
        <v>605</v>
      </c>
      <c r="B4687" s="0" t="s">
        <v>52</v>
      </c>
      <c r="C4687" s="12" t="n">
        <f aca="false">Sens!$C$4686/Sens!$C$4666</f>
        <v>0.362900395443635</v>
      </c>
      <c r="D4687" s="12" t="n">
        <f aca="false">Sens!$D$4686/Sens!$D$4666</f>
        <v>0.34767098474203</v>
      </c>
      <c r="E4687" s="12" t="n">
        <f aca="false">Sens!$E$4686/Sens!$E$4666</f>
        <v>0.411861655558416</v>
      </c>
      <c r="F4687" s="12" t="n">
        <f aca="false">(Sens!$O$4686+Sens!$E$4686)/(Sens!$O$4666+Sens!$E$4666)</f>
        <v>0.37480827803158</v>
      </c>
      <c r="G4687" s="12" t="n">
        <f aca="false">Sens!$G$4686/Sens!$G$4666</f>
        <v>0.392434440489471</v>
      </c>
      <c r="H4687" s="12" t="n">
        <f aca="false">Sens!$F$4687</f>
        <v>0.37480827803158</v>
      </c>
      <c r="I4687" s="12" t="n">
        <f aca="false">Sens!$F$4687</f>
        <v>0.37480827803158</v>
      </c>
      <c r="J4687" s="12" t="n">
        <f aca="false">Sens!$F$4687</f>
        <v>0.37480827803158</v>
      </c>
      <c r="K4687" s="12" t="n">
        <f aca="false">Sens!$F$4687</f>
        <v>0.37480827803158</v>
      </c>
      <c r="L4687" s="12" t="n">
        <f aca="false">Sens!$F$4687</f>
        <v>0.37480827803158</v>
      </c>
      <c r="M4687" s="12" t="n">
        <f aca="false">Sens!$F$4687</f>
        <v>0.37480827803158</v>
      </c>
      <c r="N4687" s="12" t="n">
        <f aca="false">Sens!$N$4686/Sens!$N$4666</f>
        <v>0.364039571356823</v>
      </c>
      <c r="O4687" s="12" t="n">
        <f aca="false">Sens!$O$4686/Sens!$O$4666</f>
        <v>0.332819892300086</v>
      </c>
      <c r="P4687" s="8" t="s">
        <v>606</v>
      </c>
    </row>
    <row r="4688" customFormat="false" ht="17.15" hidden="false" customHeight="false" outlineLevel="0" collapsed="false">
      <c r="A4688" s="0" t="s">
        <v>607</v>
      </c>
      <c r="B4688" s="0" t="s">
        <v>52</v>
      </c>
      <c r="D4688" s="12" t="n">
        <f aca="false">(Q!$E$31-ext_sh*Sens!$D$4677)/Sens!$D$4666</f>
        <v>0.154572973163571</v>
      </c>
    </row>
    <row r="4689" customFormat="false" ht="17.15" hidden="false" customHeight="false" outlineLevel="0" collapsed="false">
      <c r="A4689" s="0" t="s">
        <v>608</v>
      </c>
      <c r="B4689" s="0" t="s">
        <v>73</v>
      </c>
      <c r="C4689" s="38" t="n">
        <f aca="false">Q!$D$31</f>
        <v>13.32</v>
      </c>
      <c r="D4689" s="38" t="n">
        <f aca="false">Q!$E$31</f>
        <v>21.45</v>
      </c>
      <c r="E4689" s="38" t="n">
        <f aca="false">Q!$P$31</f>
        <v>15.353</v>
      </c>
      <c r="F4689" s="38" t="n">
        <f aca="false">ext_sh*Sens!$F$4677+Sens!$D$4688*Sens!$F$4666</f>
        <v>17.3614451462707</v>
      </c>
      <c r="G4689" s="38" t="n">
        <f aca="false">Sens!$E$4689+Sens!$F$4689</f>
        <v>32.7144451462707</v>
      </c>
      <c r="H4689" s="38" t="n">
        <f aca="false">ext_sh*Sens!$H$4677+Sens!$D$4688*Sens!$H$4666</f>
        <v>56.1966092719415</v>
      </c>
      <c r="I4689" s="38" t="n">
        <f aca="false">ext_sh*Sens!$I$4677+Sens!$D$4688*Sens!$I$4666</f>
        <v>82.9744039068297</v>
      </c>
      <c r="J4689" s="38" t="n">
        <f aca="false">ext_sh*Sens!$J$4677+Sens!$D$4688*Sens!$J$4666</f>
        <v>109.943252237669</v>
      </c>
      <c r="K4689" s="38" t="n">
        <f aca="false">ext_sh*Sens!$K$4677+Sens!$D$4688*Sens!$K$4666</f>
        <v>136.406703436571</v>
      </c>
      <c r="L4689" s="38" t="n">
        <f aca="false">ext_sh*Sens!$L$4677+Sens!$D$4688*Sens!$L$4666</f>
        <v>161.485870454155</v>
      </c>
      <c r="M4689" s="38" t="n">
        <f aca="false">ext_sh*Sens!$M$4677+Sens!$D$4688*Sens!$M$4666</f>
        <v>187.389846618199</v>
      </c>
      <c r="N4689" s="38" t="n">
        <f aca="false">Q!$N$31</f>
        <v>9.234</v>
      </c>
      <c r="O4689" s="38" t="n">
        <f aca="false">Q!$O$31</f>
        <v>12.216</v>
      </c>
    </row>
    <row r="4690" customFormat="false" ht="17.15" hidden="false" customHeight="false" outlineLevel="0" collapsed="false">
      <c r="A4690" s="1" t="s">
        <v>609</v>
      </c>
    </row>
    <row r="4691" customFormat="false" ht="17.15" hidden="false" customHeight="false" outlineLevel="0" collapsed="false">
      <c r="A4691" s="14" t="s">
        <v>610</v>
      </c>
      <c r="B4691" s="13" t="s">
        <v>52</v>
      </c>
      <c r="C4691" s="13"/>
      <c r="D4691" s="13"/>
      <c r="E4691" s="13"/>
      <c r="F4691" s="13"/>
      <c r="G4691" s="16" t="n">
        <f aca="false">Sens!$G$4681*(1-tax)/(ext_sh*(Sens!$D$4678+Sens!$G$4678)/2)</f>
        <v>0.0492184452944045</v>
      </c>
      <c r="H4691" s="16" t="n">
        <f aca="false">Sens!$H$4681*(1-tax)/(ext_sh*(Sens!$G$4678+Sens!$H$4678)/2)</f>
        <v>0.0619414246858107</v>
      </c>
      <c r="I4691" s="16" t="n">
        <f aca="false">Sens!$I$4681*(1-tax)/(ext_sh*(Sens!$H$4678+Sens!$I$4678)/2)</f>
        <v>0.0656831488051666</v>
      </c>
      <c r="J4691" s="16" t="n">
        <f aca="false">Sens!$J$4681*(1-tax)/(ext_sh*(Sens!$I$4678+Sens!$J$4678)/2)</f>
        <v>0.0690334849962116</v>
      </c>
      <c r="K4691" s="16" t="n">
        <f aca="false">Sens!$K$4681*(1-tax)/(ext_sh*(Sens!$J$4678+Sens!$K$4678)/2)</f>
        <v>0.0728680488295485</v>
      </c>
      <c r="L4691" s="16" t="n">
        <f aca="false">Sens!$L$4681*(1-tax)/(ext_sh*(Sens!$K$4678+Sens!$L$4678)/2)</f>
        <v>0.0785052878122331</v>
      </c>
      <c r="M4691" s="16" t="n">
        <f aca="false">Sens!$M$4681*(1-tax)/(ext_sh*(Sens!$L$4678+Sens!$M$4678)/2)</f>
        <v>0.0804526580722741</v>
      </c>
      <c r="N4691" s="13"/>
      <c r="O4691" s="13"/>
      <c r="P4691" s="8" t="s">
        <v>611</v>
      </c>
    </row>
    <row r="4692" customFormat="false" ht="17.15" hidden="false" customHeight="false" outlineLevel="0" collapsed="false">
      <c r="A4692" s="5" t="s">
        <v>612</v>
      </c>
      <c r="B4692" s="0" t="s">
        <v>57</v>
      </c>
      <c r="H4692" s="36" t="n">
        <f aca="false">Sens!$H$4662*1000/(mw_open*he_open+Sens!$H$4660*Sens!$H$4657)</f>
        <v>0.991949006767191</v>
      </c>
      <c r="I4692" s="36" t="n">
        <f aca="false">Sens!$I$4662*1000/(mw_open*he_open+Sens!$I$4660*Sens!$I$4657)</f>
        <v>0.991949006767191</v>
      </c>
      <c r="J4692" s="36" t="n">
        <f aca="false">Sens!$J$4662*1000/(mw_open*he_open+Sens!$J$4660*Sens!$J$4657)</f>
        <v>0.991949006767191</v>
      </c>
      <c r="K4692" s="36" t="n">
        <f aca="false">Sens!$K$4662*1000/(mw_open*he_open+Sens!$K$4660*Sens!$K$4657)</f>
        <v>0.991949006767191</v>
      </c>
      <c r="L4692" s="36" t="n">
        <f aca="false">Sens!$L$4662*1000/(mw_open*he_open+Sens!$L$4660*Sens!$L$4657)</f>
        <v>0.991949006767191</v>
      </c>
      <c r="M4692" s="36" t="n">
        <f aca="false">Sens!$M$4662*1000/(mw_open*he_open+Sens!$M$4660*Sens!$M$4657)</f>
        <v>0.991949006767192</v>
      </c>
    </row>
    <row r="4693" customFormat="false" ht="17.15" hidden="false" customHeight="false" outlineLevel="0" collapsed="false">
      <c r="A4693" s="5" t="s">
        <v>613</v>
      </c>
      <c r="B4693" s="0" t="s">
        <v>57</v>
      </c>
      <c r="H4693" s="36" t="n">
        <f aca="false">Sens!$H$4692*(Sens!$H$4662+(wacc+0.01)*ext_sh*(Sens!$G$4678+Sens!$H$4678)/2/(1-tax)-Sens!$H$4681)/Sens!$H$4662</f>
        <v>1.36630038524307</v>
      </c>
      <c r="I4693" s="36" t="n">
        <f aca="false">Sens!$I$4692*(Sens!$I$4662+(wacc+0.01)*ext_sh*(Sens!$H$4678+Sens!$I$4678)/2/(1-tax)-Sens!$I$4681)/Sens!$I$4662</f>
        <v>1.30226344290775</v>
      </c>
      <c r="J4693" s="36" t="n">
        <f aca="false">Sens!$J$4692*(Sens!$J$4662+(wacc+0.01)*ext_sh*(Sens!$I$4678+Sens!$J$4678)/2/(1-tax)-Sens!$J$4681)/Sens!$J$4662</f>
        <v>1.25893321168896</v>
      </c>
      <c r="K4693" s="36" t="n">
        <f aca="false">Sens!$K$4692*(Sens!$K$4662+(wacc+0.01)*ext_sh*(Sens!$J$4678+Sens!$K$4678)/2/(1-tax)-Sens!$K$4681)/Sens!$K$4662</f>
        <v>1.22095397284657</v>
      </c>
      <c r="L4693" s="36" t="n">
        <f aca="false">Sens!$L$4692*(Sens!$L$4662+(wacc+0.01)*ext_sh*(Sens!$K$4678+Sens!$L$4678)/2/(1-tax)-Sens!$L$4681)/Sens!$L$4662</f>
        <v>1.18543122771092</v>
      </c>
      <c r="M4693" s="36" t="n">
        <f aca="false">Sens!$M$4692*(Sens!$M$4662+(wacc+0.01)*ext_sh*(Sens!$L$4678+Sens!$M$4678)/2/(1-tax)-Sens!$M$4681)/Sens!$M$4662</f>
        <v>1.17297515479135</v>
      </c>
    </row>
    <row r="4694" customFormat="false" ht="17.15" hidden="false" customHeight="false" outlineLevel="0" collapsed="false">
      <c r="A4694" s="5" t="s">
        <v>614</v>
      </c>
      <c r="B4694" s="0" t="s">
        <v>52</v>
      </c>
      <c r="C4694" s="12" t="n">
        <f aca="false">Sens!$C$4663/tk_pq</f>
        <v>0.195316432429398</v>
      </c>
      <c r="D4694" s="12" t="n">
        <f aca="false">Sens!$D$4663/tk_pq</f>
        <v>0.195316432429398</v>
      </c>
      <c r="E4694" s="12" t="n">
        <f aca="false">Sens!$E$4663/tk_pq</f>
        <v>0.195316432429398</v>
      </c>
      <c r="F4694" s="12" t="n">
        <f aca="false">Sens!$F$4663/tk_pq</f>
        <v>0.202241827274866</v>
      </c>
      <c r="G4694" s="12" t="n">
        <f aca="false">Sens!$G$4663/tk_pq</f>
        <v>0.199675016194063</v>
      </c>
      <c r="H4694" s="12" t="n">
        <f aca="false">Sens!$H$4663/tk_pq</f>
        <v>0.212647947710325</v>
      </c>
      <c r="I4694" s="12" t="n">
        <f aca="false">Sens!$I$4663/tk_pq</f>
        <v>0.219285125475351</v>
      </c>
      <c r="J4694" s="12" t="n">
        <f aca="false">Sens!$J$4663/tk_pq</f>
        <v>0.222492493217189</v>
      </c>
      <c r="K4694" s="12" t="n">
        <f aca="false">Sens!$K$4663/tk_pq</f>
        <v>0.224371415939166</v>
      </c>
      <c r="L4694" s="12" t="n">
        <f aca="false">Sens!$L$4663/tk_pq</f>
        <v>0.225603749825993</v>
      </c>
      <c r="M4694" s="12" t="n">
        <f aca="false">Sens!$M$4663/tk_pq</f>
        <v>0.22647376274628</v>
      </c>
      <c r="N4694" s="12" t="n">
        <f aca="false">Sens!$N$4663/tk_pq</f>
        <v>0.195316432429398</v>
      </c>
      <c r="O4694" s="12" t="n">
        <f aca="false">Sens!$O$4663/tk_pq</f>
        <v>0.195316432429398</v>
      </c>
      <c r="P4694" s="5" t="s">
        <v>615</v>
      </c>
    </row>
    <row r="4697" customFormat="false" ht="17.15" hidden="false" customHeight="false" outlineLevel="0" collapsed="false">
      <c r="A4697" s="1" t="s">
        <v>642</v>
      </c>
    </row>
    <row r="4698" customFormat="false" ht="17.15" hidden="false" customHeight="false" outlineLevel="0" collapsed="false">
      <c r="A4698" s="0" t="s">
        <v>643</v>
      </c>
      <c r="B4698" s="0" t="s">
        <v>73</v>
      </c>
      <c r="C4698" s="38" t="n">
        <f aca="false">Sens!$C$4662</f>
        <v>2.32100535697364</v>
      </c>
      <c r="D4698" s="38" t="n">
        <f aca="false">Sens!$D$4662</f>
        <v>8.70377008865116</v>
      </c>
      <c r="E4698" s="38" t="n">
        <f aca="false">Sens!$E$4662</f>
        <v>8.51035297557002</v>
      </c>
      <c r="F4698" s="38" t="n">
        <f aca="false">Sens!$F$4662</f>
        <v>14.9634336447205</v>
      </c>
      <c r="G4698" s="38" t="n">
        <f aca="false">Sens!$G$4662</f>
        <v>23.4737866202905</v>
      </c>
      <c r="H4698" s="38" t="n">
        <f aca="false">Sens!$H$4662</f>
        <v>60.1658907497746</v>
      </c>
      <c r="I4698" s="38" t="n">
        <f aca="false">Sens!$I$4662</f>
        <v>101.503699136432</v>
      </c>
      <c r="J4698" s="38" t="n">
        <f aca="false">Sens!$J$4662</f>
        <v>143.025407151278</v>
      </c>
      <c r="K4698" s="38" t="n">
        <f aca="false">Sens!$K$4662</f>
        <v>184.608415042187</v>
      </c>
      <c r="L4698" s="38" t="n">
        <f aca="false">Sens!$L$4662</f>
        <v>226.219286513125</v>
      </c>
      <c r="M4698" s="38" t="n">
        <f aca="false">Sens!$M$4662</f>
        <v>267.845161450232</v>
      </c>
      <c r="N4698" s="38" t="n">
        <f aca="false">Sens!$N$4662</f>
        <v>3.04631953102791</v>
      </c>
      <c r="O4698" s="38" t="n">
        <f aca="false">Sens!$O$4662</f>
        <v>5.65745055762326</v>
      </c>
      <c r="P4698" s="8" t="s">
        <v>644</v>
      </c>
    </row>
    <row r="4699" customFormat="false" ht="17.15" hidden="false" customHeight="false" outlineLevel="0" collapsed="false">
      <c r="A4699" s="0" t="s">
        <v>645</v>
      </c>
      <c r="B4699" s="0" t="s">
        <v>73</v>
      </c>
      <c r="C4699" s="38" t="n">
        <f aca="false">Sens!$C$4666</f>
        <v>105.234994643026</v>
      </c>
      <c r="D4699" s="38" t="n">
        <f aca="false">Sens!$D$4666</f>
        <v>120.021229911349</v>
      </c>
      <c r="E4699" s="38" t="n">
        <f aca="false">Sens!$E$4666</f>
        <v>71.30864702443</v>
      </c>
      <c r="F4699" s="38" t="n">
        <f aca="false">Sens!$F$4666</f>
        <v>78.5950104186653</v>
      </c>
      <c r="G4699" s="38" t="n">
        <f aca="false">Sens!$G$4666</f>
        <v>149.903657443095</v>
      </c>
      <c r="H4699" s="38" t="n">
        <f aca="false">Sens!$H$4666</f>
        <v>180.893560768142</v>
      </c>
      <c r="I4699" s="38" t="n">
        <f aca="false">Sens!$I$4666</f>
        <v>210.64839721501</v>
      </c>
      <c r="J4699" s="38" t="n">
        <f aca="false">Sens!$J$4666</f>
        <v>236.398909446495</v>
      </c>
      <c r="K4699" s="38" t="n">
        <f aca="false">Sens!$K$4666</f>
        <v>255.310822202215</v>
      </c>
      <c r="L4699" s="38" t="n">
        <f aca="false">Sens!$L$4666</f>
        <v>275.735687978392</v>
      </c>
      <c r="M4699" s="38" t="n">
        <f aca="false">Sens!$M$4666</f>
        <v>297.794543016663</v>
      </c>
      <c r="N4699" s="38" t="n">
        <f aca="false">Sens!$N$4666</f>
        <v>57.0936804689721</v>
      </c>
      <c r="O4699" s="38" t="n">
        <f aca="false">Sens!$O$4666</f>
        <v>62.9275494423768</v>
      </c>
      <c r="P4699" s="8" t="s">
        <v>644</v>
      </c>
    </row>
    <row r="4700" customFormat="false" ht="17.15" hidden="false" customHeight="false" outlineLevel="0" collapsed="false">
      <c r="A4700" s="1" t="s">
        <v>476</v>
      </c>
      <c r="B4700" s="8" t="s">
        <v>73</v>
      </c>
      <c r="C4700" s="38" t="n">
        <f aca="false">Q!$D$7</f>
        <v>107.556</v>
      </c>
      <c r="D4700" s="38" t="n">
        <f aca="false">Q!$E$7</f>
        <v>128.725</v>
      </c>
      <c r="E4700" s="38" t="n">
        <f aca="false">Q!$P$7</f>
        <v>79.819</v>
      </c>
      <c r="F4700" s="38" t="n">
        <f aca="false">Sens!$F$4698+Sens!$F$4699</f>
        <v>93.5584440633857</v>
      </c>
      <c r="G4700" s="38" t="n">
        <f aca="false">Sens!$G$4698+Sens!$G$4699</f>
        <v>173.377444063386</v>
      </c>
      <c r="H4700" s="38" t="n">
        <f aca="false">Sens!$H$4698+Sens!$H$4699</f>
        <v>241.059451517916</v>
      </c>
      <c r="I4700" s="38" t="n">
        <f aca="false">Sens!$I$4698+Sens!$I$4699</f>
        <v>312.152096351442</v>
      </c>
      <c r="J4700" s="38" t="n">
        <f aca="false">Sens!$J$4698+Sens!$J$4699</f>
        <v>379.424316597773</v>
      </c>
      <c r="K4700" s="38" t="n">
        <f aca="false">Sens!$K$4698+Sens!$K$4699</f>
        <v>439.919237244402</v>
      </c>
      <c r="L4700" s="38" t="n">
        <f aca="false">Sens!$L$4698+Sens!$L$4699</f>
        <v>501.954974491517</v>
      </c>
      <c r="M4700" s="38" t="n">
        <f aca="false">Sens!$M$4698+Sens!$M$4699</f>
        <v>565.639704466895</v>
      </c>
      <c r="N4700" s="38" t="n">
        <f aca="false">Q!$N$7</f>
        <v>60.14</v>
      </c>
      <c r="O4700" s="38" t="n">
        <f aca="false">Q!$O$7</f>
        <v>68.585</v>
      </c>
      <c r="P4700" s="5" t="s">
        <v>646</v>
      </c>
    </row>
    <row r="4701" customFormat="false" ht="15" hidden="false" customHeight="false" outlineLevel="0" collapsed="false">
      <c r="A4701" s="3" t="s">
        <v>647</v>
      </c>
      <c r="B4701" s="8" t="s">
        <v>73</v>
      </c>
      <c r="C4701" s="38" t="n">
        <f aca="false">Q!$D$8</f>
        <v>637.959</v>
      </c>
      <c r="D4701" s="38" t="n">
        <f aca="false">Q!$E$8</f>
        <v>716.924</v>
      </c>
      <c r="E4701" s="38" t="n">
        <f aca="false">Q!$P$8</f>
        <v>382.125</v>
      </c>
      <c r="F4701" s="38" t="n">
        <f aca="false">Sens!$F$4635+Sens!$F$4700</f>
        <v>450.494873271816</v>
      </c>
      <c r="G4701" s="38" t="n">
        <f aca="false">Sens!$G$4635+Sens!$G$4700</f>
        <v>832.619873271816</v>
      </c>
      <c r="H4701" s="38" t="n">
        <f aca="false">Sens!$H$4635+Sens!$H$4700</f>
        <v>970.995189139617</v>
      </c>
      <c r="I4701" s="38" t="n">
        <f aca="false">Sens!$I$4635+Sens!$I$4700</f>
        <v>1110.44766604932</v>
      </c>
      <c r="J4701" s="38" t="n">
        <f aca="false">Sens!$J$4635+Sens!$J$4700</f>
        <v>1241.16113892356</v>
      </c>
      <c r="K4701" s="38" t="n">
        <f aca="false">Sens!$K$4635+Sens!$K$4700</f>
        <v>1357.47672934633</v>
      </c>
      <c r="L4701" s="38" t="n">
        <f aca="false">Sens!$L$4635+Sens!$L$4700</f>
        <v>1479.24006423468</v>
      </c>
      <c r="M4701" s="38" t="n">
        <f aca="false">Sens!$M$4635+Sens!$M$4700</f>
        <v>1606.8537230104</v>
      </c>
      <c r="N4701" s="38" t="n">
        <f aca="false">Q!$N$8</f>
        <v>323.369</v>
      </c>
      <c r="O4701" s="38" t="n">
        <f aca="false">Q!$O$8</f>
        <v>393.555</v>
      </c>
    </row>
    <row r="4702" customFormat="false" ht="17.15" hidden="false" customHeight="false" outlineLevel="0" collapsed="false">
      <c r="A4702" s="24" t="s">
        <v>655</v>
      </c>
      <c r="B4702" s="25" t="s">
        <v>73</v>
      </c>
      <c r="C4702" s="39" t="n">
        <f aca="false">Sens!$C$4635-(Sens!$C$4637+Sens!$C$4638)</f>
        <v>0</v>
      </c>
      <c r="D4702" s="39" t="n">
        <f aca="false">Sens!$D$4635-(Sens!$D$4637+Sens!$D$4638)</f>
        <v>0</v>
      </c>
      <c r="E4702" s="39" t="n">
        <f aca="false">Sens!$E$4635-(Sens!$E$4637+Sens!$E$4638)</f>
        <v>0</v>
      </c>
      <c r="F4702" s="39" t="n">
        <f aca="false">Sens!$F$4635-(Sens!$F$4637+Sens!$F$4638)</f>
        <v>0</v>
      </c>
      <c r="G4702" s="39" t="n">
        <f aca="false">Sens!$G$4635-(Sens!$G$4637+Sens!$G$4638)</f>
        <v>0</v>
      </c>
      <c r="H4702" s="39" t="n">
        <f aca="false">Sens!$H$4635-(Sens!$H$4637+Sens!$H$4638)</f>
        <v>0</v>
      </c>
      <c r="I4702" s="39" t="n">
        <f aca="false">Sens!$I$4635-(Sens!$I$4637+Sens!$I$4638)</f>
        <v>0</v>
      </c>
      <c r="J4702" s="39" t="n">
        <f aca="false">Sens!$J$4635-(Sens!$J$4637+Sens!$J$4638)</f>
        <v>0</v>
      </c>
      <c r="K4702" s="39" t="n">
        <f aca="false">Sens!$K$4635-(Sens!$K$4637+Sens!$K$4638)</f>
        <v>0</v>
      </c>
      <c r="L4702" s="39" t="n">
        <f aca="false">Sens!$L$4635-(Sens!$L$4637+Sens!$L$4638)</f>
        <v>0</v>
      </c>
      <c r="M4702" s="39" t="n">
        <f aca="false">Sens!$M$4635-(Sens!$M$4637+Sens!$M$4638)</f>
        <v>0</v>
      </c>
      <c r="N4702" s="39" t="n">
        <f aca="false">Sens!$N$4635-(Sens!$N$4637+Sens!$N$4638)</f>
        <v>0</v>
      </c>
      <c r="O4702" s="39" t="n">
        <f aca="false">Sens!$O$4635-(Sens!$O$4637+Sens!$O$4638)</f>
        <v>0</v>
      </c>
    </row>
    <row r="4703" customFormat="false" ht="17.15" hidden="false" customHeight="false" outlineLevel="0" collapsed="false">
      <c r="A4703" s="24" t="s">
        <v>656</v>
      </c>
      <c r="B4703" s="25" t="s">
        <v>73</v>
      </c>
      <c r="C4703" s="39" t="n">
        <f aca="false">Sens!$C$4698+Sens!$C$4699-Sens!$C$4700</f>
        <v>0</v>
      </c>
      <c r="D4703" s="39" t="n">
        <f aca="false">Sens!$D$4698+Sens!$D$4699-Sens!$D$4700</f>
        <v>0</v>
      </c>
      <c r="E4703" s="39" t="n">
        <f aca="false">Sens!$E$4698+Sens!$E$4699-Sens!$E$4700</f>
        <v>0</v>
      </c>
      <c r="F4703" s="39" t="n">
        <f aca="false">Sens!$F$4698+Sens!$F$4699-Sens!$F$4700</f>
        <v>0</v>
      </c>
      <c r="G4703" s="39" t="n">
        <f aca="false">Sens!$G$4698+Sens!$G$4699-Sens!$G$4700</f>
        <v>0</v>
      </c>
      <c r="H4703" s="39" t="n">
        <f aca="false">Sens!$H$4698+Sens!$H$4699-Sens!$H$4700</f>
        <v>0</v>
      </c>
      <c r="I4703" s="39" t="n">
        <f aca="false">Sens!$I$4698+Sens!$I$4699-Sens!$I$4700</f>
        <v>0</v>
      </c>
      <c r="J4703" s="39" t="n">
        <f aca="false">Sens!$J$4698+Sens!$J$4699-Sens!$J$4700</f>
        <v>0</v>
      </c>
      <c r="K4703" s="39" t="n">
        <f aca="false">Sens!$K$4698+Sens!$K$4699-Sens!$K$4700</f>
        <v>0</v>
      </c>
      <c r="L4703" s="39" t="n">
        <f aca="false">Sens!$L$4698+Sens!$L$4699-Sens!$L$4700</f>
        <v>0</v>
      </c>
      <c r="M4703" s="39" t="n">
        <f aca="false">Sens!$M$4698+Sens!$M$4699-Sens!$M$4700</f>
        <v>0</v>
      </c>
      <c r="N4703" s="39" t="n">
        <f aca="false">Sens!$N$4698+Sens!$N$4699-Sens!$N$4700</f>
        <v>0</v>
      </c>
      <c r="O4703" s="39" t="n">
        <f aca="false">Sens!$O$4698+Sens!$O$4699-Sens!$O$4700</f>
        <v>0</v>
      </c>
    </row>
    <row r="4704" customFormat="false" ht="17.15" hidden="false" customHeight="false" outlineLevel="0" collapsed="false">
      <c r="A4704" s="24" t="s">
        <v>657</v>
      </c>
      <c r="B4704" s="25" t="s">
        <v>73</v>
      </c>
      <c r="C4704" s="39" t="n">
        <f aca="false">Sens!$C$4637+Sens!$C$4638+Sens!$C$4700-Sens!$C$4701</f>
        <v>0</v>
      </c>
      <c r="D4704" s="39" t="n">
        <f aca="false">Sens!$D$4637+Sens!$D$4638+Sens!$D$4700-Sens!$D$4701</f>
        <v>0</v>
      </c>
      <c r="E4704" s="39" t="n">
        <f aca="false">Sens!$E$4637+Sens!$E$4638+Sens!$E$4700-Sens!$E$4701</f>
        <v>0</v>
      </c>
      <c r="F4704" s="39" t="n">
        <f aca="false">Sens!$F$4637+Sens!$F$4638+Sens!$F$4700-Sens!$F$4701</f>
        <v>0</v>
      </c>
      <c r="G4704" s="39" t="n">
        <f aca="false">Sens!$G$4637+Sens!$G$4638+Sens!$G$4700-Sens!$G$4701</f>
        <v>0</v>
      </c>
      <c r="H4704" s="39" t="n">
        <f aca="false">Sens!$H$4637+Sens!$H$4638+Sens!$H$4700-Sens!$H$4701</f>
        <v>0</v>
      </c>
      <c r="I4704" s="39" t="n">
        <f aca="false">Sens!$I$4637+Sens!$I$4638+Sens!$I$4700-Sens!$I$4701</f>
        <v>0</v>
      </c>
      <c r="J4704" s="39" t="n">
        <f aca="false">Sens!$J$4637+Sens!$J$4638+Sens!$J$4700-Sens!$J$4701</f>
        <v>0</v>
      </c>
      <c r="K4704" s="39" t="n">
        <f aca="false">Sens!$K$4637+Sens!$K$4638+Sens!$K$4700-Sens!$K$4701</f>
        <v>0</v>
      </c>
      <c r="L4704" s="39" t="n">
        <f aca="false">Sens!$L$4637+Sens!$L$4638+Sens!$L$4700-Sens!$L$4701</f>
        <v>0</v>
      </c>
      <c r="M4704" s="39" t="n">
        <f aca="false">Sens!$M$4637+Sens!$M$4638+Sens!$M$4700-Sens!$M$4701</f>
        <v>0</v>
      </c>
      <c r="N4704" s="39" t="n">
        <f aca="false">Sens!$N$4637+Sens!$N$4638+Sens!$N$4700-Sens!$N$4701</f>
        <v>0</v>
      </c>
      <c r="O4704" s="39" t="n">
        <f aca="false">Sens!$O$4637+Sens!$O$4638+Sens!$O$4700-Sens!$O$4701</f>
        <v>0</v>
      </c>
    </row>
    <row r="4705" customFormat="false" ht="15" hidden="false" customHeight="false" outlineLevel="0" collapsed="false">
      <c r="A4705" s="5" t="s">
        <v>651</v>
      </c>
      <c r="B4705" s="0" t="s">
        <v>52</v>
      </c>
      <c r="G4705" s="12" t="n">
        <f aca="false">Sens!$G$4701/Sens!$D$4701-1</f>
        <v>0.161378156222718</v>
      </c>
      <c r="H4705" s="12" t="n">
        <f aca="false">Sens!$H$4701/Sens!$G$4701-1</f>
        <v>0.166192665236357</v>
      </c>
      <c r="I4705" s="12" t="n">
        <f aca="false">Sens!$I$4701/Sens!$H$4701-1</f>
        <v>0.143618092519351</v>
      </c>
      <c r="J4705" s="12" t="n">
        <f aca="false">Sens!$J$4701/Sens!$I$4701-1</f>
        <v>0.117712411733268</v>
      </c>
      <c r="K4705" s="12" t="n">
        <f aca="false">Sens!$K$4701/Sens!$J$4701-1</f>
        <v>0.0937151404237868</v>
      </c>
      <c r="L4705" s="12" t="n">
        <f aca="false">Sens!$L$4701/Sens!$K$4701-1</f>
        <v>0.0896982852494186</v>
      </c>
      <c r="M4705" s="12" t="n">
        <f aca="false">Sens!$M$4701/Sens!$L$4701-1</f>
        <v>0.0862697420528154</v>
      </c>
    </row>
    <row r="4706" customFormat="false" ht="17.15" hidden="false" customHeight="false" outlineLevel="0" collapsed="false">
      <c r="A4706" s="0" t="s">
        <v>652</v>
      </c>
      <c r="B4706" s="0" t="s">
        <v>52</v>
      </c>
      <c r="C4706" s="12" t="n">
        <f aca="false">Sens!$C$4700/Sens!$C$4701</f>
        <v>0.168593906504964</v>
      </c>
      <c r="D4706" s="12" t="n">
        <f aca="false">Sens!$D$4700/Sens!$D$4701</f>
        <v>0.179551807444025</v>
      </c>
      <c r="E4706" s="12" t="n">
        <f aca="false">Sens!$E$4700/Sens!$E$4701</f>
        <v>0.208881910369643</v>
      </c>
      <c r="F4706" s="12" t="n">
        <f aca="false">Sens!$F$4700/Sens!$F$4701</f>
        <v>0.207679264769203</v>
      </c>
      <c r="G4706" s="12" t="n">
        <f aca="false">Sens!$G$4700/Sens!$G$4701</f>
        <v>0.208231210458731</v>
      </c>
      <c r="H4706" s="12" t="n">
        <f aca="false">Sens!$H$4700/Sens!$H$4701</f>
        <v>0.248260191414043</v>
      </c>
      <c r="I4706" s="12" t="n">
        <f aca="false">Sens!$I$4700/Sens!$I$4701</f>
        <v>0.28110473450946</v>
      </c>
      <c r="J4706" s="12" t="n">
        <f aca="false">Sens!$J$4700/Sens!$J$4701</f>
        <v>0.30570109287086</v>
      </c>
      <c r="K4706" s="12" t="n">
        <f aca="false">Sens!$K$4700/Sens!$K$4701</f>
        <v>0.324071291782835</v>
      </c>
      <c r="L4706" s="12" t="n">
        <f aca="false">Sens!$L$4700/Sens!$L$4701</f>
        <v>0.339333003903741</v>
      </c>
      <c r="M4706" s="12" t="n">
        <f aca="false">Sens!$M$4700/Sens!$M$4701</f>
        <v>0.3520169237354</v>
      </c>
      <c r="N4706" s="12" t="n">
        <f aca="false">Sens!$N$4700/Sens!$N$4701</f>
        <v>0.185979484737251</v>
      </c>
      <c r="O4706" s="12" t="n">
        <f aca="false">Sens!$O$4700/Sens!$O$4701</f>
        <v>0.174270432341096</v>
      </c>
    </row>
    <row r="4707" customFormat="false" ht="17.15" hidden="false" customHeight="false" outlineLevel="0" collapsed="false">
      <c r="A4707" s="0" t="s">
        <v>653</v>
      </c>
      <c r="B4707" s="0" t="s">
        <v>52</v>
      </c>
      <c r="C4707" s="12" t="n">
        <f aca="false">Sens!$C$4698/Sens!$C$4700</f>
        <v>0.0215795060896058</v>
      </c>
      <c r="D4707" s="12" t="n">
        <f aca="false">Sens!$D$4698/Sens!$D$4700</f>
        <v>0.0676152269462122</v>
      </c>
      <c r="E4707" s="12" t="n">
        <f aca="false">Sens!$E$4698/Sens!$E$4700</f>
        <v>0.106620641395783</v>
      </c>
      <c r="F4707" s="12" t="n">
        <f aca="false">Sens!$F$4698/Sens!$F$4700</f>
        <v>0.159936751776064</v>
      </c>
      <c r="G4707" s="12" t="n">
        <f aca="false">Sens!$G$4698/Sens!$G$4700</f>
        <v>0.135391237003751</v>
      </c>
      <c r="H4707" s="12" t="n">
        <f aca="false">Sens!$H$4698/Sens!$H$4700</f>
        <v>0.249589428545194</v>
      </c>
      <c r="I4707" s="12" t="n">
        <f aca="false">Sens!$I$4698/Sens!$I$4700</f>
        <v>0.325173850577483</v>
      </c>
      <c r="J4707" s="12" t="n">
        <f aca="false">Sens!$J$4698/Sens!$J$4700</f>
        <v>0.376953718817392</v>
      </c>
      <c r="K4707" s="12" t="n">
        <f aca="false">Sens!$K$4698/Sens!$K$4700</f>
        <v>0.419641605578676</v>
      </c>
      <c r="L4707" s="12" t="n">
        <f aca="false">Sens!$L$4698/Sens!$L$4700</f>
        <v>0.450676451094615</v>
      </c>
      <c r="M4707" s="12" t="n">
        <f aca="false">Sens!$M$4698/Sens!$M$4700</f>
        <v>0.473526096798086</v>
      </c>
      <c r="N4707" s="12" t="n">
        <f aca="false">Sens!$N$4698/Sens!$N$4700</f>
        <v>0.0506537999838362</v>
      </c>
      <c r="O4707" s="12" t="n">
        <f aca="false">Sens!$O$4698/Sens!$O$4700</f>
        <v>0.0824881615167056</v>
      </c>
    </row>
    <row r="4710" customFormat="false" ht="19.4" hidden="false" customHeight="false" outlineLevel="0" collapsed="false">
      <c r="A4710" s="31" t="s">
        <v>1145</v>
      </c>
    </row>
    <row r="4711" customFormat="false" ht="17.15" hidden="false" customHeight="false" outlineLevel="0" collapsed="false">
      <c r="A4711" s="6" t="s">
        <v>16</v>
      </c>
      <c r="B4711" s="6" t="s">
        <v>17</v>
      </c>
      <c r="C4711" s="20" t="s">
        <v>457</v>
      </c>
      <c r="D4711" s="20" t="s">
        <v>458</v>
      </c>
      <c r="E4711" s="20" t="s">
        <v>540</v>
      </c>
      <c r="F4711" s="20" t="s">
        <v>541</v>
      </c>
      <c r="G4711" s="20" t="s">
        <v>542</v>
      </c>
      <c r="H4711" s="20" t="s">
        <v>543</v>
      </c>
      <c r="I4711" s="20" t="s">
        <v>544</v>
      </c>
      <c r="J4711" s="20" t="s">
        <v>545</v>
      </c>
      <c r="K4711" s="20" t="s">
        <v>546</v>
      </c>
      <c r="L4711" s="20" t="s">
        <v>547</v>
      </c>
      <c r="M4711" s="20" t="s">
        <v>548</v>
      </c>
      <c r="N4711" s="20" t="s">
        <v>549</v>
      </c>
      <c r="O4711" s="20" t="s">
        <v>550</v>
      </c>
      <c r="P4711" s="6" t="s">
        <v>23</v>
      </c>
      <c r="R4711" s="20" t="n">
        <v>2023</v>
      </c>
      <c r="S4711" s="20" t="n">
        <v>2024</v>
      </c>
      <c r="T4711" s="20" t="n">
        <v>2025</v>
      </c>
      <c r="U4711" s="20" t="n">
        <v>2026</v>
      </c>
      <c r="V4711" s="20" t="n">
        <v>2027</v>
      </c>
      <c r="W4711" s="20" t="n">
        <v>2028</v>
      </c>
      <c r="X4711" s="20" t="n">
        <v>2029</v>
      </c>
      <c r="Y4711" s="20" t="n">
        <v>2030</v>
      </c>
      <c r="Z4711" s="20" t="n">
        <v>2031</v>
      </c>
      <c r="AA4711" s="20" t="n">
        <v>2032</v>
      </c>
    </row>
    <row r="4712" customFormat="false" ht="17.15" hidden="false" customHeight="false" outlineLevel="0" collapsed="false">
      <c r="A4712" s="1" t="s">
        <v>668</v>
      </c>
    </row>
    <row r="4713" customFormat="false" ht="15" hidden="false" customHeight="false" outlineLevel="0" collapsed="false">
      <c r="A4713" s="0" t="s">
        <v>479</v>
      </c>
      <c r="B4713" s="0" t="s">
        <v>73</v>
      </c>
      <c r="C4713" s="38" t="n">
        <f aca="false">Sens!$C$4623</f>
        <v>247.029</v>
      </c>
      <c r="D4713" s="38" t="n">
        <f aca="false">Sens!$D$4623</f>
        <v>269.287</v>
      </c>
      <c r="E4713" s="38" t="n">
        <f aca="false">Sens!$E$4623</f>
        <v>134.686</v>
      </c>
      <c r="F4713" s="38" t="n">
        <f aca="false">Sens!$F$4623</f>
        <v>160.728085930082</v>
      </c>
      <c r="G4713" s="38" t="n">
        <f aca="false">Sens!$G$4623</f>
        <v>295.414085930082</v>
      </c>
      <c r="H4713" s="38" t="n">
        <f aca="false">Sens!$H$4623</f>
        <v>320.828163943375</v>
      </c>
      <c r="I4713" s="38" t="n">
        <f aca="false">Sens!$I$4623</f>
        <v>344.575578072228</v>
      </c>
      <c r="J4713" s="38" t="n">
        <f aca="false">Sens!$J$4623</f>
        <v>365.942555779681</v>
      </c>
      <c r="K4713" s="38" t="n">
        <f aca="false">Sens!$K$4623</f>
        <v>384.239683568665</v>
      </c>
      <c r="L4713" s="38" t="n">
        <f aca="false">Sens!$L$4623</f>
        <v>403.451667747098</v>
      </c>
      <c r="M4713" s="38" t="n">
        <f aca="false">Sens!$M$4623</f>
        <v>423.624251134453</v>
      </c>
      <c r="N4713" s="38" t="n">
        <f aca="false">Sens!$N$4623</f>
        <v>118.892</v>
      </c>
      <c r="O4713" s="38" t="n">
        <f aca="false">Sens!$O$4623</f>
        <v>150.395</v>
      </c>
    </row>
    <row r="4714" customFormat="false" ht="15" hidden="false" customHeight="false" outlineLevel="0" collapsed="false">
      <c r="A4714" s="0" t="s">
        <v>480</v>
      </c>
      <c r="B4714" s="0" t="s">
        <v>73</v>
      </c>
      <c r="C4714" s="38" t="n">
        <f aca="false">Sens!$C$4625</f>
        <v>21.215</v>
      </c>
      <c r="D4714" s="38" t="n">
        <f aca="false">Sens!$D$4625</f>
        <v>22.561</v>
      </c>
      <c r="E4714" s="38" t="n">
        <f aca="false">Sens!$E$4625</f>
        <v>11.579</v>
      </c>
      <c r="F4714" s="38" t="n">
        <f aca="false">Sens!$F$4625</f>
        <v>12.0952613121125</v>
      </c>
      <c r="G4714" s="38" t="n">
        <f aca="false">Sens!$G$4625</f>
        <v>23.6742613121125</v>
      </c>
      <c r="H4714" s="38" t="n">
        <f aca="false">Sens!$H$4625</f>
        <v>24.8803243963206</v>
      </c>
      <c r="I4714" s="38" t="n">
        <f aca="false">Sens!$I$4625</f>
        <v>25.9741308664154</v>
      </c>
      <c r="J4714" s="38" t="n">
        <f aca="false">Sens!$J$4625</f>
        <v>26.9346894124267</v>
      </c>
      <c r="K4714" s="38" t="n">
        <f aca="false">Sens!$K$4625</f>
        <v>27.7427300947995</v>
      </c>
      <c r="L4714" s="38" t="n">
        <f aca="false">Sens!$L$4625</f>
        <v>28.5750119976435</v>
      </c>
      <c r="M4714" s="38" t="n">
        <f aca="false">Sens!$M$4625</f>
        <v>29.4322623575728</v>
      </c>
      <c r="N4714" s="38" t="n">
        <f aca="false">Sens!$N$4625</f>
        <v>11.128</v>
      </c>
      <c r="O4714" s="38" t="n">
        <f aca="false">Sens!$O$4625</f>
        <v>11.433</v>
      </c>
    </row>
    <row r="4715" customFormat="false" ht="15" hidden="false" customHeight="false" outlineLevel="0" collapsed="false">
      <c r="A4715" s="0" t="s">
        <v>481</v>
      </c>
      <c r="B4715" s="0" t="s">
        <v>73</v>
      </c>
      <c r="C4715" s="38" t="n">
        <f aca="false">Sens!$C$4627</f>
        <v>156.146</v>
      </c>
      <c r="D4715" s="38" t="n">
        <f aca="false">Sens!$D$4627</f>
        <v>172.162</v>
      </c>
      <c r="E4715" s="38" t="n">
        <f aca="false">Sens!$E$4627</f>
        <v>88.358</v>
      </c>
      <c r="F4715" s="38" t="n">
        <f aca="false">Sens!$F$4627</f>
        <v>103.62028337149</v>
      </c>
      <c r="G4715" s="38" t="n">
        <f aca="false">Sens!$G$4627</f>
        <v>191.97828337149</v>
      </c>
      <c r="H4715" s="38" t="n">
        <f aca="false">Sens!$H$4627</f>
        <v>212.128608444755</v>
      </c>
      <c r="I4715" s="38" t="n">
        <f aca="false">Sens!$I$4627</f>
        <v>231.92183134134</v>
      </c>
      <c r="J4715" s="38" t="n">
        <f aca="false">Sens!$J$4627</f>
        <v>250.859136487863</v>
      </c>
      <c r="K4715" s="38" t="n">
        <f aca="false">Sens!$K$4627</f>
        <v>268.419276042014</v>
      </c>
      <c r="L4715" s="38" t="n">
        <f aca="false">Sens!$L$4627</f>
        <v>287.208625364954</v>
      </c>
      <c r="M4715" s="38" t="n">
        <f aca="false">Sens!$M$4627</f>
        <v>307.313229140501</v>
      </c>
      <c r="N4715" s="38" t="n">
        <f aca="false">Sens!$N$4627</f>
        <v>76.86</v>
      </c>
      <c r="O4715" s="38" t="n">
        <f aca="false">Sens!$O$4627</f>
        <v>95.302</v>
      </c>
    </row>
    <row r="4716" customFormat="false" ht="15" hidden="false" customHeight="false" outlineLevel="0" collapsed="false">
      <c r="A4716" s="0" t="s">
        <v>482</v>
      </c>
      <c r="B4716" s="0" t="s">
        <v>73</v>
      </c>
      <c r="C4716" s="38" t="n">
        <f aca="false">Sens!$C$4629</f>
        <v>56.214</v>
      </c>
      <c r="D4716" s="38" t="n">
        <f aca="false">Sens!$D$4629</f>
        <v>68.635</v>
      </c>
      <c r="E4716" s="38" t="n">
        <f aca="false">Sens!$E$4629</f>
        <v>37.052</v>
      </c>
      <c r="F4716" s="38" t="n">
        <f aca="false">Sens!$F$4629</f>
        <v>48.1533381827382</v>
      </c>
      <c r="G4716" s="38" t="n">
        <f aca="false">Sens!$G$4629</f>
        <v>85.2053381827382</v>
      </c>
      <c r="H4716" s="38" t="n">
        <f aca="false">Sens!$H$4629</f>
        <v>102.29336185894</v>
      </c>
      <c r="I4716" s="38" t="n">
        <f aca="false">Sens!$I$4629</f>
        <v>119.379837585241</v>
      </c>
      <c r="J4716" s="38" t="n">
        <f aca="false">Sens!$J$4629</f>
        <v>135.319079048844</v>
      </c>
      <c r="K4716" s="38" t="n">
        <f aca="false">Sens!$K$4629</f>
        <v>148.850986953729</v>
      </c>
      <c r="L4716" s="38" t="n">
        <f aca="false">Sens!$L$4629</f>
        <v>163.736085649102</v>
      </c>
      <c r="M4716" s="38" t="n">
        <f aca="false">Sens!$M$4629</f>
        <v>180.109694214012</v>
      </c>
      <c r="N4716" s="38" t="n">
        <f aca="false">Sens!$N$4629</f>
        <v>29.615</v>
      </c>
      <c r="O4716" s="38" t="n">
        <f aca="false">Sens!$O$4629</f>
        <v>39.02</v>
      </c>
    </row>
    <row r="4717" customFormat="false" ht="15" hidden="false" customHeight="false" outlineLevel="0" collapsed="false">
      <c r="A4717" s="0" t="s">
        <v>483</v>
      </c>
      <c r="B4717" s="0" t="s">
        <v>73</v>
      </c>
      <c r="C4717" s="38" t="n">
        <f aca="false">Sens!$C$4631</f>
        <v>44.374</v>
      </c>
      <c r="D4717" s="38" t="n">
        <f aca="false">Sens!$D$4631</f>
        <v>49.619</v>
      </c>
      <c r="E4717" s="38" t="n">
        <f aca="false">Sens!$E$4631</f>
        <v>27.157</v>
      </c>
      <c r="F4717" s="38" t="n">
        <f aca="false">Sens!$F$4631</f>
        <v>28.9776360923374</v>
      </c>
      <c r="G4717" s="38" t="n">
        <f aca="false">Sens!$G$4631</f>
        <v>56.1346360923374</v>
      </c>
      <c r="H4717" s="38" t="n">
        <f aca="false">Sens!$H$4631</f>
        <v>62.4937078946075</v>
      </c>
      <c r="I4717" s="38" t="n">
        <f aca="false">Sens!$I$4631</f>
        <v>68.6715233062498</v>
      </c>
      <c r="J4717" s="38" t="n">
        <f aca="false">Sens!$J$4631</f>
        <v>74.4692882949818</v>
      </c>
      <c r="K4717" s="38" t="n">
        <f aca="false">Sens!$K$4631</f>
        <v>79.6821384756306</v>
      </c>
      <c r="L4717" s="38" t="n">
        <f aca="false">Sens!$L$4631</f>
        <v>85.2598881689247</v>
      </c>
      <c r="M4717" s="38" t="n">
        <f aca="false">Sens!$M$4631</f>
        <v>91.2280803407494</v>
      </c>
      <c r="N4717" s="38" t="n">
        <f aca="false">Sens!$N$4631</f>
        <v>23.923</v>
      </c>
      <c r="O4717" s="38" t="n">
        <f aca="false">Sens!$O$4631</f>
        <v>25.696</v>
      </c>
    </row>
    <row r="4718" customFormat="false" ht="15" hidden="false" customHeight="false" outlineLevel="0" collapsed="false">
      <c r="A4718" s="0" t="s">
        <v>484</v>
      </c>
      <c r="B4718" s="0" t="s">
        <v>73</v>
      </c>
      <c r="C4718" s="38" t="n">
        <f aca="false">Sens!$C$4633</f>
        <v>5.425</v>
      </c>
      <c r="D4718" s="38" t="n">
        <f aca="false">Sens!$D$4633</f>
        <v>5.935</v>
      </c>
      <c r="E4718" s="38" t="n">
        <f aca="false">Sens!$E$4633</f>
        <v>3.474</v>
      </c>
      <c r="F4718" s="38" t="n">
        <f aca="false">Sens!$F$4633</f>
        <v>3.36182431966931</v>
      </c>
      <c r="G4718" s="38" t="n">
        <f aca="false">Sens!$G$4633</f>
        <v>6.83582431966931</v>
      </c>
      <c r="H4718" s="38" t="n">
        <f aca="false">Sens!$H$4633</f>
        <v>7.31157108370141</v>
      </c>
      <c r="I4718" s="38" t="n">
        <f aca="false">Sens!$I$4633</f>
        <v>7.77266852639815</v>
      </c>
      <c r="J4718" s="38" t="n">
        <f aca="false">Sens!$J$4633</f>
        <v>8.2120733019884</v>
      </c>
      <c r="K4718" s="38" t="n">
        <f aca="false">Sens!$K$4633</f>
        <v>8.62267696708783</v>
      </c>
      <c r="L4718" s="38" t="n">
        <f aca="false">Sens!$L$4633</f>
        <v>9.05381081544222</v>
      </c>
      <c r="M4718" s="38" t="n">
        <f aca="false">Sens!$M$4633</f>
        <v>9.50650135621433</v>
      </c>
      <c r="N4718" s="38" t="n">
        <f aca="false">Sens!$N$4633</f>
        <v>2.811</v>
      </c>
      <c r="O4718" s="38" t="n">
        <f aca="false">Sens!$O$4633</f>
        <v>3.124</v>
      </c>
    </row>
    <row r="4719" customFormat="false" ht="17.15" hidden="false" customHeight="false" outlineLevel="0" collapsed="false">
      <c r="A4719" s="0" t="s">
        <v>669</v>
      </c>
      <c r="B4719" s="0" t="s">
        <v>73</v>
      </c>
      <c r="C4719" s="38" t="n">
        <f aca="false">Sens!$C$4700</f>
        <v>107.556</v>
      </c>
      <c r="D4719" s="38" t="n">
        <f aca="false">Sens!$D$4700</f>
        <v>128.725</v>
      </c>
      <c r="E4719" s="38" t="n">
        <f aca="false">Sens!$E$4700</f>
        <v>79.819</v>
      </c>
      <c r="F4719" s="38" t="n">
        <f aca="false">Sens!$F$4700</f>
        <v>93.5584440633857</v>
      </c>
      <c r="G4719" s="38" t="n">
        <f aca="false">Sens!$G$4700</f>
        <v>173.377444063386</v>
      </c>
      <c r="H4719" s="38" t="n">
        <f aca="false">Sens!$H$4700</f>
        <v>241.059451517916</v>
      </c>
      <c r="I4719" s="38" t="n">
        <f aca="false">Sens!$I$4700</f>
        <v>312.152096351442</v>
      </c>
      <c r="J4719" s="38" t="n">
        <f aca="false">Sens!$J$4700</f>
        <v>379.424316597773</v>
      </c>
      <c r="K4719" s="38" t="n">
        <f aca="false">Sens!$K$4700</f>
        <v>439.919237244402</v>
      </c>
      <c r="L4719" s="38" t="n">
        <f aca="false">Sens!$L$4700</f>
        <v>501.954974491517</v>
      </c>
      <c r="M4719" s="38" t="n">
        <f aca="false">Sens!$M$4700</f>
        <v>565.639704466895</v>
      </c>
      <c r="N4719" s="38" t="n">
        <f aca="false">Sens!$N$4700</f>
        <v>60.14</v>
      </c>
      <c r="O4719" s="38" t="n">
        <f aca="false">Sens!$O$4700</f>
        <v>68.585</v>
      </c>
    </row>
    <row r="4720" customFormat="false" ht="15" hidden="false" customHeight="false" outlineLevel="0" collapsed="false">
      <c r="A4720" s="1" t="s">
        <v>472</v>
      </c>
      <c r="B4720" s="8" t="s">
        <v>73</v>
      </c>
      <c r="C4720" s="38" t="n">
        <f aca="false">Sens!$C$4637</f>
        <v>387.497</v>
      </c>
      <c r="D4720" s="38" t="n">
        <f aca="false">Sens!$D$4637</f>
        <v>426.305</v>
      </c>
      <c r="E4720" s="38" t="n">
        <f aca="false">Sens!$E$4637</f>
        <v>220.32</v>
      </c>
      <c r="F4720" s="38" t="n">
        <f aca="false">Sens!$F$4637</f>
        <v>256.304015003807</v>
      </c>
      <c r="G4720" s="38" t="n">
        <f aca="false">Sens!$G$4637</f>
        <v>476.624015003807</v>
      </c>
      <c r="H4720" s="38" t="n">
        <f aca="false">Sens!$H$4637</f>
        <v>527.734391091543</v>
      </c>
      <c r="I4720" s="38" t="n">
        <f aca="false">Sens!$I$4637</f>
        <v>577.157693029577</v>
      </c>
      <c r="J4720" s="38" t="n">
        <f aca="false">Sens!$J$4637</f>
        <v>623.024923663827</v>
      </c>
      <c r="K4720" s="38" t="n">
        <f aca="false">Sens!$K$4637</f>
        <v>663.382568393781</v>
      </c>
      <c r="L4720" s="38" t="n">
        <f aca="false">Sens!$L$4637</f>
        <v>706.564873010432</v>
      </c>
      <c r="M4720" s="38" t="n">
        <f aca="false">Sens!$M$4637</f>
        <v>752.784687406019</v>
      </c>
      <c r="N4720" s="38" t="n">
        <f aca="false">Sens!$N$4637</f>
        <v>192.955</v>
      </c>
      <c r="O4720" s="38" t="n">
        <f aca="false">Sens!$O$4637</f>
        <v>233.35</v>
      </c>
    </row>
    <row r="4721" customFormat="false" ht="15" hidden="false" customHeight="false" outlineLevel="0" collapsed="false">
      <c r="A4721" s="1" t="s">
        <v>475</v>
      </c>
      <c r="B4721" s="8" t="s">
        <v>73</v>
      </c>
      <c r="C4721" s="38" t="n">
        <f aca="false">Sens!$C$4638</f>
        <v>142.906</v>
      </c>
      <c r="D4721" s="38" t="n">
        <f aca="false">Sens!$D$4638</f>
        <v>161.894</v>
      </c>
      <c r="E4721" s="38" t="n">
        <f aca="false">Sens!$E$4638</f>
        <v>81.986</v>
      </c>
      <c r="F4721" s="38" t="n">
        <f aca="false">Sens!$F$4638</f>
        <v>100.632414204623</v>
      </c>
      <c r="G4721" s="38" t="n">
        <f aca="false">Sens!$G$4638</f>
        <v>182.618414204623</v>
      </c>
      <c r="H4721" s="38" t="n">
        <f aca="false">Sens!$H$4638</f>
        <v>202.201346530158</v>
      </c>
      <c r="I4721" s="38" t="n">
        <f aca="false">Sens!$I$4638</f>
        <v>221.137876668296</v>
      </c>
      <c r="J4721" s="38" t="n">
        <f aca="false">Sens!$J$4638</f>
        <v>238.711898661958</v>
      </c>
      <c r="K4721" s="38" t="n">
        <f aca="false">Sens!$K$4638</f>
        <v>254.174923708144</v>
      </c>
      <c r="L4721" s="38" t="n">
        <f aca="false">Sens!$L$4638</f>
        <v>270.720216732733</v>
      </c>
      <c r="M4721" s="38" t="n">
        <f aca="false">Sens!$M$4638</f>
        <v>288.429331137484</v>
      </c>
      <c r="N4721" s="38" t="n">
        <f aca="false">Sens!$N$4638</f>
        <v>70.274</v>
      </c>
      <c r="O4721" s="38" t="n">
        <f aca="false">Sens!$O$4638</f>
        <v>91.62</v>
      </c>
    </row>
    <row r="4722" customFormat="false" ht="15" hidden="false" customHeight="false" outlineLevel="0" collapsed="false">
      <c r="A4722" s="1" t="s">
        <v>476</v>
      </c>
      <c r="B4722" s="8" t="s">
        <v>73</v>
      </c>
      <c r="C4722" s="38" t="n">
        <f aca="false">Sens!$C$4700</f>
        <v>107.556</v>
      </c>
      <c r="D4722" s="38" t="n">
        <f aca="false">Sens!$D$4700</f>
        <v>128.725</v>
      </c>
      <c r="E4722" s="38" t="n">
        <f aca="false">Sens!$E$4700</f>
        <v>79.819</v>
      </c>
      <c r="F4722" s="38" t="n">
        <f aca="false">Sens!$F$4700</f>
        <v>93.5584440633857</v>
      </c>
      <c r="G4722" s="38" t="n">
        <f aca="false">Sens!$G$4700</f>
        <v>173.377444063386</v>
      </c>
      <c r="H4722" s="38" t="n">
        <f aca="false">Sens!$H$4700</f>
        <v>241.059451517916</v>
      </c>
      <c r="I4722" s="38" t="n">
        <f aca="false">Sens!$I$4700</f>
        <v>312.152096351442</v>
      </c>
      <c r="J4722" s="38" t="n">
        <f aca="false">Sens!$J$4700</f>
        <v>379.424316597773</v>
      </c>
      <c r="K4722" s="38" t="n">
        <f aca="false">Sens!$K$4700</f>
        <v>439.919237244402</v>
      </c>
      <c r="L4722" s="38" t="n">
        <f aca="false">Sens!$L$4700</f>
        <v>501.954974491517</v>
      </c>
      <c r="M4722" s="38" t="n">
        <f aca="false">Sens!$M$4700</f>
        <v>565.639704466895</v>
      </c>
      <c r="N4722" s="38" t="n">
        <f aca="false">Sens!$N$4700</f>
        <v>60.14</v>
      </c>
      <c r="O4722" s="38" t="n">
        <f aca="false">Sens!$O$4700</f>
        <v>68.585</v>
      </c>
    </row>
    <row r="4723" customFormat="false" ht="17.15" hidden="false" customHeight="false" outlineLevel="0" collapsed="false">
      <c r="A4723" s="0" t="s">
        <v>643</v>
      </c>
      <c r="B4723" s="0" t="s">
        <v>73</v>
      </c>
      <c r="C4723" s="38" t="n">
        <f aca="false">Sens!$C$4698</f>
        <v>2.32100535697364</v>
      </c>
      <c r="D4723" s="38" t="n">
        <f aca="false">Sens!$D$4698</f>
        <v>8.70377008865116</v>
      </c>
      <c r="E4723" s="38" t="n">
        <f aca="false">Sens!$E$4698</f>
        <v>8.51035297557002</v>
      </c>
      <c r="F4723" s="38" t="n">
        <f aca="false">Sens!$F$4698</f>
        <v>14.9634336447205</v>
      </c>
      <c r="G4723" s="38" t="n">
        <f aca="false">Sens!$G$4698</f>
        <v>23.4737866202905</v>
      </c>
      <c r="H4723" s="38" t="n">
        <f aca="false">Sens!$H$4698</f>
        <v>60.1658907497746</v>
      </c>
      <c r="I4723" s="38" t="n">
        <f aca="false">Sens!$I$4698</f>
        <v>101.503699136432</v>
      </c>
      <c r="J4723" s="38" t="n">
        <f aca="false">Sens!$J$4698</f>
        <v>143.025407151278</v>
      </c>
      <c r="K4723" s="38" t="n">
        <f aca="false">Sens!$K$4698</f>
        <v>184.608415042187</v>
      </c>
      <c r="L4723" s="38" t="n">
        <f aca="false">Sens!$L$4698</f>
        <v>226.219286513125</v>
      </c>
      <c r="M4723" s="38" t="n">
        <f aca="false">Sens!$M$4698</f>
        <v>267.845161450232</v>
      </c>
      <c r="N4723" s="38" t="n">
        <f aca="false">Sens!$N$4698</f>
        <v>3.04631953102791</v>
      </c>
      <c r="O4723" s="38" t="n">
        <f aca="false">Sens!$O$4698</f>
        <v>5.65745055762326</v>
      </c>
    </row>
    <row r="4724" customFormat="false" ht="17.15" hidden="false" customHeight="false" outlineLevel="0" collapsed="false">
      <c r="A4724" s="0" t="s">
        <v>645</v>
      </c>
      <c r="B4724" s="0" t="s">
        <v>73</v>
      </c>
      <c r="C4724" s="38" t="n">
        <f aca="false">Sens!$C$4699</f>
        <v>105.234994643026</v>
      </c>
      <c r="D4724" s="38" t="n">
        <f aca="false">Sens!$D$4699</f>
        <v>120.021229911349</v>
      </c>
      <c r="E4724" s="38" t="n">
        <f aca="false">Sens!$E$4699</f>
        <v>71.30864702443</v>
      </c>
      <c r="F4724" s="38" t="n">
        <f aca="false">Sens!$F$4699</f>
        <v>78.5950104186653</v>
      </c>
      <c r="G4724" s="38" t="n">
        <f aca="false">Sens!$G$4699</f>
        <v>149.903657443095</v>
      </c>
      <c r="H4724" s="38" t="n">
        <f aca="false">Sens!$H$4699</f>
        <v>180.893560768142</v>
      </c>
      <c r="I4724" s="38" t="n">
        <f aca="false">Sens!$I$4699</f>
        <v>210.64839721501</v>
      </c>
      <c r="J4724" s="38" t="n">
        <f aca="false">Sens!$J$4699</f>
        <v>236.398909446495</v>
      </c>
      <c r="K4724" s="38" t="n">
        <f aca="false">Sens!$K$4699</f>
        <v>255.310822202215</v>
      </c>
      <c r="L4724" s="38" t="n">
        <f aca="false">Sens!$L$4699</f>
        <v>275.735687978392</v>
      </c>
      <c r="M4724" s="38" t="n">
        <f aca="false">Sens!$M$4699</f>
        <v>297.794543016663</v>
      </c>
      <c r="N4724" s="38" t="n">
        <f aca="false">Sens!$N$4699</f>
        <v>57.0936804689721</v>
      </c>
      <c r="O4724" s="38" t="n">
        <f aca="false">Sens!$O$4699</f>
        <v>62.9275494423768</v>
      </c>
    </row>
    <row r="4725" customFormat="false" ht="15" hidden="false" customHeight="false" outlineLevel="0" collapsed="false">
      <c r="A4725" s="3" t="s">
        <v>477</v>
      </c>
      <c r="B4725" s="8" t="s">
        <v>73</v>
      </c>
      <c r="C4725" s="38" t="n">
        <f aca="false">Sens!$C$4701</f>
        <v>637.959</v>
      </c>
      <c r="D4725" s="38" t="n">
        <f aca="false">Sens!$D$4701</f>
        <v>716.924</v>
      </c>
      <c r="E4725" s="38" t="n">
        <f aca="false">Sens!$E$4701</f>
        <v>382.125</v>
      </c>
      <c r="F4725" s="38" t="n">
        <f aca="false">Sens!$F$4701</f>
        <v>450.494873271816</v>
      </c>
      <c r="G4725" s="38" t="n">
        <f aca="false">Sens!$G$4701</f>
        <v>832.619873271816</v>
      </c>
      <c r="H4725" s="38" t="n">
        <f aca="false">Sens!$H$4701</f>
        <v>970.995189139617</v>
      </c>
      <c r="I4725" s="38" t="n">
        <f aca="false">Sens!$I$4701</f>
        <v>1110.44766604932</v>
      </c>
      <c r="J4725" s="38" t="n">
        <f aca="false">Sens!$J$4701</f>
        <v>1241.16113892356</v>
      </c>
      <c r="K4725" s="38" t="n">
        <f aca="false">Sens!$K$4701</f>
        <v>1357.47672934633</v>
      </c>
      <c r="L4725" s="38" t="n">
        <f aca="false">Sens!$L$4701</f>
        <v>1479.24006423468</v>
      </c>
      <c r="M4725" s="38" t="n">
        <f aca="false">Sens!$M$4701</f>
        <v>1606.8537230104</v>
      </c>
      <c r="N4725" s="38" t="n">
        <f aca="false">Sens!$N$4701</f>
        <v>323.369</v>
      </c>
      <c r="O4725" s="38" t="n">
        <f aca="false">Sens!$O$4701</f>
        <v>393.555</v>
      </c>
    </row>
    <row r="4726" customFormat="false" ht="17.15" hidden="false" customHeight="false" outlineLevel="0" collapsed="false">
      <c r="A4726" s="24" t="s">
        <v>655</v>
      </c>
      <c r="B4726" s="25" t="s">
        <v>73</v>
      </c>
      <c r="C4726" s="39" t="n">
        <f aca="false">Sens!$C$4713+Sens!$C$4714+Sens!$C$4715+Sens!$C$4716+Sens!$C$4717+Sens!$C$4718-(Sens!$C$4720+Sens!$C$4721)</f>
        <v>0</v>
      </c>
      <c r="D4726" s="39" t="n">
        <f aca="false">Sens!$D$4713+Sens!$D$4714+Sens!$D$4715+Sens!$D$4716+Sens!$D$4717+Sens!$D$4718-(Sens!$D$4720+Sens!$D$4721)</f>
        <v>0</v>
      </c>
      <c r="E4726" s="39" t="n">
        <f aca="false">Sens!$E$4713+Sens!$E$4714+Sens!$E$4715+Sens!$E$4716+Sens!$E$4717+Sens!$E$4718-(Sens!$E$4720+Sens!$E$4721)</f>
        <v>0</v>
      </c>
      <c r="F4726" s="39" t="n">
        <f aca="false">Sens!$F$4713+Sens!$F$4714+Sens!$F$4715+Sens!$F$4716+Sens!$F$4717+Sens!$F$4718-(Sens!$F$4720+Sens!$F$4721)</f>
        <v>0</v>
      </c>
      <c r="G4726" s="39" t="n">
        <f aca="false">Sens!$G$4713+Sens!$G$4714+Sens!$G$4715+Sens!$G$4716+Sens!$G$4717+Sens!$G$4718-(Sens!$G$4720+Sens!$G$4721)</f>
        <v>0</v>
      </c>
      <c r="H4726" s="39" t="n">
        <f aca="false">Sens!$H$4713+Sens!$H$4714+Sens!$H$4715+Sens!$H$4716+Sens!$H$4717+Sens!$H$4718-(Sens!$H$4720+Sens!$H$4721)</f>
        <v>0</v>
      </c>
      <c r="I4726" s="39" t="n">
        <f aca="false">Sens!$I$4713+Sens!$I$4714+Sens!$I$4715+Sens!$I$4716+Sens!$I$4717+Sens!$I$4718-(Sens!$I$4720+Sens!$I$4721)</f>
        <v>0</v>
      </c>
      <c r="J4726" s="39" t="n">
        <f aca="false">Sens!$J$4713+Sens!$J$4714+Sens!$J$4715+Sens!$J$4716+Sens!$J$4717+Sens!$J$4718-(Sens!$J$4720+Sens!$J$4721)</f>
        <v>0</v>
      </c>
      <c r="K4726" s="39" t="n">
        <f aca="false">Sens!$K$4713+Sens!$K$4714+Sens!$K$4715+Sens!$K$4716+Sens!$K$4717+Sens!$K$4718-(Sens!$K$4720+Sens!$K$4721)</f>
        <v>0</v>
      </c>
      <c r="L4726" s="39" t="n">
        <f aca="false">Sens!$L$4713+Sens!$L$4714+Sens!$L$4715+Sens!$L$4716+Sens!$L$4717+Sens!$L$4718-(Sens!$L$4720+Sens!$L$4721)</f>
        <v>0</v>
      </c>
      <c r="M4726" s="39" t="n">
        <f aca="false">Sens!$M$4713+Sens!$M$4714+Sens!$M$4715+Sens!$M$4716+Sens!$M$4717+Sens!$M$4718-(Sens!$M$4720+Sens!$M$4721)</f>
        <v>0</v>
      </c>
      <c r="N4726" s="39" t="n">
        <f aca="false">Sens!$N$4713+Sens!$N$4714+Sens!$N$4715+Sens!$N$4716+Sens!$N$4717+Sens!$N$4718-(Sens!$N$4720+Sens!$N$4721)</f>
        <v>0</v>
      </c>
      <c r="O4726" s="39" t="n">
        <f aca="false">Sens!$O$4713+Sens!$O$4714+Sens!$O$4715+Sens!$O$4716+Sens!$O$4717+Sens!$O$4718-(Sens!$O$4720+Sens!$O$4721)</f>
        <v>0</v>
      </c>
    </row>
    <row r="4727" customFormat="false" ht="17.15" hidden="false" customHeight="false" outlineLevel="0" collapsed="false">
      <c r="A4727" s="24" t="s">
        <v>656</v>
      </c>
      <c r="B4727" s="25" t="s">
        <v>73</v>
      </c>
      <c r="C4727" s="39" t="n">
        <f aca="false">Sens!$C$4723+Sens!$C$4724-Sens!$C$4722</f>
        <v>0</v>
      </c>
      <c r="D4727" s="39" t="n">
        <f aca="false">Sens!$D$4723+Sens!$D$4724-Sens!$D$4722</f>
        <v>0</v>
      </c>
      <c r="E4727" s="39" t="n">
        <f aca="false">Sens!$E$4723+Sens!$E$4724-Sens!$E$4722</f>
        <v>0</v>
      </c>
      <c r="F4727" s="39" t="n">
        <f aca="false">Sens!$F$4723+Sens!$F$4724-Sens!$F$4722</f>
        <v>0</v>
      </c>
      <c r="G4727" s="39" t="n">
        <f aca="false">Sens!$G$4723+Sens!$G$4724-Sens!$G$4722</f>
        <v>0</v>
      </c>
      <c r="H4727" s="39" t="n">
        <f aca="false">Sens!$H$4723+Sens!$H$4724-Sens!$H$4722</f>
        <v>0</v>
      </c>
      <c r="I4727" s="39" t="n">
        <f aca="false">Sens!$I$4723+Sens!$I$4724-Sens!$I$4722</f>
        <v>0</v>
      </c>
      <c r="J4727" s="39" t="n">
        <f aca="false">Sens!$J$4723+Sens!$J$4724-Sens!$J$4722</f>
        <v>0</v>
      </c>
      <c r="K4727" s="39" t="n">
        <f aca="false">Sens!$K$4723+Sens!$K$4724-Sens!$K$4722</f>
        <v>0</v>
      </c>
      <c r="L4727" s="39" t="n">
        <f aca="false">Sens!$L$4723+Sens!$L$4724-Sens!$L$4722</f>
        <v>0</v>
      </c>
      <c r="M4727" s="39" t="n">
        <f aca="false">Sens!$M$4723+Sens!$M$4724-Sens!$M$4722</f>
        <v>0</v>
      </c>
      <c r="N4727" s="39" t="n">
        <f aca="false">Sens!$N$4723+Sens!$N$4724-Sens!$N$4722</f>
        <v>0</v>
      </c>
      <c r="O4727" s="39" t="n">
        <f aca="false">Sens!$O$4723+Sens!$O$4724-Sens!$O$4722</f>
        <v>0</v>
      </c>
    </row>
    <row r="4728" customFormat="false" ht="17.15" hidden="false" customHeight="false" outlineLevel="0" collapsed="false">
      <c r="A4728" s="24" t="s">
        <v>710</v>
      </c>
      <c r="B4728" s="25" t="s">
        <v>73</v>
      </c>
      <c r="C4728" s="39" t="n">
        <f aca="false">Sens!$C$4713+Sens!$C$4714+Sens!$C$4715+Sens!$C$4716+Sens!$C$4717+Sens!$C$4718+Sens!$C$4719-Sens!$C$4725</f>
        <v>0</v>
      </c>
      <c r="D4728" s="39" t="n">
        <f aca="false">Sens!$D$4713+Sens!$D$4714+Sens!$D$4715+Sens!$D$4716+Sens!$D$4717+Sens!$D$4718+Sens!$D$4719-Sens!$D$4725</f>
        <v>0</v>
      </c>
      <c r="E4728" s="39" t="n">
        <f aca="false">Sens!$E$4713+Sens!$E$4714+Sens!$E$4715+Sens!$E$4716+Sens!$E$4717+Sens!$E$4718+Sens!$E$4719-Sens!$E$4725</f>
        <v>0</v>
      </c>
      <c r="F4728" s="39" t="n">
        <f aca="false">Sens!$F$4713+Sens!$F$4714+Sens!$F$4715+Sens!$F$4716+Sens!$F$4717+Sens!$F$4718+Sens!$F$4719-Sens!$F$4725</f>
        <v>0</v>
      </c>
      <c r="G4728" s="39" t="n">
        <f aca="false">Sens!$G$4713+Sens!$G$4714+Sens!$G$4715+Sens!$G$4716+Sens!$G$4717+Sens!$G$4718+Sens!$G$4719-Sens!$G$4725</f>
        <v>0</v>
      </c>
      <c r="H4728" s="39" t="n">
        <f aca="false">Sens!$H$4713+Sens!$H$4714+Sens!$H$4715+Sens!$H$4716+Sens!$H$4717+Sens!$H$4718+Sens!$H$4719-Sens!$H$4725</f>
        <v>0</v>
      </c>
      <c r="I4728" s="39" t="n">
        <f aca="false">Sens!$I$4713+Sens!$I$4714+Sens!$I$4715+Sens!$I$4716+Sens!$I$4717+Sens!$I$4718+Sens!$I$4719-Sens!$I$4725</f>
        <v>0</v>
      </c>
      <c r="J4728" s="39" t="n">
        <f aca="false">Sens!$J$4713+Sens!$J$4714+Sens!$J$4715+Sens!$J$4716+Sens!$J$4717+Sens!$J$4718+Sens!$J$4719-Sens!$J$4725</f>
        <v>0</v>
      </c>
      <c r="K4728" s="39" t="n">
        <f aca="false">Sens!$K$4713+Sens!$K$4714+Sens!$K$4715+Sens!$K$4716+Sens!$K$4717+Sens!$K$4718+Sens!$K$4719-Sens!$K$4725</f>
        <v>0</v>
      </c>
      <c r="L4728" s="39" t="n">
        <f aca="false">Sens!$L$4713+Sens!$L$4714+Sens!$L$4715+Sens!$L$4716+Sens!$L$4717+Sens!$L$4718+Sens!$L$4719-Sens!$L$4725</f>
        <v>0</v>
      </c>
      <c r="M4728" s="39" t="n">
        <f aca="false">Sens!$M$4713+Sens!$M$4714+Sens!$M$4715+Sens!$M$4716+Sens!$M$4717+Sens!$M$4718+Sens!$M$4719-Sens!$M$4725</f>
        <v>0</v>
      </c>
      <c r="N4728" s="39" t="n">
        <f aca="false">Sens!$N$4713+Sens!$N$4714+Sens!$N$4715+Sens!$N$4716+Sens!$N$4717+Sens!$N$4718+Sens!$N$4719-Sens!$N$4725</f>
        <v>0</v>
      </c>
      <c r="O4728" s="39" t="n">
        <f aca="false">Sens!$O$4713+Sens!$O$4714+Sens!$O$4715+Sens!$O$4716+Sens!$O$4717+Sens!$O$4718+Sens!$O$4719-Sens!$O$4725</f>
        <v>0</v>
      </c>
    </row>
    <row r="4729" customFormat="false" ht="17.15" hidden="false" customHeight="false" outlineLevel="0" collapsed="false">
      <c r="A4729" s="24" t="s">
        <v>657</v>
      </c>
      <c r="B4729" s="25" t="s">
        <v>73</v>
      </c>
      <c r="C4729" s="39" t="n">
        <f aca="false">Sens!$C$4720+Sens!$C$4721+Sens!$C$4722-Sens!$C$4725</f>
        <v>0</v>
      </c>
      <c r="D4729" s="39" t="n">
        <f aca="false">Sens!$D$4720+Sens!$D$4721+Sens!$D$4722-Sens!$D$4725</f>
        <v>0</v>
      </c>
      <c r="E4729" s="39" t="n">
        <f aca="false">Sens!$E$4720+Sens!$E$4721+Sens!$E$4722-Sens!$E$4725</f>
        <v>0</v>
      </c>
      <c r="F4729" s="39" t="n">
        <f aca="false">Sens!$F$4720+Sens!$F$4721+Sens!$F$4722-Sens!$F$4725</f>
        <v>0</v>
      </c>
      <c r="G4729" s="39" t="n">
        <f aca="false">Sens!$G$4720+Sens!$G$4721+Sens!$G$4722-Sens!$G$4725</f>
        <v>0</v>
      </c>
      <c r="H4729" s="39" t="n">
        <f aca="false">Sens!$H$4720+Sens!$H$4721+Sens!$H$4722-Sens!$H$4725</f>
        <v>0</v>
      </c>
      <c r="I4729" s="39" t="n">
        <f aca="false">Sens!$I$4720+Sens!$I$4721+Sens!$I$4722-Sens!$I$4725</f>
        <v>0</v>
      </c>
      <c r="J4729" s="39" t="n">
        <f aca="false">Sens!$J$4720+Sens!$J$4721+Sens!$J$4722-Sens!$J$4725</f>
        <v>0</v>
      </c>
      <c r="K4729" s="39" t="n">
        <f aca="false">Sens!$K$4720+Sens!$K$4721+Sens!$K$4722-Sens!$K$4725</f>
        <v>0</v>
      </c>
      <c r="L4729" s="39" t="n">
        <f aca="false">Sens!$L$4720+Sens!$L$4721+Sens!$L$4722-Sens!$L$4725</f>
        <v>0</v>
      </c>
      <c r="M4729" s="39" t="n">
        <f aca="false">Sens!$M$4720+Sens!$M$4721+Sens!$M$4722-Sens!$M$4725</f>
        <v>0</v>
      </c>
      <c r="N4729" s="39" t="n">
        <f aca="false">Sens!$N$4720+Sens!$N$4721+Sens!$N$4722-Sens!$N$4725</f>
        <v>0</v>
      </c>
      <c r="O4729" s="39" t="n">
        <f aca="false">Sens!$O$4720+Sens!$O$4721+Sens!$O$4722-Sens!$O$4725</f>
        <v>0</v>
      </c>
    </row>
    <row r="4730" customFormat="false" ht="17.15" hidden="false" customHeight="false" outlineLevel="0" collapsed="false">
      <c r="A4730" s="1" t="s">
        <v>671</v>
      </c>
    </row>
    <row r="4731" customFormat="false" ht="17.15" hidden="false" customHeight="false" outlineLevel="0" collapsed="false">
      <c r="A4731" s="0" t="s">
        <v>672</v>
      </c>
      <c r="B4731" s="0" t="s">
        <v>73</v>
      </c>
      <c r="C4731" s="38" t="n">
        <f aca="false">Sens!$C$4639*m_ad</f>
        <v>20.5341564414228</v>
      </c>
      <c r="D4731" s="38" t="n">
        <f aca="false">Sens!$D$4639*m_ad</f>
        <v>24.8720617299587</v>
      </c>
      <c r="E4731" s="38" t="n">
        <f aca="false">Sens!$E$4639*m_ad</f>
        <v>13.5017112462207</v>
      </c>
      <c r="F4731" s="38" t="n">
        <f aca="false">Sens!$F$4639*m_ad</f>
        <v>17.2886442824599</v>
      </c>
      <c r="G4731" s="38" t="n">
        <f aca="false">Sens!$G$4639*m_ad</f>
        <v>30.8011958765886</v>
      </c>
      <c r="H4731" s="38" t="n">
        <f aca="false">Sens!$H$4639*m_ad</f>
        <v>36.978409366026</v>
      </c>
      <c r="I4731" s="38" t="n">
        <f aca="false">Sens!$I$4639*m_ad</f>
        <v>43.155063281273</v>
      </c>
      <c r="J4731" s="38" t="n">
        <f aca="false">Sens!$J$4639*m_ad</f>
        <v>48.9169991988532</v>
      </c>
      <c r="K4731" s="38" t="n">
        <f aca="false">Sens!$K$4639*m_ad</f>
        <v>53.8086991187386</v>
      </c>
      <c r="L4731" s="38" t="n">
        <f aca="false">Sens!$L$4639*m_ad</f>
        <v>59.1895690306124</v>
      </c>
      <c r="M4731" s="38" t="n">
        <f aca="false">Sens!$M$4639*m_ad</f>
        <v>65.1085259336737</v>
      </c>
      <c r="N4731" s="38" t="n">
        <f aca="false">Sens!$N$4639*m_ad</f>
        <v>10.8543555706248</v>
      </c>
      <c r="O4731" s="38" t="n">
        <f aca="false">Sens!$O$4639*m_ad</f>
        <v>14.0094731821399</v>
      </c>
    </row>
    <row r="4732" customFormat="false" ht="17.15" hidden="false" customHeight="false" outlineLevel="0" collapsed="false">
      <c r="A4732" s="0" t="s">
        <v>673</v>
      </c>
      <c r="B4732" s="0" t="s">
        <v>73</v>
      </c>
      <c r="C4732" s="38" t="n">
        <f aca="false">Sens!$C$4637-Sens!$C$4639</f>
        <v>346.428687117154</v>
      </c>
      <c r="D4732" s="38" t="n">
        <f aca="false">Sens!$D$4637-Sens!$D$4639</f>
        <v>376.560876540083</v>
      </c>
      <c r="E4732" s="38" t="n">
        <f aca="false">Sens!$E$4637-Sens!$E$4639</f>
        <v>193.316577507559</v>
      </c>
      <c r="F4732" s="38" t="n">
        <f aca="false">Sens!$F$4637-Sens!$F$4639</f>
        <v>221.726726438887</v>
      </c>
      <c r="G4732" s="38" t="n">
        <f aca="false">Sens!$G$4637-Sens!$G$4639</f>
        <v>415.02162325063</v>
      </c>
      <c r="H4732" s="38" t="n">
        <f aca="false">Sens!$H$4637-Sens!$H$4639</f>
        <v>453.777572359491</v>
      </c>
      <c r="I4732" s="38" t="n">
        <f aca="false">Sens!$I$4637-Sens!$I$4639</f>
        <v>490.847566467031</v>
      </c>
      <c r="J4732" s="38" t="n">
        <f aca="false">Sens!$J$4637-Sens!$J$4639</f>
        <v>525.190925266121</v>
      </c>
      <c r="K4732" s="38" t="n">
        <f aca="false">Sens!$K$4637-Sens!$K$4639</f>
        <v>555.765170156304</v>
      </c>
      <c r="L4732" s="38" t="n">
        <f aca="false">Sens!$L$4637-Sens!$L$4639</f>
        <v>588.185734949207</v>
      </c>
      <c r="M4732" s="38" t="n">
        <f aca="false">Sens!$M$4637-Sens!$M$4639</f>
        <v>622.567635538672</v>
      </c>
      <c r="N4732" s="38" t="n">
        <f aca="false">Sens!$N$4637-Sens!$N$4639</f>
        <v>171.24628885875</v>
      </c>
      <c r="O4732" s="38" t="n">
        <f aca="false">Sens!$O$4637-Sens!$O$4639</f>
        <v>205.33105363572</v>
      </c>
    </row>
    <row r="4733" customFormat="false" ht="17.15" hidden="false" customHeight="false" outlineLevel="0" collapsed="false">
      <c r="A4733" s="0" t="s">
        <v>674</v>
      </c>
      <c r="B4733" s="0" t="s">
        <v>73</v>
      </c>
      <c r="C4733" s="38" t="n">
        <f aca="false">Sens!$C$4684*Sens!$C$4636</f>
        <v>0.123617442257179</v>
      </c>
      <c r="D4733" s="38" t="n">
        <f aca="false">Sens!$D$4684*Sens!$D$4636</f>
        <v>0.874366899302609</v>
      </c>
      <c r="E4733" s="38" t="n">
        <f aca="false">Sens!$E$4684*Sens!$E$4636</f>
        <v>1.29318830502574</v>
      </c>
      <c r="F4733" s="38" t="n">
        <f aca="false">Sens!$F$4684*Sens!$F$4636</f>
        <v>1.51802024162534</v>
      </c>
      <c r="G4733" s="38" t="n">
        <f aca="false">Sens!$G$4684*Sens!$G$4636</f>
        <v>2.81130189308167</v>
      </c>
      <c r="H4733" s="38" t="n">
        <f aca="false">Sens!$H$4684*Sens!$H$4636</f>
        <v>7.38966789318209</v>
      </c>
      <c r="I4733" s="38" t="n">
        <f aca="false">Sens!$I$4684*Sens!$I$4636</f>
        <v>12.8987443661473</v>
      </c>
      <c r="J4733" s="38" t="n">
        <f aca="false">Sens!$J$4684*Sens!$J$4636</f>
        <v>18.5570025453645</v>
      </c>
      <c r="K4733" s="38" t="n">
        <f aca="false">Sens!$K$4684*Sens!$K$4636</f>
        <v>24.3158972773405</v>
      </c>
      <c r="L4733" s="38" t="n">
        <f aca="false">Sens!$L$4684*Sens!$L$4636</f>
        <v>29.7827375558674</v>
      </c>
      <c r="M4733" s="38" t="n">
        <f aca="false">Sens!$M$4684*Sens!$M$4636</f>
        <v>35.3532344973194</v>
      </c>
      <c r="N4733" s="38" t="n">
        <f aca="false">Sens!$N$4684*Sens!$N$4636</f>
        <v>0.389180508437431</v>
      </c>
      <c r="O4733" s="38" t="n">
        <f aca="false">Sens!$O$4684*Sens!$O$4636</f>
        <v>0.485052120082802</v>
      </c>
    </row>
    <row r="4734" customFormat="false" ht="17.15" hidden="false" customHeight="false" outlineLevel="0" collapsed="false">
      <c r="A4734" s="0" t="s">
        <v>675</v>
      </c>
      <c r="B4734" s="0" t="s">
        <v>52</v>
      </c>
      <c r="C4734" s="28" t="n">
        <f aca="false">(Sens!$C$4735-Sens!$C$4731+Sens!$C$4733)/Sens!$C$4732</f>
        <v>0.0131526665379575</v>
      </c>
      <c r="D4734" s="28" t="n">
        <f aca="false">(Sens!$D$4735-Sens!$D$4731+Sens!$D$4733)/Sens!$D$4732</f>
        <v>0.0149280116962589</v>
      </c>
      <c r="E4734" s="28" t="n">
        <f aca="false">(Sens!$E$4735-Sens!$E$4731+Sens!$E$4733)/Sens!$E$4732</f>
        <v>0.0268030663774938</v>
      </c>
      <c r="F4734" s="28" t="n">
        <f aca="false">Sens!$O$4734+(Sens!$E$4734-Sens!$N$4734)</f>
        <v>0.0232379346966962</v>
      </c>
      <c r="G4734" s="28" t="n">
        <f aca="false">(Sens!$G$4735-Sens!$G$4731+Sens!$G$4733)/Sens!$G$4732</f>
        <v>0.0248738876928168</v>
      </c>
      <c r="H4734" s="28" t="n">
        <f aca="false">Sens!$G$4734+step_na</f>
        <v>0.0278738876928168</v>
      </c>
      <c r="I4734" s="28" t="n">
        <f aca="false">Sens!$H$4734+step_na</f>
        <v>0.0308738876928168</v>
      </c>
      <c r="J4734" s="28" t="n">
        <f aca="false">Sens!$I$4734+step_na</f>
        <v>0.0338738876928168</v>
      </c>
      <c r="K4734" s="28" t="n">
        <f aca="false">Sens!$J$4734+step_na</f>
        <v>0.0368738876928168</v>
      </c>
      <c r="L4734" s="28" t="n">
        <f aca="false">Sens!$K$4734</f>
        <v>0.0368738876928168</v>
      </c>
      <c r="M4734" s="28" t="n">
        <f aca="false">Sens!$L$4734</f>
        <v>0.0368738876928168</v>
      </c>
      <c r="N4734" s="28" t="n">
        <f aca="false">(Sens!$N$4735-Sens!$N$4731+Sens!$N$4733)/Sens!$N$4732</f>
        <v>0.0168927744775755</v>
      </c>
      <c r="O4734" s="28" t="n">
        <f aca="false">(Sens!$O$4735-Sens!$O$4731+Sens!$O$4733)/Sens!$O$4732</f>
        <v>0.0133276427967779</v>
      </c>
      <c r="P4734" s="8" t="s">
        <v>676</v>
      </c>
    </row>
    <row r="4735" customFormat="false" ht="17.15" hidden="false" customHeight="false" outlineLevel="0" collapsed="false">
      <c r="A4735" s="1" t="s">
        <v>677</v>
      </c>
      <c r="B4735" s="8" t="s">
        <v>73</v>
      </c>
      <c r="C4735" s="38" t="n">
        <f aca="false">Q!$D$22</f>
        <v>24.967</v>
      </c>
      <c r="D4735" s="38" t="n">
        <f aca="false">Q!$E$22</f>
        <v>29.619</v>
      </c>
      <c r="E4735" s="38" t="n">
        <f aca="false">Q!$P$22</f>
        <v>17.39</v>
      </c>
      <c r="F4735" s="38" t="n">
        <f aca="false">Sens!$F$4731+Sens!$F$4732*Sens!$F$4734-Sens!$F$4733</f>
        <v>20.9230952303336</v>
      </c>
      <c r="G4735" s="38" t="n">
        <f aca="false">Sens!$E$4735+Sens!$F$4735</f>
        <v>38.3130952303336</v>
      </c>
      <c r="H4735" s="38" t="n">
        <f aca="false">Sens!$H$4731+Sens!$H$4732*Sens!$H$4734-Sens!$H$4733</f>
        <v>42.2372865623114</v>
      </c>
      <c r="I4735" s="38" t="n">
        <f aca="false">Sens!$I$4731+Sens!$I$4732*Sens!$I$4734-Sens!$I$4733</f>
        <v>45.4106915565213</v>
      </c>
      <c r="J4735" s="38" t="n">
        <f aca="false">Sens!$J$4731+Sens!$J$4732*Sens!$J$4734-Sens!$J$4733</f>
        <v>48.1502550732398</v>
      </c>
      <c r="K4735" s="38" t="n">
        <f aca="false">Sens!$K$4731+Sens!$K$4732*Sens!$K$4734-Sens!$K$4733</f>
        <v>49.9860243093208</v>
      </c>
      <c r="L4735" s="38" t="n">
        <f aca="false">Sens!$L$4731+Sens!$L$4732*Sens!$L$4734-Sens!$L$4733</f>
        <v>51.095526207779</v>
      </c>
      <c r="M4735" s="38" t="n">
        <f aca="false">Sens!$M$4731+Sens!$M$4732*Sens!$M$4734-Sens!$M$4733</f>
        <v>52.7117805103898</v>
      </c>
      <c r="N4735" s="38" t="n">
        <f aca="false">Q!$N$22</f>
        <v>13.358</v>
      </c>
      <c r="O4735" s="38" t="n">
        <f aca="false">Q!$O$22</f>
        <v>16.261</v>
      </c>
    </row>
    <row r="4736" customFormat="false" ht="17.15" hidden="false" customHeight="false" outlineLevel="0" collapsed="false">
      <c r="A4736" s="0" t="s">
        <v>678</v>
      </c>
      <c r="B4736" s="0" t="s">
        <v>73</v>
      </c>
      <c r="C4736" s="38" t="n">
        <f aca="false">Sens!$C$4640*m_ad</f>
        <v>7.57284355857716</v>
      </c>
      <c r="D4736" s="38" t="n">
        <f aca="false">Sens!$D$4640*m_ad</f>
        <v>9.44543827004127</v>
      </c>
      <c r="E4736" s="38" t="n">
        <f aca="false">Sens!$E$4640*m_ad</f>
        <v>5.02428875377928</v>
      </c>
      <c r="F4736" s="38" t="n">
        <f aca="false">Sens!$F$4640*m_ad</f>
        <v>6.78802480890925</v>
      </c>
      <c r="G4736" s="38" t="n">
        <f aca="false">Sens!$G$4640*m_ad</f>
        <v>11.8014732147805</v>
      </c>
      <c r="H4736" s="38" t="n">
        <f aca="false">Sens!$H$4640*m_ad</f>
        <v>14.1682715634442</v>
      </c>
      <c r="I4736" s="38" t="n">
        <f aca="false">Sens!$I$4640*m_ad</f>
        <v>16.5348555113474</v>
      </c>
      <c r="J4736" s="38" t="n">
        <f aca="false">Sens!$J$4640*m_ad</f>
        <v>18.7425403255689</v>
      </c>
      <c r="K4736" s="38" t="n">
        <f aca="false">Sens!$K$4640*m_ad</f>
        <v>20.6167943581258</v>
      </c>
      <c r="L4736" s="38" t="n">
        <f aca="false">Sens!$L$4640*m_ad</f>
        <v>22.6784737939383</v>
      </c>
      <c r="M4736" s="38" t="n">
        <f aca="false">Sens!$M$4640*m_ad</f>
        <v>24.9463211733322</v>
      </c>
      <c r="N4736" s="38" t="n">
        <f aca="false">Sens!$N$4640*m_ad</f>
        <v>3.95314442937518</v>
      </c>
      <c r="O4736" s="38" t="n">
        <f aca="false">Sens!$O$4640*m_ad</f>
        <v>5.50052681786011</v>
      </c>
    </row>
    <row r="4737" customFormat="false" ht="17.15" hidden="false" customHeight="false" outlineLevel="0" collapsed="false">
      <c r="A4737" s="0" t="s">
        <v>679</v>
      </c>
      <c r="B4737" s="0" t="s">
        <v>73</v>
      </c>
      <c r="C4737" s="38" t="n">
        <f aca="false">Sens!$C$4638-Sens!$C$4640</f>
        <v>127.760312882846</v>
      </c>
      <c r="D4737" s="38" t="n">
        <f aca="false">Sens!$D$4638-Sens!$D$4640</f>
        <v>143.003123459917</v>
      </c>
      <c r="E4737" s="38" t="n">
        <f aca="false">Sens!$E$4638-Sens!$E$4640</f>
        <v>71.9374224924414</v>
      </c>
      <c r="F4737" s="38" t="n">
        <f aca="false">Sens!$F$4638-Sens!$F$4640</f>
        <v>87.0563645868046</v>
      </c>
      <c r="G4737" s="38" t="n">
        <f aca="false">Sens!$G$4638-Sens!$G$4640</f>
        <v>159.015467775062</v>
      </c>
      <c r="H4737" s="38" t="n">
        <f aca="false">Sens!$H$4638-Sens!$H$4640</f>
        <v>173.864803403269</v>
      </c>
      <c r="I4737" s="38" t="n">
        <f aca="false">Sens!$I$4638-Sens!$I$4640</f>
        <v>188.068165645601</v>
      </c>
      <c r="J4737" s="38" t="n">
        <f aca="false">Sens!$J$4638-Sens!$J$4640</f>
        <v>201.22681801082</v>
      </c>
      <c r="K4737" s="38" t="n">
        <f aca="false">Sens!$K$4638-Sens!$K$4640</f>
        <v>212.941334991893</v>
      </c>
      <c r="L4737" s="38" t="n">
        <f aca="false">Sens!$L$4638-Sens!$L$4640</f>
        <v>225.363269144856</v>
      </c>
      <c r="M4737" s="38" t="n">
        <f aca="false">Sens!$M$4638-Sens!$M$4640</f>
        <v>238.536688790819</v>
      </c>
      <c r="N4737" s="38" t="n">
        <f aca="false">Sens!$N$4638-Sens!$N$4640</f>
        <v>62.3677111412496</v>
      </c>
      <c r="O4737" s="38" t="n">
        <f aca="false">Sens!$O$4638-Sens!$O$4640</f>
        <v>80.6189463642798</v>
      </c>
    </row>
    <row r="4738" customFormat="false" ht="17.15" hidden="false" customHeight="false" outlineLevel="0" collapsed="false">
      <c r="A4738" s="0" t="s">
        <v>680</v>
      </c>
      <c r="B4738" s="0" t="s">
        <v>73</v>
      </c>
      <c r="C4738" s="38" t="n">
        <f aca="false">Sens!$C$4684*(1-Sens!$C$4636)</f>
        <v>0.0455891896019953</v>
      </c>
      <c r="D4738" s="38" t="n">
        <f aca="false">Sens!$D$4684*(1-Sens!$D$4636)</f>
        <v>0.332050421167231</v>
      </c>
      <c r="E4738" s="38" t="n">
        <f aca="false">Sens!$E$4684*(1-Sens!$E$4636)</f>
        <v>0.481224293644882</v>
      </c>
      <c r="F4738" s="38" t="n">
        <f aca="false">Sens!$F$4684*(1-Sens!$F$4636)</f>
        <v>0.596018918096053</v>
      </c>
      <c r="G4738" s="38" t="n">
        <f aca="false">Sens!$G$4684*(1-Sens!$G$4636)</f>
        <v>1.07714986531035</v>
      </c>
      <c r="H4738" s="38" t="n">
        <f aca="false">Sens!$H$4684*(1-Sens!$H$4636)</f>
        <v>2.83135005721638</v>
      </c>
      <c r="I4738" s="38" t="n">
        <f aca="false">Sens!$I$4684*(1-Sens!$I$4636)</f>
        <v>4.9421518161602</v>
      </c>
      <c r="J4738" s="38" t="n">
        <f aca="false">Sens!$J$4684*(1-Sens!$J$4636)</f>
        <v>7.11011252170866</v>
      </c>
      <c r="K4738" s="38" t="n">
        <f aca="false">Sens!$K$4684*(1-Sens!$K$4636)</f>
        <v>9.31663210615807</v>
      </c>
      <c r="L4738" s="38" t="n">
        <f aca="false">Sens!$L$4684*(1-Sens!$L$4636)</f>
        <v>11.411251074039</v>
      </c>
      <c r="M4738" s="38" t="n">
        <f aca="false">Sens!$M$4684*(1-Sens!$M$4636)</f>
        <v>13.5455860755423</v>
      </c>
      <c r="N4738" s="38" t="n">
        <f aca="false">Sens!$N$4684*(1-Sens!$N$4636)</f>
        <v>0.141739115596548</v>
      </c>
      <c r="O4738" s="38" t="n">
        <f aca="false">Sens!$O$4684*(1-Sens!$O$4636)</f>
        <v>0.190445576353059</v>
      </c>
    </row>
    <row r="4739" customFormat="false" ht="17.15" hidden="false" customHeight="false" outlineLevel="0" collapsed="false">
      <c r="A4739" s="0" t="s">
        <v>681</v>
      </c>
      <c r="B4739" s="0" t="s">
        <v>52</v>
      </c>
      <c r="C4739" s="28" t="n">
        <f aca="false">(Sens!$C$4740-Sens!$C$4736+Sens!$C$4738)/Sens!$C$4737</f>
        <v>-0.0292364215826579</v>
      </c>
      <c r="D4739" s="28" t="n">
        <f aca="false">(Sens!$D$4740-Sens!$D$4736+Sens!$D$4738)/Sens!$D$4737</f>
        <v>-0.0305125352740778</v>
      </c>
      <c r="E4739" s="28" t="n">
        <f aca="false">(Sens!$E$4740-Sens!$E$4736+Sens!$E$4738)/Sens!$E$4737</f>
        <v>-0.019490056934994</v>
      </c>
      <c r="F4739" s="28" t="n">
        <f aca="false">Sens!$O$4739+(Sens!$E$4739-Sens!$N$4739)</f>
        <v>-0.0367332293992226</v>
      </c>
      <c r="G4739" s="28" t="n">
        <f aca="false">(Sens!$G$4740-Sens!$G$4736+Sens!$G$4738)/Sens!$G$4737</f>
        <v>-0.0288599526442178</v>
      </c>
      <c r="H4739" s="28" t="n">
        <f aca="false">Sens!$G$4739+step_in</f>
        <v>-0.0288599526442178</v>
      </c>
      <c r="I4739" s="28" t="n">
        <f aca="false">Sens!$H$4739+step_in</f>
        <v>-0.0288599526442178</v>
      </c>
      <c r="J4739" s="28" t="n">
        <f aca="false">Sens!$I$4739+step_in</f>
        <v>-0.0288599526442178</v>
      </c>
      <c r="K4739" s="28" t="n">
        <f aca="false">Sens!$J$4739+step_in</f>
        <v>-0.0288599526442178</v>
      </c>
      <c r="L4739" s="28" t="n">
        <f aca="false">Sens!$K$4739</f>
        <v>-0.0288599526442178</v>
      </c>
      <c r="M4739" s="28" t="n">
        <f aca="false">Sens!$L$4739</f>
        <v>-0.0288599526442178</v>
      </c>
      <c r="N4739" s="28" t="n">
        <f aca="false">(Sens!$N$4740-Sens!$N$4736+Sens!$N$4738)/Sens!$N$4737</f>
        <v>-0.02085061789158</v>
      </c>
      <c r="O4739" s="28" t="n">
        <f aca="false">(Sens!$O$4740-Sens!$O$4736+Sens!$O$4738)/Sens!$O$4737</f>
        <v>-0.0380937903558086</v>
      </c>
      <c r="P4739" s="8" t="s">
        <v>676</v>
      </c>
    </row>
    <row r="4740" customFormat="false" ht="17.15" hidden="false" customHeight="false" outlineLevel="0" collapsed="false">
      <c r="A4740" s="1" t="s">
        <v>682</v>
      </c>
      <c r="B4740" s="8" t="s">
        <v>73</v>
      </c>
      <c r="C4740" s="38" t="n">
        <f aca="false">Q!$D$23</f>
        <v>3.792</v>
      </c>
      <c r="D4740" s="38" t="n">
        <f aca="false">Q!$E$23</f>
        <v>4.75</v>
      </c>
      <c r="E4740" s="38" t="n">
        <f aca="false">Q!$P$23</f>
        <v>3.141</v>
      </c>
      <c r="F4740" s="38" t="n">
        <f aca="false">Sens!$F$4736+Sens!$F$4737*Sens!$F$4739-Sens!$F$4738</f>
        <v>2.99414447978375</v>
      </c>
      <c r="G4740" s="38" t="n">
        <f aca="false">Sens!$E$4740+Sens!$F$4740</f>
        <v>6.13514447978375</v>
      </c>
      <c r="H4740" s="38" t="n">
        <f aca="false">Sens!$H$4736+Sens!$H$4737*Sens!$H$4739-Sens!$H$4738</f>
        <v>6.31919151351322</v>
      </c>
      <c r="I4740" s="38" t="n">
        <f aca="false">Sens!$I$4736+Sens!$I$4737*Sens!$I$4739-Sens!$I$4738</f>
        <v>6.16506534077027</v>
      </c>
      <c r="J4740" s="38" t="n">
        <f aca="false">Sens!$J$4736+Sens!$J$4737*Sens!$J$4739-Sens!$J$4738</f>
        <v>5.8250313653213</v>
      </c>
      <c r="K4740" s="38" t="n">
        <f aca="false">Sens!$K$4736+Sens!$K$4737*Sens!$K$4739-Sens!$K$4738</f>
        <v>5.15468540810514</v>
      </c>
      <c r="L4740" s="38" t="n">
        <f aca="false">Sens!$L$4736+Sens!$L$4737*Sens!$L$4739-Sens!$L$4738</f>
        <v>4.76324944463266</v>
      </c>
      <c r="M4740" s="38" t="n">
        <f aca="false">Sens!$M$4736+Sens!$M$4737*Sens!$M$4739-Sens!$M$4738</f>
        <v>4.51657755537829</v>
      </c>
      <c r="N4740" s="38" t="n">
        <f aca="false">Q!$N$23</f>
        <v>2.511</v>
      </c>
      <c r="O4740" s="38" t="n">
        <f aca="false">Q!$O$23</f>
        <v>2.239</v>
      </c>
    </row>
    <row r="4741" customFormat="false" ht="17.15" hidden="false" customHeight="false" outlineLevel="0" collapsed="false">
      <c r="A4741" s="0" t="s">
        <v>683</v>
      </c>
      <c r="B4741" s="0" t="s">
        <v>73</v>
      </c>
      <c r="C4741" s="38" t="n">
        <f aca="false">Sens!$C$4681</f>
        <v>1.64417882953695</v>
      </c>
      <c r="D4741" s="38" t="n">
        <f aca="false">Sens!$D$4681</f>
        <v>3.8781008067718</v>
      </c>
      <c r="E4741" s="38" t="n">
        <f aca="false">Sens!$E$4681</f>
        <v>1.41270258088753</v>
      </c>
      <c r="F4741" s="38" t="n">
        <f aca="false">Sens!$F$4681</f>
        <v>6.50727700583486</v>
      </c>
      <c r="G4741" s="38" t="n">
        <f aca="false">Sens!$G$4681</f>
        <v>7.9199795867224</v>
      </c>
      <c r="H4741" s="38" t="n">
        <f aca="false">Sens!$H$4681</f>
        <v>19.2818189481807</v>
      </c>
      <c r="I4741" s="38" t="n">
        <f aca="false">Sens!$I$4681</f>
        <v>30.140114407202</v>
      </c>
      <c r="J4741" s="38" t="n">
        <f aca="false">Sens!$J$4681</f>
        <v>40.3569468829854</v>
      </c>
      <c r="K4741" s="38" t="n">
        <f aca="false">Sens!$K$4681</f>
        <v>50.0782975081929</v>
      </c>
      <c r="L4741" s="38" t="n">
        <f aca="false">Sens!$L$4681</f>
        <v>61.443331993499</v>
      </c>
      <c r="M4741" s="38" t="n">
        <f aca="false">Sens!$M$4681</f>
        <v>72.2498791587849</v>
      </c>
      <c r="N4741" s="38" t="n">
        <f aca="false">Sens!$N$4681</f>
        <v>0.92264103489199</v>
      </c>
      <c r="O4741" s="38" t="n">
        <f aca="false">Sens!$O$4681</f>
        <v>2.95545977187981</v>
      </c>
    </row>
    <row r="4742" customFormat="false" ht="17.15" hidden="false" customHeight="false" outlineLevel="0" collapsed="false">
      <c r="A4742" s="0" t="s">
        <v>603</v>
      </c>
      <c r="B4742" s="0" t="s">
        <v>73</v>
      </c>
      <c r="C4742" s="38" t="n">
        <f aca="false">Sens!$C$4686</f>
        <v>38.1898211704631</v>
      </c>
      <c r="D4742" s="38" t="n">
        <f aca="false">Sens!$D$4686</f>
        <v>41.7278991932282</v>
      </c>
      <c r="E4742" s="38" t="n">
        <f aca="false">Sens!$E$4686</f>
        <v>29.3692974191125</v>
      </c>
      <c r="F4742" s="38" t="n">
        <f aca="false">Sens!$F$4686</f>
        <v>29.458060516894</v>
      </c>
      <c r="G4742" s="38" t="n">
        <f aca="false">Sens!$G$4686</f>
        <v>58.8273579360065</v>
      </c>
      <c r="H4742" s="38" t="n">
        <f aca="false">Sens!$H$4686</f>
        <v>67.8004040185081</v>
      </c>
      <c r="I4742" s="38" t="n">
        <f aca="false">Sens!$I$4686</f>
        <v>78.9527630302702</v>
      </c>
      <c r="J4742" s="38" t="n">
        <f aca="false">Sens!$J$4686</f>
        <v>88.6042681781841</v>
      </c>
      <c r="K4742" s="38" t="n">
        <f aca="false">Sens!$K$4686</f>
        <v>95.6926096324389</v>
      </c>
      <c r="L4742" s="38" t="n">
        <f aca="false">Sens!$L$4686</f>
        <v>103.348018403034</v>
      </c>
      <c r="M4742" s="38" t="n">
        <f aca="false">Sens!$M$4686</f>
        <v>111.615859875277</v>
      </c>
      <c r="N4742" s="38" t="n">
        <f aca="false">Sens!$N$4686</f>
        <v>20.784358965108</v>
      </c>
      <c r="O4742" s="38" t="n">
        <f aca="false">Sens!$O$4686</f>
        <v>20.9435402281202</v>
      </c>
    </row>
    <row r="4743" customFormat="false" ht="17.15" hidden="false" customHeight="false" outlineLevel="0" collapsed="false">
      <c r="A4743" s="1" t="s">
        <v>684</v>
      </c>
      <c r="B4743" s="8" t="s">
        <v>73</v>
      </c>
      <c r="C4743" s="38" t="n">
        <f aca="false">Q!$D$24</f>
        <v>39.834</v>
      </c>
      <c r="D4743" s="38" t="n">
        <f aca="false">Q!$E$24</f>
        <v>45.606</v>
      </c>
      <c r="E4743" s="38" t="n">
        <f aca="false">Q!$P$24</f>
        <v>30.782</v>
      </c>
      <c r="F4743" s="38" t="n">
        <f aca="false">Sens!$F$4741+Sens!$F$4742</f>
        <v>35.9653375227289</v>
      </c>
      <c r="G4743" s="38" t="n">
        <f aca="false">Sens!$G$4741+Sens!$G$4742</f>
        <v>66.7473375227289</v>
      </c>
      <c r="H4743" s="38" t="n">
        <f aca="false">Sens!$H$4741+Sens!$H$4742</f>
        <v>87.0822229666888</v>
      </c>
      <c r="I4743" s="38" t="n">
        <f aca="false">Sens!$I$4741+Sens!$I$4742</f>
        <v>109.092877437472</v>
      </c>
      <c r="J4743" s="38" t="n">
        <f aca="false">Sens!$J$4741+Sens!$J$4742</f>
        <v>128.96121506117</v>
      </c>
      <c r="K4743" s="38" t="n">
        <f aca="false">Sens!$K$4741+Sens!$K$4742</f>
        <v>145.770907140632</v>
      </c>
      <c r="L4743" s="38" t="n">
        <f aca="false">Sens!$L$4741+Sens!$L$4742</f>
        <v>164.791350396533</v>
      </c>
      <c r="M4743" s="38" t="n">
        <f aca="false">Sens!$M$4741+Sens!$M$4742</f>
        <v>183.865739034062</v>
      </c>
      <c r="N4743" s="38" t="n">
        <f aca="false">Q!$N$24</f>
        <v>21.707</v>
      </c>
      <c r="O4743" s="38" t="n">
        <f aca="false">Q!$O$24</f>
        <v>23.899</v>
      </c>
    </row>
    <row r="4744" customFormat="false" ht="17.15" hidden="false" customHeight="false" outlineLevel="0" collapsed="false">
      <c r="A4744" s="5" t="s">
        <v>685</v>
      </c>
      <c r="B4744" s="0" t="s">
        <v>73</v>
      </c>
      <c r="C4744" s="38" t="n">
        <f aca="false">Q!$D$26</f>
        <v>0</v>
      </c>
      <c r="D4744" s="38" t="n">
        <f aca="false">Q!$E$26</f>
        <v>0</v>
      </c>
      <c r="E4744" s="38" t="n">
        <f aca="false">Q!$P$26</f>
        <v>0</v>
      </c>
      <c r="F4744" s="41" t="n">
        <v>0</v>
      </c>
      <c r="G4744" s="38" t="n">
        <f aca="false">Sens!$E$4744+Sens!$F$4744</f>
        <v>0</v>
      </c>
      <c r="H4744" s="41" t="n">
        <v>0</v>
      </c>
      <c r="I4744" s="41" t="n">
        <v>0</v>
      </c>
      <c r="J4744" s="41" t="n">
        <v>0</v>
      </c>
      <c r="K4744" s="41" t="n">
        <v>0</v>
      </c>
      <c r="L4744" s="41" t="n">
        <v>0</v>
      </c>
      <c r="M4744" s="41" t="n">
        <v>0</v>
      </c>
      <c r="N4744" s="38" t="n">
        <f aca="false">Q!$N$26</f>
        <v>0</v>
      </c>
      <c r="O4744" s="38" t="n">
        <f aca="false">Q!$O$26</f>
        <v>0</v>
      </c>
    </row>
    <row r="4745" customFormat="false" ht="15" hidden="false" customHeight="false" outlineLevel="0" collapsed="false">
      <c r="A4745" s="3" t="s">
        <v>494</v>
      </c>
      <c r="B4745" s="8" t="s">
        <v>73</v>
      </c>
      <c r="C4745" s="38" t="n">
        <f aca="false">Q!$D$25</f>
        <v>68.593</v>
      </c>
      <c r="D4745" s="38" t="n">
        <f aca="false">Q!$E$25</f>
        <v>79.975</v>
      </c>
      <c r="E4745" s="38" t="n">
        <f aca="false">Q!$P$25</f>
        <v>51.313</v>
      </c>
      <c r="F4745" s="38" t="n">
        <f aca="false">Sens!$F$4735+Sens!$F$4740+Sens!$F$4743+Sens!$F$4744</f>
        <v>59.8825772328462</v>
      </c>
      <c r="G4745" s="38" t="n">
        <f aca="false">Sens!$G$4735+Sens!$G$4740+Sens!$G$4743+Sens!$G$4744</f>
        <v>111.195577232846</v>
      </c>
      <c r="H4745" s="38" t="n">
        <f aca="false">Sens!$H$4735+Sens!$H$4740+Sens!$H$4743+Sens!$H$4744</f>
        <v>135.638701042513</v>
      </c>
      <c r="I4745" s="38" t="n">
        <f aca="false">Sens!$I$4735+Sens!$I$4740+Sens!$I$4743+Sens!$I$4744</f>
        <v>160.668634334764</v>
      </c>
      <c r="J4745" s="38" t="n">
        <f aca="false">Sens!$J$4735+Sens!$J$4740+Sens!$J$4743+Sens!$J$4744</f>
        <v>182.936501499731</v>
      </c>
      <c r="K4745" s="38" t="n">
        <f aca="false">Sens!$K$4735+Sens!$K$4740+Sens!$K$4743+Sens!$K$4744</f>
        <v>200.911616858058</v>
      </c>
      <c r="L4745" s="38" t="n">
        <f aca="false">Sens!$L$4735+Sens!$L$4740+Sens!$L$4743+Sens!$L$4744</f>
        <v>220.650126048945</v>
      </c>
      <c r="M4745" s="38" t="n">
        <f aca="false">Sens!$M$4735+Sens!$M$4740+Sens!$M$4743+Sens!$M$4744</f>
        <v>241.09409709983</v>
      </c>
      <c r="N4745" s="38" t="n">
        <f aca="false">Q!$N$25</f>
        <v>37.576</v>
      </c>
      <c r="O4745" s="38" t="n">
        <f aca="false">Q!$O$25</f>
        <v>42.399</v>
      </c>
    </row>
    <row r="4746" customFormat="false" ht="17.15" hidden="false" customHeight="false" outlineLevel="0" collapsed="false">
      <c r="A4746" s="24" t="s">
        <v>711</v>
      </c>
      <c r="B4746" s="25" t="s">
        <v>73</v>
      </c>
      <c r="C4746" s="39" t="n">
        <f aca="false">Sens!$C$4735+Sens!$C$4740+Sens!$C$4743+Sens!$C$4744-Sens!$C$4745</f>
        <v>0</v>
      </c>
      <c r="D4746" s="39" t="n">
        <f aca="false">Sens!$D$4735+Sens!$D$4740+Sens!$D$4743+Sens!$D$4744-Sens!$D$4745</f>
        <v>0</v>
      </c>
      <c r="E4746" s="39" t="n">
        <f aca="false">Sens!$E$4735+Sens!$E$4740+Sens!$E$4743+Sens!$E$4744-Sens!$E$4745</f>
        <v>0</v>
      </c>
      <c r="F4746" s="39" t="n">
        <f aca="false">Sens!$F$4735+Sens!$F$4740+Sens!$F$4743+Sens!$F$4744-Sens!$F$4745</f>
        <v>0</v>
      </c>
      <c r="G4746" s="39" t="n">
        <f aca="false">Sens!$G$4735+Sens!$G$4740+Sens!$G$4743+Sens!$G$4744-Sens!$G$4745</f>
        <v>0</v>
      </c>
      <c r="H4746" s="39" t="n">
        <f aca="false">Sens!$H$4735+Sens!$H$4740+Sens!$H$4743+Sens!$H$4744-Sens!$H$4745</f>
        <v>0</v>
      </c>
      <c r="I4746" s="39" t="n">
        <f aca="false">Sens!$I$4735+Sens!$I$4740+Sens!$I$4743+Sens!$I$4744-Sens!$I$4745</f>
        <v>0</v>
      </c>
      <c r="J4746" s="39" t="n">
        <f aca="false">Sens!$J$4735+Sens!$J$4740+Sens!$J$4743+Sens!$J$4744-Sens!$J$4745</f>
        <v>0</v>
      </c>
      <c r="K4746" s="39" t="n">
        <f aca="false">Sens!$K$4735+Sens!$K$4740+Sens!$K$4743+Sens!$K$4744-Sens!$K$4745</f>
        <v>0</v>
      </c>
      <c r="L4746" s="39" t="n">
        <f aca="false">Sens!$L$4735+Sens!$L$4740+Sens!$L$4743+Sens!$L$4744-Sens!$L$4745</f>
        <v>0</v>
      </c>
      <c r="M4746" s="39" t="n">
        <f aca="false">Sens!$M$4735+Sens!$M$4740+Sens!$M$4743+Sens!$M$4744-Sens!$M$4745</f>
        <v>0</v>
      </c>
      <c r="N4746" s="39" t="n">
        <f aca="false">Sens!$N$4735+Sens!$N$4740+Sens!$N$4743+Sens!$N$4744-Sens!$N$4745</f>
        <v>0</v>
      </c>
      <c r="O4746" s="39" t="n">
        <f aca="false">Sens!$O$4735+Sens!$O$4740+Sens!$O$4743+Sens!$O$4744-Sens!$O$4745</f>
        <v>0</v>
      </c>
    </row>
    <row r="4747" customFormat="false" ht="17.15" hidden="false" customHeight="false" outlineLevel="0" collapsed="false">
      <c r="A4747" s="0" t="s">
        <v>687</v>
      </c>
      <c r="B4747" s="0" t="s">
        <v>52</v>
      </c>
      <c r="C4747" s="12" t="n">
        <f aca="false">Sens!$C$4735/Sens!$C$4720</f>
        <v>0.0644314665661928</v>
      </c>
      <c r="D4747" s="12" t="n">
        <f aca="false">Sens!$D$4735/Sens!$D$4720</f>
        <v>0.0694784250712518</v>
      </c>
      <c r="E4747" s="12" t="n">
        <f aca="false">Sens!$E$4735/Sens!$E$4720</f>
        <v>0.0789306463326071</v>
      </c>
      <c r="F4747" s="12" t="n">
        <f aca="false">Sens!$F$4735/Sens!$F$4720</f>
        <v>0.0816338957078875</v>
      </c>
      <c r="G4747" s="12" t="n">
        <f aca="false">Sens!$G$4735/Sens!$G$4720</f>
        <v>0.080384315570057</v>
      </c>
      <c r="H4747" s="12" t="n">
        <f aca="false">Sens!$H$4735/Sens!$H$4720</f>
        <v>0.080035122355679</v>
      </c>
      <c r="I4747" s="12" t="n">
        <f aca="false">Sens!$I$4735/Sens!$I$4720</f>
        <v>0.0786798687862144</v>
      </c>
      <c r="J4747" s="12" t="n">
        <f aca="false">Sens!$J$4735/Sens!$J$4720</f>
        <v>0.0772846370095153</v>
      </c>
      <c r="K4747" s="12" t="n">
        <f aca="false">Sens!$K$4735/Sens!$K$4720</f>
        <v>0.0753502227686655</v>
      </c>
      <c r="L4747" s="12" t="n">
        <f aca="false">Sens!$L$4735/Sens!$L$4720</f>
        <v>0.0723154067793922</v>
      </c>
      <c r="M4747" s="12" t="n">
        <f aca="false">Sens!$M$4735/Sens!$M$4720</f>
        <v>0.070022386735876</v>
      </c>
      <c r="N4747" s="12" t="n">
        <f aca="false">Sens!$N$4735/Sens!$N$4720</f>
        <v>0.069228576611127</v>
      </c>
      <c r="O4747" s="12" t="n">
        <f aca="false">Sens!$O$4735/Sens!$O$4720</f>
        <v>0.069685022498393</v>
      </c>
    </row>
    <row r="4748" customFormat="false" ht="17.15" hidden="false" customHeight="false" outlineLevel="0" collapsed="false">
      <c r="A4748" s="0" t="s">
        <v>688</v>
      </c>
      <c r="B4748" s="0" t="s">
        <v>52</v>
      </c>
      <c r="C4748" s="12" t="n">
        <f aca="false">Sens!$C$4740/Sens!$C$4721</f>
        <v>0.026534925055631</v>
      </c>
      <c r="D4748" s="12" t="n">
        <f aca="false">Sens!$D$4740/Sens!$D$4721</f>
        <v>0.0293401855535103</v>
      </c>
      <c r="E4748" s="12" t="n">
        <f aca="false">Sens!$E$4740/Sens!$E$4721</f>
        <v>0.03831141902276</v>
      </c>
      <c r="F4748" s="12" t="n">
        <f aca="false">Sens!$F$4740/Sens!$F$4721</f>
        <v>0.0297532808235678</v>
      </c>
      <c r="G4748" s="12" t="n">
        <f aca="false">Sens!$G$4740/Sens!$G$4721</f>
        <v>0.0335954317997163</v>
      </c>
      <c r="H4748" s="12" t="n">
        <f aca="false">Sens!$H$4740/Sens!$H$4721</f>
        <v>0.0312519754292078</v>
      </c>
      <c r="I4748" s="12" t="n">
        <f aca="false">Sens!$I$4740/Sens!$I$4721</f>
        <v>0.0278788303191397</v>
      </c>
      <c r="J4748" s="12" t="n">
        <f aca="false">Sens!$J$4740/Sens!$J$4721</f>
        <v>0.0244019313573061</v>
      </c>
      <c r="K4748" s="12" t="n">
        <f aca="false">Sens!$K$4740/Sens!$K$4721</f>
        <v>0.020280070641524</v>
      </c>
      <c r="L4748" s="12" t="n">
        <f aca="false">Sens!$L$4740/Sens!$L$4721</f>
        <v>0.0175947312030086</v>
      </c>
      <c r="M4748" s="12" t="n">
        <f aca="false">Sens!$M$4740/Sens!$M$4721</f>
        <v>0.0156592172424565</v>
      </c>
      <c r="N4748" s="12" t="n">
        <f aca="false">Sens!$N$4740/Sens!$N$4721</f>
        <v>0.0357315650169337</v>
      </c>
      <c r="O4748" s="12" t="n">
        <f aca="false">Sens!$O$4740/Sens!$O$4721</f>
        <v>0.0244378956559703</v>
      </c>
    </row>
    <row r="4749" customFormat="false" ht="17.15" hidden="false" customHeight="false" outlineLevel="0" collapsed="false">
      <c r="A4749" s="13" t="s">
        <v>689</v>
      </c>
      <c r="B4749" s="13" t="s">
        <v>52</v>
      </c>
      <c r="C4749" s="16" t="n">
        <f aca="false">Sens!$C$4743/Sens!$C$4722</f>
        <v>0.370355907620217</v>
      </c>
      <c r="D4749" s="16" t="n">
        <f aca="false">Sens!$D$4743/Sens!$D$4722</f>
        <v>0.35429015342785</v>
      </c>
      <c r="E4749" s="16" t="n">
        <f aca="false">Sens!$E$4743/Sens!$E$4722</f>
        <v>0.385647527531039</v>
      </c>
      <c r="F4749" s="16" t="n">
        <f aca="false">Sens!$F$4743/Sens!$F$4722</f>
        <v>0.384415729470259</v>
      </c>
      <c r="G4749" s="16" t="n">
        <f aca="false">Sens!$G$4743/Sens!$G$4722</f>
        <v>0.38498282105443</v>
      </c>
      <c r="H4749" s="16" t="n">
        <f aca="false">Sens!$H$4743/Sens!$H$4722</f>
        <v>0.361247909668527</v>
      </c>
      <c r="I4749" s="16" t="n">
        <f aca="false">Sens!$I$4743/Sens!$I$4722</f>
        <v>0.349486287974975</v>
      </c>
      <c r="J4749" s="16" t="n">
        <f aca="false">Sens!$J$4743/Sens!$J$4722</f>
        <v>0.339886531832068</v>
      </c>
      <c r="K4749" s="16" t="n">
        <f aca="false">Sens!$K$4743/Sens!$K$4722</f>
        <v>0.33135833762061</v>
      </c>
      <c r="L4749" s="16" t="n">
        <f aca="false">Sens!$L$4743/Sens!$L$4722</f>
        <v>0.328299068185284</v>
      </c>
      <c r="M4749" s="16" t="n">
        <f aca="false">Sens!$M$4743/Sens!$M$4722</f>
        <v>0.325058049465166</v>
      </c>
      <c r="N4749" s="16" t="n">
        <f aca="false">Sens!$N$4743/Sens!$N$4722</f>
        <v>0.360941137346192</v>
      </c>
      <c r="O4749" s="16" t="n">
        <f aca="false">Sens!$O$4743/Sens!$O$4722</f>
        <v>0.348458117664212</v>
      </c>
    </row>
    <row r="4750" customFormat="false" ht="17.15" hidden="false" customHeight="false" outlineLevel="0" collapsed="false">
      <c r="A4750" s="0" t="s">
        <v>690</v>
      </c>
      <c r="B4750" s="0" t="s">
        <v>52</v>
      </c>
      <c r="C4750" s="12" t="n">
        <f aca="false">Sens!$C$4741/Sens!$C$4723</f>
        <v>0.708390794789371</v>
      </c>
      <c r="D4750" s="12" t="n">
        <f aca="false">Sens!$D$4741/Sens!$D$4723</f>
        <v>0.445565630441968</v>
      </c>
      <c r="E4750" s="12" t="n">
        <f aca="false">Sens!$E$4741/Sens!$E$4723</f>
        <v>0.165998118402711</v>
      </c>
      <c r="F4750" s="12" t="n">
        <f aca="false">Sens!$F$4741/Sens!$F$4723</f>
        <v>0.434878595403858</v>
      </c>
      <c r="G4750" s="12" t="n">
        <f aca="false">Sens!$G$4741/Sens!$G$4723</f>
        <v>0.3373967615381</v>
      </c>
      <c r="H4750" s="12" t="n">
        <f aca="false">Sens!$H$4741/Sens!$H$4723</f>
        <v>0.320477578041224</v>
      </c>
      <c r="I4750" s="12" t="n">
        <f aca="false">Sens!$I$4741/Sens!$I$4723</f>
        <v>0.296936118226494</v>
      </c>
      <c r="J4750" s="12" t="n">
        <f aca="false">Sens!$J$4741/Sens!$J$4723</f>
        <v>0.282166278613001</v>
      </c>
      <c r="K4750" s="12" t="n">
        <f aca="false">Sens!$K$4741/Sens!$K$4723</f>
        <v>0.271267685694333</v>
      </c>
      <c r="L4750" s="12" t="n">
        <f aca="false">Sens!$L$4741/Sens!$L$4723</f>
        <v>0.27160960915653</v>
      </c>
      <c r="M4750" s="12" t="n">
        <f aca="false">Sens!$M$4741/Sens!$M$4723</f>
        <v>0.26974494804234</v>
      </c>
      <c r="N4750" s="12" t="n">
        <f aca="false">Sens!$N$4741/Sens!$N$4723</f>
        <v>0.302870734830849</v>
      </c>
      <c r="O4750" s="12" t="n">
        <f aca="false">Sens!$O$4741/Sens!$O$4723</f>
        <v>0.52240134346334</v>
      </c>
    </row>
    <row r="4751" customFormat="false" ht="15" hidden="false" customHeight="false" outlineLevel="0" collapsed="false">
      <c r="A4751" s="5" t="s">
        <v>691</v>
      </c>
      <c r="B4751" s="0" t="s">
        <v>52</v>
      </c>
      <c r="C4751" s="12" t="n">
        <f aca="false">Sens!$C$4745/Sens!$C$4725</f>
        <v>0.107519448742004</v>
      </c>
      <c r="D4751" s="12" t="n">
        <f aca="false">Sens!$D$4745/Sens!$D$4725</f>
        <v>0.111552967957552</v>
      </c>
      <c r="E4751" s="12" t="n">
        <f aca="false">Sens!$E$4745/Sens!$E$4725</f>
        <v>0.13428328426562</v>
      </c>
      <c r="F4751" s="12" t="n">
        <f aca="false">Sens!$F$4745/Sens!$F$4725</f>
        <v>0.132926212451512</v>
      </c>
      <c r="G4751" s="12" t="n">
        <f aca="false">Sens!$G$4745/Sens!$G$4725</f>
        <v>0.133549030959228</v>
      </c>
      <c r="H4751" s="12" t="n">
        <f aca="false">Sens!$H$4745/Sens!$H$4725</f>
        <v>0.139690394514416</v>
      </c>
      <c r="I4751" s="12" t="n">
        <f aca="false">Sens!$I$4745/Sens!$I$4725</f>
        <v>0.144688164284573</v>
      </c>
      <c r="J4751" s="12" t="n">
        <f aca="false">Sens!$J$4745/Sens!$J$4725</f>
        <v>0.147391419021054</v>
      </c>
      <c r="K4751" s="12" t="n">
        <f aca="false">Sens!$K$4745/Sens!$K$4725</f>
        <v>0.148003728177944</v>
      </c>
      <c r="L4751" s="12" t="n">
        <f aca="false">Sens!$L$4745/Sens!$L$4725</f>
        <v>0.149164514525979</v>
      </c>
      <c r="M4751" s="12" t="n">
        <f aca="false">Sens!$M$4745/Sens!$M$4725</f>
        <v>0.150041098108262</v>
      </c>
      <c r="N4751" s="12" t="n">
        <f aca="false">Sens!$N$4745/Sens!$N$4725</f>
        <v>0.116201614873411</v>
      </c>
      <c r="O4751" s="12" t="n">
        <f aca="false">Sens!$O$4745/Sens!$O$4725</f>
        <v>0.107733353660861</v>
      </c>
    </row>
    <row r="4752" customFormat="false" ht="17.15" hidden="false" customHeight="false" outlineLevel="0" collapsed="false">
      <c r="A4752" s="1" t="s">
        <v>692</v>
      </c>
    </row>
    <row r="4753" customFormat="false" ht="17.15" hidden="false" customHeight="false" outlineLevel="0" collapsed="false">
      <c r="A4753" s="5" t="s">
        <v>693</v>
      </c>
      <c r="B4753" s="0" t="s">
        <v>52</v>
      </c>
      <c r="D4753" s="28" t="n">
        <f aca="false">(Q!$E$29+Q!$E$30-(1-ext_sh)*Sens!$D$4677)/Sens!$D$4635</f>
        <v>0.0334674312393194</v>
      </c>
    </row>
    <row r="4754" customFormat="false" ht="17.15" hidden="false" customHeight="false" outlineLevel="0" collapsed="false">
      <c r="A4754" s="0" t="s">
        <v>498</v>
      </c>
      <c r="B4754" s="0" t="s">
        <v>73</v>
      </c>
      <c r="C4754" s="38" t="n">
        <f aca="false">Q!$D$29</f>
        <v>14.285</v>
      </c>
      <c r="D4754" s="38" t="n">
        <f aca="false">Q!$E$29</f>
        <v>15.503</v>
      </c>
      <c r="E4754" s="38" t="n">
        <f aca="false">Q!$P$29</f>
        <v>8.78</v>
      </c>
      <c r="F4754" s="38" t="n">
        <f aca="false">(Sens!$D$4753*Sens!$F$4635+(1-ext_sh)*Sens!$F$4677)*Sens!$F$4636</f>
        <v>9.51361751569285</v>
      </c>
      <c r="G4754" s="38" t="n">
        <f aca="false">Sens!$E$4754+Sens!$F$4754</f>
        <v>18.2936175156929</v>
      </c>
      <c r="H4754" s="38" t="n">
        <f aca="false">(Sens!$D$4753*Sens!$H$4635+(1-ext_sh)*Sens!$H$4677)*Sens!$H$4636</f>
        <v>22.7653661801943</v>
      </c>
      <c r="I4754" s="38" t="n">
        <f aca="false">(Sens!$D$4753*Sens!$I$4635+(1-ext_sh)*Sens!$I$4677)*Sens!$I$4636</f>
        <v>28.4281317305062</v>
      </c>
      <c r="J4754" s="38" t="n">
        <f aca="false">(Sens!$D$4753*Sens!$J$4635+(1-ext_sh)*Sens!$J$4677)*Sens!$J$4636</f>
        <v>34.1182922009732</v>
      </c>
      <c r="K4754" s="38" t="n">
        <f aca="false">(Sens!$D$4753*Sens!$K$4635+(1-ext_sh)*Sens!$K$4677)*Sens!$K$4636</f>
        <v>39.7237727987046</v>
      </c>
      <c r="L4754" s="38" t="n">
        <f aca="false">(Sens!$D$4753*Sens!$L$4635+(1-ext_sh)*Sens!$L$4677)*Sens!$L$4636</f>
        <v>45.1313127180263</v>
      </c>
      <c r="M4754" s="38" t="n">
        <f aca="false">(Sens!$D$4753*Sens!$M$4635+(1-ext_sh)*Sens!$M$4677)*Sens!$M$4636</f>
        <v>50.743940615442</v>
      </c>
      <c r="N4754" s="38" t="n">
        <f aca="false">Q!$N$29</f>
        <v>7.272</v>
      </c>
      <c r="O4754" s="38" t="n">
        <f aca="false">Q!$O$29</f>
        <v>8.231</v>
      </c>
    </row>
    <row r="4755" customFormat="false" ht="17.15" hidden="false" customHeight="false" outlineLevel="0" collapsed="false">
      <c r="A4755" s="0" t="s">
        <v>500</v>
      </c>
      <c r="B4755" s="0" t="s">
        <v>73</v>
      </c>
      <c r="C4755" s="38" t="n">
        <f aca="false">Q!$D$30</f>
        <v>4.462</v>
      </c>
      <c r="D4755" s="38" t="n">
        <f aca="false">Q!$E$30</f>
        <v>4.907</v>
      </c>
      <c r="E4755" s="38" t="n">
        <f aca="false">Q!$P$30</f>
        <v>2.57</v>
      </c>
      <c r="F4755" s="38" t="n">
        <f aca="false">(Sens!$D$4753*Sens!$F$4635+(1-ext_sh)*Sens!$F$4677)*(1-Sens!$F$4636)</f>
        <v>3.7353230631574</v>
      </c>
      <c r="G4755" s="38" t="n">
        <f aca="false">Sens!$E$4755+Sens!$F$4755</f>
        <v>6.3053230631574</v>
      </c>
      <c r="H4755" s="38" t="n">
        <f aca="false">(Sens!$D$4753*Sens!$H$4635+(1-ext_sh)*Sens!$H$4677)*(1-Sens!$H$4636)</f>
        <v>8.72254636724805</v>
      </c>
      <c r="I4755" s="38" t="n">
        <f aca="false">(Sens!$D$4753*Sens!$I$4635+(1-ext_sh)*Sens!$I$4677)*(1-Sens!$I$4636)</f>
        <v>10.8922340713019</v>
      </c>
      <c r="J4755" s="38" t="n">
        <f aca="false">(Sens!$D$4753*Sens!$J$4635+(1-ext_sh)*Sens!$J$4677)*(1-Sens!$J$4636)</f>
        <v>13.0724181345791</v>
      </c>
      <c r="K4755" s="38" t="n">
        <f aca="false">(Sens!$D$4753*Sens!$K$4635+(1-ext_sh)*Sens!$K$4677)*(1-Sens!$K$4636)</f>
        <v>15.2201571183236</v>
      </c>
      <c r="L4755" s="38" t="n">
        <f aca="false">(Sens!$D$4753*Sens!$L$4635+(1-ext_sh)*Sens!$L$4677)*(1-Sens!$L$4636)</f>
        <v>17.2920551631732</v>
      </c>
      <c r="M4755" s="38" t="n">
        <f aca="false">(Sens!$D$4753*Sens!$M$4635+(1-ext_sh)*Sens!$M$4677)*(1-Sens!$M$4636)</f>
        <v>19.4425326336348</v>
      </c>
      <c r="N4755" s="38" t="n">
        <f aca="false">Q!$N$30</f>
        <v>2.316</v>
      </c>
      <c r="O4755" s="38" t="n">
        <f aca="false">Q!$O$30</f>
        <v>2.591</v>
      </c>
    </row>
    <row r="4756" customFormat="false" ht="17.15" hidden="false" customHeight="false" outlineLevel="0" collapsed="false">
      <c r="A4756" s="0" t="s">
        <v>501</v>
      </c>
      <c r="B4756" s="0" t="s">
        <v>73</v>
      </c>
      <c r="C4756" s="38" t="n">
        <f aca="false">Sens!$C$4689</f>
        <v>13.32</v>
      </c>
      <c r="D4756" s="38" t="n">
        <f aca="false">Sens!$D$4689</f>
        <v>21.45</v>
      </c>
      <c r="E4756" s="38" t="n">
        <f aca="false">Sens!$E$4689</f>
        <v>15.353</v>
      </c>
      <c r="F4756" s="38" t="n">
        <f aca="false">Sens!$F$4689</f>
        <v>17.3614451462707</v>
      </c>
      <c r="G4756" s="38" t="n">
        <f aca="false">Sens!$G$4689</f>
        <v>32.7144451462707</v>
      </c>
      <c r="H4756" s="38" t="n">
        <f aca="false">Sens!$H$4689</f>
        <v>56.1966092719415</v>
      </c>
      <c r="I4756" s="38" t="n">
        <f aca="false">Sens!$I$4689</f>
        <v>82.9744039068297</v>
      </c>
      <c r="J4756" s="38" t="n">
        <f aca="false">Sens!$J$4689</f>
        <v>109.943252237669</v>
      </c>
      <c r="K4756" s="38" t="n">
        <f aca="false">Sens!$K$4689</f>
        <v>136.406703436571</v>
      </c>
      <c r="L4756" s="38" t="n">
        <f aca="false">Sens!$L$4689</f>
        <v>161.485870454155</v>
      </c>
      <c r="M4756" s="38" t="n">
        <f aca="false">Sens!$M$4689</f>
        <v>187.389846618199</v>
      </c>
      <c r="N4756" s="38" t="n">
        <f aca="false">Sens!$N$4689</f>
        <v>9.234</v>
      </c>
      <c r="O4756" s="38" t="n">
        <f aca="false">Sens!$O$4689</f>
        <v>12.216</v>
      </c>
    </row>
    <row r="4757" customFormat="false" ht="17.15" hidden="false" customHeight="false" outlineLevel="0" collapsed="false">
      <c r="A4757" s="5" t="s">
        <v>694</v>
      </c>
      <c r="B4757" s="0" t="s">
        <v>73</v>
      </c>
      <c r="C4757" s="38" t="n">
        <f aca="false">Sens!$C$4754+Sens!$C$4755+Sens!$C$4756</f>
        <v>32.067</v>
      </c>
      <c r="D4757" s="38" t="n">
        <f aca="false">Sens!$D$4754+Sens!$D$4755+Sens!$D$4756</f>
        <v>41.86</v>
      </c>
      <c r="E4757" s="38" t="n">
        <f aca="false">Sens!$E$4754+Sens!$E$4755+Sens!$E$4756</f>
        <v>26.703</v>
      </c>
      <c r="F4757" s="38" t="n">
        <f aca="false">Sens!$F$4754+Sens!$F$4755+Sens!$F$4756</f>
        <v>30.6103857251209</v>
      </c>
      <c r="G4757" s="38" t="n">
        <f aca="false">Sens!$G$4754+Sens!$G$4755+Sens!$G$4756</f>
        <v>57.3133857251209</v>
      </c>
      <c r="H4757" s="38" t="n">
        <f aca="false">Sens!$H$4754+Sens!$H$4755+Sens!$H$4756</f>
        <v>87.6845218193838</v>
      </c>
      <c r="I4757" s="38" t="n">
        <f aca="false">Sens!$I$4754+Sens!$I$4755+Sens!$I$4756</f>
        <v>122.294769708638</v>
      </c>
      <c r="J4757" s="38" t="n">
        <f aca="false">Sens!$J$4754+Sens!$J$4755+Sens!$J$4756</f>
        <v>157.133962573221</v>
      </c>
      <c r="K4757" s="38" t="n">
        <f aca="false">Sens!$K$4754+Sens!$K$4755+Sens!$K$4756</f>
        <v>191.350633353599</v>
      </c>
      <c r="L4757" s="38" t="n">
        <f aca="false">Sens!$L$4754+Sens!$L$4755+Sens!$L$4756</f>
        <v>223.909238335354</v>
      </c>
      <c r="M4757" s="38" t="n">
        <f aca="false">Sens!$M$4754+Sens!$M$4755+Sens!$M$4756</f>
        <v>257.576319867276</v>
      </c>
      <c r="N4757" s="38" t="n">
        <f aca="false">Sens!$N$4754+Sens!$N$4755+Sens!$N$4756</f>
        <v>18.822</v>
      </c>
      <c r="O4757" s="38" t="n">
        <f aca="false">Sens!$O$4754+Sens!$O$4755+Sens!$O$4756</f>
        <v>23.038</v>
      </c>
    </row>
    <row r="4758" customFormat="false" ht="17.15" hidden="false" customHeight="false" outlineLevel="0" collapsed="false">
      <c r="A4758" s="0" t="s">
        <v>695</v>
      </c>
      <c r="B4758" s="0" t="s">
        <v>73</v>
      </c>
      <c r="C4758" s="38" t="n">
        <f aca="false">Sens!$C$4731+Sens!$C$4736</f>
        <v>28.107</v>
      </c>
      <c r="D4758" s="38" t="n">
        <f aca="false">Sens!$D$4731+Sens!$D$4736</f>
        <v>34.3175</v>
      </c>
      <c r="E4758" s="38" t="n">
        <f aca="false">Sens!$E$4731+Sens!$E$4736</f>
        <v>18.526</v>
      </c>
      <c r="F4758" s="38" t="n">
        <f aca="false">Sens!$F$4731+Sens!$F$4736</f>
        <v>24.0766690913691</v>
      </c>
      <c r="G4758" s="38" t="n">
        <f aca="false">Sens!$G$4731+Sens!$G$4736</f>
        <v>42.6026690913691</v>
      </c>
      <c r="H4758" s="38" t="n">
        <f aca="false">Sens!$H$4731+Sens!$H$4736</f>
        <v>51.1466809294702</v>
      </c>
      <c r="I4758" s="38" t="n">
        <f aca="false">Sens!$I$4731+Sens!$I$4736</f>
        <v>59.6899187926205</v>
      </c>
      <c r="J4758" s="38" t="n">
        <f aca="false">Sens!$J$4731+Sens!$J$4736</f>
        <v>67.6595395244221</v>
      </c>
      <c r="K4758" s="38" t="n">
        <f aca="false">Sens!$K$4731+Sens!$K$4736</f>
        <v>74.4254934768643</v>
      </c>
      <c r="L4758" s="38" t="n">
        <f aca="false">Sens!$L$4731+Sens!$L$4736</f>
        <v>81.8680428245508</v>
      </c>
      <c r="M4758" s="38" t="n">
        <f aca="false">Sens!$M$4731+Sens!$M$4736</f>
        <v>90.0548471070059</v>
      </c>
      <c r="N4758" s="38" t="n">
        <f aca="false">Sens!$N$4731+Sens!$N$4736</f>
        <v>14.8075</v>
      </c>
      <c r="O4758" s="38" t="n">
        <f aca="false">Sens!$O$4731+Sens!$O$4736</f>
        <v>19.51</v>
      </c>
    </row>
    <row r="4759" customFormat="false" ht="17.15" hidden="false" customHeight="false" outlineLevel="0" collapsed="false">
      <c r="A4759" s="0" t="s">
        <v>696</v>
      </c>
      <c r="B4759" s="0" t="s">
        <v>73</v>
      </c>
      <c r="C4759" s="38" t="n">
        <f aca="false">Sens!$C$4735+Sens!$C$4740+Sens!$C$4754+Sens!$C$4755-Sens!$C$4758</f>
        <v>19.399</v>
      </c>
      <c r="D4759" s="38" t="n">
        <f aca="false">Sens!$D$4735+Sens!$D$4740+Sens!$D$4754+Sens!$D$4755-Sens!$D$4758</f>
        <v>20.4615</v>
      </c>
      <c r="E4759" s="38" t="n">
        <f aca="false">Sens!$E$4735+Sens!$E$4740+Sens!$E$4754+Sens!$E$4755-Sens!$E$4758</f>
        <v>13.355</v>
      </c>
      <c r="F4759" s="38" t="n">
        <f aca="false">Sens!$F$4735+Sens!$F$4740+Sens!$F$4754+Sens!$F$4755-Sens!$F$4758</f>
        <v>13.0895111975985</v>
      </c>
      <c r="G4759" s="38" t="n">
        <f aca="false">Sens!$G$4735+Sens!$G$4740+Sens!$G$4754+Sens!$G$4755-Sens!$G$4758</f>
        <v>26.4445111975985</v>
      </c>
      <c r="H4759" s="38" t="n">
        <f aca="false">Sens!$H$4735+Sens!$H$4740+Sens!$H$4754+Sens!$H$4755-Sens!$H$4758</f>
        <v>28.8977096937968</v>
      </c>
      <c r="I4759" s="38" t="n">
        <f aca="false">Sens!$I$4735+Sens!$I$4740+Sens!$I$4754+Sens!$I$4755-Sens!$I$4758</f>
        <v>31.2062039064791</v>
      </c>
      <c r="J4759" s="38" t="n">
        <f aca="false">Sens!$J$4735+Sens!$J$4740+Sens!$J$4754+Sens!$J$4755-Sens!$J$4758</f>
        <v>33.5064572496913</v>
      </c>
      <c r="K4759" s="38" t="n">
        <f aca="false">Sens!$K$4735+Sens!$K$4740+Sens!$K$4754+Sens!$K$4755-Sens!$K$4758</f>
        <v>35.6591461575899</v>
      </c>
      <c r="L4759" s="38" t="n">
        <f aca="false">Sens!$L$4735+Sens!$L$4740+Sens!$L$4754+Sens!$L$4755-Sens!$L$4758</f>
        <v>36.4141007090604</v>
      </c>
      <c r="M4759" s="38" t="n">
        <f aca="false">Sens!$M$4735+Sens!$M$4740+Sens!$M$4754+Sens!$M$4755-Sens!$M$4758</f>
        <v>37.359984207839</v>
      </c>
      <c r="N4759" s="38" t="n">
        <f aca="false">Sens!$N$4735+Sens!$N$4740+Sens!$N$4754+Sens!$N$4755-Sens!$N$4758</f>
        <v>10.6495</v>
      </c>
      <c r="O4759" s="38" t="n">
        <f aca="false">Sens!$O$4735+Sens!$O$4740+Sens!$O$4754+Sens!$O$4755-Sens!$O$4758</f>
        <v>9.81200000000001</v>
      </c>
    </row>
    <row r="4760" customFormat="false" ht="17.15" hidden="false" customHeight="false" outlineLevel="0" collapsed="false">
      <c r="A4760" s="0" t="s">
        <v>697</v>
      </c>
      <c r="B4760" s="0" t="s">
        <v>73</v>
      </c>
      <c r="C4760" s="38" t="n">
        <f aca="false">Sens!$C$4742+Sens!$C$4756-ext_sh*Sens!$C$4677</f>
        <v>51.3470500115664</v>
      </c>
      <c r="D4760" s="38" t="n">
        <f aca="false">Sens!$D$4742+Sens!$D$4756-ext_sh*Sens!$D$4677</f>
        <v>60.2799375433739</v>
      </c>
      <c r="E4760" s="38" t="n">
        <f aca="false">Sens!$E$4742+Sens!$E$4756-ext_sh*Sens!$E$4677</f>
        <v>39.5095167090767</v>
      </c>
      <c r="F4760" s="38" t="n">
        <f aca="false">Sens!$F$4742+Sens!$F$4756-ext_sh*Sens!$F$4677</f>
        <v>41.606724953129</v>
      </c>
      <c r="G4760" s="38" t="n">
        <f aca="false">Sens!$G$4742+Sens!$G$4756-ext_sh*Sens!$G$4677</f>
        <v>81.1162416622057</v>
      </c>
      <c r="H4760" s="38" t="n">
        <f aca="false">Sens!$H$4742+Sens!$H$4756-ext_sh*Sens!$H$4677</f>
        <v>95.7616595325849</v>
      </c>
      <c r="I4760" s="38" t="n">
        <f aca="false">Sens!$I$4742+Sens!$I$4756-ext_sh*Sens!$I$4677</f>
        <v>111.513312079935</v>
      </c>
      <c r="J4760" s="38" t="n">
        <f aca="false">Sens!$J$4742+Sens!$J$4756-ext_sh*Sens!$J$4677</f>
        <v>125.145150463955</v>
      </c>
      <c r="K4760" s="38" t="n">
        <f aca="false">Sens!$K$4742+Sens!$K$4756-ext_sh*Sens!$K$4677</f>
        <v>135.156762501071</v>
      </c>
      <c r="L4760" s="38" t="n">
        <f aca="false">Sens!$L$4742+Sens!$L$4756-ext_sh*Sens!$L$4677</f>
        <v>145.969303501157</v>
      </c>
      <c r="M4760" s="38" t="n">
        <f aca="false">Sens!$M$4742+Sens!$M$4756-ext_sh*Sens!$M$4677</f>
        <v>157.646847781249</v>
      </c>
      <c r="N4760" s="38" t="n">
        <f aca="false">Sens!$N$4742+Sens!$N$4756-ext_sh*Sens!$N$4677</f>
        <v>28.5693781401809</v>
      </c>
      <c r="O4760" s="38" t="n">
        <f aca="false">Sens!$O$4742+Sens!$O$4756-ext_sh*Sens!$O$4677</f>
        <v>31.7105594031931</v>
      </c>
    </row>
    <row r="4761" customFormat="false" ht="17.15" hidden="false" customHeight="false" outlineLevel="0" collapsed="false">
      <c r="A4761" s="0" t="s">
        <v>698</v>
      </c>
      <c r="B4761" s="0" t="s">
        <v>73</v>
      </c>
      <c r="C4761" s="38" t="n">
        <f aca="false">Sens!$C$4680</f>
        <v>1.80694998843362</v>
      </c>
      <c r="D4761" s="38" t="n">
        <f aca="false">Sens!$D$4680</f>
        <v>6.77606245662607</v>
      </c>
      <c r="E4761" s="38" t="n">
        <f aca="false">Sens!$E$4680</f>
        <v>6.62548329092326</v>
      </c>
      <c r="F4761" s="38" t="n">
        <f aca="false">Sens!$F$4680</f>
        <v>11.7200577158706</v>
      </c>
      <c r="G4761" s="38" t="n">
        <f aca="false">Sens!$G$4680</f>
        <v>18.3455410067939</v>
      </c>
      <c r="H4761" s="38" t="n">
        <f aca="false">Sens!$H$4680</f>
        <v>47.5171727060453</v>
      </c>
      <c r="I4761" s="38" t="n">
        <f aca="false">Sens!$I$4680</f>
        <v>80.5539692643667</v>
      </c>
      <c r="J4761" s="38" t="n">
        <f aca="false">Sens!$J$4680</f>
        <v>113.759316834883</v>
      </c>
      <c r="K4761" s="38" t="n">
        <f aca="false">Sens!$K$4680</f>
        <v>147.020848076132</v>
      </c>
      <c r="L4761" s="38" t="n">
        <f aca="false">Sens!$L$4680</f>
        <v>180.307917349531</v>
      </c>
      <c r="M4761" s="38" t="n">
        <f aca="false">Sens!$M$4680</f>
        <v>213.608737871012</v>
      </c>
      <c r="N4761" s="38" t="n">
        <f aca="false">Sens!$N$4680</f>
        <v>2.37162185981912</v>
      </c>
      <c r="O4761" s="38" t="n">
        <f aca="false">Sens!$O$4680</f>
        <v>4.40444059680694</v>
      </c>
    </row>
    <row r="4762" customFormat="false" ht="17.15" hidden="false" customHeight="false" outlineLevel="0" collapsed="false">
      <c r="A4762" s="0" t="s">
        <v>699</v>
      </c>
      <c r="B4762" s="0" t="s">
        <v>73</v>
      </c>
      <c r="C4762" s="38" t="n">
        <f aca="false">Sens!$C$4745+Sens!$C$4757</f>
        <v>100.66</v>
      </c>
      <c r="D4762" s="38" t="n">
        <f aca="false">Sens!$D$4745+Sens!$D$4757</f>
        <v>121.835</v>
      </c>
      <c r="E4762" s="38" t="n">
        <f aca="false">Sens!$E$4745+Sens!$E$4757</f>
        <v>78.016</v>
      </c>
      <c r="F4762" s="38" t="n">
        <f aca="false">Sens!$F$4745+Sens!$F$4757</f>
        <v>90.4929629579672</v>
      </c>
      <c r="G4762" s="38" t="n">
        <f aca="false">Sens!$G$4745+Sens!$G$4757</f>
        <v>168.508962957967</v>
      </c>
      <c r="H4762" s="38" t="n">
        <f aca="false">Sens!$H$4745+Sens!$H$4757</f>
        <v>223.323222861897</v>
      </c>
      <c r="I4762" s="38" t="n">
        <f aca="false">Sens!$I$4745+Sens!$I$4757</f>
        <v>282.963404043402</v>
      </c>
      <c r="J4762" s="38" t="n">
        <f aca="false">Sens!$J$4745+Sens!$J$4757</f>
        <v>340.070464072952</v>
      </c>
      <c r="K4762" s="38" t="n">
        <f aca="false">Sens!$K$4745+Sens!$K$4757</f>
        <v>392.262250211657</v>
      </c>
      <c r="L4762" s="38" t="n">
        <f aca="false">Sens!$L$4745+Sens!$L$4757</f>
        <v>444.559364384299</v>
      </c>
      <c r="M4762" s="38" t="n">
        <f aca="false">Sens!$M$4745+Sens!$M$4757</f>
        <v>498.670416967106</v>
      </c>
      <c r="N4762" s="38" t="n">
        <f aca="false">Sens!$N$4745+Sens!$N$4757</f>
        <v>56.398</v>
      </c>
      <c r="O4762" s="38" t="n">
        <f aca="false">Sens!$O$4745+Sens!$O$4757</f>
        <v>65.437</v>
      </c>
    </row>
    <row r="4763" customFormat="false" ht="17.15" hidden="false" customHeight="false" outlineLevel="0" collapsed="false">
      <c r="A4763" s="1" t="s">
        <v>700</v>
      </c>
    </row>
    <row r="4764" customFormat="false" ht="15" hidden="false" customHeight="false" outlineLevel="0" collapsed="false">
      <c r="A4764" s="5" t="s">
        <v>504</v>
      </c>
      <c r="B4764" s="0" t="s">
        <v>73</v>
      </c>
      <c r="C4764" s="38" t="n">
        <f aca="false">Q!$D$34</f>
        <v>2.406</v>
      </c>
      <c r="D4764" s="38" t="n">
        <f aca="false">Q!$E$34</f>
        <v>2.274</v>
      </c>
      <c r="E4764" s="38" t="n">
        <f aca="false">Q!$P$34</f>
        <v>2.114</v>
      </c>
      <c r="F4764" s="38" t="n">
        <f aca="false">Sens!$F$4800</f>
        <v>3.24888964316061</v>
      </c>
      <c r="G4764" s="38" t="n">
        <f aca="false">Sens!$E$4764+Sens!$F$4764</f>
        <v>5.36288964316061</v>
      </c>
      <c r="H4764" s="38" t="n">
        <f aca="false">Sens!$H$4800</f>
        <v>7.42354178632123</v>
      </c>
      <c r="I4764" s="38" t="n">
        <f aca="false">Sens!$I$4800</f>
        <v>7.51827597635917</v>
      </c>
      <c r="J4764" s="38" t="n">
        <f aca="false">Sens!$J$4800</f>
        <v>7.76994062068418</v>
      </c>
      <c r="K4764" s="38" t="n">
        <f aca="false">Sens!$K$4800</f>
        <v>7.76994062068418</v>
      </c>
      <c r="L4764" s="38" t="n">
        <f aca="false">Sens!$L$4800</f>
        <v>7.76994062068418</v>
      </c>
      <c r="M4764" s="38" t="n">
        <f aca="false">Sens!$M$4800</f>
        <v>7.76994062068418</v>
      </c>
      <c r="N4764" s="38" t="n">
        <f aca="false">Q!$N$34</f>
        <v>1.057</v>
      </c>
      <c r="O4764" s="38" t="n">
        <f aca="false">Q!$O$34</f>
        <v>1.217</v>
      </c>
    </row>
    <row r="4765" customFormat="false" ht="15" hidden="false" customHeight="false" outlineLevel="0" collapsed="false">
      <c r="A4765" s="5" t="s">
        <v>701</v>
      </c>
      <c r="B4765" s="0" t="s">
        <v>73</v>
      </c>
      <c r="F4765" s="38" t="n">
        <f aca="false">Sens!$F$4801</f>
        <v>2.59</v>
      </c>
      <c r="H4765" s="38" t="n">
        <f aca="false">Sens!$H$4801</f>
        <v>4.00971603121774</v>
      </c>
      <c r="I4765" s="38" t="n">
        <f aca="false">Sens!$I$4801</f>
        <v>2.10589651022864</v>
      </c>
      <c r="J4765" s="38" t="n">
        <f aca="false">Sens!$J$4801</f>
        <v>2.10589651022864</v>
      </c>
      <c r="K4765" s="38" t="n">
        <f aca="false">Sens!$K$4801</f>
        <v>3.77985822695893</v>
      </c>
      <c r="L4765" s="38" t="n">
        <f aca="false">Sens!$L$4801</f>
        <v>7.24081936505971</v>
      </c>
      <c r="M4765" s="38" t="n">
        <f aca="false">Sens!$M$4801</f>
        <v>11.205150593419</v>
      </c>
    </row>
    <row r="4766" customFormat="false" ht="17.15" hidden="false" customHeight="false" outlineLevel="0" collapsed="false">
      <c r="A4766" s="5" t="s">
        <v>702</v>
      </c>
      <c r="B4766" s="0" t="s">
        <v>73</v>
      </c>
      <c r="C4766" s="38" t="n">
        <f aca="false">Q!$D$39</f>
        <v>2.427</v>
      </c>
      <c r="D4766" s="38" t="n">
        <f aca="false">Q!$E$39</f>
        <v>19.61</v>
      </c>
      <c r="E4766" s="38" t="n">
        <f aca="false">Q!$P$39</f>
        <v>71.492</v>
      </c>
      <c r="F4766" s="41" t="n">
        <v>0</v>
      </c>
      <c r="G4766" s="38" t="n">
        <f aca="false">Sens!$E$4766+Sens!$F$4766</f>
        <v>71.492</v>
      </c>
      <c r="H4766" s="41" t="n">
        <v>0</v>
      </c>
      <c r="I4766" s="41" t="n">
        <v>0</v>
      </c>
      <c r="J4766" s="41" t="n">
        <v>0</v>
      </c>
      <c r="K4766" s="41" t="n">
        <v>0</v>
      </c>
      <c r="L4766" s="41" t="n">
        <v>0</v>
      </c>
      <c r="M4766" s="41" t="n">
        <v>0</v>
      </c>
      <c r="N4766" s="38" t="n">
        <f aca="false">Q!$N$39</f>
        <v>6.017</v>
      </c>
      <c r="O4766" s="38" t="n">
        <f aca="false">Q!$O$39</f>
        <v>13.593</v>
      </c>
      <c r="P4766" s="5" t="s">
        <v>703</v>
      </c>
    </row>
    <row r="4767" customFormat="false" ht="15" hidden="false" customHeight="false" outlineLevel="0" collapsed="false">
      <c r="A4767" s="5" t="s">
        <v>507</v>
      </c>
      <c r="B4767" s="0" t="s">
        <v>73</v>
      </c>
      <c r="C4767" s="38" t="n">
        <f aca="false">Q!$D$36</f>
        <v>68.614</v>
      </c>
      <c r="D4767" s="38" t="n">
        <f aca="false">Q!$E$36</f>
        <v>97.311</v>
      </c>
      <c r="E4767" s="38" t="n">
        <f aca="false">Q!$P$36</f>
        <v>120.691</v>
      </c>
      <c r="F4767" s="38" t="n">
        <f aca="false">Sens!$F$4745-Sens!$F$4764+Sens!$F$4765+Sens!$F$4766</f>
        <v>59.2236875896856</v>
      </c>
      <c r="G4767" s="38" t="n">
        <f aca="false">Sens!$E$4767+Sens!$F$4767</f>
        <v>179.914687589686</v>
      </c>
      <c r="H4767" s="38" t="n">
        <f aca="false">Sens!$H$4745-Sens!$H$4764+Sens!$H$4765+Sens!$H$4766</f>
        <v>132.22487528741</v>
      </c>
      <c r="I4767" s="38" t="n">
        <f aca="false">Sens!$I$4745-Sens!$I$4764+Sens!$I$4765+Sens!$I$4766</f>
        <v>155.256254868633</v>
      </c>
      <c r="J4767" s="38" t="n">
        <f aca="false">Sens!$J$4745-Sens!$J$4764+Sens!$J$4765+Sens!$J$4766</f>
        <v>177.272457389275</v>
      </c>
      <c r="K4767" s="38" t="n">
        <f aca="false">Sens!$K$4745-Sens!$K$4764+Sens!$K$4765+Sens!$K$4766</f>
        <v>196.921534464333</v>
      </c>
      <c r="L4767" s="38" t="n">
        <f aca="false">Sens!$L$4745-Sens!$L$4764+Sens!$L$4765+Sens!$L$4766</f>
        <v>220.12100479332</v>
      </c>
      <c r="M4767" s="38" t="n">
        <f aca="false">Sens!$M$4745-Sens!$M$4764+Sens!$M$4765+Sens!$M$4766</f>
        <v>244.529307072564</v>
      </c>
      <c r="N4767" s="38" t="n">
        <f aca="false">Q!$N$36</f>
        <v>42.536</v>
      </c>
      <c r="O4767" s="38" t="n">
        <f aca="false">Q!$O$36</f>
        <v>54.775</v>
      </c>
    </row>
    <row r="4768" customFormat="false" ht="15" hidden="false" customHeight="false" outlineLevel="0" collapsed="false">
      <c r="A4768" s="5" t="s">
        <v>508</v>
      </c>
      <c r="B4768" s="0" t="s">
        <v>73</v>
      </c>
      <c r="C4768" s="38" t="n">
        <f aca="false">Q!$D$37</f>
        <v>9.265</v>
      </c>
      <c r="D4768" s="38" t="n">
        <f aca="false">Q!$E$37</f>
        <v>19.087</v>
      </c>
      <c r="E4768" s="38" t="n">
        <f aca="false">Q!$P$37</f>
        <v>27.759</v>
      </c>
      <c r="F4768" s="38" t="n">
        <f aca="false">Sens!$F$4767*tax</f>
        <v>10.2803157750071</v>
      </c>
      <c r="G4768" s="38" t="n">
        <f aca="false">Sens!$E$4768+Sens!$F$4768</f>
        <v>38.0393157750071</v>
      </c>
      <c r="H4768" s="38" t="n">
        <f aca="false">Sens!$H$4767*tax</f>
        <v>22.9521923842892</v>
      </c>
      <c r="I4768" s="38" t="n">
        <f aca="false">Sens!$I$4767*tax</f>
        <v>26.9500835063251</v>
      </c>
      <c r="J4768" s="38" t="n">
        <f aca="false">Sens!$J$4767*tax</f>
        <v>30.7717555988633</v>
      </c>
      <c r="K4768" s="38" t="n">
        <f aca="false">Sens!$K$4767*tax</f>
        <v>34.1825313414772</v>
      </c>
      <c r="L4768" s="38" t="n">
        <f aca="false">Sens!$L$4767*tax</f>
        <v>38.209600416393</v>
      </c>
      <c r="M4768" s="38" t="n">
        <f aca="false">Sens!$M$4767*tax</f>
        <v>42.4465040131586</v>
      </c>
      <c r="N4768" s="38" t="n">
        <f aca="false">Q!$N$37</f>
        <v>7.231</v>
      </c>
      <c r="O4768" s="38" t="n">
        <f aca="false">Q!$O$37</f>
        <v>11.856</v>
      </c>
    </row>
    <row r="4769" customFormat="false" ht="15" hidden="false" customHeight="false" outlineLevel="0" collapsed="false">
      <c r="A4769" s="3" t="s">
        <v>509</v>
      </c>
      <c r="B4769" s="8" t="s">
        <v>73</v>
      </c>
      <c r="C4769" s="38" t="n">
        <f aca="false">Q!$D$38</f>
        <v>59.248</v>
      </c>
      <c r="D4769" s="38" t="n">
        <f aca="false">Q!$E$38</f>
        <v>77.67</v>
      </c>
      <c r="E4769" s="38" t="n">
        <f aca="false">Q!$P$38</f>
        <v>92.902</v>
      </c>
      <c r="F4769" s="38" t="n">
        <f aca="false">Sens!$F$4767-Sens!$F$4768</f>
        <v>48.9433718146785</v>
      </c>
      <c r="G4769" s="38" t="n">
        <f aca="false">Sens!$E$4769+Sens!$F$4769</f>
        <v>141.845371814679</v>
      </c>
      <c r="H4769" s="38" t="n">
        <f aca="false">Sens!$H$4767-Sens!$H$4768</f>
        <v>109.272682903121</v>
      </c>
      <c r="I4769" s="38" t="n">
        <f aca="false">Sens!$I$4767-Sens!$I$4768</f>
        <v>128.306171362308</v>
      </c>
      <c r="J4769" s="38" t="n">
        <f aca="false">Sens!$J$4767-Sens!$J$4768</f>
        <v>146.500701790412</v>
      </c>
      <c r="K4769" s="38" t="n">
        <f aca="false">Sens!$K$4767-Sens!$K$4768</f>
        <v>162.739003122855</v>
      </c>
      <c r="L4769" s="38" t="n">
        <f aca="false">Sens!$L$4767-Sens!$L$4768</f>
        <v>181.911404376927</v>
      </c>
      <c r="M4769" s="38" t="n">
        <f aca="false">Sens!$M$4767-Sens!$M$4768</f>
        <v>202.082803059406</v>
      </c>
      <c r="N4769" s="38" t="n">
        <f aca="false">Q!$N$38</f>
        <v>35.291</v>
      </c>
      <c r="O4769" s="38" t="n">
        <f aca="false">Q!$O$38</f>
        <v>42.379</v>
      </c>
    </row>
    <row r="4770" customFormat="false" ht="17.15" hidden="false" customHeight="false" outlineLevel="0" collapsed="false">
      <c r="A4770" s="5" t="s">
        <v>512</v>
      </c>
      <c r="B4770" s="5" t="s">
        <v>33</v>
      </c>
      <c r="C4770" s="22" t="n">
        <f aca="false">Q!$D$41</f>
        <v>10.721</v>
      </c>
      <c r="D4770" s="22" t="n">
        <f aca="false">Q!$E$41</f>
        <v>10.827</v>
      </c>
      <c r="E4770" s="22" t="n">
        <f aca="false">(Q!$L$41+Q!$M$41)/2</f>
        <v>10.8885</v>
      </c>
      <c r="F4770" s="22" t="n">
        <f aca="false">Sens!$G$4770</f>
        <v>10.924806</v>
      </c>
      <c r="G4770" s="22" t="n">
        <f aca="false">Q!$M$41*(1+sh_g*0.25)</f>
        <v>10.924806</v>
      </c>
      <c r="H4770" s="22" t="n">
        <f aca="false">Sens!$G$4770*(1+sh_g)</f>
        <v>11.012204448</v>
      </c>
      <c r="I4770" s="22" t="n">
        <f aca="false">Sens!$H$4770*(1+sh_g)</f>
        <v>11.100302083584</v>
      </c>
      <c r="J4770" s="22" t="n">
        <f aca="false">Sens!$I$4770*(1+sh_g)</f>
        <v>11.1891045002527</v>
      </c>
      <c r="K4770" s="22" t="n">
        <f aca="false">Sens!$J$4770*(1+sh_g)</f>
        <v>11.2786173362547</v>
      </c>
      <c r="L4770" s="22" t="n">
        <f aca="false">Sens!$K$4770*(1+sh_g)</f>
        <v>11.3688462749447</v>
      </c>
      <c r="M4770" s="22" t="n">
        <f aca="false">Sens!$L$4770*(1+sh_g)</f>
        <v>11.4597970451443</v>
      </c>
      <c r="P4770" s="5" t="s">
        <v>704</v>
      </c>
    </row>
    <row r="4771" customFormat="false" ht="17.15" hidden="false" customHeight="false" outlineLevel="0" collapsed="false">
      <c r="A4771" s="42" t="s">
        <v>705</v>
      </c>
      <c r="B4771" s="13" t="s">
        <v>27</v>
      </c>
      <c r="C4771" s="43" t="n">
        <f aca="false">Sens!$C$4769/Sens!$C$4770</f>
        <v>5.52635015390355</v>
      </c>
      <c r="D4771" s="43" t="n">
        <f aca="false">Sens!$D$4769/Sens!$D$4770</f>
        <v>7.1737323358271</v>
      </c>
      <c r="E4771" s="43" t="n">
        <f aca="false">Sens!$E$4769/Sens!$E$4770</f>
        <v>8.53212104513937</v>
      </c>
      <c r="F4771" s="13"/>
      <c r="G4771" s="43" t="n">
        <f aca="false">Sens!$G$4769/Sens!$G$4770</f>
        <v>12.9837886196495</v>
      </c>
      <c r="H4771" s="43" t="n">
        <f aca="false">Sens!$H$4769/Sens!$H$4770</f>
        <v>9.92287088558062</v>
      </c>
      <c r="I4771" s="43" t="n">
        <f aca="false">Sens!$I$4769/Sens!$I$4770</f>
        <v>11.5587999674403</v>
      </c>
      <c r="J4771" s="43" t="n">
        <f aca="false">Sens!$J$4769/Sens!$J$4770</f>
        <v>13.0931569892035</v>
      </c>
      <c r="K4771" s="43" t="n">
        <f aca="false">Sens!$K$4769/Sens!$K$4770</f>
        <v>14.4289852444711</v>
      </c>
      <c r="L4771" s="43" t="n">
        <f aca="false">Sens!$L$4769/Sens!$L$4770</f>
        <v>16.0008676322621</v>
      </c>
      <c r="M4771" s="43" t="n">
        <f aca="false">Sens!$M$4769/Sens!$M$4770</f>
        <v>17.6340647450673</v>
      </c>
      <c r="N4771" s="13"/>
      <c r="O4771" s="13"/>
    </row>
    <row r="4772" customFormat="false" ht="17.15" hidden="false" customHeight="false" outlineLevel="0" collapsed="false">
      <c r="A4772" s="0" t="s">
        <v>706</v>
      </c>
      <c r="B4772" s="0" t="s">
        <v>27</v>
      </c>
      <c r="C4772" s="30" t="n">
        <f aca="false">(Sens!$C$4769-Sens!$C$4766*(1-tax))/Sens!$C$4770</f>
        <v>5.33926775917445</v>
      </c>
      <c r="D4772" s="30" t="n">
        <f aca="false">(Sens!$D$4769-Sens!$D$4766*(1-tax))/Sens!$D$4770</f>
        <v>5.67691812755503</v>
      </c>
      <c r="E4772" s="30" t="n">
        <f aca="false">(Sens!$E$4769-Sens!$E$4766*(1-tax))/Sens!$E$4770</f>
        <v>3.10602057006846</v>
      </c>
      <c r="G4772" s="30" t="n">
        <f aca="false">(Sens!$G$4769-Sens!$G$4766*(1-tax))/Sens!$G$4770</f>
        <v>7.57572050175252</v>
      </c>
      <c r="H4772" s="30" t="n">
        <f aca="false">(Sens!$H$4769-Sens!$H$4766*(1-tax))/Sens!$H$4770</f>
        <v>9.92287088558062</v>
      </c>
      <c r="I4772" s="30" t="n">
        <f aca="false">(Sens!$I$4769-Sens!$I$4766*(1-tax))/Sens!$I$4770</f>
        <v>11.5587999674403</v>
      </c>
      <c r="J4772" s="30" t="n">
        <f aca="false">(Sens!$J$4769-Sens!$J$4766*(1-tax))/Sens!$J$4770</f>
        <v>13.0931569892035</v>
      </c>
      <c r="K4772" s="30" t="n">
        <f aca="false">(Sens!$K$4769-Sens!$K$4766*(1-tax))/Sens!$K$4770</f>
        <v>14.4289852444711</v>
      </c>
      <c r="L4772" s="30" t="n">
        <f aca="false">(Sens!$L$4769-Sens!$L$4766*(1-tax))/Sens!$L$4770</f>
        <v>16.0008676322621</v>
      </c>
      <c r="M4772" s="30" t="n">
        <f aca="false">(Sens!$M$4769-Sens!$M$4766*(1-tax))/Sens!$M$4770</f>
        <v>17.6340647450673</v>
      </c>
      <c r="P4772" s="5" t="s">
        <v>707</v>
      </c>
    </row>
    <row r="4773" customFormat="false" ht="17.15" hidden="false" customHeight="false" outlineLevel="0" collapsed="false">
      <c r="A4773" s="0" t="s">
        <v>708</v>
      </c>
      <c r="B4773" s="0" t="s">
        <v>52</v>
      </c>
      <c r="H4773" s="12" t="n">
        <f aca="false">Sens!$H$4771/Sens!$G$4771-1</f>
        <v>-0.23574919645846</v>
      </c>
      <c r="I4773" s="12" t="n">
        <f aca="false">Sens!$I$4771/Sens!$H$4771-1</f>
        <v>0.164864493423664</v>
      </c>
      <c r="J4773" s="12" t="n">
        <f aca="false">Sens!$J$4771/Sens!$I$4771-1</f>
        <v>0.132743626162345</v>
      </c>
      <c r="K4773" s="12" t="n">
        <f aca="false">Sens!$K$4771/Sens!$J$4771-1</f>
        <v>0.102024917013454</v>
      </c>
      <c r="L4773" s="12" t="n">
        <f aca="false">Sens!$L$4771/Sens!$K$4771-1</f>
        <v>0.108939219297719</v>
      </c>
      <c r="M4773" s="12" t="n">
        <f aca="false">Sens!$M$4771/Sens!$L$4771-1</f>
        <v>0.102069284637555</v>
      </c>
    </row>
    <row r="4776" customFormat="false" ht="19.4" hidden="false" customHeight="false" outlineLevel="0" collapsed="false">
      <c r="A4776" s="31" t="s">
        <v>1146</v>
      </c>
    </row>
    <row r="4777" customFormat="false" ht="17.15" hidden="false" customHeight="false" outlineLevel="0" collapsed="false">
      <c r="A4777" s="6" t="s">
        <v>16</v>
      </c>
      <c r="B4777" s="6" t="s">
        <v>17</v>
      </c>
      <c r="C4777" s="20" t="s">
        <v>457</v>
      </c>
      <c r="D4777" s="20" t="s">
        <v>458</v>
      </c>
      <c r="E4777" s="20" t="s">
        <v>540</v>
      </c>
      <c r="F4777" s="20" t="s">
        <v>541</v>
      </c>
      <c r="G4777" s="20" t="s">
        <v>542</v>
      </c>
      <c r="H4777" s="20" t="s">
        <v>543</v>
      </c>
      <c r="I4777" s="20" t="s">
        <v>544</v>
      </c>
      <c r="J4777" s="20" t="s">
        <v>545</v>
      </c>
      <c r="K4777" s="20" t="s">
        <v>546</v>
      </c>
      <c r="L4777" s="20" t="s">
        <v>547</v>
      </c>
      <c r="M4777" s="20" t="s">
        <v>548</v>
      </c>
      <c r="N4777" s="20" t="s">
        <v>549</v>
      </c>
      <c r="O4777" s="20" t="s">
        <v>550</v>
      </c>
      <c r="P4777" s="6" t="s">
        <v>23</v>
      </c>
      <c r="R4777" s="20" t="n">
        <v>2023</v>
      </c>
      <c r="S4777" s="20" t="n">
        <v>2024</v>
      </c>
      <c r="T4777" s="20" t="n">
        <v>2025</v>
      </c>
      <c r="U4777" s="20" t="n">
        <v>2026</v>
      </c>
      <c r="V4777" s="20" t="n">
        <v>2027</v>
      </c>
      <c r="W4777" s="20" t="n">
        <v>2028</v>
      </c>
      <c r="X4777" s="20" t="n">
        <v>2029</v>
      </c>
      <c r="Y4777" s="20" t="n">
        <v>2030</v>
      </c>
      <c r="Z4777" s="20" t="n">
        <v>2031</v>
      </c>
      <c r="AA4777" s="20" t="n">
        <v>2032</v>
      </c>
    </row>
    <row r="4778" customFormat="false" ht="15" hidden="false" customHeight="false" outlineLevel="0" collapsed="false">
      <c r="A4778" s="5" t="s">
        <v>509</v>
      </c>
      <c r="B4778" s="0" t="s">
        <v>73</v>
      </c>
      <c r="C4778" s="38" t="n">
        <f aca="false">Sens!$C$4769</f>
        <v>59.248</v>
      </c>
      <c r="D4778" s="38" t="n">
        <f aca="false">Sens!$D$4769</f>
        <v>77.67</v>
      </c>
      <c r="E4778" s="38" t="n">
        <f aca="false">Sens!$E$4769</f>
        <v>92.902</v>
      </c>
      <c r="F4778" s="38" t="n">
        <f aca="false">Sens!$F$4769</f>
        <v>48.9433718146785</v>
      </c>
      <c r="G4778" s="38" t="n">
        <f aca="false">Sens!$G$4769</f>
        <v>141.845371814679</v>
      </c>
      <c r="H4778" s="38" t="n">
        <f aca="false">Sens!$H$4769</f>
        <v>109.272682903121</v>
      </c>
      <c r="I4778" s="38" t="n">
        <f aca="false">Sens!$I$4769</f>
        <v>128.306171362308</v>
      </c>
      <c r="J4778" s="38" t="n">
        <f aca="false">Sens!$J$4769</f>
        <v>146.500701790412</v>
      </c>
      <c r="K4778" s="38" t="n">
        <f aca="false">Sens!$K$4769</f>
        <v>162.739003122855</v>
      </c>
      <c r="L4778" s="38" t="n">
        <f aca="false">Sens!$L$4769</f>
        <v>181.911404376927</v>
      </c>
      <c r="M4778" s="38" t="n">
        <f aca="false">Sens!$M$4769</f>
        <v>202.082803059406</v>
      </c>
    </row>
    <row r="4779" customFormat="false" ht="17.15" hidden="false" customHeight="false" outlineLevel="0" collapsed="false">
      <c r="A4779" s="5" t="s">
        <v>730</v>
      </c>
      <c r="B4779" s="0" t="s">
        <v>73</v>
      </c>
      <c r="C4779" s="38" t="n">
        <f aca="false">Sens!$C$4757</f>
        <v>32.067</v>
      </c>
      <c r="D4779" s="38" t="n">
        <f aca="false">Sens!$D$4757</f>
        <v>41.86</v>
      </c>
      <c r="E4779" s="38" t="n">
        <f aca="false">Sens!$E$4757</f>
        <v>26.703</v>
      </c>
      <c r="F4779" s="38" t="n">
        <f aca="false">Sens!$F$4757</f>
        <v>30.6103857251209</v>
      </c>
      <c r="G4779" s="38" t="n">
        <f aca="false">Sens!$G$4757</f>
        <v>57.3133857251209</v>
      </c>
      <c r="H4779" s="38" t="n">
        <f aca="false">Sens!$H$4757</f>
        <v>87.6845218193838</v>
      </c>
      <c r="I4779" s="38" t="n">
        <f aca="false">Sens!$I$4757</f>
        <v>122.294769708638</v>
      </c>
      <c r="J4779" s="38" t="n">
        <f aca="false">Sens!$J$4757</f>
        <v>157.133962573221</v>
      </c>
      <c r="K4779" s="38" t="n">
        <f aca="false">Sens!$K$4757</f>
        <v>191.350633353599</v>
      </c>
      <c r="L4779" s="38" t="n">
        <f aca="false">Sens!$L$4757</f>
        <v>223.909238335354</v>
      </c>
      <c r="M4779" s="38" t="n">
        <f aca="false">Sens!$M$4757</f>
        <v>257.576319867276</v>
      </c>
    </row>
    <row r="4780" customFormat="false" ht="15" hidden="false" customHeight="false" outlineLevel="0" collapsed="false">
      <c r="A4780" s="5" t="s">
        <v>731</v>
      </c>
      <c r="B4780" s="0" t="s">
        <v>73</v>
      </c>
      <c r="C4780" s="38" t="n">
        <f aca="false">Q!$D$48</f>
        <v>22.011</v>
      </c>
      <c r="D4780" s="38" t="n">
        <f aca="false">Q!$E$48</f>
        <v>19.467</v>
      </c>
      <c r="E4780" s="38" t="n">
        <f aca="false">Q!$P$48</f>
        <v>10.07</v>
      </c>
      <c r="F4780" s="38" t="n">
        <f aca="false">sbc_r*Sens!$F$4701</f>
        <v>11.2170714500462</v>
      </c>
      <c r="G4780" s="38" t="n">
        <f aca="false">Sens!$E$4780+Sens!$F$4780</f>
        <v>21.2870714500462</v>
      </c>
      <c r="H4780" s="38" t="n">
        <f aca="false">sbc_r*Sens!$H$4701</f>
        <v>24.1772394325528</v>
      </c>
      <c r="I4780" s="38" t="n">
        <f aca="false">sbc_r*Sens!$I$4701</f>
        <v>27.6495284422397</v>
      </c>
      <c r="J4780" s="38" t="n">
        <f aca="false">sbc_r*Sens!$J$4701</f>
        <v>30.9042211184633</v>
      </c>
      <c r="K4780" s="38" t="n">
        <f aca="false">sbc_r*Sens!$K$4701</f>
        <v>33.8004145402678</v>
      </c>
      <c r="L4780" s="38" t="n">
        <f aca="false">sbc_r*Sens!$L$4701</f>
        <v>36.8322537652494</v>
      </c>
      <c r="M4780" s="38" t="n">
        <f aca="false">sbc_r*Sens!$M$4701</f>
        <v>40.0097627968013</v>
      </c>
    </row>
    <row r="4781" customFormat="false" ht="17.15" hidden="false" customHeight="false" outlineLevel="0" collapsed="false">
      <c r="A4781" s="5" t="s">
        <v>732</v>
      </c>
      <c r="B4781" s="0" t="s">
        <v>73</v>
      </c>
      <c r="C4781" s="38" t="n">
        <f aca="false">Q!$D$44-Sens!$C$4778-Sens!$C$4779-Sens!$C$4780</f>
        <v>2.551</v>
      </c>
      <c r="D4781" s="38" t="n">
        <f aca="false">Q!$E$44-Sens!$D$4778-Sens!$D$4779-Sens!$D$4780</f>
        <v>0.51700000000001</v>
      </c>
      <c r="E4781" s="38" t="n">
        <f aca="false">Q!$P$44-Sens!$E$4778-Sens!$E$4779-Sens!$E$4780</f>
        <v>-58.256</v>
      </c>
      <c r="F4781" s="38" t="n">
        <f aca="false">wc_2h26+oth_r*Sens!$F$4701</f>
        <v>7.34599241893378</v>
      </c>
      <c r="G4781" s="38" t="n">
        <f aca="false">Sens!$E$4781+Sens!$F$4781</f>
        <v>-50.9100075810662</v>
      </c>
      <c r="H4781" s="38" t="n">
        <f aca="false">oth_r*Sens!$H$4701</f>
        <v>11.6369707537667</v>
      </c>
      <c r="I4781" s="38" t="n">
        <f aca="false">oth_r*Sens!$I$4701</f>
        <v>13.3082502961262</v>
      </c>
      <c r="J4781" s="38" t="n">
        <f aca="false">oth_r*Sens!$J$4701</f>
        <v>14.8747965344332</v>
      </c>
      <c r="K4781" s="38" t="n">
        <f aca="false">oth_r*Sens!$K$4701</f>
        <v>16.2687901804328</v>
      </c>
      <c r="L4781" s="38" t="n">
        <f aca="false">oth_r*Sens!$L$4701</f>
        <v>17.7280727627002</v>
      </c>
      <c r="M4781" s="38" t="n">
        <f aca="false">oth_r*Sens!$M$4701</f>
        <v>19.2574690270319</v>
      </c>
      <c r="P4781" s="8" t="s">
        <v>733</v>
      </c>
    </row>
    <row r="4782" customFormat="false" ht="15" hidden="false" customHeight="false" outlineLevel="0" collapsed="false">
      <c r="A4782" s="3" t="s">
        <v>515</v>
      </c>
      <c r="B4782" s="8" t="s">
        <v>73</v>
      </c>
      <c r="C4782" s="38" t="n">
        <f aca="false">Q!$D$44</f>
        <v>115.877</v>
      </c>
      <c r="D4782" s="38" t="n">
        <f aca="false">Q!$E$44</f>
        <v>139.514</v>
      </c>
      <c r="E4782" s="38" t="n">
        <f aca="false">Q!$P$44</f>
        <v>71.419</v>
      </c>
      <c r="F4782" s="38" t="n">
        <f aca="false">Sens!$F$4778+Sens!$F$4779+Sens!$F$4780+Sens!$F$4781</f>
        <v>98.1168214087795</v>
      </c>
      <c r="G4782" s="38" t="n">
        <f aca="false">Sens!$E$4782+Sens!$F$4782</f>
        <v>169.535821408779</v>
      </c>
      <c r="H4782" s="38" t="n">
        <f aca="false">Sens!$H$4778+Sens!$H$4779+Sens!$H$4780+Sens!$H$4781</f>
        <v>232.771414908824</v>
      </c>
      <c r="I4782" s="38" t="n">
        <f aca="false">Sens!$I$4778+Sens!$I$4779+Sens!$I$4780+Sens!$I$4781</f>
        <v>291.558719809312</v>
      </c>
      <c r="J4782" s="38" t="n">
        <f aca="false">Sens!$J$4778+Sens!$J$4779+Sens!$J$4780+Sens!$J$4781</f>
        <v>349.413682016529</v>
      </c>
      <c r="K4782" s="38" t="n">
        <f aca="false">Sens!$K$4778+Sens!$K$4779+Sens!$K$4780+Sens!$K$4781</f>
        <v>404.158841197156</v>
      </c>
      <c r="L4782" s="38" t="n">
        <f aca="false">Sens!$L$4778+Sens!$L$4779+Sens!$L$4780+Sens!$L$4781</f>
        <v>460.380969240231</v>
      </c>
      <c r="M4782" s="38" t="n">
        <f aca="false">Sens!$M$4778+Sens!$M$4779+Sens!$M$4780+Sens!$M$4781</f>
        <v>518.926354750515</v>
      </c>
    </row>
    <row r="4783" customFormat="false" ht="17.15" hidden="false" customHeight="false" outlineLevel="0" collapsed="false">
      <c r="A4783" s="5" t="s">
        <v>734</v>
      </c>
      <c r="B4783" s="0" t="s">
        <v>73</v>
      </c>
      <c r="C4783" s="38" t="n">
        <f aca="false">Sens!$C$4671</f>
        <v>25.2781053077374</v>
      </c>
      <c r="D4783" s="38" t="n">
        <f aca="false">Sens!$D$4671</f>
        <v>69.5686316310026</v>
      </c>
      <c r="E4783" s="38" t="n">
        <f aca="false">Sens!$E$4671</f>
        <v>64.1899206485108</v>
      </c>
      <c r="F4783" s="38" t="n">
        <f aca="false">Sens!$F$4671</f>
        <v>96.2481299895</v>
      </c>
      <c r="G4783" s="38" t="n">
        <f aca="false">Sens!$G$4671</f>
        <v>160.438050638011</v>
      </c>
      <c r="H4783" s="38" t="n">
        <f aca="false">Sens!$H$4671</f>
        <v>198.57136494475</v>
      </c>
      <c r="I4783" s="38" t="n">
        <f aca="false">Sens!$I$4671</f>
        <v>204.6464699105</v>
      </c>
      <c r="J4783" s="38" t="n">
        <f aca="false">Sens!$J$4671</f>
        <v>209.8832381105</v>
      </c>
      <c r="K4783" s="38" t="n">
        <f aca="false">Sens!$K$4671</f>
        <v>215.1200063105</v>
      </c>
      <c r="L4783" s="38" t="n">
        <f aca="false">Sens!$L$4671</f>
        <v>251.7773837105</v>
      </c>
      <c r="M4783" s="38" t="n">
        <f aca="false">Sens!$M$4671</f>
        <v>311.87584476575</v>
      </c>
    </row>
    <row r="4784" customFormat="false" ht="17.15" hidden="false" customHeight="false" outlineLevel="0" collapsed="false">
      <c r="A4784" s="5" t="s">
        <v>735</v>
      </c>
      <c r="B4784" s="0" t="s">
        <v>73</v>
      </c>
      <c r="C4784" s="38" t="n">
        <f aca="false">cx_awso*Sens!$C$4699</f>
        <v>21.0469989286053</v>
      </c>
      <c r="D4784" s="38" t="n">
        <f aca="false">cx_awso*Sens!$D$4699</f>
        <v>24.0042459822698</v>
      </c>
      <c r="E4784" s="38" t="n">
        <f aca="false">cx_awso*Sens!$E$4699</f>
        <v>14.261729404886</v>
      </c>
      <c r="F4784" s="38" t="n">
        <f aca="false">cx_awso*Sens!$F$4699</f>
        <v>15.7190020837331</v>
      </c>
      <c r="G4784" s="38" t="n">
        <f aca="false">Sens!$E$4784+Sens!$F$4784</f>
        <v>29.9807314886191</v>
      </c>
      <c r="H4784" s="38" t="n">
        <f aca="false">cx_awso*Sens!$H$4699</f>
        <v>36.1787121536283</v>
      </c>
      <c r="I4784" s="38" t="n">
        <f aca="false">cx_awso*Sens!$I$4699</f>
        <v>42.1296794430021</v>
      </c>
      <c r="J4784" s="38" t="n">
        <f aca="false">cx_awso*Sens!$J$4699</f>
        <v>47.279781889299</v>
      </c>
      <c r="K4784" s="38" t="n">
        <f aca="false">cx_awso*Sens!$K$4699</f>
        <v>51.0621644404429</v>
      </c>
      <c r="L4784" s="38" t="n">
        <f aca="false">cx_awso*Sens!$L$4699</f>
        <v>55.1471375956783</v>
      </c>
      <c r="M4784" s="38" t="n">
        <f aca="false">cx_awso*Sens!$M$4699</f>
        <v>59.5589086033326</v>
      </c>
    </row>
    <row r="4785" customFormat="false" ht="17.15" hidden="false" customHeight="false" outlineLevel="0" collapsed="false">
      <c r="A4785" s="5" t="s">
        <v>736</v>
      </c>
      <c r="B4785" s="0" t="s">
        <v>73</v>
      </c>
      <c r="C4785" s="38" t="n">
        <f aca="false">Q!$D$46-Sens!$C$4783-Sens!$C$4784</f>
        <v>31.3328957636573</v>
      </c>
      <c r="D4785" s="38" t="n">
        <f aca="false">Q!$E$46-Sens!$D$4783-Sens!$D$4784</f>
        <v>34.7471223867276</v>
      </c>
      <c r="E4785" s="38" t="n">
        <f aca="false">Q!$P$46-Sens!$E$4783-Sens!$E$4784</f>
        <v>17.8583499466032</v>
      </c>
      <c r="F4785" s="38" t="n">
        <f aca="false">cx_rt*Sens!$F$4635</f>
        <v>21.0855744229195</v>
      </c>
      <c r="G4785" s="38" t="n">
        <f aca="false">Sens!$E$4785+Sens!$F$4785</f>
        <v>38.9439243695228</v>
      </c>
      <c r="H4785" s="38" t="n">
        <f aca="false">cx_rt*Sens!$H$4635</f>
        <v>43.1200434029767</v>
      </c>
      <c r="I4785" s="38" t="n">
        <f aca="false">cx_rt*Sens!$I$4635</f>
        <v>47.1583152318763</v>
      </c>
      <c r="J4785" s="38" t="n">
        <f aca="false">cx_rt*Sens!$J$4635</f>
        <v>50.9060281137911</v>
      </c>
      <c r="K4785" s="38" t="n">
        <f aca="false">cx_rt*Sens!$K$4635</f>
        <v>54.2035645673053</v>
      </c>
      <c r="L4785" s="38" t="n">
        <f aca="false">cx_rt*Sens!$L$4635</f>
        <v>57.7318979121519</v>
      </c>
      <c r="M4785" s="38" t="n">
        <f aca="false">cx_rt*Sens!$M$4635</f>
        <v>61.5084196557756</v>
      </c>
    </row>
    <row r="4786" customFormat="false" ht="15" hidden="false" customHeight="false" outlineLevel="0" collapsed="false">
      <c r="A4786" s="3" t="s">
        <v>737</v>
      </c>
      <c r="B4786" s="8" t="s">
        <v>73</v>
      </c>
      <c r="C4786" s="38" t="n">
        <f aca="false">Q!$D$46</f>
        <v>77.658</v>
      </c>
      <c r="D4786" s="38" t="n">
        <f aca="false">Q!$E$46</f>
        <v>128.32</v>
      </c>
      <c r="E4786" s="38" t="n">
        <f aca="false">Q!$P$46</f>
        <v>96.31</v>
      </c>
      <c r="F4786" s="38" t="n">
        <f aca="false">Sens!$F$4783+Sens!$F$4784+Sens!$F$4785</f>
        <v>133.052706496153</v>
      </c>
      <c r="G4786" s="38" t="n">
        <f aca="false">Sens!$E$4786+Sens!$F$4786</f>
        <v>229.362706496153</v>
      </c>
      <c r="H4786" s="38" t="n">
        <f aca="false">Sens!$H$4783+Sens!$H$4784+Sens!$H$4785</f>
        <v>277.870120501355</v>
      </c>
      <c r="I4786" s="38" t="n">
        <f aca="false">Sens!$I$4783+Sens!$I$4784+Sens!$I$4785</f>
        <v>293.934464585378</v>
      </c>
      <c r="J4786" s="38" t="n">
        <f aca="false">Sens!$J$4783+Sens!$J$4784+Sens!$J$4785</f>
        <v>308.06904811359</v>
      </c>
      <c r="K4786" s="38" t="n">
        <f aca="false">Sens!$K$4783+Sens!$K$4784+Sens!$K$4785</f>
        <v>320.385735318248</v>
      </c>
      <c r="L4786" s="38" t="n">
        <f aca="false">Sens!$L$4783+Sens!$L$4784+Sens!$L$4785</f>
        <v>364.65641921833</v>
      </c>
      <c r="M4786" s="38" t="n">
        <f aca="false">Sens!$M$4783+Sens!$M$4784+Sens!$M$4785</f>
        <v>432.943173024858</v>
      </c>
    </row>
    <row r="4787" customFormat="false" ht="17.15" hidden="false" customHeight="false" outlineLevel="0" collapsed="false">
      <c r="A4787" s="5" t="s">
        <v>523</v>
      </c>
      <c r="B4787" s="0" t="s">
        <v>73</v>
      </c>
      <c r="C4787" s="38" t="n">
        <f aca="false">Q!$D$50</f>
        <v>2.043</v>
      </c>
      <c r="D4787" s="38" t="n">
        <f aca="false">Q!$E$50</f>
        <v>1.557</v>
      </c>
      <c r="E4787" s="38" t="n">
        <f aca="false">lease_pr/2</f>
        <v>0.8</v>
      </c>
      <c r="F4787" s="38" t="n">
        <f aca="false">lease_pr/2</f>
        <v>0.8</v>
      </c>
      <c r="G4787" s="38" t="n">
        <f aca="false">Sens!$E$4787+Sens!$F$4787</f>
        <v>1.6</v>
      </c>
      <c r="H4787" s="38" t="n">
        <f aca="false">lease_pr</f>
        <v>1.6</v>
      </c>
      <c r="I4787" s="38" t="n">
        <f aca="false">lease_pr</f>
        <v>1.6</v>
      </c>
      <c r="J4787" s="38" t="n">
        <f aca="false">lease_pr</f>
        <v>1.6</v>
      </c>
      <c r="K4787" s="38" t="n">
        <f aca="false">lease_pr</f>
        <v>1.6</v>
      </c>
      <c r="L4787" s="38" t="n">
        <f aca="false">lease_pr</f>
        <v>1.6</v>
      </c>
      <c r="M4787" s="38" t="n">
        <f aca="false">lease_pr</f>
        <v>1.6</v>
      </c>
      <c r="P4787" s="8" t="s">
        <v>738</v>
      </c>
    </row>
    <row r="4788" customFormat="false" ht="15" hidden="false" customHeight="false" outlineLevel="0" collapsed="false">
      <c r="A4788" s="46" t="s">
        <v>739</v>
      </c>
      <c r="B4788" s="13" t="s">
        <v>73</v>
      </c>
      <c r="C4788" s="47" t="n">
        <f aca="false">Sens!$C$4782-Sens!$C$4786-Sens!$C$4787</f>
        <v>36.176</v>
      </c>
      <c r="D4788" s="47" t="n">
        <f aca="false">Sens!$D$4782-Sens!$D$4786-Sens!$D$4787</f>
        <v>9.63700000000002</v>
      </c>
      <c r="E4788" s="47" t="n">
        <f aca="false">Sens!$E$4782-Sens!$E$4786-Sens!$E$4787</f>
        <v>-25.691</v>
      </c>
      <c r="F4788" s="47" t="n">
        <f aca="false">Sens!$F$4782-Sens!$F$4786-Sens!$F$4787</f>
        <v>-35.7358850873731</v>
      </c>
      <c r="G4788" s="47" t="n">
        <f aca="false">Sens!$G$4782-Sens!$G$4786-Sens!$G$4787</f>
        <v>-61.4268850873731</v>
      </c>
      <c r="H4788" s="47" t="n">
        <f aca="false">Sens!$H$4782-Sens!$H$4786-Sens!$H$4787</f>
        <v>-46.6987055925312</v>
      </c>
      <c r="I4788" s="47" t="n">
        <f aca="false">Sens!$I$4782-Sens!$I$4786-Sens!$I$4787</f>
        <v>-3.97574477606648</v>
      </c>
      <c r="J4788" s="47" t="n">
        <f aca="false">Sens!$J$4782-Sens!$J$4786-Sens!$J$4787</f>
        <v>39.7446339029391</v>
      </c>
      <c r="K4788" s="47" t="n">
        <f aca="false">Sens!$K$4782-Sens!$K$4786-Sens!$K$4787</f>
        <v>82.1731058789073</v>
      </c>
      <c r="L4788" s="47" t="n">
        <f aca="false">Sens!$L$4782-Sens!$L$4786-Sens!$L$4787</f>
        <v>94.1245500219009</v>
      </c>
      <c r="M4788" s="47" t="n">
        <f aca="false">Sens!$M$4782-Sens!$M$4786-Sens!$M$4787</f>
        <v>84.3831817256571</v>
      </c>
      <c r="N4788" s="13"/>
      <c r="O4788" s="13"/>
    </row>
    <row r="4789" customFormat="false" ht="17.15" hidden="false" customHeight="false" outlineLevel="0" collapsed="false">
      <c r="A4789" s="5" t="s">
        <v>740</v>
      </c>
      <c r="B4789" s="0" t="s">
        <v>73</v>
      </c>
      <c r="C4789" s="38" t="n">
        <f aca="false">dps*Sens!$C$4770</f>
        <v>0</v>
      </c>
      <c r="D4789" s="38" t="n">
        <f aca="false">dps*Sens!$D$4770</f>
        <v>0</v>
      </c>
      <c r="E4789" s="38" t="n">
        <f aca="false">dps*Sens!$E$4770</f>
        <v>0</v>
      </c>
      <c r="F4789" s="38" t="n">
        <f aca="false">0</f>
        <v>0</v>
      </c>
      <c r="G4789" s="38" t="n">
        <f aca="false">dps*Sens!$G$4770</f>
        <v>0</v>
      </c>
      <c r="H4789" s="38" t="n">
        <f aca="false">dps*Sens!$H$4770</f>
        <v>0</v>
      </c>
      <c r="I4789" s="38" t="n">
        <f aca="false">dps*Sens!$I$4770</f>
        <v>0</v>
      </c>
      <c r="J4789" s="38" t="n">
        <f aca="false">dps*Sens!$J$4770</f>
        <v>0</v>
      </c>
      <c r="K4789" s="38" t="n">
        <f aca="false">dps*Sens!$K$4770</f>
        <v>0</v>
      </c>
      <c r="L4789" s="38" t="n">
        <f aca="false">dps*Sens!$L$4770</f>
        <v>0</v>
      </c>
      <c r="M4789" s="38" t="n">
        <f aca="false">dps*Sens!$M$4770</f>
        <v>0</v>
      </c>
      <c r="P4789" s="8" t="s">
        <v>741</v>
      </c>
    </row>
    <row r="4790" customFormat="false" ht="17.15" hidden="false" customHeight="false" outlineLevel="0" collapsed="false">
      <c r="A4790" s="5" t="s">
        <v>742</v>
      </c>
      <c r="B4790" s="0" t="s">
        <v>73</v>
      </c>
      <c r="C4790" s="38" t="n">
        <f aca="false">0</f>
        <v>0</v>
      </c>
      <c r="D4790" s="38" t="n">
        <f aca="false">0</f>
        <v>0</v>
      </c>
      <c r="E4790" s="38" t="n">
        <f aca="false">0</f>
        <v>0</v>
      </c>
      <c r="F4790" s="38" t="n">
        <f aca="false">0</f>
        <v>0</v>
      </c>
      <c r="G4790" s="38" t="n">
        <f aca="false">0</f>
        <v>0</v>
      </c>
      <c r="H4790" s="38" t="n">
        <f aca="false">0</f>
        <v>0</v>
      </c>
      <c r="I4790" s="38" t="n">
        <f aca="false">0</f>
        <v>0</v>
      </c>
      <c r="J4790" s="38" t="n">
        <f aca="false">0</f>
        <v>0</v>
      </c>
      <c r="K4790" s="38" t="n">
        <f aca="false">0</f>
        <v>0</v>
      </c>
      <c r="L4790" s="38" t="n">
        <f aca="false">0</f>
        <v>0</v>
      </c>
      <c r="M4790" s="38" t="n">
        <f aca="false">0</f>
        <v>0</v>
      </c>
      <c r="P4790" s="8" t="s">
        <v>743</v>
      </c>
    </row>
    <row r="4791" customFormat="false" ht="15" hidden="false" customHeight="false" outlineLevel="0" collapsed="false">
      <c r="A4791" s="3" t="s">
        <v>744</v>
      </c>
      <c r="B4791" s="8" t="s">
        <v>73</v>
      </c>
      <c r="C4791" s="38" t="n">
        <f aca="false">Sens!$C$4788-Sens!$C$4789</f>
        <v>36.176</v>
      </c>
      <c r="D4791" s="38" t="n">
        <f aca="false">Sens!$D$4788-Sens!$D$4789</f>
        <v>9.63700000000002</v>
      </c>
      <c r="E4791" s="38" t="n">
        <f aca="false">Sens!$E$4788-Sens!$E$4789</f>
        <v>-25.691</v>
      </c>
      <c r="F4791" s="38" t="n">
        <f aca="false">Sens!$F$4788-Sens!$F$4789</f>
        <v>-35.7358850873731</v>
      </c>
      <c r="G4791" s="38" t="n">
        <f aca="false">Sens!$G$4788-Sens!$G$4789</f>
        <v>-61.4268850873731</v>
      </c>
      <c r="H4791" s="38" t="n">
        <f aca="false">Sens!$H$4788-Sens!$H$4789</f>
        <v>-46.6987055925312</v>
      </c>
      <c r="I4791" s="38" t="n">
        <f aca="false">Sens!$I$4788-Sens!$I$4789</f>
        <v>-3.97574477606648</v>
      </c>
      <c r="J4791" s="38" t="n">
        <f aca="false">Sens!$J$4788-Sens!$J$4789</f>
        <v>39.7446339029391</v>
      </c>
      <c r="K4791" s="38" t="n">
        <f aca="false">Sens!$K$4788-Sens!$K$4789</f>
        <v>82.1731058789073</v>
      </c>
      <c r="L4791" s="38" t="n">
        <f aca="false">Sens!$L$4788-Sens!$L$4789</f>
        <v>94.1245500219009</v>
      </c>
      <c r="M4791" s="38" t="n">
        <f aca="false">Sens!$M$4788-Sens!$M$4789</f>
        <v>84.3831817256571</v>
      </c>
    </row>
    <row r="4792" customFormat="false" ht="17.15" hidden="false" customHeight="false" outlineLevel="0" collapsed="false">
      <c r="A4792" s="5" t="s">
        <v>745</v>
      </c>
      <c r="B4792" s="0" t="s">
        <v>73</v>
      </c>
      <c r="E4792" s="38" t="n">
        <f aca="false">Q!$P$53</f>
        <v>39.767</v>
      </c>
      <c r="F4792" s="38" t="n">
        <f aca="false">inv_2h26</f>
        <v>21.3</v>
      </c>
      <c r="G4792" s="38" t="n">
        <f aca="false">Sens!$E$4792+Sens!$F$4792</f>
        <v>61.067</v>
      </c>
      <c r="H4792" s="41" t="n">
        <v>0</v>
      </c>
      <c r="I4792" s="41" t="n">
        <v>0</v>
      </c>
      <c r="J4792" s="41" t="n">
        <v>0</v>
      </c>
      <c r="K4792" s="41" t="n">
        <v>0</v>
      </c>
      <c r="L4792" s="41" t="n">
        <v>0</v>
      </c>
      <c r="M4792" s="41" t="n">
        <v>0</v>
      </c>
    </row>
    <row r="4793" customFormat="false" ht="17.15" hidden="false" customHeight="false" outlineLevel="0" collapsed="false">
      <c r="A4793" s="5" t="s">
        <v>746</v>
      </c>
      <c r="B4793" s="0" t="s">
        <v>73</v>
      </c>
      <c r="F4793" s="38" t="n">
        <f aca="false">iss_2h26</f>
        <v>29.25</v>
      </c>
      <c r="G4793" s="38" t="n">
        <f aca="false">Sens!$F$4793</f>
        <v>29.25</v>
      </c>
      <c r="H4793" s="41" t="n">
        <v>0</v>
      </c>
      <c r="I4793" s="41" t="n">
        <v>0</v>
      </c>
      <c r="J4793" s="41" t="n">
        <v>0</v>
      </c>
      <c r="K4793" s="41" t="n">
        <v>0</v>
      </c>
      <c r="L4793" s="41" t="n">
        <v>0</v>
      </c>
      <c r="M4793" s="41" t="n">
        <v>0</v>
      </c>
    </row>
    <row r="4794" customFormat="false" ht="17.15" hidden="false" customHeight="false" outlineLevel="0" collapsed="false">
      <c r="A4794" s="5" t="s">
        <v>747</v>
      </c>
      <c r="B4794" s="0" t="s">
        <v>73</v>
      </c>
      <c r="F4794" s="38" t="n">
        <f aca="false">cash_q2</f>
        <v>122.988</v>
      </c>
      <c r="G4794" s="38" t="n">
        <f aca="false">cash_q2</f>
        <v>122.988</v>
      </c>
      <c r="H4794" s="38" t="n">
        <f aca="false">Sens!$G$4797</f>
        <v>95.2021149126269</v>
      </c>
      <c r="I4794" s="38" t="n">
        <f aca="false">Sens!$H$4797</f>
        <v>50</v>
      </c>
      <c r="J4794" s="38" t="n">
        <f aca="false">Sens!$I$4797</f>
        <v>50</v>
      </c>
      <c r="K4794" s="38" t="n">
        <f aca="false">Sens!$J$4797</f>
        <v>89.7446339029391</v>
      </c>
      <c r="L4794" s="38" t="n">
        <f aca="false">Sens!$K$4797</f>
        <v>171.917739781846</v>
      </c>
      <c r="M4794" s="38" t="n">
        <f aca="false">Sens!$L$4797</f>
        <v>266.042289803747</v>
      </c>
    </row>
    <row r="4795" customFormat="false" ht="15" hidden="false" customHeight="false" outlineLevel="0" collapsed="false">
      <c r="A4795" s="5" t="s">
        <v>748</v>
      </c>
      <c r="B4795" s="0" t="s">
        <v>73</v>
      </c>
      <c r="F4795" s="38" t="n">
        <f aca="false">Sens!$F$4794+Sens!$F$4791-Sens!$F$4790-Sens!$F$4792+Sens!$F$4793</f>
        <v>95.2021149126269</v>
      </c>
      <c r="H4795" s="38" t="n">
        <f aca="false">Sens!$H$4794+Sens!$H$4791-Sens!$H$4790-Sens!$H$4792+Sens!$H$4793</f>
        <v>48.5034093200957</v>
      </c>
      <c r="I4795" s="38" t="n">
        <f aca="false">Sens!$I$4794+Sens!$I$4791-Sens!$I$4790-Sens!$I$4792+Sens!$I$4793</f>
        <v>46.0242552239335</v>
      </c>
      <c r="J4795" s="38" t="n">
        <f aca="false">Sens!$J$4794+Sens!$J$4791-Sens!$J$4790-Sens!$J$4792+Sens!$J$4793</f>
        <v>89.7446339029391</v>
      </c>
      <c r="K4795" s="38" t="n">
        <f aca="false">Sens!$K$4794+Sens!$K$4791-Sens!$K$4790-Sens!$K$4792+Sens!$K$4793</f>
        <v>171.917739781846</v>
      </c>
      <c r="L4795" s="38" t="n">
        <f aca="false">Sens!$L$4794+Sens!$L$4791-Sens!$L$4790-Sens!$L$4792+Sens!$L$4793</f>
        <v>266.042289803747</v>
      </c>
      <c r="M4795" s="38" t="n">
        <f aca="false">Sens!$M$4794+Sens!$M$4791-Sens!$M$4790-Sens!$M$4792+Sens!$M$4793</f>
        <v>350.425471529404</v>
      </c>
    </row>
    <row r="4796" customFormat="false" ht="17.15" hidden="false" customHeight="false" outlineLevel="0" collapsed="false">
      <c r="A4796" s="5" t="s">
        <v>749</v>
      </c>
      <c r="B4796" s="0" t="s">
        <v>73</v>
      </c>
      <c r="F4796" s="38" t="n">
        <f aca="false">MAX(0,min_cash-Sens!$F$4795)</f>
        <v>0</v>
      </c>
      <c r="G4796" s="38" t="n">
        <f aca="false">Sens!$F$4796</f>
        <v>0</v>
      </c>
      <c r="H4796" s="38" t="n">
        <f aca="false">MAX(0,min_cash-Sens!$H$4795)</f>
        <v>1.49659067990431</v>
      </c>
      <c r="I4796" s="38" t="n">
        <f aca="false">MAX(0,min_cash-Sens!$I$4795)</f>
        <v>3.97574477606648</v>
      </c>
      <c r="J4796" s="38" t="n">
        <f aca="false">MAX(0,min_cash-Sens!$J$4795)</f>
        <v>0</v>
      </c>
      <c r="K4796" s="38" t="n">
        <f aca="false">MAX(0,min_cash-Sens!$K$4795)</f>
        <v>0</v>
      </c>
      <c r="L4796" s="38" t="n">
        <f aca="false">MAX(0,min_cash-Sens!$L$4795)</f>
        <v>0</v>
      </c>
      <c r="M4796" s="38" t="n">
        <f aca="false">MAX(0,min_cash-Sens!$M$4795)</f>
        <v>0</v>
      </c>
      <c r="P4796" s="5" t="s">
        <v>750</v>
      </c>
    </row>
    <row r="4797" customFormat="false" ht="15" hidden="false" customHeight="false" outlineLevel="0" collapsed="false">
      <c r="A4797" s="5" t="s">
        <v>751</v>
      </c>
      <c r="B4797" s="0" t="s">
        <v>73</v>
      </c>
      <c r="D4797" s="38" t="n">
        <f aca="false">Q!$E$61</f>
        <v>123.029</v>
      </c>
      <c r="E4797" s="38" t="n">
        <f aca="false">Q!$M$61</f>
        <v>122.988</v>
      </c>
      <c r="F4797" s="38" t="n">
        <f aca="false">Sens!$F$4795+Sens!$F$4796</f>
        <v>95.2021149126269</v>
      </c>
      <c r="G4797" s="38" t="n">
        <f aca="false">Sens!$F$4797</f>
        <v>95.2021149126269</v>
      </c>
      <c r="H4797" s="38" t="n">
        <f aca="false">Sens!$H$4795+Sens!$H$4796</f>
        <v>50</v>
      </c>
      <c r="I4797" s="38" t="n">
        <f aca="false">Sens!$I$4795+Sens!$I$4796</f>
        <v>50</v>
      </c>
      <c r="J4797" s="38" t="n">
        <f aca="false">Sens!$J$4795+Sens!$J$4796</f>
        <v>89.7446339029391</v>
      </c>
      <c r="K4797" s="38" t="n">
        <f aca="false">Sens!$K$4795+Sens!$K$4796</f>
        <v>171.917739781846</v>
      </c>
      <c r="L4797" s="38" t="n">
        <f aca="false">Sens!$L$4795+Sens!$L$4796</f>
        <v>266.042289803747</v>
      </c>
      <c r="M4797" s="38" t="n">
        <f aca="false">Sens!$M$4795+Sens!$M$4796</f>
        <v>350.425471529404</v>
      </c>
    </row>
    <row r="4798" customFormat="false" ht="15" hidden="false" customHeight="false" outlineLevel="0" collapsed="false">
      <c r="A4798" s="5" t="s">
        <v>752</v>
      </c>
      <c r="B4798" s="0" t="s">
        <v>73</v>
      </c>
      <c r="D4798" s="38" t="n">
        <f aca="false">Q!$E$62</f>
        <v>68.836</v>
      </c>
      <c r="E4798" s="38" t="n">
        <f aca="false">Q!$M$62</f>
        <v>132.995</v>
      </c>
      <c r="F4798" s="38" t="n">
        <f aca="false">debt_q2+Sens!$F$4793+Sens!$F$4796</f>
        <v>162.245</v>
      </c>
      <c r="G4798" s="38" t="n">
        <f aca="false">Sens!$F$4798</f>
        <v>162.245</v>
      </c>
      <c r="H4798" s="38" t="n">
        <f aca="false">Sens!$G$4798+Sens!$H$4796</f>
        <v>163.741590679904</v>
      </c>
      <c r="I4798" s="38" t="n">
        <f aca="false">Sens!$H$4798+Sens!$I$4796</f>
        <v>167.717335455971</v>
      </c>
      <c r="J4798" s="38" t="n">
        <f aca="false">Sens!$I$4798+Sens!$J$4796</f>
        <v>167.717335455971</v>
      </c>
      <c r="K4798" s="38" t="n">
        <f aca="false">Sens!$J$4798+Sens!$K$4796</f>
        <v>167.717335455971</v>
      </c>
      <c r="L4798" s="38" t="n">
        <f aca="false">Sens!$K$4798+Sens!$L$4796</f>
        <v>167.717335455971</v>
      </c>
      <c r="M4798" s="38" t="n">
        <f aca="false">Sens!$L$4798+Sens!$M$4796</f>
        <v>167.717335455971</v>
      </c>
    </row>
    <row r="4799" customFormat="false" ht="15" hidden="false" customHeight="false" outlineLevel="0" collapsed="false">
      <c r="A4799" s="5" t="s">
        <v>753</v>
      </c>
      <c r="B4799" s="0" t="s">
        <v>73</v>
      </c>
      <c r="D4799" s="38" t="n">
        <f aca="false">Sens!$D$4798-Sens!$D$4797</f>
        <v>-54.193</v>
      </c>
      <c r="E4799" s="38" t="n">
        <f aca="false">Sens!$E$4798-Sens!$E$4797</f>
        <v>10.007</v>
      </c>
      <c r="F4799" s="38" t="n">
        <f aca="false">Sens!$F$4798-Sens!$F$4797</f>
        <v>67.0428850873731</v>
      </c>
      <c r="G4799" s="38" t="n">
        <f aca="false">Sens!$G$4798-Sens!$G$4797</f>
        <v>67.0428850873731</v>
      </c>
      <c r="H4799" s="38" t="n">
        <f aca="false">Sens!$H$4798-Sens!$H$4797</f>
        <v>113.741590679904</v>
      </c>
      <c r="I4799" s="38" t="n">
        <f aca="false">Sens!$I$4798-Sens!$I$4797</f>
        <v>117.717335455971</v>
      </c>
      <c r="J4799" s="38" t="n">
        <f aca="false">Sens!$J$4798-Sens!$J$4797</f>
        <v>77.9727015530317</v>
      </c>
      <c r="K4799" s="38" t="n">
        <f aca="false">Sens!$K$4798-Sens!$K$4797</f>
        <v>-4.20040432587558</v>
      </c>
      <c r="L4799" s="38" t="n">
        <f aca="false">Sens!$L$4798-Sens!$L$4797</f>
        <v>-98.3249543477765</v>
      </c>
      <c r="M4799" s="38" t="n">
        <f aca="false">Sens!$M$4798-Sens!$M$4797</f>
        <v>-182.708136073434</v>
      </c>
    </row>
    <row r="4800" customFormat="false" ht="17.15" hidden="false" customHeight="false" outlineLevel="0" collapsed="false">
      <c r="A4800" s="5" t="s">
        <v>754</v>
      </c>
      <c r="B4800" s="0" t="s">
        <v>73</v>
      </c>
      <c r="F4800" s="38" t="n">
        <f aca="false">debt_q2*kd_book*0.5+iss_2h26*kd_new*0.25</f>
        <v>3.24888964316061</v>
      </c>
      <c r="H4800" s="38" t="n">
        <f aca="false">debt_q2*kd_book+(Sens!$G$4798-debt_q2)*kd_new</f>
        <v>7.42354178632123</v>
      </c>
      <c r="I4800" s="38" t="n">
        <f aca="false">debt_q2*kd_book+(Sens!$H$4798-debt_q2)*kd_new</f>
        <v>7.51827597635917</v>
      </c>
      <c r="J4800" s="38" t="n">
        <f aca="false">debt_q2*kd_book+(Sens!$I$4798-debt_q2)*kd_new</f>
        <v>7.76994062068418</v>
      </c>
      <c r="K4800" s="38" t="n">
        <f aca="false">debt_q2*kd_book+(Sens!$J$4798-debt_q2)*kd_new</f>
        <v>7.76994062068418</v>
      </c>
      <c r="L4800" s="38" t="n">
        <f aca="false">debt_q2*kd_book+(Sens!$K$4798-debt_q2)*kd_new</f>
        <v>7.76994062068418</v>
      </c>
      <c r="M4800" s="38" t="n">
        <f aca="false">debt_q2*kd_book+(Sens!$L$4798-debt_q2)*kd_new</f>
        <v>7.76994062068418</v>
      </c>
    </row>
    <row r="4801" customFormat="false" ht="17.15" hidden="false" customHeight="false" outlineLevel="0" collapsed="false">
      <c r="A4801" s="5" t="s">
        <v>755</v>
      </c>
      <c r="B4801" s="0" t="s">
        <v>73</v>
      </c>
      <c r="F4801" s="38" t="n">
        <f aca="false">cash_q2*y_cash*0.5</f>
        <v>2.59</v>
      </c>
      <c r="H4801" s="38" t="n">
        <f aca="false">Sens!$G$4797*y_cash</f>
        <v>4.00971603121774</v>
      </c>
      <c r="I4801" s="38" t="n">
        <f aca="false">Sens!$H$4797*y_cash</f>
        <v>2.10589651022864</v>
      </c>
      <c r="J4801" s="38" t="n">
        <f aca="false">Sens!$I$4797*y_cash</f>
        <v>2.10589651022864</v>
      </c>
      <c r="K4801" s="38" t="n">
        <f aca="false">Sens!$J$4797*y_cash</f>
        <v>3.77985822695893</v>
      </c>
      <c r="L4801" s="38" t="n">
        <f aca="false">Sens!$K$4797*y_cash</f>
        <v>7.24081936505971</v>
      </c>
      <c r="M4801" s="38" t="n">
        <f aca="false">Sens!$L$4797*y_cash</f>
        <v>11.205150593419</v>
      </c>
    </row>
    <row r="4802" customFormat="false" ht="17.15" hidden="false" customHeight="false" outlineLevel="0" collapsed="false">
      <c r="A4802" s="46" t="s">
        <v>756</v>
      </c>
      <c r="B4802" s="13" t="s">
        <v>73</v>
      </c>
      <c r="C4802" s="13"/>
      <c r="D4802" s="13"/>
      <c r="E4802" s="13"/>
      <c r="F4802" s="13"/>
      <c r="G4802" s="47" t="n">
        <f aca="false">SUM(Sens!$G$4791:$K$4791)</f>
        <v>9.81640432587554</v>
      </c>
      <c r="H4802" s="13"/>
      <c r="I4802" s="13"/>
      <c r="J4802" s="13"/>
      <c r="K4802" s="13"/>
      <c r="L4802" s="13"/>
      <c r="M4802" s="13"/>
      <c r="N4802" s="13"/>
      <c r="O4802" s="13"/>
    </row>
    <row r="4803" customFormat="false" ht="17.15" hidden="false" customHeight="false" outlineLevel="0" collapsed="false">
      <c r="A4803" s="0" t="s">
        <v>723</v>
      </c>
      <c r="B4803" s="0" t="s">
        <v>73</v>
      </c>
      <c r="G4803" s="38" t="n">
        <f aca="false">SUM(Sens!$G$4796:$K$4796)</f>
        <v>5.47233545597079</v>
      </c>
    </row>
    <row r="4806" customFormat="false" ht="19.4" hidden="false" customHeight="false" outlineLevel="0" collapsed="false">
      <c r="A4806" s="31" t="s">
        <v>1147</v>
      </c>
    </row>
    <row r="4807" customFormat="false" ht="17.15" hidden="false" customHeight="false" outlineLevel="0" collapsed="false">
      <c r="A4807" s="6" t="s">
        <v>16</v>
      </c>
      <c r="B4807" s="6" t="s">
        <v>17</v>
      </c>
      <c r="C4807" s="20" t="s">
        <v>457</v>
      </c>
      <c r="D4807" s="20" t="s">
        <v>458</v>
      </c>
      <c r="E4807" s="20" t="s">
        <v>540</v>
      </c>
      <c r="F4807" s="20" t="s">
        <v>541</v>
      </c>
      <c r="G4807" s="20" t="s">
        <v>542</v>
      </c>
      <c r="H4807" s="20" t="s">
        <v>543</v>
      </c>
      <c r="I4807" s="20" t="s">
        <v>544</v>
      </c>
      <c r="J4807" s="20" t="s">
        <v>545</v>
      </c>
      <c r="K4807" s="20" t="s">
        <v>546</v>
      </c>
      <c r="L4807" s="20" t="s">
        <v>547</v>
      </c>
      <c r="M4807" s="20" t="s">
        <v>548</v>
      </c>
      <c r="N4807" s="20" t="s">
        <v>549</v>
      </c>
      <c r="O4807" s="20" t="s">
        <v>550</v>
      </c>
      <c r="P4807" s="6" t="s">
        <v>23</v>
      </c>
      <c r="R4807" s="20" t="n">
        <v>2023</v>
      </c>
      <c r="S4807" s="20" t="n">
        <v>2024</v>
      </c>
      <c r="T4807" s="20" t="n">
        <v>2025</v>
      </c>
      <c r="U4807" s="20" t="n">
        <v>2026</v>
      </c>
      <c r="V4807" s="20" t="n">
        <v>2027</v>
      </c>
      <c r="W4807" s="20" t="n">
        <v>2028</v>
      </c>
      <c r="X4807" s="20" t="n">
        <v>2029</v>
      </c>
      <c r="Y4807" s="20" t="n">
        <v>2030</v>
      </c>
      <c r="Z4807" s="20" t="n">
        <v>2031</v>
      </c>
      <c r="AA4807" s="20" t="n">
        <v>2032</v>
      </c>
    </row>
    <row r="4808" customFormat="false" ht="17.15" hidden="false" customHeight="false" outlineLevel="0" collapsed="false">
      <c r="A4808" s="1" t="s">
        <v>851</v>
      </c>
    </row>
    <row r="4809" customFormat="false" ht="17.15" hidden="false" customHeight="false" outlineLevel="0" collapsed="false">
      <c r="A4809" s="0" t="s">
        <v>852</v>
      </c>
      <c r="B4809" s="0" t="s">
        <v>73</v>
      </c>
      <c r="H4809" s="38" t="n">
        <f aca="false">Sens!$H$4745*(1-tax)</f>
        <v>112.093921330558</v>
      </c>
      <c r="I4809" s="38" t="n">
        <f aca="false">Sens!$I$4745*(1-tax)</f>
        <v>132.779045500917</v>
      </c>
      <c r="J4809" s="38" t="n">
        <f aca="false">Sens!$J$4745*(1-tax)</f>
        <v>151.181555485193</v>
      </c>
      <c r="K4809" s="38" t="n">
        <f aca="false">Sens!$K$4745*(1-tax)</f>
        <v>166.036468953087</v>
      </c>
      <c r="L4809" s="38" t="n">
        <f aca="false">Sens!$L$4745*(1-tax)</f>
        <v>182.348678369869</v>
      </c>
      <c r="M4809" s="38" t="n">
        <f aca="false">Sens!$M$4745*(1-tax)</f>
        <v>199.243892383632</v>
      </c>
    </row>
    <row r="4810" customFormat="false" ht="15" hidden="false" customHeight="false" outlineLevel="0" collapsed="false">
      <c r="A4810" s="5" t="s">
        <v>853</v>
      </c>
      <c r="B4810" s="0" t="s">
        <v>73</v>
      </c>
      <c r="H4810" s="38" t="n">
        <f aca="false">Sens!$H$4757</f>
        <v>87.6845218193838</v>
      </c>
      <c r="I4810" s="38" t="n">
        <f aca="false">Sens!$I$4757</f>
        <v>122.294769708638</v>
      </c>
      <c r="J4810" s="38" t="n">
        <f aca="false">Sens!$J$4757</f>
        <v>157.133962573221</v>
      </c>
      <c r="K4810" s="38" t="n">
        <f aca="false">Sens!$K$4757</f>
        <v>191.350633353599</v>
      </c>
      <c r="L4810" s="38" t="n">
        <f aca="false">Sens!$L$4757</f>
        <v>223.909238335354</v>
      </c>
      <c r="M4810" s="38" t="n">
        <f aca="false">Sens!$M$4757</f>
        <v>257.576319867276</v>
      </c>
    </row>
    <row r="4811" customFormat="false" ht="15" hidden="false" customHeight="false" outlineLevel="0" collapsed="false">
      <c r="A4811" s="5" t="s">
        <v>854</v>
      </c>
      <c r="B4811" s="0" t="s">
        <v>73</v>
      </c>
      <c r="H4811" s="38" t="n">
        <f aca="false">Sens!$H$4786</f>
        <v>277.870120501355</v>
      </c>
      <c r="I4811" s="38" t="n">
        <f aca="false">Sens!$I$4786</f>
        <v>293.934464585378</v>
      </c>
      <c r="J4811" s="38" t="n">
        <f aca="false">Sens!$J$4786</f>
        <v>308.06904811359</v>
      </c>
      <c r="K4811" s="38" t="n">
        <f aca="false">Sens!$K$4786</f>
        <v>320.385735318248</v>
      </c>
      <c r="L4811" s="38" t="n">
        <f aca="false">Sens!$L$4786</f>
        <v>364.65641921833</v>
      </c>
      <c r="M4811" s="38" t="n">
        <f aca="false">Sens!$M$4786</f>
        <v>432.943173024858</v>
      </c>
    </row>
    <row r="4812" customFormat="false" ht="15" hidden="false" customHeight="false" outlineLevel="0" collapsed="false">
      <c r="A4812" s="5" t="s">
        <v>855</v>
      </c>
      <c r="B4812" s="0" t="s">
        <v>73</v>
      </c>
      <c r="H4812" s="38" t="n">
        <f aca="false">Sens!$H$4787</f>
        <v>1.6</v>
      </c>
      <c r="I4812" s="38" t="n">
        <f aca="false">Sens!$I$4787</f>
        <v>1.6</v>
      </c>
      <c r="J4812" s="38" t="n">
        <f aca="false">Sens!$J$4787</f>
        <v>1.6</v>
      </c>
      <c r="K4812" s="38" t="n">
        <f aca="false">Sens!$K$4787</f>
        <v>1.6</v>
      </c>
      <c r="L4812" s="38" t="n">
        <f aca="false">Sens!$L$4787</f>
        <v>1.6</v>
      </c>
      <c r="M4812" s="38" t="n">
        <f aca="false">Sens!$M$4787</f>
        <v>1.6</v>
      </c>
    </row>
    <row r="4813" customFormat="false" ht="15" hidden="false" customHeight="false" outlineLevel="0" collapsed="false">
      <c r="A4813" s="5" t="s">
        <v>856</v>
      </c>
      <c r="B4813" s="0" t="s">
        <v>73</v>
      </c>
      <c r="H4813" s="38" t="n">
        <f aca="false">Sens!$H$4781</f>
        <v>11.6369707537667</v>
      </c>
      <c r="I4813" s="38" t="n">
        <f aca="false">Sens!$I$4781</f>
        <v>13.3082502961262</v>
      </c>
      <c r="J4813" s="38" t="n">
        <f aca="false">Sens!$J$4781</f>
        <v>14.8747965344332</v>
      </c>
      <c r="K4813" s="38" t="n">
        <f aca="false">Sens!$K$4781</f>
        <v>16.2687901804328</v>
      </c>
      <c r="L4813" s="38" t="n">
        <f aca="false">Sens!$L$4781</f>
        <v>17.7280727627002</v>
      </c>
      <c r="M4813" s="38" t="n">
        <f aca="false">Sens!$M$4781</f>
        <v>19.2574690270319</v>
      </c>
    </row>
    <row r="4814" customFormat="false" ht="17.15" hidden="false" customHeight="false" outlineLevel="0" collapsed="false">
      <c r="A4814" s="1" t="s">
        <v>857</v>
      </c>
      <c r="B4814" s="8" t="s">
        <v>73</v>
      </c>
      <c r="H4814" s="38" t="n">
        <f aca="false">Sens!$H$4809+Sens!$H$4810-Sens!$H$4811-Sens!$H$4812+Sens!$H$4813</f>
        <v>-68.0547065976468</v>
      </c>
      <c r="I4814" s="38" t="n">
        <f aca="false">Sens!$I$4809+Sens!$I$4810-Sens!$I$4811-Sens!$I$4812+Sens!$I$4813</f>
        <v>-27.1523990796972</v>
      </c>
      <c r="J4814" s="38" t="n">
        <f aca="false">Sens!$J$4809+Sens!$J$4810-Sens!$J$4811-Sens!$J$4812+Sens!$J$4813</f>
        <v>13.5212664792573</v>
      </c>
      <c r="K4814" s="38" t="n">
        <f aca="false">Sens!$K$4809+Sens!$K$4810-Sens!$K$4811-Sens!$K$4812+Sens!$K$4813</f>
        <v>51.6701571688709</v>
      </c>
      <c r="L4814" s="38" t="n">
        <f aca="false">Sens!$L$4809+Sens!$L$4810-Sens!$L$4811-Sens!$L$4812+Sens!$L$4813</f>
        <v>57.7295702495933</v>
      </c>
      <c r="M4814" s="38" t="n">
        <f aca="false">Sens!$M$4809+Sens!$M$4810-Sens!$M$4811-Sens!$M$4812+Sens!$M$4813</f>
        <v>41.534508253082</v>
      </c>
    </row>
    <row r="4815" customFormat="false" ht="15" hidden="false" customHeight="false" outlineLevel="0" collapsed="false">
      <c r="A4815" s="5" t="s">
        <v>858</v>
      </c>
      <c r="B4815" s="0" t="s">
        <v>57</v>
      </c>
      <c r="H4815" s="51" t="n">
        <f aca="false">1/(1+(wacc+0.01))^(2027-2026-0.5)</f>
        <v>0.938694997022825</v>
      </c>
      <c r="I4815" s="51" t="n">
        <f aca="false">1/(1+(wacc+0.01))^(2028-2026-0.5)</f>
        <v>0.827129498438054</v>
      </c>
      <c r="J4815" s="51" t="n">
        <f aca="false">1/(1+(wacc+0.01))^(2029-2026-0.5)</f>
        <v>0.728823749307521</v>
      </c>
      <c r="K4815" s="51" t="n">
        <f aca="false">1/(1+(wacc+0.01))^(2030-2026-0.5)</f>
        <v>0.642201805833012</v>
      </c>
      <c r="L4815" s="51" t="n">
        <f aca="false">1/(1+(wacc+0.01))^(2031-2026-0.5)</f>
        <v>0.565875027819879</v>
      </c>
      <c r="M4815" s="51" t="n">
        <f aca="false">1/(1+(wacc+0.01))^(2032-2026-0.5)</f>
        <v>0.498619817324855</v>
      </c>
    </row>
    <row r="4816" customFormat="false" ht="15" hidden="false" customHeight="false" outlineLevel="0" collapsed="false">
      <c r="A4816" s="5" t="s">
        <v>859</v>
      </c>
      <c r="B4816" s="0" t="s">
        <v>73</v>
      </c>
      <c r="H4816" s="38" t="n">
        <f aca="false">Sens!$H$4814*Sens!$H$4815</f>
        <v>-63.8826126070673</v>
      </c>
      <c r="I4816" s="38" t="n">
        <f aca="false">Sens!$I$4814*Sens!$I$4815</f>
        <v>-22.4585502321799</v>
      </c>
      <c r="J4816" s="38" t="n">
        <f aca="false">Sens!$J$4814*Sens!$J$4815</f>
        <v>9.8546201307984</v>
      </c>
      <c r="K4816" s="38" t="n">
        <f aca="false">Sens!$K$4814*Sens!$K$4815</f>
        <v>33.1826682415244</v>
      </c>
      <c r="L4816" s="38" t="n">
        <f aca="false">Sens!$L$4814*Sens!$L$4815</f>
        <v>32.6677221710182</v>
      </c>
      <c r="M4816" s="38" t="n">
        <f aca="false">Sens!$M$4814*Sens!$M$4815</f>
        <v>20.7099289178294</v>
      </c>
    </row>
    <row r="4817" customFormat="false" ht="15" hidden="false" customHeight="false" outlineLevel="0" collapsed="false">
      <c r="A4817" s="5" t="s">
        <v>860</v>
      </c>
      <c r="B4817" s="0" t="s">
        <v>73</v>
      </c>
      <c r="C4817" s="38" t="n">
        <f aca="false">SUM(Sens!$H$4816:$M$4816)</f>
        <v>10.0737766219234</v>
      </c>
    </row>
    <row r="4818" customFormat="false" ht="17.15" hidden="false" customHeight="false" outlineLevel="0" collapsed="false">
      <c r="A4818" s="5" t="s">
        <v>861</v>
      </c>
      <c r="B4818" s="0" t="s">
        <v>73</v>
      </c>
      <c r="C4818" s="38" t="n">
        <f aca="false">Sens!$M$4809*(1+tg)*(1-tg/ronic)/((wacc+0.01)-tg)</f>
        <v>1486.63035476332</v>
      </c>
    </row>
    <row r="4819" customFormat="false" ht="15" hidden="false" customHeight="false" outlineLevel="0" collapsed="false">
      <c r="A4819" s="5" t="s">
        <v>862</v>
      </c>
      <c r="B4819" s="0" t="s">
        <v>73</v>
      </c>
      <c r="C4819" s="38" t="n">
        <f aca="false">Sens!$C$4818/(1+(wacc+0.01))^6</f>
        <v>695.820203680024</v>
      </c>
    </row>
    <row r="4820" customFormat="false" ht="17.15" hidden="false" customHeight="false" outlineLevel="0" collapsed="false">
      <c r="A4820" s="5" t="s">
        <v>863</v>
      </c>
      <c r="B4820" s="0" t="s">
        <v>73</v>
      </c>
      <c r="C4820" s="38" t="n">
        <f aca="false">Sens!$C$4817+Sens!$C$4819</f>
        <v>705.893980301947</v>
      </c>
    </row>
    <row r="4821" customFormat="false" ht="17.15" hidden="false" customHeight="false" outlineLevel="0" collapsed="false">
      <c r="A4821" s="5" t="s">
        <v>864</v>
      </c>
      <c r="B4821" s="0" t="s">
        <v>52</v>
      </c>
      <c r="C4821" s="12" t="n">
        <f aca="false">Sens!$C$4819/Sens!$C$4820</f>
        <v>0.985729051524686</v>
      </c>
    </row>
    <row r="4822" customFormat="false" ht="17.15" hidden="false" customHeight="false" outlineLevel="0" collapsed="false">
      <c r="A4822" s="5" t="s">
        <v>865</v>
      </c>
      <c r="B4822" s="0" t="s">
        <v>73</v>
      </c>
      <c r="C4822" s="38" t="n">
        <f aca="false">Sens!$G$4799</f>
        <v>67.0428850873731</v>
      </c>
    </row>
    <row r="4823" customFormat="false" ht="17.15" hidden="false" customHeight="false" outlineLevel="0" collapsed="false">
      <c r="A4823" s="5" t="s">
        <v>866</v>
      </c>
      <c r="B4823" s="0" t="s">
        <v>73</v>
      </c>
      <c r="C4823" s="38" t="n">
        <f aca="false">(ant_val*ant_sh+oai_val*oai_sh)*(1-liq_disc)</f>
        <v>178.944</v>
      </c>
    </row>
    <row r="4824" customFormat="false" ht="15" hidden="false" customHeight="false" outlineLevel="0" collapsed="false">
      <c r="A4824" s="5" t="s">
        <v>867</v>
      </c>
      <c r="B4824" s="0" t="s">
        <v>73</v>
      </c>
      <c r="C4824" s="38" t="n">
        <f aca="false">Sens!$C$4820-Sens!$C$4822+Sens!$C$4823</f>
        <v>817.795095214574</v>
      </c>
    </row>
    <row r="4825" customFormat="false" ht="17.15" hidden="false" customHeight="false" outlineLevel="0" collapsed="false">
      <c r="A4825" s="5" t="s">
        <v>868</v>
      </c>
      <c r="B4825" s="0" t="s">
        <v>27</v>
      </c>
      <c r="C4825" s="30" t="n">
        <f aca="false">Sens!$C$4824/sh_val</f>
        <v>74.140690393272</v>
      </c>
    </row>
    <row r="4826" customFormat="false" ht="17.15" hidden="false" customHeight="false" outlineLevel="0" collapsed="false">
      <c r="A4826" s="1" t="s">
        <v>869</v>
      </c>
      <c r="B4826" s="8" t="s">
        <v>27</v>
      </c>
      <c r="C4826" s="30" t="n">
        <f aca="false">Sens!$C$4825*(1+ke)^tp_yf</f>
        <v>81.8843089014481</v>
      </c>
    </row>
    <row r="4827" customFormat="false" ht="17.15" hidden="false" customHeight="false" outlineLevel="0" collapsed="false">
      <c r="A4827" s="3" t="s">
        <v>870</v>
      </c>
    </row>
    <row r="4828" customFormat="false" ht="17.15" hidden="false" customHeight="false" outlineLevel="0" collapsed="false">
      <c r="A4828" s="5" t="s">
        <v>871</v>
      </c>
      <c r="B4828" s="0" t="s">
        <v>73</v>
      </c>
      <c r="C4828" s="38" t="n">
        <f aca="false">0.25*Sens!$H$4758+0.75*Sens!$I$4758</f>
        <v>57.5541093268329</v>
      </c>
    </row>
    <row r="4829" customFormat="false" ht="15" hidden="false" customHeight="false" outlineLevel="0" collapsed="false">
      <c r="A4829" s="5" t="s">
        <v>872</v>
      </c>
      <c r="B4829" s="0" t="s">
        <v>57</v>
      </c>
      <c r="C4829" s="30" t="n">
        <f aca="false">m_ads*m_x</f>
        <v>9.11</v>
      </c>
    </row>
    <row r="4830" customFormat="false" ht="17.15" hidden="false" customHeight="false" outlineLevel="0" collapsed="false">
      <c r="A4830" s="5" t="s">
        <v>873</v>
      </c>
      <c r="B4830" s="0" t="s">
        <v>73</v>
      </c>
      <c r="C4830" s="38" t="n">
        <f aca="false">Sens!$C$4828*Sens!$C$4829</f>
        <v>524.317935967448</v>
      </c>
    </row>
    <row r="4831" customFormat="false" ht="17.15" hidden="false" customHeight="false" outlineLevel="0" collapsed="false">
      <c r="A4831" s="5" t="s">
        <v>874</v>
      </c>
      <c r="B4831" s="0" t="s">
        <v>73</v>
      </c>
      <c r="C4831" s="38" t="n">
        <f aca="false">0.25*Sens!$H$4759+0.75*Sens!$I$4759</f>
        <v>30.6290803533085</v>
      </c>
    </row>
    <row r="4832" customFormat="false" ht="15" hidden="false" customHeight="false" outlineLevel="0" collapsed="false">
      <c r="A4832" s="5" t="s">
        <v>875</v>
      </c>
      <c r="B4832" s="0" t="s">
        <v>57</v>
      </c>
      <c r="C4832" s="30" t="n">
        <f aca="false">m_retail*m_x</f>
        <v>17.72</v>
      </c>
    </row>
    <row r="4833" customFormat="false" ht="17.15" hidden="false" customHeight="false" outlineLevel="0" collapsed="false">
      <c r="A4833" s="5" t="s">
        <v>876</v>
      </c>
      <c r="B4833" s="0" t="s">
        <v>73</v>
      </c>
      <c r="C4833" s="38" t="n">
        <f aca="false">Sens!$C$4831*Sens!$C$4832</f>
        <v>542.747303860627</v>
      </c>
    </row>
    <row r="4834" customFormat="false" ht="17.15" hidden="false" customHeight="false" outlineLevel="0" collapsed="false">
      <c r="A4834" s="0" t="s">
        <v>877</v>
      </c>
      <c r="B4834" s="0" t="s">
        <v>73</v>
      </c>
      <c r="C4834" s="38" t="n">
        <f aca="false">0.25*Sens!$H$4760+0.75*Sens!$I$4760</f>
        <v>107.575398943098</v>
      </c>
    </row>
    <row r="4835" customFormat="false" ht="17.15" hidden="false" customHeight="false" outlineLevel="0" collapsed="false">
      <c r="A4835" s="0" t="s">
        <v>878</v>
      </c>
      <c r="B4835" s="0" t="s">
        <v>57</v>
      </c>
      <c r="C4835" s="30" t="n">
        <f aca="false">m_cloud*m_x</f>
        <v>13.82</v>
      </c>
    </row>
    <row r="4836" customFormat="false" ht="17.15" hidden="false" customHeight="false" outlineLevel="0" collapsed="false">
      <c r="A4836" s="0" t="s">
        <v>879</v>
      </c>
      <c r="B4836" s="0" t="s">
        <v>73</v>
      </c>
      <c r="C4836" s="38" t="n">
        <f aca="false">Sens!$C$4834*Sens!$C$4835</f>
        <v>1486.69201339361</v>
      </c>
    </row>
    <row r="4837" customFormat="false" ht="17.15" hidden="false" customHeight="false" outlineLevel="0" collapsed="false">
      <c r="A4837" s="0" t="s">
        <v>880</v>
      </c>
      <c r="B4837" s="0" t="s">
        <v>73</v>
      </c>
      <c r="C4837" s="38" t="n">
        <f aca="false">0.25*Sens!$H$4761+0.75*Sens!$I$4761</f>
        <v>72.2947701247864</v>
      </c>
    </row>
    <row r="4838" customFormat="false" ht="17.15" hidden="false" customHeight="false" outlineLevel="0" collapsed="false">
      <c r="A4838" s="0" t="s">
        <v>881</v>
      </c>
      <c r="B4838" s="0" t="s">
        <v>57</v>
      </c>
      <c r="C4838" s="30" t="n">
        <f aca="false">m_ai</f>
        <v>6</v>
      </c>
    </row>
    <row r="4839" customFormat="false" ht="17.15" hidden="false" customHeight="false" outlineLevel="0" collapsed="false">
      <c r="A4839" s="0" t="s">
        <v>882</v>
      </c>
      <c r="B4839" s="0" t="s">
        <v>73</v>
      </c>
      <c r="C4839" s="38" t="n">
        <f aca="false">Sens!$C$4837*Sens!$C$4838</f>
        <v>433.768620748718</v>
      </c>
    </row>
    <row r="4840" customFormat="false" ht="17.15" hidden="false" customHeight="false" outlineLevel="0" collapsed="false">
      <c r="A4840" s="5" t="s">
        <v>883</v>
      </c>
      <c r="B4840" s="0" t="s">
        <v>73</v>
      </c>
      <c r="C4840" s="38" t="n">
        <f aca="false">Sens!$C$4830+Sens!$C$4833+Sens!$C$4836+Sens!$C$4839</f>
        <v>2987.5258739704</v>
      </c>
    </row>
    <row r="4841" customFormat="false" ht="17.15" hidden="false" customHeight="false" outlineLevel="0" collapsed="false">
      <c r="A4841" s="5" t="s">
        <v>884</v>
      </c>
      <c r="B4841" s="0" t="s">
        <v>73</v>
      </c>
      <c r="C4841" s="38" t="n">
        <f aca="false">Sens!$H$4799</f>
        <v>113.741590679904</v>
      </c>
    </row>
    <row r="4842" customFormat="false" ht="15" hidden="false" customHeight="false" outlineLevel="0" collapsed="false">
      <c r="A4842" s="5" t="s">
        <v>885</v>
      </c>
      <c r="B4842" s="0" t="s">
        <v>73</v>
      </c>
      <c r="C4842" s="38" t="n">
        <f aca="false">Sens!$C$4840-Sens!$C$4841+Sens!$C$4823</f>
        <v>3052.7282832905</v>
      </c>
    </row>
    <row r="4843" customFormat="false" ht="15" hidden="false" customHeight="false" outlineLevel="0" collapsed="false">
      <c r="A4843" s="3" t="s">
        <v>886</v>
      </c>
      <c r="B4843" s="8" t="s">
        <v>27</v>
      </c>
      <c r="C4843" s="30" t="n">
        <f aca="false">Sens!$C$4842/sh_val</f>
        <v>276.758058137828</v>
      </c>
    </row>
    <row r="4844" customFormat="false" ht="17.15" hidden="false" customHeight="false" outlineLevel="0" collapsed="false">
      <c r="A4844" s="46" t="s">
        <v>887</v>
      </c>
      <c r="B4844" s="13" t="s">
        <v>27</v>
      </c>
      <c r="C4844" s="43" t="n">
        <f aca="false">w_dcf*Sens!$C$4826+(1-w_dcf)*Sens!$C$4843</f>
        <v>179.321183519638</v>
      </c>
      <c r="D4844" s="13"/>
      <c r="E4844" s="13"/>
      <c r="F4844" s="13"/>
      <c r="G4844" s="13"/>
      <c r="H4844" s="13"/>
      <c r="I4844" s="13"/>
      <c r="J4844" s="13"/>
      <c r="K4844" s="13"/>
      <c r="L4844" s="13"/>
      <c r="M4844" s="13"/>
      <c r="N4844" s="13"/>
      <c r="O4844" s="13"/>
    </row>
    <row r="4845" customFormat="false" ht="17.15" hidden="false" customHeight="false" outlineLevel="0" collapsed="false">
      <c r="A4845" s="5" t="s">
        <v>888</v>
      </c>
      <c r="B4845" s="0" t="s">
        <v>27</v>
      </c>
      <c r="C4845" s="30" t="n">
        <f aca="false">0.45*Sens!$C$4826+0.55*Sens!$C$4843</f>
        <v>189.064870981457</v>
      </c>
    </row>
    <row r="4848" customFormat="false" ht="19.4" hidden="false" customHeight="false" outlineLevel="0" collapsed="false">
      <c r="A4848" s="31" t="s">
        <v>1148</v>
      </c>
    </row>
    <row r="4849" customFormat="false" ht="17.15" hidden="false" customHeight="false" outlineLevel="0" collapsed="false">
      <c r="A4849" s="6" t="s">
        <v>16</v>
      </c>
      <c r="B4849" s="6" t="s">
        <v>17</v>
      </c>
      <c r="C4849" s="20" t="s">
        <v>457</v>
      </c>
      <c r="D4849" s="20" t="s">
        <v>458</v>
      </c>
      <c r="E4849" s="20" t="s">
        <v>540</v>
      </c>
      <c r="F4849" s="20" t="s">
        <v>541</v>
      </c>
      <c r="G4849" s="20" t="s">
        <v>542</v>
      </c>
      <c r="H4849" s="20" t="s">
        <v>543</v>
      </c>
      <c r="I4849" s="20" t="s">
        <v>544</v>
      </c>
      <c r="J4849" s="20" t="s">
        <v>545</v>
      </c>
      <c r="K4849" s="20" t="s">
        <v>546</v>
      </c>
      <c r="L4849" s="20" t="s">
        <v>547</v>
      </c>
      <c r="M4849" s="20" t="s">
        <v>548</v>
      </c>
      <c r="N4849" s="20" t="s">
        <v>549</v>
      </c>
      <c r="O4849" s="20" t="s">
        <v>550</v>
      </c>
      <c r="P4849" s="6" t="s">
        <v>23</v>
      </c>
      <c r="R4849" s="20" t="n">
        <v>2023</v>
      </c>
      <c r="S4849" s="20" t="n">
        <v>2024</v>
      </c>
      <c r="T4849" s="20" t="n">
        <v>2025</v>
      </c>
      <c r="U4849" s="20" t="n">
        <v>2026</v>
      </c>
      <c r="V4849" s="20" t="n">
        <v>2027</v>
      </c>
      <c r="W4849" s="20" t="n">
        <v>2028</v>
      </c>
      <c r="X4849" s="20" t="n">
        <v>2029</v>
      </c>
      <c r="Y4849" s="20" t="n">
        <v>2030</v>
      </c>
      <c r="Z4849" s="20" t="n">
        <v>2031</v>
      </c>
      <c r="AA4849" s="20" t="n">
        <v>2032</v>
      </c>
    </row>
    <row r="4850" customFormat="false" ht="17.15" hidden="false" customHeight="false" outlineLevel="0" collapsed="false">
      <c r="A4850" s="1" t="s">
        <v>620</v>
      </c>
    </row>
    <row r="4851" customFormat="false" ht="17.15" hidden="false" customHeight="false" outlineLevel="0" collapsed="false">
      <c r="A4851" s="0" t="s">
        <v>479</v>
      </c>
      <c r="B4851" s="0" t="s">
        <v>73</v>
      </c>
      <c r="C4851" s="38" t="n">
        <f aca="false">Q!$D$10</f>
        <v>247.029</v>
      </c>
      <c r="D4851" s="38" t="n">
        <f aca="false">Q!$E$10</f>
        <v>269.287</v>
      </c>
      <c r="E4851" s="38" t="n">
        <f aca="false">Q!$P$10</f>
        <v>134.686</v>
      </c>
      <c r="F4851" s="38" t="n">
        <f aca="false">Sens!$O$4851*(1+Sens!$F$4852)-pd_amt*Q!$O$10/(Q!$O$10+Q!$O$12)</f>
        <v>160.728085930082</v>
      </c>
      <c r="G4851" s="38" t="n">
        <f aca="false">Sens!$E$4851+Sens!$F$4851</f>
        <v>295.414085930082</v>
      </c>
      <c r="H4851" s="38" t="n">
        <f aca="false">Sens!$G$4851*(1+Sens!$H$4852)</f>
        <v>320.828163943375</v>
      </c>
      <c r="I4851" s="38" t="n">
        <f aca="false">Sens!$H$4851*(1+Sens!$I$4852)</f>
        <v>344.575578072228</v>
      </c>
      <c r="J4851" s="38" t="n">
        <f aca="false">Sens!$I$4851*(1+Sens!$J$4852)</f>
        <v>365.942555779681</v>
      </c>
      <c r="K4851" s="38" t="n">
        <f aca="false">Sens!$J$4851*(1+Sens!$K$4852)</f>
        <v>384.239683568665</v>
      </c>
      <c r="L4851" s="38" t="n">
        <f aca="false">Sens!$K$4851*(1+Sens!$L$4852)</f>
        <v>403.451667747098</v>
      </c>
      <c r="M4851" s="38" t="n">
        <f aca="false">Sens!$L$4851*(1+Sens!$M$4852)</f>
        <v>423.624251134453</v>
      </c>
      <c r="N4851" s="38" t="n">
        <f aca="false">Q!$N$10</f>
        <v>118.892</v>
      </c>
      <c r="O4851" s="38" t="n">
        <f aca="false">Q!$O$10</f>
        <v>150.395</v>
      </c>
      <c r="P4851" s="8" t="s">
        <v>621</v>
      </c>
    </row>
    <row r="4852" customFormat="false" ht="17.15" hidden="false" customHeight="false" outlineLevel="0" collapsed="false">
      <c r="A4852" s="0" t="s">
        <v>622</v>
      </c>
      <c r="B4852" s="0" t="s">
        <v>52</v>
      </c>
      <c r="E4852" s="12" t="n">
        <f aca="false">Sens!$E$4851/Sens!$N$4851-1</f>
        <v>0.132843252699929</v>
      </c>
      <c r="F4852" s="12" t="n">
        <f aca="false">Sens!$O$4851/(Q!$F$10+Q!$G$10)-1</f>
        <v>0.0980382135842941</v>
      </c>
      <c r="G4852" s="12" t="n">
        <f aca="false">Sens!$G$4851/Sens!$D$4851-1</f>
        <v>0.0970231980380869</v>
      </c>
      <c r="H4852" s="12" t="n">
        <f aca="false">Sens!$F$4852+(g_os-Sens!$F$4852)*1/4</f>
        <v>0.0860286601882206</v>
      </c>
      <c r="I4852" s="12" t="n">
        <f aca="false">Sens!$F$4852+(g_os-Sens!$F$4852)*2/4</f>
        <v>0.074019106792147</v>
      </c>
      <c r="J4852" s="12" t="n">
        <f aca="false">Sens!$F$4852+(g_os-Sens!$F$4852)*3/4</f>
        <v>0.0620095533960735</v>
      </c>
      <c r="K4852" s="12" t="n">
        <f aca="false">Sens!$F$4852+(g_os-Sens!$F$4852)*4/4</f>
        <v>0.05</v>
      </c>
      <c r="L4852" s="12" t="n">
        <f aca="false">g_os</f>
        <v>0.05</v>
      </c>
      <c r="M4852" s="12" t="n">
        <f aca="false">g_os</f>
        <v>0.05</v>
      </c>
      <c r="P4852" s="8" t="s">
        <v>623</v>
      </c>
    </row>
    <row r="4853" customFormat="false" ht="17.15" hidden="false" customHeight="false" outlineLevel="0" collapsed="false">
      <c r="A4853" s="0" t="s">
        <v>480</v>
      </c>
      <c r="B4853" s="0" t="s">
        <v>73</v>
      </c>
      <c r="C4853" s="38" t="n">
        <f aca="false">Q!$D$11</f>
        <v>21.215</v>
      </c>
      <c r="D4853" s="38" t="n">
        <f aca="false">Q!$E$11</f>
        <v>22.561</v>
      </c>
      <c r="E4853" s="38" t="n">
        <f aca="false">Q!$P$11</f>
        <v>11.579</v>
      </c>
      <c r="F4853" s="38" t="n">
        <f aca="false">Sens!$O$4853*(1+Sens!$F$4854)</f>
        <v>12.0952613121125</v>
      </c>
      <c r="G4853" s="38" t="n">
        <f aca="false">Sens!$E$4853+Sens!$F$4853</f>
        <v>23.6742613121125</v>
      </c>
      <c r="H4853" s="38" t="n">
        <f aca="false">Sens!$G$4853*(1+Sens!$H$4854)</f>
        <v>24.8803243963206</v>
      </c>
      <c r="I4853" s="38" t="n">
        <f aca="false">Sens!$H$4853*(1+Sens!$I$4854)</f>
        <v>25.9741308664154</v>
      </c>
      <c r="J4853" s="38" t="n">
        <f aca="false">Sens!$I$4853*(1+Sens!$J$4854)</f>
        <v>26.9346894124267</v>
      </c>
      <c r="K4853" s="38" t="n">
        <f aca="false">Sens!$J$4853*(1+Sens!$K$4854)</f>
        <v>27.7427300947995</v>
      </c>
      <c r="L4853" s="38" t="n">
        <f aca="false">Sens!$K$4853*(1+Sens!$L$4854)</f>
        <v>28.5750119976435</v>
      </c>
      <c r="M4853" s="38" t="n">
        <f aca="false">Sens!$L$4853*(1+Sens!$M$4854)</f>
        <v>29.4322623575728</v>
      </c>
      <c r="N4853" s="38" t="n">
        <f aca="false">Q!$N$11</f>
        <v>11.128</v>
      </c>
      <c r="O4853" s="38" t="n">
        <f aca="false">Q!$O$11</f>
        <v>11.433</v>
      </c>
      <c r="P4853" s="8" t="s">
        <v>621</v>
      </c>
    </row>
    <row r="4854" customFormat="false" ht="17.15" hidden="false" customHeight="false" outlineLevel="0" collapsed="false">
      <c r="A4854" s="0" t="s">
        <v>624</v>
      </c>
      <c r="B4854" s="0" t="s">
        <v>52</v>
      </c>
      <c r="E4854" s="12" t="n">
        <f aca="false">Sens!$E$4853/Sens!$N$4853-1</f>
        <v>0.0405283968368082</v>
      </c>
      <c r="F4854" s="12" t="n">
        <f aca="false">Sens!$O$4853/(Q!$F$11+Q!$G$11)-1</f>
        <v>0.0579254187100955</v>
      </c>
      <c r="G4854" s="12" t="n">
        <f aca="false">Sens!$G$4853/Sens!$D$4853-1</f>
        <v>0.0493445021103904</v>
      </c>
      <c r="H4854" s="12" t="n">
        <f aca="false">Sens!$F$4854+(g_ps-Sens!$F$4854)*1/4</f>
        <v>0.0509440640325716</v>
      </c>
      <c r="I4854" s="12" t="n">
        <f aca="false">Sens!$F$4854+(g_ps-Sens!$F$4854)*2/4</f>
        <v>0.0439627093550477</v>
      </c>
      <c r="J4854" s="12" t="n">
        <f aca="false">Sens!$F$4854+(g_ps-Sens!$F$4854)*3/4</f>
        <v>0.0369813546775239</v>
      </c>
      <c r="K4854" s="12" t="n">
        <f aca="false">Sens!$F$4854+(g_ps-Sens!$F$4854)*4/4</f>
        <v>0.03</v>
      </c>
      <c r="L4854" s="12" t="n">
        <f aca="false">g_ps</f>
        <v>0.03</v>
      </c>
      <c r="M4854" s="12" t="n">
        <f aca="false">g_ps</f>
        <v>0.03</v>
      </c>
      <c r="P4854" s="8" t="s">
        <v>625</v>
      </c>
    </row>
    <row r="4855" customFormat="false" ht="17.15" hidden="false" customHeight="false" outlineLevel="0" collapsed="false">
      <c r="A4855" s="0" t="s">
        <v>481</v>
      </c>
      <c r="B4855" s="0" t="s">
        <v>73</v>
      </c>
      <c r="C4855" s="38" t="n">
        <f aca="false">Q!$D$12</f>
        <v>156.146</v>
      </c>
      <c r="D4855" s="38" t="n">
        <f aca="false">Q!$E$12</f>
        <v>172.162</v>
      </c>
      <c r="E4855" s="38" t="n">
        <f aca="false">Q!$P$12</f>
        <v>88.358</v>
      </c>
      <c r="F4855" s="38" t="n">
        <f aca="false">Sens!$O$4855*(1+Sens!$F$4856)-pd_amt*Q!$O$12/(Q!$O$10+Q!$O$12)</f>
        <v>103.62028337149</v>
      </c>
      <c r="G4855" s="38" t="n">
        <f aca="false">Sens!$E$4855+Sens!$F$4855</f>
        <v>191.97828337149</v>
      </c>
      <c r="H4855" s="38" t="n">
        <f aca="false">Sens!$G$4855*(1+Sens!$H$4856)</f>
        <v>212.128608444755</v>
      </c>
      <c r="I4855" s="38" t="n">
        <f aca="false">Sens!$H$4855*(1+Sens!$I$4856)</f>
        <v>231.92183134134</v>
      </c>
      <c r="J4855" s="38" t="n">
        <f aca="false">Sens!$I$4855*(1+Sens!$J$4856)</f>
        <v>250.859136487863</v>
      </c>
      <c r="K4855" s="38" t="n">
        <f aca="false">Sens!$J$4855*(1+Sens!$K$4856)</f>
        <v>268.419276042014</v>
      </c>
      <c r="L4855" s="38" t="n">
        <f aca="false">Sens!$K$4855*(1+Sens!$L$4856)</f>
        <v>287.208625364954</v>
      </c>
      <c r="M4855" s="38" t="n">
        <f aca="false">Sens!$L$4855*(1+Sens!$M$4856)</f>
        <v>307.313229140501</v>
      </c>
      <c r="N4855" s="38" t="n">
        <f aca="false">Q!$N$12</f>
        <v>76.86</v>
      </c>
      <c r="O4855" s="38" t="n">
        <f aca="false">Q!$O$12</f>
        <v>95.302</v>
      </c>
      <c r="P4855" s="8" t="s">
        <v>621</v>
      </c>
    </row>
    <row r="4856" customFormat="false" ht="17.15" hidden="false" customHeight="false" outlineLevel="0" collapsed="false">
      <c r="A4856" s="0" t="s">
        <v>626</v>
      </c>
      <c r="B4856" s="0" t="s">
        <v>52</v>
      </c>
      <c r="E4856" s="12" t="n">
        <f aca="false">Sens!$E$4855/Sens!$N$4855-1</f>
        <v>0.1495966692688</v>
      </c>
      <c r="F4856" s="12" t="n">
        <f aca="false">Sens!$O$4855/(Q!$F$12+Q!$G$12)-1</f>
        <v>0.11661530890813</v>
      </c>
      <c r="G4856" s="12" t="n">
        <f aca="false">Sens!$G$4855/Sens!$D$4855-1</f>
        <v>0.115102539303041</v>
      </c>
      <c r="H4856" s="12" t="n">
        <f aca="false">Sens!$F$4856+(g_sp-Sens!$F$4856)*1/4</f>
        <v>0.104961481681098</v>
      </c>
      <c r="I4856" s="12" t="n">
        <f aca="false">Sens!$F$4856+(g_sp-Sens!$F$4856)*2/4</f>
        <v>0.0933076544540651</v>
      </c>
      <c r="J4856" s="12" t="n">
        <f aca="false">Sens!$F$4856+(g_sp-Sens!$F$4856)*3/4</f>
        <v>0.0816538272270325</v>
      </c>
      <c r="K4856" s="12" t="n">
        <f aca="false">Sens!$F$4856+(g_sp-Sens!$F$4856)*4/4</f>
        <v>0.07</v>
      </c>
      <c r="L4856" s="12" t="n">
        <f aca="false">g_sp</f>
        <v>0.07</v>
      </c>
      <c r="M4856" s="12" t="n">
        <f aca="false">g_sp</f>
        <v>0.07</v>
      </c>
      <c r="P4856" s="8" t="s">
        <v>627</v>
      </c>
    </row>
    <row r="4857" customFormat="false" ht="17.15" hidden="false" customHeight="false" outlineLevel="0" collapsed="false">
      <c r="A4857" s="0" t="s">
        <v>482</v>
      </c>
      <c r="B4857" s="0" t="s">
        <v>73</v>
      </c>
      <c r="C4857" s="38" t="n">
        <f aca="false">Q!$D$13</f>
        <v>56.214</v>
      </c>
      <c r="D4857" s="38" t="n">
        <f aca="false">Q!$E$13</f>
        <v>68.635</v>
      </c>
      <c r="E4857" s="38" t="n">
        <f aca="false">Q!$P$13</f>
        <v>37.052</v>
      </c>
      <c r="F4857" s="38" t="n">
        <f aca="false">Sens!$O$4857*(1+Sens!$F$4858)</f>
        <v>48.1533381827382</v>
      </c>
      <c r="G4857" s="38" t="n">
        <f aca="false">Sens!$E$4857+Sens!$F$4857</f>
        <v>85.2053381827382</v>
      </c>
      <c r="H4857" s="38" t="n">
        <f aca="false">Sens!$G$4857*(1+Sens!$H$4858)</f>
        <v>102.29336185894</v>
      </c>
      <c r="I4857" s="38" t="n">
        <f aca="false">Sens!$H$4857*(1+Sens!$I$4858)</f>
        <v>119.379837585241</v>
      </c>
      <c r="J4857" s="38" t="n">
        <f aca="false">Sens!$I$4857*(1+Sens!$J$4858)</f>
        <v>135.319079048844</v>
      </c>
      <c r="K4857" s="38" t="n">
        <f aca="false">Sens!$J$4857*(1+Sens!$K$4858)</f>
        <v>148.850986953729</v>
      </c>
      <c r="L4857" s="38" t="n">
        <f aca="false">Sens!$K$4857*(1+Sens!$L$4858)</f>
        <v>163.736085649102</v>
      </c>
      <c r="M4857" s="38" t="n">
        <f aca="false">Sens!$L$4857*(1+Sens!$M$4858)</f>
        <v>180.109694214012</v>
      </c>
      <c r="N4857" s="38" t="n">
        <f aca="false">Q!$N$13</f>
        <v>29.615</v>
      </c>
      <c r="O4857" s="38" t="n">
        <f aca="false">Q!$O$13</f>
        <v>39.02</v>
      </c>
      <c r="P4857" s="8" t="s">
        <v>621</v>
      </c>
    </row>
    <row r="4858" customFormat="false" ht="17.15" hidden="false" customHeight="false" outlineLevel="0" collapsed="false">
      <c r="A4858" s="0" t="s">
        <v>628</v>
      </c>
      <c r="B4858" s="0" t="s">
        <v>52</v>
      </c>
      <c r="E4858" s="12" t="n">
        <f aca="false">Sens!$E$4857/Sens!$N$4857-1</f>
        <v>0.25112274185379</v>
      </c>
      <c r="F4858" s="12" t="n">
        <f aca="false">Sens!$O$4857/(Q!$F$13+Q!$G$13)-1</f>
        <v>0.234068123596572</v>
      </c>
      <c r="G4858" s="12" t="n">
        <f aca="false">Sens!$G$4857/Sens!$D$4857-1</f>
        <v>0.241426942270536</v>
      </c>
      <c r="H4858" s="12" t="n">
        <f aca="false">Sens!$F$4858+(g_ad-Sens!$F$4858)*1/4</f>
        <v>0.200551092697429</v>
      </c>
      <c r="I4858" s="12" t="n">
        <f aca="false">Sens!$F$4858+(g_ad-Sens!$F$4858)*2/4</f>
        <v>0.167034061798286</v>
      </c>
      <c r="J4858" s="12" t="n">
        <f aca="false">Sens!$F$4858+(g_ad-Sens!$F$4858)*3/4</f>
        <v>0.133517030899143</v>
      </c>
      <c r="K4858" s="12" t="n">
        <f aca="false">Sens!$F$4858+(g_ad-Sens!$F$4858)*4/4</f>
        <v>0.1</v>
      </c>
      <c r="L4858" s="12" t="n">
        <f aca="false">g_ad</f>
        <v>0.1</v>
      </c>
      <c r="M4858" s="12" t="n">
        <f aca="false">g_ad</f>
        <v>0.1</v>
      </c>
      <c r="P4858" s="8" t="s">
        <v>629</v>
      </c>
    </row>
    <row r="4859" customFormat="false" ht="17.15" hidden="false" customHeight="false" outlineLevel="0" collapsed="false">
      <c r="A4859" s="0" t="s">
        <v>483</v>
      </c>
      <c r="B4859" s="0" t="s">
        <v>73</v>
      </c>
      <c r="C4859" s="38" t="n">
        <f aca="false">Q!$D$14</f>
        <v>44.374</v>
      </c>
      <c r="D4859" s="38" t="n">
        <f aca="false">Q!$E$14</f>
        <v>49.619</v>
      </c>
      <c r="E4859" s="38" t="n">
        <f aca="false">Q!$P$14</f>
        <v>27.157</v>
      </c>
      <c r="F4859" s="38" t="n">
        <f aca="false">Sens!$O$4859*(1+Sens!$F$4860)</f>
        <v>28.9776360923374</v>
      </c>
      <c r="G4859" s="38" t="n">
        <f aca="false">Sens!$E$4859+Sens!$F$4859</f>
        <v>56.1346360923374</v>
      </c>
      <c r="H4859" s="38" t="n">
        <f aca="false">Sens!$G$4859*(1+Sens!$H$4860)</f>
        <v>62.4937078946075</v>
      </c>
      <c r="I4859" s="38" t="n">
        <f aca="false">Sens!$H$4859*(1+Sens!$I$4860)</f>
        <v>68.6715233062498</v>
      </c>
      <c r="J4859" s="38" t="n">
        <f aca="false">Sens!$I$4859*(1+Sens!$J$4860)</f>
        <v>74.4692882949818</v>
      </c>
      <c r="K4859" s="38" t="n">
        <f aca="false">Sens!$J$4859*(1+Sens!$K$4860)</f>
        <v>79.6821384756306</v>
      </c>
      <c r="L4859" s="38" t="n">
        <f aca="false">Sens!$K$4859*(1+Sens!$L$4860)</f>
        <v>85.2598881689247</v>
      </c>
      <c r="M4859" s="38" t="n">
        <f aca="false">Sens!$L$4859*(1+Sens!$M$4860)</f>
        <v>91.2280803407494</v>
      </c>
      <c r="N4859" s="38" t="n">
        <f aca="false">Q!$N$14</f>
        <v>23.923</v>
      </c>
      <c r="O4859" s="38" t="n">
        <f aca="false">Q!$O$14</f>
        <v>25.696</v>
      </c>
      <c r="P4859" s="8" t="s">
        <v>621</v>
      </c>
    </row>
    <row r="4860" customFormat="false" ht="17.15" hidden="false" customHeight="false" outlineLevel="0" collapsed="false">
      <c r="A4860" s="0" t="s">
        <v>630</v>
      </c>
      <c r="B4860" s="0" t="s">
        <v>52</v>
      </c>
      <c r="E4860" s="12" t="n">
        <f aca="false">Sens!$E$4859/Sens!$N$4859-1</f>
        <v>0.135183714417088</v>
      </c>
      <c r="F4860" s="12" t="n">
        <f aca="false">Sens!$O$4859/(Q!$F$14+Q!$G$14)-1</f>
        <v>0.127709997366804</v>
      </c>
      <c r="G4860" s="12" t="n">
        <f aca="false">Sens!$G$4859/Sens!$D$4859-1</f>
        <v>0.131313329416905</v>
      </c>
      <c r="H4860" s="12" t="n">
        <f aca="false">Sens!$F$4860+(g_sub-Sens!$F$4860)*1/4</f>
        <v>0.113282498025103</v>
      </c>
      <c r="I4860" s="12" t="n">
        <f aca="false">Sens!$F$4860+(g_sub-Sens!$F$4860)*2/4</f>
        <v>0.0988549986834021</v>
      </c>
      <c r="J4860" s="12" t="n">
        <f aca="false">Sens!$F$4860+(g_sub-Sens!$F$4860)*3/4</f>
        <v>0.084427499341701</v>
      </c>
      <c r="K4860" s="12" t="n">
        <f aca="false">Sens!$F$4860+(g_sub-Sens!$F$4860)*4/4</f>
        <v>0.07</v>
      </c>
      <c r="L4860" s="12" t="n">
        <f aca="false">g_sub</f>
        <v>0.07</v>
      </c>
      <c r="M4860" s="12" t="n">
        <f aca="false">g_sub</f>
        <v>0.07</v>
      </c>
      <c r="P4860" s="8" t="s">
        <v>631</v>
      </c>
    </row>
    <row r="4861" customFormat="false" ht="17.15" hidden="false" customHeight="false" outlineLevel="0" collapsed="false">
      <c r="A4861" s="0" t="s">
        <v>484</v>
      </c>
      <c r="B4861" s="0" t="s">
        <v>73</v>
      </c>
      <c r="C4861" s="38" t="n">
        <f aca="false">Q!$D$15</f>
        <v>5.425</v>
      </c>
      <c r="D4861" s="38" t="n">
        <f aca="false">Q!$E$15</f>
        <v>5.935</v>
      </c>
      <c r="E4861" s="38" t="n">
        <f aca="false">Q!$P$15</f>
        <v>3.474</v>
      </c>
      <c r="F4861" s="38" t="n">
        <f aca="false">Sens!$O$4861*(1+Sens!$F$4862)</f>
        <v>3.36182431966931</v>
      </c>
      <c r="G4861" s="38" t="n">
        <f aca="false">Sens!$E$4861+Sens!$F$4861</f>
        <v>6.83582431966931</v>
      </c>
      <c r="H4861" s="38" t="n">
        <f aca="false">Sens!$G$4861*(1+Sens!$H$4862)</f>
        <v>7.31157108370141</v>
      </c>
      <c r="I4861" s="38" t="n">
        <f aca="false">Sens!$H$4861*(1+Sens!$I$4862)</f>
        <v>7.77266852639815</v>
      </c>
      <c r="J4861" s="38" t="n">
        <f aca="false">Sens!$I$4861*(1+Sens!$J$4862)</f>
        <v>8.2120733019884</v>
      </c>
      <c r="K4861" s="38" t="n">
        <f aca="false">Sens!$J$4861*(1+Sens!$K$4862)</f>
        <v>8.62267696708783</v>
      </c>
      <c r="L4861" s="38" t="n">
        <f aca="false">Sens!$K$4861*(1+Sens!$L$4862)</f>
        <v>9.05381081544222</v>
      </c>
      <c r="M4861" s="38" t="n">
        <f aca="false">Sens!$L$4861*(1+Sens!$M$4862)</f>
        <v>9.50650135621433</v>
      </c>
      <c r="N4861" s="38" t="n">
        <f aca="false">Q!$N$15</f>
        <v>2.811</v>
      </c>
      <c r="O4861" s="38" t="n">
        <f aca="false">Q!$O$15</f>
        <v>3.124</v>
      </c>
      <c r="P4861" s="8" t="s">
        <v>621</v>
      </c>
    </row>
    <row r="4862" customFormat="false" ht="17.15" hidden="false" customHeight="false" outlineLevel="0" collapsed="false">
      <c r="A4862" s="0" t="s">
        <v>632</v>
      </c>
      <c r="B4862" s="0" t="s">
        <v>52</v>
      </c>
      <c r="E4862" s="12" t="n">
        <f aca="false">Sens!$E$4861/Sens!$N$4861-1</f>
        <v>0.235859124866596</v>
      </c>
      <c r="F4862" s="12" t="n">
        <f aca="false">Sens!$O$4861/(Q!$F$15+Q!$G$15)-1</f>
        <v>0.0761281433000345</v>
      </c>
      <c r="G4862" s="12" t="n">
        <f aca="false">Sens!$G$4861/Sens!$D$4861-1</f>
        <v>0.151781688234087</v>
      </c>
      <c r="H4862" s="12" t="n">
        <f aca="false">Sens!$F$4862+(g_ot-Sens!$F$4862)*1/4</f>
        <v>0.0695961074750259</v>
      </c>
      <c r="I4862" s="12" t="n">
        <f aca="false">Sens!$F$4862+(g_ot-Sens!$F$4862)*2/4</f>
        <v>0.0630640716500172</v>
      </c>
      <c r="J4862" s="12" t="n">
        <f aca="false">Sens!$F$4862+(g_ot-Sens!$F$4862)*3/4</f>
        <v>0.0565320358250086</v>
      </c>
      <c r="K4862" s="12" t="n">
        <f aca="false">Sens!$F$4862+(g_ot-Sens!$F$4862)*4/4</f>
        <v>0.05</v>
      </c>
      <c r="L4862" s="12" t="n">
        <f aca="false">g_ot</f>
        <v>0.05</v>
      </c>
      <c r="M4862" s="12" t="n">
        <f aca="false">g_ot</f>
        <v>0.05</v>
      </c>
      <c r="P4862" s="8" t="s">
        <v>633</v>
      </c>
    </row>
    <row r="4863" customFormat="false" ht="17.15" hidden="false" customHeight="false" outlineLevel="0" collapsed="false">
      <c r="A4863" s="3" t="s">
        <v>634</v>
      </c>
      <c r="B4863" s="8" t="s">
        <v>73</v>
      </c>
      <c r="C4863" s="38" t="n">
        <f aca="false">Sens!$C$4851+Sens!$C$4853+Sens!$C$4855+Sens!$C$4857+Sens!$C$4859+Sens!$C$4861</f>
        <v>530.403</v>
      </c>
      <c r="D4863" s="38" t="n">
        <f aca="false">Sens!$D$4851+Sens!$D$4853+Sens!$D$4855+Sens!$D$4857+Sens!$D$4859+Sens!$D$4861</f>
        <v>588.199</v>
      </c>
      <c r="E4863" s="38" t="n">
        <f aca="false">Sens!$E$4851+Sens!$E$4853+Sens!$E$4855+Sens!$E$4857+Sens!$E$4859+Sens!$E$4861</f>
        <v>302.306</v>
      </c>
      <c r="F4863" s="38" t="n">
        <f aca="false">Sens!$F$4851+Sens!$F$4853+Sens!$F$4855+Sens!$F$4857+Sens!$F$4859+Sens!$F$4861</f>
        <v>356.93642920843</v>
      </c>
      <c r="G4863" s="38" t="n">
        <f aca="false">Sens!$G$4851+Sens!$G$4853+Sens!$G$4855+Sens!$G$4857+Sens!$G$4859+Sens!$G$4861</f>
        <v>659.24242920843</v>
      </c>
      <c r="H4863" s="38" t="n">
        <f aca="false">Sens!$H$4851+Sens!$H$4853+Sens!$H$4855+Sens!$H$4857+Sens!$H$4859+Sens!$H$4861</f>
        <v>729.935737621701</v>
      </c>
      <c r="I4863" s="38" t="n">
        <f aca="false">Sens!$I$4851+Sens!$I$4853+Sens!$I$4855+Sens!$I$4857+Sens!$I$4859+Sens!$I$4861</f>
        <v>798.295569697873</v>
      </c>
      <c r="J4863" s="38" t="n">
        <f aca="false">Sens!$J$4851+Sens!$J$4853+Sens!$J$4855+Sens!$J$4857+Sens!$J$4859+Sens!$J$4861</f>
        <v>861.736822325785</v>
      </c>
      <c r="K4863" s="38" t="n">
        <f aca="false">Sens!$K$4851+Sens!$K$4853+Sens!$K$4855+Sens!$K$4857+Sens!$K$4859+Sens!$K$4861</f>
        <v>917.557492101925</v>
      </c>
      <c r="L4863" s="38" t="n">
        <f aca="false">Sens!$L$4851+Sens!$L$4853+Sens!$L$4855+Sens!$L$4857+Sens!$L$4859+Sens!$L$4861</f>
        <v>977.285089743165</v>
      </c>
      <c r="M4863" s="38" t="n">
        <f aca="false">Sens!$M$4851+Sens!$M$4853+Sens!$M$4855+Sens!$M$4857+Sens!$M$4859+Sens!$M$4861</f>
        <v>1041.2140185435</v>
      </c>
      <c r="N4863" s="38" t="n">
        <f aca="false">Sens!$N$4851+Sens!$N$4853+Sens!$N$4855+Sens!$N$4857+Sens!$N$4859+Sens!$N$4861</f>
        <v>263.229</v>
      </c>
      <c r="O4863" s="38" t="n">
        <f aca="false">Sens!$O$4851+Sens!$O$4853+Sens!$O$4855+Sens!$O$4857+Sens!$O$4859+Sens!$O$4861</f>
        <v>324.97</v>
      </c>
    </row>
    <row r="4864" customFormat="false" ht="17.15" hidden="false" customHeight="false" outlineLevel="0" collapsed="false">
      <c r="A4864" s="5" t="s">
        <v>635</v>
      </c>
      <c r="B4864" s="0" t="s">
        <v>52</v>
      </c>
      <c r="C4864" s="12" t="n">
        <f aca="false">Q!$D$5/(Q!$D$5+Q!$D$6)</f>
        <v>0.730570905519011</v>
      </c>
      <c r="D4864" s="12" t="n">
        <f aca="false">Q!$E$5/(Q!$E$5+Q!$E$6)</f>
        <v>0.724763217890544</v>
      </c>
      <c r="E4864" s="12" t="n">
        <f aca="false">Q!$P$5/(Q!$P$5+Q!$P$6)</f>
        <v>0.728797972914861</v>
      </c>
      <c r="F4864" s="12" t="n">
        <f aca="false">Sens!$O$4864</f>
        <v>0.718066283041511</v>
      </c>
      <c r="G4864" s="12" t="n">
        <f aca="false">Sens!$G$4865/Sens!$G$4863</f>
        <v>0.722987468473627</v>
      </c>
      <c r="H4864" s="12" t="n">
        <f aca="false">Sens!$G$4864</f>
        <v>0.722987468473627</v>
      </c>
      <c r="I4864" s="12" t="n">
        <f aca="false">Sens!$G$4864</f>
        <v>0.722987468473627</v>
      </c>
      <c r="J4864" s="12" t="n">
        <f aca="false">Sens!$G$4864</f>
        <v>0.722987468473627</v>
      </c>
      <c r="K4864" s="12" t="n">
        <f aca="false">Sens!$G$4864</f>
        <v>0.722987468473627</v>
      </c>
      <c r="L4864" s="12" t="n">
        <f aca="false">Sens!$G$4864</f>
        <v>0.722987468473627</v>
      </c>
      <c r="M4864" s="12" t="n">
        <f aca="false">Sens!$G$4864</f>
        <v>0.722987468473627</v>
      </c>
      <c r="N4864" s="12" t="n">
        <f aca="false">Q!$N$5/(Q!$N$5+Q!$N$6)</f>
        <v>0.733030935041352</v>
      </c>
      <c r="O4864" s="12" t="n">
        <f aca="false">Q!$O$5/(Q!$O$5+Q!$O$6)</f>
        <v>0.718066283041511</v>
      </c>
      <c r="P4864" s="8" t="s">
        <v>636</v>
      </c>
    </row>
    <row r="4865" customFormat="false" ht="17.15" hidden="false" customHeight="false" outlineLevel="0" collapsed="false">
      <c r="A4865" s="1" t="s">
        <v>472</v>
      </c>
      <c r="B4865" s="8" t="s">
        <v>73</v>
      </c>
      <c r="C4865" s="38" t="n">
        <f aca="false">Q!$D$5</f>
        <v>387.497</v>
      </c>
      <c r="D4865" s="38" t="n">
        <f aca="false">Q!$E$5</f>
        <v>426.305</v>
      </c>
      <c r="E4865" s="38" t="n">
        <f aca="false">Q!$P$5</f>
        <v>220.32</v>
      </c>
      <c r="F4865" s="38" t="n">
        <f aca="false">Sens!$F$4863*Sens!$F$4864</f>
        <v>256.304015003807</v>
      </c>
      <c r="G4865" s="38" t="n">
        <f aca="false">Sens!$E$4865+Sens!$F$4865</f>
        <v>476.624015003807</v>
      </c>
      <c r="H4865" s="38" t="n">
        <f aca="false">Sens!$H$4863*Sens!$H$4864</f>
        <v>527.734391091543</v>
      </c>
      <c r="I4865" s="38" t="n">
        <f aca="false">Sens!$I$4863*Sens!$I$4864</f>
        <v>577.157693029577</v>
      </c>
      <c r="J4865" s="38" t="n">
        <f aca="false">Sens!$J$4863*Sens!$J$4864</f>
        <v>623.024923663827</v>
      </c>
      <c r="K4865" s="38" t="n">
        <f aca="false">Sens!$K$4863*Sens!$K$4864</f>
        <v>663.382568393781</v>
      </c>
      <c r="L4865" s="38" t="n">
        <f aca="false">Sens!$L$4863*Sens!$L$4864</f>
        <v>706.564873010432</v>
      </c>
      <c r="M4865" s="38" t="n">
        <f aca="false">Sens!$M$4863*Sens!$M$4864</f>
        <v>752.784687406019</v>
      </c>
      <c r="N4865" s="38" t="n">
        <f aca="false">Q!$N$5</f>
        <v>192.955</v>
      </c>
      <c r="O4865" s="38" t="n">
        <f aca="false">Q!$O$5</f>
        <v>233.35</v>
      </c>
      <c r="P4865" s="5" t="s">
        <v>637</v>
      </c>
    </row>
    <row r="4866" customFormat="false" ht="17.15" hidden="false" customHeight="false" outlineLevel="0" collapsed="false">
      <c r="A4866" s="1" t="s">
        <v>475</v>
      </c>
      <c r="B4866" s="8" t="s">
        <v>73</v>
      </c>
      <c r="C4866" s="38" t="n">
        <f aca="false">Q!$D$6</f>
        <v>142.906</v>
      </c>
      <c r="D4866" s="38" t="n">
        <f aca="false">Q!$E$6</f>
        <v>161.894</v>
      </c>
      <c r="E4866" s="38" t="n">
        <f aca="false">Q!$P$6</f>
        <v>81.986</v>
      </c>
      <c r="F4866" s="38" t="n">
        <f aca="false">Sens!$F$4863*(1-Sens!$F$4864)</f>
        <v>100.632414204623</v>
      </c>
      <c r="G4866" s="38" t="n">
        <f aca="false">Sens!$E$4866+Sens!$F$4866</f>
        <v>182.618414204623</v>
      </c>
      <c r="H4866" s="38" t="n">
        <f aca="false">Sens!$H$4863*(1-Sens!$H$4864)</f>
        <v>202.201346530158</v>
      </c>
      <c r="I4866" s="38" t="n">
        <f aca="false">Sens!$I$4863*(1-Sens!$I$4864)</f>
        <v>221.137876668296</v>
      </c>
      <c r="J4866" s="38" t="n">
        <f aca="false">Sens!$J$4863*(1-Sens!$J$4864)</f>
        <v>238.711898661958</v>
      </c>
      <c r="K4866" s="38" t="n">
        <f aca="false">Sens!$K$4863*(1-Sens!$K$4864)</f>
        <v>254.174923708144</v>
      </c>
      <c r="L4866" s="38" t="n">
        <f aca="false">Sens!$L$4863*(1-Sens!$L$4864)</f>
        <v>270.720216732733</v>
      </c>
      <c r="M4866" s="38" t="n">
        <f aca="false">Sens!$M$4863*(1-Sens!$M$4864)</f>
        <v>288.429331137484</v>
      </c>
      <c r="N4866" s="38" t="n">
        <f aca="false">Q!$N$6</f>
        <v>70.274</v>
      </c>
      <c r="O4866" s="38" t="n">
        <f aca="false">Q!$O$6</f>
        <v>91.62</v>
      </c>
      <c r="P4866" s="5" t="s">
        <v>638</v>
      </c>
    </row>
    <row r="4867" customFormat="false" ht="17.15" hidden="false" customHeight="false" outlineLevel="0" collapsed="false">
      <c r="A4867" s="5" t="s">
        <v>639</v>
      </c>
      <c r="B4867" s="0" t="s">
        <v>73</v>
      </c>
      <c r="C4867" s="38" t="n">
        <f aca="false">Sens!$C$4857*Sens!$C$4864</f>
        <v>41.0683128828457</v>
      </c>
      <c r="D4867" s="38" t="n">
        <f aca="false">Sens!$D$4857*Sens!$D$4864</f>
        <v>49.7441234599175</v>
      </c>
      <c r="E4867" s="38" t="n">
        <f aca="false">Sens!$E$4857*Sens!$E$4864</f>
        <v>27.0034224924414</v>
      </c>
      <c r="F4867" s="38" t="n">
        <f aca="false">Sens!$F$4857*Sens!$F$4864</f>
        <v>34.5772885649197</v>
      </c>
      <c r="G4867" s="38" t="n">
        <f aca="false">Sens!$G$4857*Sens!$G$4864</f>
        <v>61.6023917531772</v>
      </c>
      <c r="H4867" s="38" t="n">
        <f aca="false">Sens!$H$4857*Sens!$H$4864</f>
        <v>73.9568187320519</v>
      </c>
      <c r="I4867" s="38" t="n">
        <f aca="false">Sens!$I$4857*Sens!$I$4864</f>
        <v>86.3101265625461</v>
      </c>
      <c r="J4867" s="38" t="n">
        <f aca="false">Sens!$J$4857*Sens!$J$4864</f>
        <v>97.8339983977065</v>
      </c>
      <c r="K4867" s="38" t="n">
        <f aca="false">Sens!$K$4857*Sens!$K$4864</f>
        <v>107.617398237477</v>
      </c>
      <c r="L4867" s="38" t="n">
        <f aca="false">Sens!$L$4857*Sens!$L$4864</f>
        <v>118.379138061225</v>
      </c>
      <c r="M4867" s="38" t="n">
        <f aca="false">Sens!$M$4857*Sens!$M$4864</f>
        <v>130.217051867347</v>
      </c>
      <c r="N4867" s="38" t="n">
        <f aca="false">Sens!$N$4857*Sens!$N$4864</f>
        <v>21.7087111412496</v>
      </c>
      <c r="O4867" s="38" t="n">
        <f aca="false">Sens!$O$4857*Sens!$O$4864</f>
        <v>28.0189463642798</v>
      </c>
      <c r="P4867" s="5" t="s">
        <v>640</v>
      </c>
    </row>
    <row r="4868" customFormat="false" ht="15" hidden="false" customHeight="false" outlineLevel="0" collapsed="false">
      <c r="A4868" s="5" t="s">
        <v>641</v>
      </c>
      <c r="B4868" s="0" t="s">
        <v>73</v>
      </c>
      <c r="C4868" s="38" t="n">
        <f aca="false">Sens!$C$4857-Sens!$C$4867</f>
        <v>15.1456871171543</v>
      </c>
      <c r="D4868" s="38" t="n">
        <f aca="false">Sens!$D$4857-Sens!$D$4867</f>
        <v>18.8908765400825</v>
      </c>
      <c r="E4868" s="38" t="n">
        <f aca="false">Sens!$E$4857-Sens!$E$4867</f>
        <v>10.0485775075586</v>
      </c>
      <c r="F4868" s="38" t="n">
        <f aca="false">Sens!$F$4857-Sens!$F$4867</f>
        <v>13.5760496178185</v>
      </c>
      <c r="G4868" s="38" t="n">
        <f aca="false">Sens!$G$4857-Sens!$G$4867</f>
        <v>23.6029464295611</v>
      </c>
      <c r="H4868" s="38" t="n">
        <f aca="false">Sens!$H$4857-Sens!$H$4867</f>
        <v>28.3365431268884</v>
      </c>
      <c r="I4868" s="38" t="n">
        <f aca="false">Sens!$I$4857-Sens!$I$4867</f>
        <v>33.0697110226949</v>
      </c>
      <c r="J4868" s="38" t="n">
        <f aca="false">Sens!$J$4857-Sens!$J$4867</f>
        <v>37.4850806511378</v>
      </c>
      <c r="K4868" s="38" t="n">
        <f aca="false">Sens!$K$4857-Sens!$K$4867</f>
        <v>41.2335887162515</v>
      </c>
      <c r="L4868" s="38" t="n">
        <f aca="false">Sens!$L$4857-Sens!$L$4867</f>
        <v>45.3569475878767</v>
      </c>
      <c r="M4868" s="38" t="n">
        <f aca="false">Sens!$M$4857-Sens!$M$4867</f>
        <v>49.8926423466644</v>
      </c>
      <c r="N4868" s="38" t="n">
        <f aca="false">Sens!$N$4857-Sens!$N$4867</f>
        <v>7.90628885875037</v>
      </c>
      <c r="O4868" s="38" t="n">
        <f aca="false">Sens!$O$4857-Sens!$O$4867</f>
        <v>11.0010536357202</v>
      </c>
    </row>
    <row r="4869" customFormat="false" ht="19.4" hidden="false" customHeight="false" outlineLevel="0" collapsed="false">
      <c r="A4869" s="31" t="s">
        <v>1149</v>
      </c>
    </row>
    <row r="4870" customFormat="false" ht="17.15" hidden="false" customHeight="false" outlineLevel="0" collapsed="false">
      <c r="A4870" s="6" t="s">
        <v>16</v>
      </c>
      <c r="B4870" s="6" t="s">
        <v>17</v>
      </c>
      <c r="C4870" s="20" t="s">
        <v>457</v>
      </c>
      <c r="D4870" s="20" t="s">
        <v>458</v>
      </c>
      <c r="E4870" s="20" t="s">
        <v>540</v>
      </c>
      <c r="F4870" s="20" t="s">
        <v>541</v>
      </c>
      <c r="G4870" s="20" t="s">
        <v>542</v>
      </c>
      <c r="H4870" s="20" t="s">
        <v>543</v>
      </c>
      <c r="I4870" s="20" t="s">
        <v>544</v>
      </c>
      <c r="J4870" s="20" t="s">
        <v>545</v>
      </c>
      <c r="K4870" s="20" t="s">
        <v>546</v>
      </c>
      <c r="L4870" s="20" t="s">
        <v>547</v>
      </c>
      <c r="M4870" s="20" t="s">
        <v>548</v>
      </c>
      <c r="N4870" s="20" t="s">
        <v>549</v>
      </c>
      <c r="O4870" s="20" t="s">
        <v>550</v>
      </c>
      <c r="P4870" s="6" t="s">
        <v>23</v>
      </c>
      <c r="R4870" s="20" t="n">
        <v>2023</v>
      </c>
      <c r="S4870" s="20" t="n">
        <v>2024</v>
      </c>
      <c r="T4870" s="20" t="n">
        <v>2025</v>
      </c>
      <c r="U4870" s="20" t="n">
        <v>2026</v>
      </c>
      <c r="V4870" s="20" t="n">
        <v>2027</v>
      </c>
      <c r="W4870" s="20" t="n">
        <v>2028</v>
      </c>
      <c r="X4870" s="20" t="n">
        <v>2029</v>
      </c>
      <c r="Y4870" s="20" t="n">
        <v>2030</v>
      </c>
      <c r="Z4870" s="20" t="n">
        <v>2031</v>
      </c>
      <c r="AA4870" s="20" t="n">
        <v>2032</v>
      </c>
    </row>
    <row r="4871" customFormat="false" ht="17.15" hidden="false" customHeight="false" outlineLevel="0" collapsed="false">
      <c r="A4871" s="1" t="s">
        <v>551</v>
      </c>
    </row>
    <row r="4872" customFormat="false" ht="17.15" hidden="false" customHeight="false" outlineLevel="0" collapsed="false">
      <c r="A4872" s="14" t="s">
        <v>552</v>
      </c>
      <c r="B4872" s="13" t="s">
        <v>108</v>
      </c>
      <c r="C4872" s="32" t="n">
        <f aca="false">mw_ye24</f>
        <v>360</v>
      </c>
      <c r="D4872" s="32" t="n">
        <f aca="false">mw_ye25</f>
        <v>1440</v>
      </c>
      <c r="E4872" s="32" t="n">
        <f aca="false">mw_open</f>
        <v>2080</v>
      </c>
      <c r="F4872" s="32" t="n">
        <f aca="false">Sens!$E$4872+pace_B*0.5</f>
        <v>3897.15</v>
      </c>
      <c r="G4872" s="32" t="n">
        <f aca="false">Sens!$F$4872</f>
        <v>3897.15</v>
      </c>
      <c r="H4872" s="32" t="n">
        <f aca="false">Sens!$G$4872+pace_B</f>
        <v>7531.45</v>
      </c>
      <c r="I4872" s="32" t="n">
        <f aca="false">Sens!$H$4872+pace_B</f>
        <v>11165.75</v>
      </c>
      <c r="J4872" s="32" t="n">
        <f aca="false">Sens!$I$4872+pace_B</f>
        <v>14800.05</v>
      </c>
      <c r="K4872" s="32" t="n">
        <f aca="false">Sens!$J$4872+pace_B</f>
        <v>18434.35</v>
      </c>
      <c r="L4872" s="32" t="n">
        <f aca="false">Sens!$K$4872+pace_B</f>
        <v>22068.65</v>
      </c>
      <c r="M4872" s="32" t="n">
        <f aca="false">Sens!$L$4872+pace_B</f>
        <v>25702.95</v>
      </c>
      <c r="N4872" s="32" t="n">
        <f aca="false">(mw_ye24+mw_ye25)/2</f>
        <v>900</v>
      </c>
      <c r="O4872" s="32" t="n">
        <f aca="false">mw_ye25</f>
        <v>1440</v>
      </c>
      <c r="P4872" s="5" t="s">
        <v>553</v>
      </c>
    </row>
    <row r="4873" customFormat="false" ht="17.15" hidden="false" customHeight="false" outlineLevel="0" collapsed="false">
      <c r="A4873" s="5" t="s">
        <v>554</v>
      </c>
      <c r="B4873" s="0" t="s">
        <v>108</v>
      </c>
      <c r="C4873" s="33" t="n">
        <f aca="false">(mw_ye23+mw_ye24)/2</f>
        <v>240</v>
      </c>
      <c r="D4873" s="33" t="n">
        <f aca="false">(Sens!$C$4872+Sens!$D$4872)/2</f>
        <v>900</v>
      </c>
      <c r="E4873" s="33" t="n">
        <f aca="false">(Sens!$D$4872+Sens!$E$4872)/2</f>
        <v>1760</v>
      </c>
      <c r="F4873" s="33" t="n">
        <f aca="false">(Sens!$E$4872+Sens!$F$4872)/2</f>
        <v>2988.575</v>
      </c>
      <c r="G4873" s="33" t="n">
        <f aca="false">(Sens!$E$4873+Sens!$F$4873)/2</f>
        <v>2374.2875</v>
      </c>
      <c r="H4873" s="33" t="n">
        <f aca="false">(Sens!$G$4872+Sens!$H$4872)/2</f>
        <v>5714.3</v>
      </c>
      <c r="I4873" s="33" t="n">
        <f aca="false">(Sens!$H$4872+Sens!$I$4872)/2</f>
        <v>9348.6</v>
      </c>
      <c r="J4873" s="33" t="n">
        <f aca="false">(Sens!$I$4872+Sens!$J$4872)/2</f>
        <v>12982.9</v>
      </c>
      <c r="K4873" s="33" t="n">
        <f aca="false">(Sens!$J$4872+Sens!$K$4872)/2</f>
        <v>16617.2</v>
      </c>
      <c r="L4873" s="33" t="n">
        <f aca="false">(Sens!$K$4872+Sens!$L$4872)/2</f>
        <v>20251.5</v>
      </c>
      <c r="M4873" s="33" t="n">
        <f aca="false">(Sens!$L$4872+Sens!$M$4872)/2</f>
        <v>23885.8</v>
      </c>
      <c r="N4873" s="33" t="n">
        <f aca="false">(Sens!$C$4872+Sens!$N$4872)/2</f>
        <v>630</v>
      </c>
      <c r="O4873" s="33" t="n">
        <f aca="false">(Sens!$N$4872+Sens!$O$4872)/2</f>
        <v>1170</v>
      </c>
    </row>
    <row r="4874" customFormat="false" ht="15" hidden="false" customHeight="false" outlineLevel="0" collapsed="false">
      <c r="A4874" s="5" t="s">
        <v>555</v>
      </c>
      <c r="B4874" s="5" t="s">
        <v>102</v>
      </c>
      <c r="C4874" s="34" t="n">
        <v>1</v>
      </c>
      <c r="D4874" s="34" t="n">
        <v>1</v>
      </c>
      <c r="E4874" s="34" t="n">
        <v>0.5</v>
      </c>
      <c r="F4874" s="34" t="n">
        <v>0.5</v>
      </c>
      <c r="G4874" s="34" t="n">
        <v>1</v>
      </c>
      <c r="H4874" s="34" t="n">
        <v>1</v>
      </c>
      <c r="I4874" s="34" t="n">
        <v>1</v>
      </c>
      <c r="J4874" s="34" t="n">
        <v>1</v>
      </c>
      <c r="K4874" s="34" t="n">
        <v>1</v>
      </c>
      <c r="L4874" s="34" t="n">
        <v>1</v>
      </c>
      <c r="M4874" s="34" t="n">
        <v>1</v>
      </c>
      <c r="N4874" s="34" t="n">
        <v>0.5</v>
      </c>
      <c r="O4874" s="34" t="n">
        <v>0.5</v>
      </c>
    </row>
    <row r="4875" customFormat="false" ht="17.15" hidden="false" customHeight="false" outlineLevel="0" collapsed="false">
      <c r="A4875" s="5" t="s">
        <v>556</v>
      </c>
      <c r="B4875" s="0" t="s">
        <v>108</v>
      </c>
      <c r="C4875" s="33" t="n">
        <f aca="false">Sens!$C$4872-mw_ye23</f>
        <v>240</v>
      </c>
      <c r="D4875" s="33" t="n">
        <f aca="false">Sens!$D$4872-Sens!$C$4872</f>
        <v>1080</v>
      </c>
      <c r="E4875" s="33" t="n">
        <f aca="false">Sens!$E$4872-Sens!$D$4872</f>
        <v>640</v>
      </c>
      <c r="F4875" s="33" t="n">
        <f aca="false">Sens!$F$4872-Sens!$E$4872</f>
        <v>1817.15</v>
      </c>
      <c r="G4875" s="33" t="n">
        <f aca="false">Sens!$E$4875+Sens!$F$4875</f>
        <v>2457.15</v>
      </c>
      <c r="H4875" s="33" t="n">
        <f aca="false">Sens!$H$4872-Sens!$G$4872</f>
        <v>3634.3</v>
      </c>
      <c r="I4875" s="33" t="n">
        <f aca="false">Sens!$I$4872-Sens!$H$4872</f>
        <v>3634.3</v>
      </c>
      <c r="J4875" s="33" t="n">
        <f aca="false">Sens!$J$4872-Sens!$I$4872</f>
        <v>3634.3</v>
      </c>
      <c r="K4875" s="33" t="n">
        <f aca="false">Sens!$K$4872-Sens!$J$4872</f>
        <v>3634.3</v>
      </c>
      <c r="L4875" s="33" t="n">
        <f aca="false">Sens!$L$4872-Sens!$K$4872</f>
        <v>3634.3</v>
      </c>
      <c r="M4875" s="33" t="n">
        <f aca="false">Sens!$M$4872-Sens!$L$4872</f>
        <v>3634.3</v>
      </c>
      <c r="N4875" s="33" t="n">
        <f aca="false">Sens!$N$4872-Sens!$C$4872</f>
        <v>540</v>
      </c>
      <c r="O4875" s="33" t="n">
        <f aca="false">Sens!$O$4872-Sens!$N$4872</f>
        <v>540</v>
      </c>
    </row>
    <row r="4876" customFormat="false" ht="17.15" hidden="false" customHeight="false" outlineLevel="0" collapsed="false">
      <c r="A4876" s="5" t="s">
        <v>557</v>
      </c>
      <c r="B4876" s="0" t="s">
        <v>108</v>
      </c>
      <c r="C4876" s="33" t="n">
        <f aca="false">Sens!$C$4875/ext_sh</f>
        <v>300</v>
      </c>
      <c r="D4876" s="33" t="n">
        <f aca="false">Sens!$D$4875/ext_sh</f>
        <v>1350</v>
      </c>
      <c r="E4876" s="33" t="n">
        <f aca="false">Sens!$E$4875/ext_sh</f>
        <v>800</v>
      </c>
      <c r="F4876" s="33" t="n">
        <f aca="false">Sens!$F$4875/ext_sh</f>
        <v>2271.4375</v>
      </c>
      <c r="G4876" s="33" t="n">
        <f aca="false">Sens!$G$4875/ext_sh</f>
        <v>3071.4375</v>
      </c>
      <c r="H4876" s="33" t="n">
        <f aca="false">Sens!$H$4875/ext_sh</f>
        <v>4542.875</v>
      </c>
      <c r="I4876" s="33" t="n">
        <f aca="false">Sens!$I$4875/ext_sh</f>
        <v>4542.875</v>
      </c>
      <c r="J4876" s="33" t="n">
        <f aca="false">Sens!$J$4875/ext_sh</f>
        <v>4542.875</v>
      </c>
      <c r="K4876" s="33" t="n">
        <f aca="false">Sens!$K$4875/ext_sh</f>
        <v>4542.875</v>
      </c>
      <c r="L4876" s="33" t="n">
        <f aca="false">Sens!$L$4875/ext_sh</f>
        <v>4542.875</v>
      </c>
      <c r="M4876" s="33" t="n">
        <f aca="false">Sens!$M$4875/ext_sh</f>
        <v>4542.875</v>
      </c>
      <c r="N4876" s="33" t="n">
        <f aca="false">Sens!$N$4875/ext_sh</f>
        <v>675</v>
      </c>
      <c r="O4876" s="33" t="n">
        <f aca="false">Sens!$O$4875/ext_sh</f>
        <v>675</v>
      </c>
      <c r="P4876" s="8" t="s">
        <v>558</v>
      </c>
      <c r="R4876" s="33" t="n">
        <f aca="false">mw_ye23/ext_sh</f>
        <v>150</v>
      </c>
      <c r="S4876" s="33" t="n">
        <f aca="false">Sens!$C$4876</f>
        <v>300</v>
      </c>
      <c r="T4876" s="33" t="n">
        <f aca="false">Sens!$D$4876</f>
        <v>1350</v>
      </c>
      <c r="U4876" s="33" t="n">
        <f aca="false">Sens!$G$4876</f>
        <v>3071.4375</v>
      </c>
      <c r="V4876" s="33" t="n">
        <f aca="false">Sens!$H$4876</f>
        <v>4542.875</v>
      </c>
      <c r="W4876" s="33" t="n">
        <f aca="false">Sens!$I$4876</f>
        <v>4542.875</v>
      </c>
      <c r="X4876" s="33" t="n">
        <f aca="false">Sens!$J$4876</f>
        <v>4542.875</v>
      </c>
      <c r="Y4876" s="33" t="n">
        <f aca="false">Sens!$K$4876</f>
        <v>4542.875</v>
      </c>
      <c r="Z4876" s="33" t="n">
        <f aca="false">Sens!$L$4876</f>
        <v>4542.875</v>
      </c>
      <c r="AA4876" s="33" t="n">
        <f aca="false">Sens!$M$4876</f>
        <v>4542.875</v>
      </c>
    </row>
    <row r="4877" customFormat="false" ht="17.15" hidden="false" customHeight="false" outlineLevel="0" collapsed="false">
      <c r="A4877" s="1" t="s">
        <v>559</v>
      </c>
    </row>
    <row r="4878" customFormat="false" ht="17.15" hidden="false" customHeight="false" outlineLevel="0" collapsed="false">
      <c r="A4878" s="0" t="s">
        <v>560</v>
      </c>
      <c r="B4878" s="0" t="s">
        <v>52</v>
      </c>
      <c r="F4878" s="35" t="n">
        <f aca="false">na_vr26</f>
        <v>0</v>
      </c>
      <c r="G4878" s="35" t="n">
        <f aca="false">na_vr26</f>
        <v>0</v>
      </c>
      <c r="H4878" s="35" t="n">
        <f aca="false">na_vr27</f>
        <v>0.5</v>
      </c>
      <c r="I4878" s="35" t="n">
        <f aca="false">na_vr28</f>
        <v>1</v>
      </c>
      <c r="J4878" s="35" t="n">
        <f aca="false">na_vr28</f>
        <v>1</v>
      </c>
      <c r="K4878" s="35" t="n">
        <f aca="false">na_vr28</f>
        <v>1</v>
      </c>
      <c r="L4878" s="35" t="n">
        <f aca="false">na_vr28</f>
        <v>1</v>
      </c>
      <c r="M4878" s="35" t="n">
        <f aca="false">na_vr28</f>
        <v>1</v>
      </c>
    </row>
    <row r="4879" customFormat="false" ht="17.15" hidden="false" customHeight="false" outlineLevel="0" collapsed="false">
      <c r="A4879" s="5" t="s">
        <v>561</v>
      </c>
      <c r="B4879" s="0" t="s">
        <v>151</v>
      </c>
      <c r="F4879" s="36" t="n">
        <f aca="false">cust_sh*tk_he_gb300*cf_chip+(1-cust_sh)*((1-Sens!$F$4878)*tk_he_gb300+Sens!$F$4878*tk_he_vr200)</f>
        <v>10.8864110021101</v>
      </c>
      <c r="G4879" s="36" t="n">
        <f aca="false">cust_sh*tk_he_gb300*cf_chip+(1-cust_sh)*((1-Sens!$G$4878)*tk_he_gb300+Sens!$G$4878*tk_he_vr200)</f>
        <v>10.8864110021101</v>
      </c>
      <c r="H4879" s="36" t="n">
        <f aca="false">cust_sh*tk_he_gb300*cf_chip+(1-cust_sh)*((1-Sens!$H$4878)*tk_he_gb300+Sens!$H$4878*tk_he_vr200)</f>
        <v>11.2211760027286</v>
      </c>
      <c r="I4879" s="36" t="n">
        <f aca="false">cust_sh*tk_he_gb300*cf_chip+(1-cust_sh)*((1-Sens!$I$4878)*tk_he_gb300+Sens!$I$4878*tk_he_vr200)</f>
        <v>11.5559410033471</v>
      </c>
      <c r="J4879" s="36" t="n">
        <f aca="false">cust_sh*tk_he_gb300*cf_chip+(1-cust_sh)*((1-Sens!$J$4878)*tk_he_gb300+Sens!$J$4878*tk_he_vr200)</f>
        <v>11.5559410033471</v>
      </c>
      <c r="K4879" s="36" t="n">
        <f aca="false">cust_sh*tk_he_gb300*cf_chip+(1-cust_sh)*((1-Sens!$K$4878)*tk_he_gb300+Sens!$K$4878*tk_he_vr200)</f>
        <v>11.5559410033471</v>
      </c>
      <c r="L4879" s="36" t="n">
        <f aca="false">cust_sh*tk_he_gb300*cf_chip+(1-cust_sh)*((1-Sens!$L$4878)*tk_he_gb300+Sens!$L$4878*tk_he_vr200)</f>
        <v>11.5559410033471</v>
      </c>
      <c r="M4879" s="36" t="n">
        <f aca="false">cust_sh*tk_he_gb300*cf_chip+(1-cust_sh)*((1-Sens!$M$4878)*tk_he_gb300+Sens!$M$4878*tk_he_vr200)</f>
        <v>11.5559410033471</v>
      </c>
    </row>
    <row r="4880" customFormat="false" ht="17.15" hidden="false" customHeight="false" outlineLevel="0" collapsed="false">
      <c r="A4880" s="5" t="s">
        <v>562</v>
      </c>
      <c r="B4880" s="0" t="s">
        <v>151</v>
      </c>
      <c r="F4880" s="36" t="n">
        <f aca="false">cust_sh*tk_ox_gb300+(1-cust_sh)*((1-Sens!$F$4878)*tk_ox_gb300+Sens!$F$4878*tk_ox_vr200)</f>
        <v>1.98263481314457</v>
      </c>
      <c r="G4880" s="36" t="n">
        <f aca="false">cust_sh*tk_ox_gb300+(1-cust_sh)*((1-Sens!$G$4878)*tk_ox_gb300+Sens!$G$4878*tk_ox_vr200)</f>
        <v>1.98263481314457</v>
      </c>
      <c r="H4880" s="36" t="n">
        <f aca="false">cust_sh*tk_ox_gb300+(1-cust_sh)*((1-Sens!$H$4878)*tk_ox_gb300+Sens!$H$4878*tk_ox_vr200)</f>
        <v>2.01034999693694</v>
      </c>
      <c r="I4880" s="36" t="n">
        <f aca="false">cust_sh*tk_ox_gb300+(1-cust_sh)*((1-Sens!$I$4878)*tk_ox_gb300+Sens!$I$4878*tk_ox_vr200)</f>
        <v>2.0380651807293</v>
      </c>
      <c r="J4880" s="36" t="n">
        <f aca="false">cust_sh*tk_ox_gb300+(1-cust_sh)*((1-Sens!$J$4878)*tk_ox_gb300+Sens!$J$4878*tk_ox_vr200)</f>
        <v>2.0380651807293</v>
      </c>
      <c r="K4880" s="36" t="n">
        <f aca="false">cust_sh*tk_ox_gb300+(1-cust_sh)*((1-Sens!$K$4878)*tk_ox_gb300+Sens!$K$4878*tk_ox_vr200)</f>
        <v>2.0380651807293</v>
      </c>
      <c r="L4880" s="36" t="n">
        <f aca="false">cust_sh*tk_ox_gb300+(1-cust_sh)*((1-Sens!$L$4878)*tk_ox_gb300+Sens!$L$4878*tk_ox_vr200)</f>
        <v>2.0380651807293</v>
      </c>
      <c r="M4880" s="36" t="n">
        <f aca="false">cust_sh*tk_ox_gb300+(1-cust_sh)*((1-Sens!$M$4878)*tk_ox_gb300+Sens!$M$4878*tk_ox_vr200)</f>
        <v>2.0380651807293</v>
      </c>
    </row>
    <row r="4881" customFormat="false" ht="17.15" hidden="false" customHeight="false" outlineLevel="0" collapsed="false">
      <c r="A4881" s="5" t="s">
        <v>563</v>
      </c>
      <c r="B4881" s="0" t="s">
        <v>170</v>
      </c>
      <c r="F4881" s="36" t="n">
        <f aca="false">cust_sh*tk_cx_gb300*cf_cx+(1-cust_sh)*((1-Sens!$F$4878)*tk_cx_gb300+Sens!$F$4878*tk_cx_vr200)</f>
        <v>32.237224</v>
      </c>
      <c r="G4881" s="36" t="n">
        <f aca="false">cust_sh*tk_cx_gb300*cf_cx+(1-cust_sh)*((1-Sens!$G$4878)*tk_cx_gb300+Sens!$G$4878*tk_cx_vr200)</f>
        <v>32.237224</v>
      </c>
      <c r="H4881" s="36" t="n">
        <f aca="false">cust_sh*tk_cx_gb300*cf_cx+(1-cust_sh)*((1-Sens!$H$4878)*tk_cx_gb300+Sens!$H$4878*tk_cx_vr200)</f>
        <v>33.574506</v>
      </c>
      <c r="I4881" s="36" t="n">
        <f aca="false">cust_sh*tk_cx_gb300*cf_cx+(1-cust_sh)*((1-Sens!$I$4878)*tk_cx_gb300+Sens!$I$4878*tk_cx_vr200)</f>
        <v>34.911788</v>
      </c>
      <c r="J4881" s="36" t="n">
        <f aca="false">cust_sh*tk_cx_gb300*cf_cx+(1-cust_sh)*((1-Sens!$J$4878)*tk_cx_gb300+Sens!$J$4878*tk_cx_vr200)</f>
        <v>34.911788</v>
      </c>
      <c r="K4881" s="36" t="n">
        <f aca="false">cust_sh*tk_cx_gb300*cf_cx+(1-cust_sh)*((1-Sens!$K$4878)*tk_cx_gb300+Sens!$K$4878*tk_cx_vr200)</f>
        <v>34.911788</v>
      </c>
      <c r="L4881" s="36" t="n">
        <f aca="false">cust_sh*tk_cx_gb300*cf_cx+(1-cust_sh)*((1-Sens!$L$4878)*tk_cx_gb300+Sens!$L$4878*tk_cx_vr200)</f>
        <v>34.911788</v>
      </c>
      <c r="M4881" s="36" t="n">
        <f aca="false">cust_sh*tk_cx_gb300*cf_cx+(1-cust_sh)*((1-Sens!$M$4878)*tk_cx_gb300+Sens!$M$4878*tk_cx_vr200)</f>
        <v>34.911788</v>
      </c>
    </row>
    <row r="4882" customFormat="false" ht="17.15" hidden="false" customHeight="false" outlineLevel="0" collapsed="false">
      <c r="A4882" s="5" t="s">
        <v>564</v>
      </c>
      <c r="B4882" s="0" t="s">
        <v>108</v>
      </c>
      <c r="F4882" s="33" t="n">
        <f aca="false">Sens!$F$4872-mw_open</f>
        <v>1817.15</v>
      </c>
      <c r="G4882" s="33" t="n">
        <f aca="false">Sens!$F$4882</f>
        <v>1817.15</v>
      </c>
      <c r="H4882" s="33" t="n">
        <f aca="false">Sens!$H$4872-mw_open</f>
        <v>5451.45</v>
      </c>
      <c r="I4882" s="33" t="n">
        <f aca="false">Sens!$I$4872-mw_open</f>
        <v>9085.75</v>
      </c>
      <c r="J4882" s="33" t="n">
        <f aca="false">Sens!$J$4872-mw_open</f>
        <v>12720.05</v>
      </c>
      <c r="K4882" s="33" t="n">
        <f aca="false">Sens!$K$4872-mw_open</f>
        <v>16354.35</v>
      </c>
      <c r="L4882" s="33" t="n">
        <f aca="false">Sens!$L$4872-mw_open</f>
        <v>19988.65</v>
      </c>
      <c r="M4882" s="33" t="n">
        <f aca="false">Sens!$M$4872-mw_open</f>
        <v>23622.95</v>
      </c>
    </row>
    <row r="4883" customFormat="false" ht="17.15" hidden="false" customHeight="false" outlineLevel="0" collapsed="false">
      <c r="A4883" s="0" t="s">
        <v>565</v>
      </c>
      <c r="B4883" s="0" t="s">
        <v>566</v>
      </c>
      <c r="F4883" s="33" t="n">
        <f aca="false">Sens!$F$4875*Sens!$F$4879</f>
        <v>19782.2417524844</v>
      </c>
      <c r="G4883" s="33" t="n">
        <f aca="false">Sens!$F$4883</f>
        <v>19782.2417524844</v>
      </c>
      <c r="H4883" s="33" t="n">
        <f aca="false">Sens!$G$4883+Sens!$H$4875*Sens!$H$4879</f>
        <v>60563.3616992009</v>
      </c>
      <c r="I4883" s="33" t="n">
        <f aca="false">Sens!$H$4883+Sens!$I$4875*Sens!$I$4879</f>
        <v>102561.118087665</v>
      </c>
      <c r="J4883" s="33" t="n">
        <f aca="false">Sens!$I$4883+Sens!$J$4875*Sens!$J$4879</f>
        <v>144558.87447613</v>
      </c>
      <c r="K4883" s="33" t="n">
        <f aca="false">Sens!$J$4883+Sens!$K$4875*Sens!$K$4879</f>
        <v>186556.630864594</v>
      </c>
      <c r="L4883" s="33" t="n">
        <f aca="false">Sens!$K$4883+Sens!$L$4875*Sens!$L$4879</f>
        <v>228554.387253058</v>
      </c>
      <c r="M4883" s="33" t="n">
        <f aca="false">Sens!$L$4883+Sens!$M$4875*Sens!$M$4879</f>
        <v>270552.143641523</v>
      </c>
    </row>
    <row r="4884" customFormat="false" ht="17.15" hidden="false" customHeight="false" outlineLevel="0" collapsed="false">
      <c r="A4884" s="0" t="s">
        <v>567</v>
      </c>
      <c r="B4884" s="0" t="s">
        <v>566</v>
      </c>
      <c r="F4884" s="33" t="n">
        <f aca="false">Sens!$F$4875*Sens!$F$4880</f>
        <v>3602.74485070566</v>
      </c>
      <c r="G4884" s="33" t="n">
        <f aca="false">Sens!$F$4884</f>
        <v>3602.74485070566</v>
      </c>
      <c r="H4884" s="33" t="n">
        <f aca="false">Sens!$G$4884+Sens!$H$4875*Sens!$H$4880</f>
        <v>10908.9598445736</v>
      </c>
      <c r="I4884" s="33" t="n">
        <f aca="false">Sens!$H$4884+Sens!$I$4875*Sens!$I$4880</f>
        <v>18315.9001308981</v>
      </c>
      <c r="J4884" s="33" t="n">
        <f aca="false">Sens!$I$4884+Sens!$J$4875*Sens!$J$4880</f>
        <v>25722.8404172225</v>
      </c>
      <c r="K4884" s="33" t="n">
        <f aca="false">Sens!$J$4884+Sens!$K$4875*Sens!$K$4880</f>
        <v>33129.780703547</v>
      </c>
      <c r="L4884" s="33" t="n">
        <f aca="false">Sens!$K$4884+Sens!$L$4875*Sens!$L$4880</f>
        <v>40536.7209898715</v>
      </c>
      <c r="M4884" s="33" t="n">
        <f aca="false">Sens!$L$4884+Sens!$M$4875*Sens!$M$4880</f>
        <v>47943.661276196</v>
      </c>
    </row>
    <row r="4885" customFormat="false" ht="17.15" hidden="false" customHeight="false" outlineLevel="0" collapsed="false">
      <c r="A4885" s="5" t="s">
        <v>568</v>
      </c>
      <c r="B4885" s="0" t="s">
        <v>151</v>
      </c>
      <c r="F4885" s="36" t="n">
        <f aca="false">IF(Sens!$F$4882&gt;0,Sens!$F$4883/Sens!$F$4882,Sens!$F$4879)</f>
        <v>10.8864110021101</v>
      </c>
      <c r="G4885" s="36" t="n">
        <f aca="false">IF(Sens!$G$4882&gt;0,Sens!$G$4883/Sens!$G$4882,Sens!$G$4879)</f>
        <v>10.8864110021101</v>
      </c>
      <c r="H4885" s="36" t="n">
        <f aca="false">IF(Sens!$H$4882&gt;0,Sens!$H$4883/Sens!$H$4882,Sens!$H$4879)</f>
        <v>11.1095876691891</v>
      </c>
      <c r="I4885" s="36" t="n">
        <f aca="false">IF(Sens!$I$4882&gt;0,Sens!$I$4883/Sens!$I$4882,Sens!$I$4879)</f>
        <v>11.2881290028523</v>
      </c>
      <c r="J4885" s="36" t="n">
        <f aca="false">IF(Sens!$J$4882&gt;0,Sens!$J$4883/Sens!$J$4882,Sens!$J$4879)</f>
        <v>11.3646467172794</v>
      </c>
      <c r="K4885" s="36" t="n">
        <f aca="false">IF(Sens!$K$4882&gt;0,Sens!$K$4883/Sens!$K$4882,Sens!$K$4879)</f>
        <v>11.4071565586278</v>
      </c>
      <c r="L4885" s="36" t="n">
        <f aca="false">IF(Sens!$L$4882&gt;0,Sens!$L$4883/Sens!$L$4882,Sens!$L$4879)</f>
        <v>11.4342082758495</v>
      </c>
      <c r="M4885" s="36" t="n">
        <f aca="false">IF(Sens!$M$4882&gt;0,Sens!$M$4883/Sens!$M$4882,Sens!$M$4879)</f>
        <v>11.4529363877722</v>
      </c>
    </row>
    <row r="4886" customFormat="false" ht="17.15" hidden="false" customHeight="false" outlineLevel="0" collapsed="false">
      <c r="A4886" s="5" t="s">
        <v>569</v>
      </c>
      <c r="B4886" s="0" t="s">
        <v>151</v>
      </c>
      <c r="F4886" s="36" t="n">
        <f aca="false">IF(Sens!$F$4882&gt;0,Sens!$F$4884/Sens!$F$4882,Sens!$F$4880)</f>
        <v>1.98263481314457</v>
      </c>
      <c r="G4886" s="36" t="n">
        <f aca="false">IF(Sens!$G$4882&gt;0,Sens!$G$4884/Sens!$G$4882,Sens!$G$4880)</f>
        <v>1.98263481314457</v>
      </c>
      <c r="H4886" s="36" t="n">
        <f aca="false">IF(Sens!$H$4882&gt;0,Sens!$H$4884/Sens!$H$4882,Sens!$H$4880)</f>
        <v>2.00111160233948</v>
      </c>
      <c r="I4886" s="36" t="n">
        <f aca="false">IF(Sens!$I$4882&gt;0,Sens!$I$4884/Sens!$I$4882,Sens!$I$4880)</f>
        <v>2.01589303369541</v>
      </c>
      <c r="J4886" s="36" t="n">
        <f aca="false">IF(Sens!$J$4882&gt;0,Sens!$J$4884/Sens!$J$4882,Sens!$J$4880)</f>
        <v>2.02222793284795</v>
      </c>
      <c r="K4886" s="36" t="n">
        <f aca="false">IF(Sens!$K$4882&gt;0,Sens!$K$4884/Sens!$K$4882,Sens!$K$4880)</f>
        <v>2.02574732126603</v>
      </c>
      <c r="L4886" s="36" t="n">
        <f aca="false">IF(Sens!$L$4882&gt;0,Sens!$L$4884/Sens!$L$4882,Sens!$L$4880)</f>
        <v>2.02798693207753</v>
      </c>
      <c r="M4886" s="36" t="n">
        <f aca="false">IF(Sens!$M$4882&gt;0,Sens!$M$4884/Sens!$M$4882,Sens!$M$4880)</f>
        <v>2.02953743187011</v>
      </c>
    </row>
    <row r="4887" customFormat="false" ht="17.15" hidden="false" customHeight="false" outlineLevel="0" collapsed="false">
      <c r="A4887" s="14" t="s">
        <v>570</v>
      </c>
      <c r="B4887" s="13" t="s">
        <v>151</v>
      </c>
      <c r="C4887" s="13"/>
      <c r="D4887" s="13"/>
      <c r="E4887" s="13"/>
      <c r="F4887" s="37" t="n">
        <f aca="false">Sens!$F$4885*k_B</f>
        <v>10.7987645808025</v>
      </c>
      <c r="G4887" s="37" t="n">
        <f aca="false">Sens!$G$4885*k_B</f>
        <v>10.7987645808025</v>
      </c>
      <c r="H4887" s="37" t="n">
        <f aca="false">Sens!$H$4885*k_B</f>
        <v>11.0201444540452</v>
      </c>
      <c r="I4887" s="37" t="n">
        <f aca="false">Sens!$I$4885*k_B</f>
        <v>11.1972483526393</v>
      </c>
      <c r="J4887" s="37" t="n">
        <f aca="false">Sens!$J$4885*k_B</f>
        <v>11.2731500234653</v>
      </c>
      <c r="K4887" s="37" t="n">
        <f aca="false">Sens!$K$4885*k_B</f>
        <v>11.3153176183687</v>
      </c>
      <c r="L4887" s="37" t="n">
        <f aca="false">Sens!$L$4885*k_B</f>
        <v>11.3421515423981</v>
      </c>
      <c r="M4887" s="37" t="n">
        <f aca="false">Sens!$M$4885*k_B</f>
        <v>11.3607288744184</v>
      </c>
      <c r="N4887" s="13"/>
      <c r="O4887" s="13"/>
      <c r="P4887" s="5" t="s">
        <v>571</v>
      </c>
    </row>
    <row r="4888" customFormat="false" ht="17.15" hidden="false" customHeight="false" outlineLevel="0" collapsed="false">
      <c r="A4888" s="5" t="s">
        <v>572</v>
      </c>
      <c r="B4888" s="0" t="s">
        <v>108</v>
      </c>
      <c r="F4888" s="33" t="n">
        <f aca="false">Sens!$F$4882/2</f>
        <v>908.575</v>
      </c>
      <c r="H4888" s="33" t="n">
        <f aca="false">(Sens!$G$4882+Sens!$H$4882)/2</f>
        <v>3634.3</v>
      </c>
      <c r="I4888" s="33" t="n">
        <f aca="false">(Sens!$H$4882+Sens!$I$4882)/2</f>
        <v>7268.6</v>
      </c>
      <c r="J4888" s="33" t="n">
        <f aca="false">(Sens!$I$4882+Sens!$J$4882)/2</f>
        <v>10902.9</v>
      </c>
      <c r="K4888" s="33" t="n">
        <f aca="false">(Sens!$J$4882+Sens!$K$4882)/2</f>
        <v>14537.2</v>
      </c>
      <c r="L4888" s="33" t="n">
        <f aca="false">(Sens!$K$4882+Sens!$L$4882)/2</f>
        <v>18171.5</v>
      </c>
      <c r="M4888" s="33" t="n">
        <f aca="false">(Sens!$L$4882+Sens!$M$4882)/2</f>
        <v>21805.8</v>
      </c>
    </row>
    <row r="4889" customFormat="false" ht="17.15" hidden="false" customHeight="false" outlineLevel="0" collapsed="false">
      <c r="A4889" s="1" t="s">
        <v>573</v>
      </c>
    </row>
    <row r="4890" customFormat="false" ht="17.15" hidden="false" customHeight="false" outlineLevel="0" collapsed="false">
      <c r="A4890" s="1" t="s">
        <v>574</v>
      </c>
      <c r="B4890" s="8" t="s">
        <v>73</v>
      </c>
      <c r="C4890" s="38" t="n">
        <f aca="false">Sens!$C$4873*rpm_open*Sens!$C$4874/1000</f>
        <v>2.32100535697364</v>
      </c>
      <c r="D4890" s="38" t="n">
        <f aca="false">Sens!$D$4873*rpm_open*Sens!$D$4874/1000</f>
        <v>8.70377008865116</v>
      </c>
      <c r="E4890" s="38" t="n">
        <f aca="false">Sens!$E$4873*rpm_open*Sens!$E$4874/1000</f>
        <v>8.51035297557002</v>
      </c>
      <c r="F4890" s="38" t="n">
        <f aca="false">(mw_open*rpm_open+Sens!$F$4888*Sens!$F$4887)*Sens!$F$4874/1000</f>
        <v>14.9634336447205</v>
      </c>
      <c r="G4890" s="38" t="n">
        <f aca="false">Sens!$E$4890+Sens!$F$4890</f>
        <v>23.4737866202905</v>
      </c>
      <c r="H4890" s="38" t="n">
        <f aca="false">(mw_open*rpm_open+Sens!$H$4888*Sens!$H$4887)/1000</f>
        <v>60.1658907497746</v>
      </c>
      <c r="I4890" s="38" t="n">
        <f aca="false">(mw_open*rpm_open+Sens!$I$4888*Sens!$I$4887)/1000</f>
        <v>101.503699136432</v>
      </c>
      <c r="J4890" s="38" t="n">
        <f aca="false">(mw_open*rpm_open+Sens!$J$4888*Sens!$J$4887)/1000</f>
        <v>143.025407151278</v>
      </c>
      <c r="K4890" s="38" t="n">
        <f aca="false">(mw_open*rpm_open+Sens!$K$4888*Sens!$K$4887)/1000</f>
        <v>184.608415042187</v>
      </c>
      <c r="L4890" s="38" t="n">
        <f aca="false">(mw_open*rpm_open+Sens!$L$4888*Sens!$L$4887)/1000</f>
        <v>226.219286513125</v>
      </c>
      <c r="M4890" s="38" t="n">
        <f aca="false">(mw_open*rpm_open+Sens!$M$4888*Sens!$M$4887)/1000</f>
        <v>267.845161450232</v>
      </c>
      <c r="N4890" s="38" t="n">
        <f aca="false">Sens!$N$4873*rpm_open*Sens!$N$4874/1000</f>
        <v>3.04631953102791</v>
      </c>
      <c r="O4890" s="38" t="n">
        <f aca="false">Sens!$O$4873*rpm_open*Sens!$O$4874/1000</f>
        <v>5.65745055762326</v>
      </c>
      <c r="P4890" s="5" t="s">
        <v>575</v>
      </c>
    </row>
    <row r="4891" customFormat="false" ht="17.15" hidden="false" customHeight="false" outlineLevel="0" collapsed="false">
      <c r="A4891" s="5" t="s">
        <v>576</v>
      </c>
      <c r="B4891" s="0" t="s">
        <v>151</v>
      </c>
      <c r="C4891" s="36" t="n">
        <f aca="false">Sens!$C$4890*1000/(Sens!$C$4873*Sens!$C$4874)</f>
        <v>9.67085565405685</v>
      </c>
      <c r="D4891" s="36" t="n">
        <f aca="false">Sens!$D$4890*1000/(Sens!$D$4873*Sens!$D$4874)</f>
        <v>9.67085565405685</v>
      </c>
      <c r="E4891" s="36" t="n">
        <f aca="false">Sens!$E$4890*1000/(Sens!$E$4873*Sens!$E$4874)</f>
        <v>9.67085565405685</v>
      </c>
      <c r="F4891" s="36" t="n">
        <f aca="false">Sens!$F$4890*1000/(Sens!$F$4873*Sens!$F$4874)</f>
        <v>10.0137581588017</v>
      </c>
      <c r="G4891" s="36" t="n">
        <f aca="false">Sens!$G$4890*1000/(Sens!$G$4873*Sens!$G$4874)</f>
        <v>9.88666562928478</v>
      </c>
      <c r="H4891" s="36" t="n">
        <f aca="false">Sens!$H$4890*1000/(Sens!$H$4873*Sens!$H$4874)</f>
        <v>10.5290045586992</v>
      </c>
      <c r="I4891" s="36" t="n">
        <f aca="false">Sens!$I$4890*1000/(Sens!$I$4873*Sens!$I$4874)</f>
        <v>10.8576363451674</v>
      </c>
      <c r="J4891" s="36" t="n">
        <f aca="false">Sens!$J$4890*1000/(Sens!$J$4873*Sens!$J$4874)</f>
        <v>11.0164452588619</v>
      </c>
      <c r="K4891" s="36" t="n">
        <f aca="false">Sens!$K$4890*1000/(Sens!$K$4873*Sens!$K$4874)</f>
        <v>11.1094778327388</v>
      </c>
      <c r="L4891" s="36" t="n">
        <f aca="false">Sens!$L$4890*1000/(Sens!$L$4873*Sens!$L$4874)</f>
        <v>11.1704953466718</v>
      </c>
      <c r="M4891" s="36" t="n">
        <f aca="false">Sens!$M$4890*1000/(Sens!$M$4873*Sens!$M$4874)</f>
        <v>11.2135729785158</v>
      </c>
      <c r="N4891" s="36" t="n">
        <f aca="false">Sens!$N$4890*1000/(Sens!$N$4873*Sens!$N$4874)</f>
        <v>9.67085565405685</v>
      </c>
      <c r="O4891" s="36" t="n">
        <f aca="false">Sens!$O$4890*1000/(Sens!$O$4873*Sens!$O$4874)</f>
        <v>9.67085565405685</v>
      </c>
    </row>
    <row r="4892" customFormat="false" ht="17.15" hidden="false" customHeight="false" outlineLevel="0" collapsed="false">
      <c r="A4892" s="0" t="s">
        <v>577</v>
      </c>
      <c r="B4892" s="0" t="s">
        <v>73</v>
      </c>
      <c r="C4892" s="38" t="n">
        <f aca="false">Sens!$C$4873/ext_sh*(ox_open+rent_mw)*Sens!$C$4874/1000</f>
        <v>0.642569210675032</v>
      </c>
      <c r="D4892" s="38" t="n">
        <f aca="false">Sens!$D$4873/ext_sh*(ox_open+rent_mw)*Sens!$D$4874/1000</f>
        <v>2.40963454003137</v>
      </c>
      <c r="E4892" s="38" t="n">
        <f aca="false">Sens!$E$4873/ext_sh*(ox_open+rent_mw)*Sens!$E$4874/1000</f>
        <v>2.35608710580845</v>
      </c>
      <c r="F4892" s="38" t="n">
        <f aca="false">((mw_open*ox_open+Sens!$F$4888*Sens!$F$4886)/ext_sh+Sens!$F$4873/ext_sh*rent_mw)*Sens!$F$4874/1000</f>
        <v>4.05421991106232</v>
      </c>
      <c r="G4892" s="38" t="n">
        <f aca="false">Sens!$E$4892+Sens!$F$4892</f>
        <v>6.41030701687077</v>
      </c>
      <c r="H4892" s="38" t="n">
        <f aca="false">((mw_open*ox_open+Sens!$H$4888*Sens!$H$4886)/ext_sh+Sens!$H$4873/ext_sh*rent_mw)*Sens!$H$4874/1000</f>
        <v>15.8108975546616</v>
      </c>
      <c r="I4892" s="38" t="n">
        <f aca="false">((mw_open*ox_open+Sens!$I$4888*Sens!$I$4886)/ext_sh+Sens!$I$4873/ext_sh*rent_mw)*Sens!$I$4874/1000</f>
        <v>26.1871623400817</v>
      </c>
      <c r="J4892" s="38" t="n">
        <f aca="false">((mw_open*ox_open+Sens!$J$4888*Sens!$J$4886)/ext_sh+Sens!$J$4873/ext_sh*rent_mw)*Sens!$J$4874/1000</f>
        <v>36.5826128954935</v>
      </c>
      <c r="K4892" s="38" t="n">
        <f aca="false">((mw_open*ox_open+Sens!$K$4888*Sens!$K$4886)/ext_sh+Sens!$K$4873/ext_sh*rent_mw)*Sens!$K$4874/1000</f>
        <v>46.9844587075692</v>
      </c>
      <c r="L4892" s="38" t="n">
        <f aca="false">((mw_open*ox_open+Sens!$L$4888*Sens!$L$4886)/ext_sh+Sens!$L$4873/ext_sh*rent_mw)*Sens!$L$4874/1000</f>
        <v>57.3892114544922</v>
      </c>
      <c r="M4892" s="38" t="n">
        <f aca="false">((mw_open*ox_open+Sens!$M$4888*Sens!$M$4886)/ext_sh+Sens!$M$4873/ext_sh*rent_mw)*Sens!$M$4874/1000</f>
        <v>67.7955294740252</v>
      </c>
      <c r="N4892" s="38" t="n">
        <f aca="false">Sens!$N$4873/ext_sh*(ox_open+rent_mw)*Sens!$N$4874/1000</f>
        <v>0.84337208901098</v>
      </c>
      <c r="O4892" s="38" t="n">
        <f aca="false">Sens!$O$4873/ext_sh*(ox_open+rent_mw)*Sens!$O$4874/1000</f>
        <v>1.56626245102039</v>
      </c>
    </row>
    <row r="4893" customFormat="false" ht="17.15" hidden="false" customHeight="false" outlineLevel="0" collapsed="false">
      <c r="A4893" s="0" t="s">
        <v>578</v>
      </c>
      <c r="B4893" s="0" t="s">
        <v>73</v>
      </c>
      <c r="C4893" s="38" t="n">
        <f aca="false">Q!$D$7</f>
        <v>107.556</v>
      </c>
      <c r="D4893" s="38" t="n">
        <f aca="false">Q!$E$7</f>
        <v>128.725</v>
      </c>
      <c r="E4893" s="38" t="n">
        <f aca="false">Q!$P$7</f>
        <v>79.819</v>
      </c>
      <c r="N4893" s="38" t="n">
        <f aca="false">Q!$N$7</f>
        <v>60.14</v>
      </c>
      <c r="O4893" s="38" t="n">
        <f aca="false">Q!$O$7</f>
        <v>68.585</v>
      </c>
    </row>
    <row r="4894" customFormat="false" ht="17.15" hidden="false" customHeight="false" outlineLevel="0" collapsed="false">
      <c r="A4894" s="1" t="s">
        <v>579</v>
      </c>
      <c r="B4894" s="8" t="s">
        <v>73</v>
      </c>
      <c r="C4894" s="38" t="n">
        <f aca="false">Sens!$C$4893-Sens!$C$4890</f>
        <v>105.234994643026</v>
      </c>
      <c r="D4894" s="38" t="n">
        <f aca="false">Sens!$D$4893-Sens!$D$4890</f>
        <v>120.021229911349</v>
      </c>
      <c r="E4894" s="38" t="n">
        <f aca="false">Sens!$E$4893-Sens!$E$4890</f>
        <v>71.30864702443</v>
      </c>
      <c r="F4894" s="38" t="n">
        <f aca="false">Sens!$O$4894*(1+Sens!$F$4895)</f>
        <v>78.5950104186653</v>
      </c>
      <c r="G4894" s="38" t="n">
        <f aca="false">Sens!$E$4894+Sens!$F$4894</f>
        <v>149.903657443095</v>
      </c>
      <c r="H4894" s="38" t="n">
        <f aca="false">Sens!$G$4894*(1+Sens!$H$4895)</f>
        <v>180.893560768142</v>
      </c>
      <c r="I4894" s="38" t="n">
        <f aca="false">Sens!$H$4894*(1+Sens!$I$4895)</f>
        <v>210.64839721501</v>
      </c>
      <c r="J4894" s="38" t="n">
        <f aca="false">Sens!$I$4894*(1+Sens!$J$4895)</f>
        <v>236.398909446495</v>
      </c>
      <c r="K4894" s="38" t="n">
        <f aca="false">Sens!$J$4894*(1+Sens!$K$4895)</f>
        <v>255.310822202215</v>
      </c>
      <c r="L4894" s="38" t="n">
        <f aca="false">Sens!$K$4894*(1+Sens!$L$4895)</f>
        <v>275.735687978392</v>
      </c>
      <c r="M4894" s="38" t="n">
        <f aca="false">Sens!$L$4894*(1+Sens!$M$4895)</f>
        <v>297.794543016663</v>
      </c>
      <c r="N4894" s="38" t="n">
        <f aca="false">Sens!$N$4893-Sens!$N$4890</f>
        <v>57.0936804689721</v>
      </c>
      <c r="O4894" s="38" t="n">
        <f aca="false">Sens!$O$4893-Sens!$O$4890</f>
        <v>62.9275494423768</v>
      </c>
      <c r="P4894" s="5" t="s">
        <v>580</v>
      </c>
    </row>
    <row r="4895" customFormat="false" ht="17.15" hidden="false" customHeight="false" outlineLevel="0" collapsed="false">
      <c r="A4895" s="0" t="s">
        <v>581</v>
      </c>
      <c r="B4895" s="0" t="s">
        <v>52</v>
      </c>
      <c r="E4895" s="12" t="n">
        <f aca="false">Sens!$E$4894/Sens!$N$4894-1</f>
        <v>0.248976181579029</v>
      </c>
      <c r="F4895" s="12" t="n">
        <f aca="false">Sens!$E$4895</f>
        <v>0.248976181579029</v>
      </c>
      <c r="G4895" s="12" t="n">
        <f aca="false">Sens!$G$4894/Sens!$D$4894-1</f>
        <v>0.248976181579029</v>
      </c>
      <c r="H4895" s="12" t="n">
        <f aca="false">Sens!$E$4895+(g_awso_lt-Sens!$E$4895)*1/4</f>
        <v>0.206732136184272</v>
      </c>
      <c r="I4895" s="12" t="n">
        <f aca="false">Sens!$E$4895+(g_awso_lt-Sens!$E$4895)*2/4</f>
        <v>0.164488090789515</v>
      </c>
      <c r="J4895" s="12" t="n">
        <f aca="false">Sens!$E$4895+(g_awso_lt-Sens!$E$4895)*3/4</f>
        <v>0.122244045394757</v>
      </c>
      <c r="K4895" s="12" t="n">
        <f aca="false">Sens!$E$4895+(g_awso_lt-Sens!$E$4895)*4/4</f>
        <v>0.08</v>
      </c>
      <c r="L4895" s="12" t="n">
        <f aca="false">g_awso_lt</f>
        <v>0.08</v>
      </c>
      <c r="M4895" s="12" t="n">
        <f aca="false">g_awso_lt</f>
        <v>0.08</v>
      </c>
      <c r="P4895" s="8" t="s">
        <v>582</v>
      </c>
    </row>
    <row r="4896" customFormat="false" ht="17.15" hidden="false" customHeight="false" outlineLevel="0" collapsed="false">
      <c r="A4896" s="1" t="s">
        <v>583</v>
      </c>
    </row>
    <row r="4897" customFormat="false" ht="17.15" hidden="false" customHeight="false" outlineLevel="0" collapsed="false">
      <c r="A4897" s="0" t="s">
        <v>584</v>
      </c>
      <c r="B4897" s="0" t="s">
        <v>73</v>
      </c>
      <c r="F4897" s="38" t="n">
        <f aca="false">cx_rt*Sens!$F$4863+cx_awso*Sens!$F$4894</f>
        <v>36.8045765066526</v>
      </c>
    </row>
    <row r="4898" customFormat="false" ht="17.15" hidden="false" customHeight="false" outlineLevel="0" collapsed="false">
      <c r="A4898" s="0" t="s">
        <v>585</v>
      </c>
      <c r="B4898" s="0" t="s">
        <v>52</v>
      </c>
      <c r="C4898" s="12" t="n">
        <f aca="false">tk_cx_h100/(tk_cx_h100+tk_fac*(1-colo_sh))</f>
        <v>0.730756458006641</v>
      </c>
      <c r="D4898" s="12" t="n">
        <f aca="false">tk_cx_h100/(tk_cx_h100+tk_fac*(1-colo_sh))</f>
        <v>0.730756458006641</v>
      </c>
      <c r="E4898" s="12" t="n">
        <f aca="false">Sens!$F$4898</f>
        <v>0.760792334328868</v>
      </c>
      <c r="F4898" s="12" t="n">
        <f aca="false">Sens!$F$4881/(Sens!$F$4881+tk_fac*(1-colo_sh))</f>
        <v>0.760792334328868</v>
      </c>
      <c r="G4898" s="12" t="n">
        <f aca="false">Sens!$G$4881/(Sens!$G$4881+tk_fac*(1-colo_sh))</f>
        <v>0.760792334328868</v>
      </c>
      <c r="H4898" s="12" t="n">
        <f aca="false">Sens!$H$4881/(Sens!$H$4881+tk_fac*(1-colo_sh))</f>
        <v>0.768110668862996</v>
      </c>
      <c r="I4898" s="12" t="n">
        <f aca="false">Sens!$I$4881/(Sens!$I$4881+tk_fac*(1-colo_sh))</f>
        <v>0.77499450139483</v>
      </c>
      <c r="J4898" s="12" t="n">
        <f aca="false">Sens!$J$4881/(Sens!$J$4881+tk_fac*(1-colo_sh))</f>
        <v>0.77499450139483</v>
      </c>
      <c r="K4898" s="12" t="n">
        <f aca="false">Sens!$K$4881/(Sens!$K$4881+tk_fac*(1-colo_sh))</f>
        <v>0.77499450139483</v>
      </c>
      <c r="L4898" s="12" t="n">
        <f aca="false">Sens!$L$4881/(Sens!$L$4881+tk_fac*(1-colo_sh))</f>
        <v>0.77499450139483</v>
      </c>
      <c r="M4898" s="12" t="n">
        <f aca="false">Sens!$M$4881/(Sens!$M$4881+tk_fac*(1-colo_sh))</f>
        <v>0.77499450139483</v>
      </c>
    </row>
    <row r="4899" customFormat="false" ht="17.15" hidden="false" customHeight="false" outlineLevel="0" collapsed="false">
      <c r="A4899" s="1" t="s">
        <v>586</v>
      </c>
      <c r="B4899" s="8" t="s">
        <v>73</v>
      </c>
      <c r="C4899" s="38" t="n">
        <f aca="false">Q!$D$46-cx_rt*Q!$D$16-cx_awso*Sens!$C$4894</f>
        <v>25.2781053077374</v>
      </c>
      <c r="D4899" s="38" t="n">
        <f aca="false">Q!$E$46-cx_rt*Q!$E$16-cx_awso*Sens!$D$4894</f>
        <v>69.5686316310026</v>
      </c>
      <c r="E4899" s="38" t="n">
        <f aca="false">Q!$P$46-cx_rt*Q!$P$16-cx_awso*Sens!$E$4894</f>
        <v>64.1899206485108</v>
      </c>
      <c r="F4899" s="38" t="n">
        <f aca="false">MAX(Sens!$F$4876*(Sens!$F$4881+tk_fac*(1-colo_sh))/1000,capex_g26-Q!$P$46-Sens!$F$4897)</f>
        <v>96.2481299895</v>
      </c>
      <c r="G4899" s="38" t="n">
        <f aca="false">Sens!$E$4899+Sens!$F$4899</f>
        <v>160.438050638011</v>
      </c>
      <c r="H4899" s="38" t="n">
        <f aca="false">Sens!$H$4876*(Sens!$H$4881+tk_fac*(1-colo_sh))/1000+Sens!$H$4900</f>
        <v>198.57136494475</v>
      </c>
      <c r="I4899" s="38" t="n">
        <f aca="false">Sens!$I$4876*(Sens!$I$4881+tk_fac*(1-colo_sh))/1000+Sens!$I$4900</f>
        <v>204.6464699105</v>
      </c>
      <c r="J4899" s="38" t="n">
        <f aca="false">Sens!$J$4876*(Sens!$J$4881+tk_fac*(1-colo_sh))/1000+Sens!$J$4900</f>
        <v>209.8832381105</v>
      </c>
      <c r="K4899" s="38" t="n">
        <f aca="false">Sens!$K$4876*(Sens!$K$4881+tk_fac*(1-colo_sh))/1000+Sens!$K$4900</f>
        <v>215.1200063105</v>
      </c>
      <c r="L4899" s="38" t="n">
        <f aca="false">Sens!$L$4876*(Sens!$L$4881+tk_fac*(1-colo_sh))/1000+Sens!$L$4900</f>
        <v>251.7773837105</v>
      </c>
      <c r="M4899" s="38" t="n">
        <f aca="false">Sens!$M$4876*(Sens!$M$4881+tk_fac*(1-colo_sh))/1000+Sens!$M$4900</f>
        <v>311.87584476575</v>
      </c>
      <c r="P4899" s="5" t="s">
        <v>587</v>
      </c>
      <c r="R4899" s="38" t="n">
        <f aca="false">Q!$C$46-cx_rt*Q!$C$16-cx_awso*(Q!$C$7-mw_ye23/2*rpm_open/1000)</f>
        <v>1.50429979529945</v>
      </c>
      <c r="S4899" s="38" t="n">
        <f aca="false">Sens!$C$4899</f>
        <v>25.2781053077374</v>
      </c>
      <c r="T4899" s="38" t="n">
        <f aca="false">Sens!$D$4899</f>
        <v>69.5686316310026</v>
      </c>
      <c r="U4899" s="38" t="n">
        <f aca="false">Sens!$G$4899</f>
        <v>160.438050638011</v>
      </c>
      <c r="V4899" s="38" t="n">
        <f aca="false">Sens!$H$4899</f>
        <v>198.57136494475</v>
      </c>
      <c r="W4899" s="38" t="n">
        <f aca="false">Sens!$I$4899</f>
        <v>204.6464699105</v>
      </c>
      <c r="X4899" s="38" t="n">
        <f aca="false">Sens!$J$4899</f>
        <v>209.8832381105</v>
      </c>
      <c r="Y4899" s="38" t="n">
        <f aca="false">Sens!$K$4899</f>
        <v>215.1200063105</v>
      </c>
      <c r="Z4899" s="38" t="n">
        <f aca="false">Sens!$L$4899</f>
        <v>251.7773837105</v>
      </c>
      <c r="AA4899" s="38" t="n">
        <f aca="false">Sens!$M$4899</f>
        <v>311.87584476575</v>
      </c>
    </row>
    <row r="4900" customFormat="false" ht="17.15" hidden="false" customHeight="false" outlineLevel="0" collapsed="false">
      <c r="A4900" s="0" t="s">
        <v>588</v>
      </c>
      <c r="B4900" s="0" t="s">
        <v>73</v>
      </c>
      <c r="H4900" s="38" t="n">
        <f aca="false">SUMPRODUCT(--(Sens!$R$4870:$AA$4870=2027-tk_life),Sens!$R$4876:$AA$4876)*Sens!$H$4881/1000</f>
        <v>0</v>
      </c>
      <c r="I4900" s="38" t="n">
        <f aca="false">SUMPRODUCT(--(Sens!$R$4870:$AA$4870=2028-tk_life),Sens!$R$4876:$AA$4876)*Sens!$I$4881/1000</f>
        <v>0</v>
      </c>
      <c r="J4900" s="38" t="n">
        <f aca="false">SUMPRODUCT(--(Sens!$R$4870:$AA$4870=2029-tk_life),Sens!$R$4876:$AA$4876)*Sens!$J$4881/1000</f>
        <v>5.2367682</v>
      </c>
      <c r="K4900" s="38" t="n">
        <f aca="false">SUMPRODUCT(--(Sens!$R$4870:$AA$4870=2030-tk_life),Sens!$R$4876:$AA$4876)*Sens!$K$4881/1000</f>
        <v>10.4735364</v>
      </c>
      <c r="L4900" s="38" t="n">
        <f aca="false">SUMPRODUCT(--(Sens!$R$4870:$AA$4870=2031-tk_life),Sens!$R$4876:$AA$4876)*Sens!$L$4881/1000</f>
        <v>47.1309138</v>
      </c>
      <c r="M4900" s="38" t="n">
        <f aca="false">SUMPRODUCT(--(Sens!$R$4870:$AA$4870=2032-tk_life),Sens!$R$4876:$AA$4876)*Sens!$M$4881/1000</f>
        <v>107.22937485525</v>
      </c>
    </row>
    <row r="4901" customFormat="false" ht="17.15" hidden="false" customHeight="false" outlineLevel="0" collapsed="false">
      <c r="A4901" s="5" t="s">
        <v>589</v>
      </c>
      <c r="B4901" s="0" t="s">
        <v>73</v>
      </c>
      <c r="C4901" s="38" t="n">
        <f aca="false">Sens!$C$4899*Sens!$C$4898</f>
        <v>18.472138699801</v>
      </c>
      <c r="D4901" s="38" t="n">
        <f aca="false">Sens!$D$4899*Sens!$D$4898</f>
        <v>50.8377268390402</v>
      </c>
      <c r="E4901" s="38" t="n">
        <f aca="false">Sens!$E$4899*Sens!$E$4898</f>
        <v>48.8351995705653</v>
      </c>
      <c r="F4901" s="38" t="n">
        <f aca="false">Sens!$F$4899*Sens!$F$4898</f>
        <v>73.2248394895</v>
      </c>
      <c r="G4901" s="38" t="n">
        <f aca="false">Sens!$E$4901+Sens!$F$4901</f>
        <v>122.060039060065</v>
      </c>
      <c r="H4901" s="38" t="n">
        <f aca="false">(Sens!$H$4899-Sens!$H$4900)*Sens!$H$4898+Sens!$H$4900</f>
        <v>152.52478394475</v>
      </c>
      <c r="I4901" s="38" t="n">
        <f aca="false">(Sens!$I$4899-Sens!$I$4900)*Sens!$I$4898+Sens!$I$4900</f>
        <v>158.5998889105</v>
      </c>
      <c r="J4901" s="38" t="n">
        <f aca="false">(Sens!$J$4899-Sens!$J$4900)*Sens!$J$4898+Sens!$J$4900</f>
        <v>163.8366571105</v>
      </c>
      <c r="K4901" s="38" t="n">
        <f aca="false">(Sens!$K$4899-Sens!$K$4900)*Sens!$K$4898+Sens!$K$4900</f>
        <v>169.0734253105</v>
      </c>
      <c r="L4901" s="38" t="n">
        <f aca="false">(Sens!$L$4899-Sens!$L$4900)*Sens!$L$4898+Sens!$L$4900</f>
        <v>205.7308027105</v>
      </c>
      <c r="M4901" s="38" t="n">
        <f aca="false">(Sens!$M$4899-Sens!$M$4900)*Sens!$M$4898+Sens!$M$4900</f>
        <v>265.82926376575</v>
      </c>
      <c r="R4901" s="38" t="n">
        <f aca="false">Sens!$R$4899*Sens!$C$4898</f>
        <v>1.09927679019314</v>
      </c>
      <c r="S4901" s="38" t="n">
        <f aca="false">Sens!$C$4901</f>
        <v>18.472138699801</v>
      </c>
      <c r="T4901" s="38" t="n">
        <f aca="false">Sens!$D$4901</f>
        <v>50.8377268390402</v>
      </c>
      <c r="U4901" s="38" t="n">
        <f aca="false">Sens!$G$4901</f>
        <v>122.060039060065</v>
      </c>
      <c r="V4901" s="38" t="n">
        <f aca="false">Sens!$H$4901</f>
        <v>152.52478394475</v>
      </c>
      <c r="W4901" s="38" t="n">
        <f aca="false">Sens!$I$4901</f>
        <v>158.5998889105</v>
      </c>
      <c r="X4901" s="38" t="n">
        <f aca="false">Sens!$J$4901</f>
        <v>163.8366571105</v>
      </c>
      <c r="Y4901" s="38" t="n">
        <f aca="false">Sens!$K$4901</f>
        <v>169.0734253105</v>
      </c>
      <c r="Z4901" s="38" t="n">
        <f aca="false">Sens!$L$4901</f>
        <v>205.7308027105</v>
      </c>
      <c r="AA4901" s="38" t="n">
        <f aca="false">Sens!$M$4901</f>
        <v>265.82926376575</v>
      </c>
    </row>
    <row r="4902" customFormat="false" ht="15" hidden="false" customHeight="false" outlineLevel="0" collapsed="false">
      <c r="A4902" s="5" t="s">
        <v>590</v>
      </c>
      <c r="B4902" s="0" t="s">
        <v>73</v>
      </c>
      <c r="R4902" s="38" t="n">
        <f aca="false">Sens!$R$4899-Sens!$R$4901</f>
        <v>0.405023005106309</v>
      </c>
      <c r="S4902" s="38" t="n">
        <f aca="false">Sens!$S$4899-Sens!$S$4901</f>
        <v>6.80596660793636</v>
      </c>
      <c r="T4902" s="38" t="n">
        <f aca="false">Sens!$T$4899-Sens!$T$4901</f>
        <v>18.7309047919624</v>
      </c>
      <c r="U4902" s="38" t="n">
        <f aca="false">Sens!$U$4899-Sens!$U$4901</f>
        <v>38.3780115779455</v>
      </c>
      <c r="V4902" s="38" t="n">
        <f aca="false">Sens!$V$4899-Sens!$V$4901</f>
        <v>46.046581</v>
      </c>
      <c r="W4902" s="38" t="n">
        <f aca="false">Sens!$W$4899-Sens!$W$4901</f>
        <v>46.046581</v>
      </c>
      <c r="X4902" s="38" t="n">
        <f aca="false">Sens!$X$4899-Sens!$X$4901</f>
        <v>46.046581</v>
      </c>
      <c r="Y4902" s="38" t="n">
        <f aca="false">Sens!$Y$4899-Sens!$Y$4901</f>
        <v>46.046581</v>
      </c>
      <c r="Z4902" s="38" t="n">
        <f aca="false">Sens!$Z$4899-Sens!$Z$4901</f>
        <v>46.046581</v>
      </c>
      <c r="AA4902" s="38" t="n">
        <f aca="false">Sens!$AA$4899-Sens!$AA$4901</f>
        <v>46.046581</v>
      </c>
    </row>
    <row r="4903" customFormat="false" ht="17.15" hidden="false" customHeight="false" outlineLevel="0" collapsed="false">
      <c r="A4903" s="0" t="s">
        <v>591</v>
      </c>
      <c r="B4903" s="0" t="s">
        <v>73</v>
      </c>
      <c r="C4903" s="38" t="n">
        <f aca="false">Sens!$S$4903</f>
        <v>0.183212798365523</v>
      </c>
      <c r="D4903" s="38" t="n">
        <f aca="false">Sens!$T$4903</f>
        <v>3.2619025816657</v>
      </c>
      <c r="E4903" s="38" t="n">
        <f aca="false">Sens!$G$4903/2</f>
        <v>5.86742852741953</v>
      </c>
      <c r="F4903" s="38" t="n">
        <f aca="false">Sens!$G$4903/2</f>
        <v>5.86742852741953</v>
      </c>
      <c r="G4903" s="38" t="n">
        <f aca="false">Sens!$U$4903</f>
        <v>11.7348570548391</v>
      </c>
      <c r="H4903" s="38" t="n">
        <f aca="false">Sens!$V$4903</f>
        <v>32.0781968981833</v>
      </c>
      <c r="I4903" s="38" t="n">
        <f aca="false">Sens!$W$4903</f>
        <v>57.4989942223083</v>
      </c>
      <c r="J4903" s="38" t="n">
        <f aca="false">Sens!$X$4903</f>
        <v>83.932309040725</v>
      </c>
      <c r="K4903" s="38" t="n">
        <f aca="false">Sens!$Y$4903</f>
        <v>111.055205760776</v>
      </c>
      <c r="L4903" s="38" t="n">
        <f aca="false">Sens!$Z$4903</f>
        <v>136.155420195893</v>
      </c>
      <c r="M4903" s="38" t="n">
        <f aca="false">Sens!$AA$4903</f>
        <v>161.970932841136</v>
      </c>
      <c r="N4903" s="38" t="n">
        <f aca="false">Sens!$D$4903/2</f>
        <v>1.63095129083285</v>
      </c>
      <c r="O4903" s="38" t="n">
        <f aca="false">Sens!$D$4903/2</f>
        <v>1.63095129083285</v>
      </c>
      <c r="R4903" s="38" t="n">
        <f aca="false">SUMPRODUCT(--(Sens!$R$4870:$AA$4870&lt;Sens!R$4870),--(Sens!$R$4870:$AA$4870&gt;=Sens!R$4870-tk_life),Sens!$R$4901:$AA$4901)/tk_life</f>
        <v>0</v>
      </c>
      <c r="S4903" s="38" t="n">
        <f aca="false">SUMPRODUCT(--(Sens!$R$4870:$AA$4870&lt;Sens!S$4870),--(Sens!$R$4870:$AA$4870&gt;=Sens!S$4870-tk_life),Sens!$R$4901:$AA$4901)/tk_life</f>
        <v>0.183212798365523</v>
      </c>
      <c r="T4903" s="38" t="n">
        <f aca="false">SUMPRODUCT(--(Sens!$R$4870:$AA$4870&lt;Sens!T$4870),--(Sens!$R$4870:$AA$4870&gt;=Sens!T$4870-tk_life),Sens!$R$4901:$AA$4901)/tk_life</f>
        <v>3.2619025816657</v>
      </c>
      <c r="U4903" s="38" t="n">
        <f aca="false">SUMPRODUCT(--(Sens!$R$4870:$AA$4870&lt;Sens!U$4870),--(Sens!$R$4870:$AA$4870&gt;=Sens!U$4870-tk_life),Sens!$R$4901:$AA$4901)/tk_life</f>
        <v>11.7348570548391</v>
      </c>
      <c r="V4903" s="38" t="n">
        <f aca="false">SUMPRODUCT(--(Sens!$R$4870:$AA$4870&lt;Sens!V$4870),--(Sens!$R$4870:$AA$4870&gt;=Sens!V$4870-tk_life),Sens!$R$4901:$AA$4901)/tk_life</f>
        <v>32.0781968981833</v>
      </c>
      <c r="W4903" s="38" t="n">
        <f aca="false">SUMPRODUCT(--(Sens!$R$4870:$AA$4870&lt;Sens!W$4870),--(Sens!$R$4870:$AA$4870&gt;=Sens!W$4870-tk_life),Sens!$R$4901:$AA$4901)/tk_life</f>
        <v>57.4989942223083</v>
      </c>
      <c r="X4903" s="38" t="n">
        <f aca="false">SUMPRODUCT(--(Sens!$R$4870:$AA$4870&lt;Sens!X$4870),--(Sens!$R$4870:$AA$4870&gt;=Sens!X$4870-tk_life),Sens!$R$4901:$AA$4901)/tk_life</f>
        <v>83.932309040725</v>
      </c>
      <c r="Y4903" s="38" t="n">
        <f aca="false">SUMPRODUCT(--(Sens!$R$4870:$AA$4870&lt;Sens!Y$4870),--(Sens!$R$4870:$AA$4870&gt;=Sens!Y$4870-tk_life),Sens!$R$4901:$AA$4901)/tk_life</f>
        <v>111.055205760776</v>
      </c>
      <c r="Z4903" s="38" t="n">
        <f aca="false">SUMPRODUCT(--(Sens!$R$4870:$AA$4870&lt;Sens!Z$4870),--(Sens!$R$4870:$AA$4870&gt;=Sens!Z$4870-tk_life),Sens!$R$4901:$AA$4901)/tk_life</f>
        <v>136.155420195893</v>
      </c>
      <c r="AA4903" s="38" t="n">
        <f aca="false">SUMPRODUCT(--(Sens!$R$4870:$AA$4870&lt;Sens!AA$4870),--(Sens!$R$4870:$AA$4870&gt;=Sens!AA$4870-tk_life),Sens!$R$4901:$AA$4901)/tk_life</f>
        <v>161.970932841136</v>
      </c>
    </row>
    <row r="4904" customFormat="false" ht="17.15" hidden="false" customHeight="false" outlineLevel="0" collapsed="false">
      <c r="A4904" s="0" t="s">
        <v>592</v>
      </c>
      <c r="B4904" s="0" t="s">
        <v>73</v>
      </c>
      <c r="C4904" s="38" t="n">
        <f aca="false">Sens!$S$4904</f>
        <v>0.0202511502553155</v>
      </c>
      <c r="D4904" s="38" t="n">
        <f aca="false">Sens!$T$4904</f>
        <v>0.360549480652134</v>
      </c>
      <c r="E4904" s="38" t="n">
        <f aca="false">Sens!$G$4904/2</f>
        <v>0.648547360125127</v>
      </c>
      <c r="F4904" s="38" t="n">
        <f aca="false">Sens!$G$4904/2</f>
        <v>0.648547360125127</v>
      </c>
      <c r="G4904" s="38" t="n">
        <f aca="false">Sens!$U$4904</f>
        <v>1.29709472025025</v>
      </c>
      <c r="H4904" s="38" t="n">
        <f aca="false">Sens!$V$4904</f>
        <v>3.21599529914753</v>
      </c>
      <c r="I4904" s="38" t="n">
        <f aca="false">Sens!$W$4904</f>
        <v>5.51832434914753</v>
      </c>
      <c r="J4904" s="38" t="n">
        <f aca="false">Sens!$X$4904</f>
        <v>7.82065339914753</v>
      </c>
      <c r="K4904" s="38" t="n">
        <f aca="false">Sens!$Y$4904</f>
        <v>10.1229824491475</v>
      </c>
      <c r="L4904" s="38" t="n">
        <f aca="false">Sens!$Z$4904</f>
        <v>12.4253114991475</v>
      </c>
      <c r="M4904" s="38" t="n">
        <f aca="false">Sens!$AA$4904</f>
        <v>14.7276405491475</v>
      </c>
      <c r="N4904" s="38" t="n">
        <f aca="false">Sens!$D$4904/2</f>
        <v>0.180274740326067</v>
      </c>
      <c r="O4904" s="38" t="n">
        <f aca="false">Sens!$D$4904/2</f>
        <v>0.180274740326067</v>
      </c>
      <c r="R4904" s="38" t="n">
        <f aca="false">SUMPRODUCT(--(Sens!$R$4870:$AA$4870&lt;Sens!R$4870),Sens!$R$4902:$AA$4902)/fac_life</f>
        <v>0</v>
      </c>
      <c r="S4904" s="38" t="n">
        <f aca="false">SUMPRODUCT(--(Sens!$R$4870:$AA$4870&lt;Sens!S$4870),Sens!$R$4902:$AA$4902)/fac_life</f>
        <v>0.0202511502553155</v>
      </c>
      <c r="T4904" s="38" t="n">
        <f aca="false">SUMPRODUCT(--(Sens!$R$4870:$AA$4870&lt;Sens!T$4870),Sens!$R$4902:$AA$4902)/fac_life</f>
        <v>0.360549480652134</v>
      </c>
      <c r="U4904" s="38" t="n">
        <f aca="false">SUMPRODUCT(--(Sens!$R$4870:$AA$4870&lt;Sens!U$4870),Sens!$R$4902:$AA$4902)/fac_life</f>
        <v>1.29709472025025</v>
      </c>
      <c r="V4904" s="38" t="n">
        <f aca="false">SUMPRODUCT(--(Sens!$R$4870:$AA$4870&lt;Sens!V$4870),Sens!$R$4902:$AA$4902)/fac_life</f>
        <v>3.21599529914753</v>
      </c>
      <c r="W4904" s="38" t="n">
        <f aca="false">SUMPRODUCT(--(Sens!$R$4870:$AA$4870&lt;Sens!W$4870),Sens!$R$4902:$AA$4902)/fac_life</f>
        <v>5.51832434914753</v>
      </c>
      <c r="X4904" s="38" t="n">
        <f aca="false">SUMPRODUCT(--(Sens!$R$4870:$AA$4870&lt;Sens!X$4870),Sens!$R$4902:$AA$4902)/fac_life</f>
        <v>7.82065339914753</v>
      </c>
      <c r="Y4904" s="38" t="n">
        <f aca="false">SUMPRODUCT(--(Sens!$R$4870:$AA$4870&lt;Sens!Y$4870),Sens!$R$4902:$AA$4902)/fac_life</f>
        <v>10.1229824491475</v>
      </c>
      <c r="Z4904" s="38" t="n">
        <f aca="false">SUMPRODUCT(--(Sens!$R$4870:$AA$4870&lt;Sens!Z$4870),Sens!$R$4902:$AA$4902)/fac_life</f>
        <v>12.4253114991475</v>
      </c>
      <c r="AA4904" s="38" t="n">
        <f aca="false">SUMPRODUCT(--(Sens!$R$4870:$AA$4870&lt;Sens!AA$4870),Sens!$R$4902:$AA$4902)/fac_life</f>
        <v>14.7276405491475</v>
      </c>
    </row>
    <row r="4905" customFormat="false" ht="17.15" hidden="false" customHeight="false" outlineLevel="0" collapsed="false">
      <c r="A4905" s="1" t="s">
        <v>593</v>
      </c>
      <c r="B4905" s="8" t="s">
        <v>73</v>
      </c>
      <c r="C4905" s="38" t="n">
        <f aca="false">Sens!$C$4903+Sens!$C$4904</f>
        <v>0.203463948620839</v>
      </c>
      <c r="D4905" s="38" t="n">
        <f aca="false">Sens!$D$4903+Sens!$D$4904</f>
        <v>3.62245206231783</v>
      </c>
      <c r="E4905" s="38" t="n">
        <f aca="false">Sens!$E$4903+Sens!$E$4904</f>
        <v>6.51597588754466</v>
      </c>
      <c r="F4905" s="38" t="n">
        <f aca="false">Sens!$F$4903+Sens!$F$4904</f>
        <v>6.51597588754466</v>
      </c>
      <c r="G4905" s="38" t="n">
        <f aca="false">Sens!$G$4903+Sens!$G$4904</f>
        <v>13.0319517750893</v>
      </c>
      <c r="H4905" s="38" t="n">
        <f aca="false">Sens!$H$4903+Sens!$H$4904</f>
        <v>35.2941921973308</v>
      </c>
      <c r="I4905" s="38" t="n">
        <f aca="false">Sens!$I$4903+Sens!$I$4904</f>
        <v>63.0173185714558</v>
      </c>
      <c r="J4905" s="38" t="n">
        <f aca="false">Sens!$J$4903+Sens!$J$4904</f>
        <v>91.7529624398725</v>
      </c>
      <c r="K4905" s="38" t="n">
        <f aca="false">Sens!$K$4903+Sens!$K$4904</f>
        <v>121.178188209924</v>
      </c>
      <c r="L4905" s="38" t="n">
        <f aca="false">Sens!$L$4903+Sens!$L$4904</f>
        <v>148.58073169504</v>
      </c>
      <c r="M4905" s="38" t="n">
        <f aca="false">Sens!$M$4903+Sens!$M$4904</f>
        <v>176.698573390283</v>
      </c>
      <c r="N4905" s="38" t="n">
        <f aca="false">Sens!$N$4903+Sens!$N$4904</f>
        <v>1.81122603115892</v>
      </c>
      <c r="O4905" s="38" t="n">
        <f aca="false">Sens!$O$4903+Sens!$O$4904</f>
        <v>1.81122603115892</v>
      </c>
      <c r="R4905" s="38" t="n">
        <f aca="false">Sens!$R$4903+Sens!$R$4904</f>
        <v>0</v>
      </c>
      <c r="S4905" s="38" t="n">
        <f aca="false">Sens!$S$4903+Sens!$S$4904</f>
        <v>0.203463948620839</v>
      </c>
      <c r="T4905" s="38" t="n">
        <f aca="false">Sens!$T$4903+Sens!$T$4904</f>
        <v>3.62245206231783</v>
      </c>
      <c r="U4905" s="38" t="n">
        <f aca="false">Sens!$U$4903+Sens!$U$4904</f>
        <v>13.0319517750893</v>
      </c>
      <c r="V4905" s="38" t="n">
        <f aca="false">Sens!$V$4903+Sens!$V$4904</f>
        <v>35.2941921973308</v>
      </c>
      <c r="W4905" s="38" t="n">
        <f aca="false">Sens!$W$4903+Sens!$W$4904</f>
        <v>63.0173185714558</v>
      </c>
      <c r="X4905" s="38" t="n">
        <f aca="false">Sens!$X$4903+Sens!$X$4904</f>
        <v>91.7529624398725</v>
      </c>
      <c r="Y4905" s="38" t="n">
        <f aca="false">Sens!$Y$4903+Sens!$Y$4904</f>
        <v>121.178188209924</v>
      </c>
      <c r="Z4905" s="38" t="n">
        <f aca="false">Sens!$Z$4903+Sens!$Z$4904</f>
        <v>148.58073169504</v>
      </c>
      <c r="AA4905" s="38" t="n">
        <f aca="false">Sens!$AA$4903+Sens!$AA$4904</f>
        <v>176.698573390283</v>
      </c>
    </row>
    <row r="4906" customFormat="false" ht="17.15" hidden="false" customHeight="false" outlineLevel="0" collapsed="false">
      <c r="A4906" s="0" t="s">
        <v>594</v>
      </c>
      <c r="B4906" s="0" t="s">
        <v>73</v>
      </c>
      <c r="C4906" s="38" t="n">
        <f aca="false">Sens!$S$4906</f>
        <v>26.578941154416</v>
      </c>
      <c r="D4906" s="38" t="n">
        <f aca="false">Sens!$T$4906</f>
        <v>92.5251207231008</v>
      </c>
      <c r="G4906" s="38" t="n">
        <f aca="false">Sens!$U$4906</f>
        <v>239.931219586022</v>
      </c>
      <c r="H4906" s="38" t="n">
        <f aca="false">Sens!$V$4906</f>
        <v>403.208392333442</v>
      </c>
      <c r="I4906" s="38" t="n">
        <f aca="false">Sens!$W$4906</f>
        <v>544.837543672486</v>
      </c>
      <c r="J4906" s="38" t="n">
        <f aca="false">Sens!$X$4906</f>
        <v>662.967819343113</v>
      </c>
      <c r="K4906" s="38" t="n">
        <f aca="false">Sens!$Y$4906</f>
        <v>756.90963744369</v>
      </c>
      <c r="L4906" s="38" t="n">
        <f aca="false">Sens!$Z$4906</f>
        <v>860.10628945915</v>
      </c>
      <c r="M4906" s="38" t="n">
        <f aca="false">Sens!$AA$4906</f>
        <v>995.283560834616</v>
      </c>
      <c r="R4906" s="38" t="n">
        <f aca="false">SUM(Sens!$R$4899:$R$4899)-SUM(Sens!$R$4905:$R$4905)</f>
        <v>1.50429979529945</v>
      </c>
      <c r="S4906" s="38" t="n">
        <f aca="false">SUM(Sens!$R$4899:$S$4899)-SUM(Sens!$R$4905:$S$4905)</f>
        <v>26.578941154416</v>
      </c>
      <c r="T4906" s="38" t="n">
        <f aca="false">SUM(Sens!$R$4899:$T$4899)-SUM(Sens!$R$4905:$T$4905)</f>
        <v>92.5251207231008</v>
      </c>
      <c r="U4906" s="38" t="n">
        <f aca="false">SUM(Sens!$R$4899:$U$4899)-SUM(Sens!$R$4905:$U$4905)</f>
        <v>239.931219586022</v>
      </c>
      <c r="V4906" s="38" t="n">
        <f aca="false">SUM(Sens!$R$4899:$V$4899)-SUM(Sens!$R$4905:$V$4905)</f>
        <v>403.208392333442</v>
      </c>
      <c r="W4906" s="38" t="n">
        <f aca="false">SUM(Sens!$R$4899:$W$4899)-SUM(Sens!$R$4905:$W$4905)</f>
        <v>544.837543672486</v>
      </c>
      <c r="X4906" s="38" t="n">
        <f aca="false">SUM(Sens!$R$4899:$X$4899)-SUM(Sens!$R$4905:$X$4905)</f>
        <v>662.967819343113</v>
      </c>
      <c r="Y4906" s="38" t="n">
        <f aca="false">SUM(Sens!$R$4899:$Y$4899)-SUM(Sens!$R$4905:$Y$4905)</f>
        <v>756.90963744369</v>
      </c>
      <c r="Z4906" s="38" t="n">
        <f aca="false">SUM(Sens!$R$4899:$Z$4899)-SUM(Sens!$R$4905:$Z$4905)</f>
        <v>860.10628945915</v>
      </c>
      <c r="AA4906" s="38" t="n">
        <f aca="false">SUM(Sens!$R$4899:$AA$4899)-SUM(Sens!$R$4905:$AA$4905)</f>
        <v>995.283560834616</v>
      </c>
    </row>
    <row r="4907" customFormat="false" ht="17.15" hidden="false" customHeight="false" outlineLevel="0" collapsed="false">
      <c r="A4907" s="1" t="s">
        <v>595</v>
      </c>
    </row>
    <row r="4908" customFormat="false" ht="17.15" hidden="false" customHeight="false" outlineLevel="0" collapsed="false">
      <c r="A4908" s="0" t="s">
        <v>596</v>
      </c>
      <c r="B4908" s="0" t="s">
        <v>73</v>
      </c>
      <c r="C4908" s="38" t="n">
        <f aca="false">Sens!$C$4890-ext_sh*Sens!$C$4892</f>
        <v>1.80694998843362</v>
      </c>
      <c r="D4908" s="38" t="n">
        <f aca="false">Sens!$D$4890-ext_sh*Sens!$D$4892</f>
        <v>6.77606245662607</v>
      </c>
      <c r="E4908" s="38" t="n">
        <f aca="false">Sens!$E$4890-ext_sh*Sens!$E$4892</f>
        <v>6.62548329092326</v>
      </c>
      <c r="F4908" s="38" t="n">
        <f aca="false">Sens!$F$4890-ext_sh*Sens!$F$4892</f>
        <v>11.7200577158706</v>
      </c>
      <c r="G4908" s="38" t="n">
        <f aca="false">Sens!$G$4890-ext_sh*Sens!$G$4892</f>
        <v>18.3455410067939</v>
      </c>
      <c r="H4908" s="38" t="n">
        <f aca="false">Sens!$H$4890-ext_sh*Sens!$H$4892</f>
        <v>47.5171727060453</v>
      </c>
      <c r="I4908" s="38" t="n">
        <f aca="false">Sens!$I$4890-ext_sh*Sens!$I$4892</f>
        <v>80.5539692643667</v>
      </c>
      <c r="J4908" s="38" t="n">
        <f aca="false">Sens!$J$4890-ext_sh*Sens!$J$4892</f>
        <v>113.759316834883</v>
      </c>
      <c r="K4908" s="38" t="n">
        <f aca="false">Sens!$K$4890-ext_sh*Sens!$K$4892</f>
        <v>147.020848076132</v>
      </c>
      <c r="L4908" s="38" t="n">
        <f aca="false">Sens!$L$4890-ext_sh*Sens!$L$4892</f>
        <v>180.307917349531</v>
      </c>
      <c r="M4908" s="38" t="n">
        <f aca="false">Sens!$M$4890-ext_sh*Sens!$M$4892</f>
        <v>213.608737871012</v>
      </c>
      <c r="N4908" s="38" t="n">
        <f aca="false">Sens!$N$4890-ext_sh*Sens!$N$4892</f>
        <v>2.37162185981912</v>
      </c>
      <c r="O4908" s="38" t="n">
        <f aca="false">Sens!$O$4890-ext_sh*Sens!$O$4892</f>
        <v>4.40444059680694</v>
      </c>
    </row>
    <row r="4909" customFormat="false" ht="17.15" hidden="false" customHeight="false" outlineLevel="0" collapsed="false">
      <c r="A4909" s="1" t="s">
        <v>597</v>
      </c>
      <c r="B4909" s="8" t="s">
        <v>73</v>
      </c>
      <c r="C4909" s="38" t="n">
        <f aca="false">Sens!$C$4908-ext_sh*Sens!$C$4905</f>
        <v>1.64417882953695</v>
      </c>
      <c r="D4909" s="38" t="n">
        <f aca="false">Sens!$D$4908-ext_sh*Sens!$D$4905</f>
        <v>3.8781008067718</v>
      </c>
      <c r="E4909" s="38" t="n">
        <f aca="false">Sens!$E$4908-ext_sh*Sens!$E$4905</f>
        <v>1.41270258088753</v>
      </c>
      <c r="F4909" s="38" t="n">
        <f aca="false">Sens!$F$4908-ext_sh*Sens!$F$4905</f>
        <v>6.50727700583486</v>
      </c>
      <c r="G4909" s="38" t="n">
        <f aca="false">Sens!$G$4908-ext_sh*Sens!$G$4905</f>
        <v>7.9199795867224</v>
      </c>
      <c r="H4909" s="38" t="n">
        <f aca="false">Sens!$H$4908-ext_sh*Sens!$H$4905</f>
        <v>19.2818189481807</v>
      </c>
      <c r="I4909" s="38" t="n">
        <f aca="false">Sens!$I$4908-ext_sh*Sens!$I$4905</f>
        <v>30.140114407202</v>
      </c>
      <c r="J4909" s="38" t="n">
        <f aca="false">Sens!$J$4908-ext_sh*Sens!$J$4905</f>
        <v>40.3569468829854</v>
      </c>
      <c r="K4909" s="38" t="n">
        <f aca="false">Sens!$K$4908-ext_sh*Sens!$K$4905</f>
        <v>50.0782975081929</v>
      </c>
      <c r="L4909" s="38" t="n">
        <f aca="false">Sens!$L$4908-ext_sh*Sens!$L$4905</f>
        <v>61.443331993499</v>
      </c>
      <c r="M4909" s="38" t="n">
        <f aca="false">Sens!$M$4908-ext_sh*Sens!$M$4905</f>
        <v>72.2498791587849</v>
      </c>
      <c r="N4909" s="38" t="n">
        <f aca="false">Sens!$N$4908-ext_sh*Sens!$N$4905</f>
        <v>0.92264103489199</v>
      </c>
      <c r="O4909" s="38" t="n">
        <f aca="false">Sens!$O$4908-ext_sh*Sens!$O$4905</f>
        <v>2.95545977187981</v>
      </c>
    </row>
    <row r="4910" customFormat="false" ht="17.15" hidden="false" customHeight="false" outlineLevel="0" collapsed="false">
      <c r="A4910" s="0" t="s">
        <v>598</v>
      </c>
      <c r="B4910" s="0" t="s">
        <v>52</v>
      </c>
      <c r="C4910" s="12" t="n">
        <f aca="false">Sens!$C$4909/Sens!$C$4890</f>
        <v>0.708390794789371</v>
      </c>
      <c r="D4910" s="12" t="n">
        <f aca="false">Sens!$D$4909/Sens!$D$4890</f>
        <v>0.445565630441968</v>
      </c>
      <c r="E4910" s="12" t="n">
        <f aca="false">Sens!$E$4909/Sens!$E$4890</f>
        <v>0.165998118402711</v>
      </c>
      <c r="F4910" s="12" t="n">
        <f aca="false">Sens!$F$4909/Sens!$F$4890</f>
        <v>0.434878595403858</v>
      </c>
      <c r="G4910" s="12" t="n">
        <f aca="false">Sens!$G$4909/Sens!$G$4890</f>
        <v>0.3373967615381</v>
      </c>
      <c r="H4910" s="12" t="n">
        <f aca="false">Sens!$H$4909/Sens!$H$4890</f>
        <v>0.320477578041224</v>
      </c>
      <c r="I4910" s="12" t="n">
        <f aca="false">Sens!$I$4909/Sens!$I$4890</f>
        <v>0.296936118226494</v>
      </c>
      <c r="J4910" s="12" t="n">
        <f aca="false">Sens!$J$4909/Sens!$J$4890</f>
        <v>0.282166278613001</v>
      </c>
      <c r="K4910" s="12" t="n">
        <f aca="false">Sens!$K$4909/Sens!$K$4890</f>
        <v>0.271267685694333</v>
      </c>
      <c r="L4910" s="12" t="n">
        <f aca="false">Sens!$L$4909/Sens!$L$4890</f>
        <v>0.27160960915653</v>
      </c>
      <c r="M4910" s="12" t="n">
        <f aca="false">Sens!$M$4909/Sens!$M$4890</f>
        <v>0.26974494804234</v>
      </c>
      <c r="N4910" s="12" t="n">
        <f aca="false">Sens!$N$4909/Sens!$N$4890</f>
        <v>0.302870734830849</v>
      </c>
      <c r="O4910" s="12" t="n">
        <f aca="false">Sens!$O$4909/Sens!$O$4890</f>
        <v>0.52240134346334</v>
      </c>
    </row>
    <row r="4911" customFormat="false" ht="17.15" hidden="false" customHeight="false" outlineLevel="0" collapsed="false">
      <c r="A4911" s="5" t="s">
        <v>599</v>
      </c>
      <c r="B4911" s="0" t="s">
        <v>73</v>
      </c>
      <c r="C4911" s="38" t="n">
        <f aca="false">rd2*(1-ext_sh)/ext_sh*Sens!$C$4873*he_open*Sens!$C$4874/1000</f>
        <v>0</v>
      </c>
      <c r="D4911" s="38" t="n">
        <f aca="false">rd2*(1-ext_sh)/ext_sh*Sens!$D$4873*he_open*Sens!$D$4874/1000</f>
        <v>0</v>
      </c>
      <c r="E4911" s="38" t="n">
        <f aca="false">rd2*(1-ext_sh)/ext_sh*Sens!$E$4873*he_open*Sens!$E$4874/1000</f>
        <v>0</v>
      </c>
      <c r="F4911" s="38" t="n">
        <f aca="false">rd2*(1-ext_sh)/ext_sh*(mw_open*he_open+Sens!$F$4888*Sens!$F$4885)*Sens!$F$4874/1000</f>
        <v>0</v>
      </c>
      <c r="G4911" s="38" t="n">
        <f aca="false">Sens!$E$4911+Sens!$F$4911</f>
        <v>0</v>
      </c>
      <c r="H4911" s="38" t="n">
        <f aca="false">rd2*(1-ext_sh)/ext_sh*(mw_open*he_open+Sens!$H$4888*Sens!$H$4885)*Sens!$H$4874/1000</f>
        <v>0</v>
      </c>
      <c r="I4911" s="38" t="n">
        <f aca="false">rd2*(1-ext_sh)/ext_sh*(mw_open*he_open+Sens!$I$4888*Sens!$I$4885)*Sens!$I$4874/1000</f>
        <v>0</v>
      </c>
      <c r="J4911" s="38" t="n">
        <f aca="false">rd2*(1-ext_sh)/ext_sh*(mw_open*he_open+Sens!$J$4888*Sens!$J$4885)*Sens!$J$4874/1000</f>
        <v>0</v>
      </c>
      <c r="K4911" s="38" t="n">
        <f aca="false">rd2*(1-ext_sh)/ext_sh*(mw_open*he_open+Sens!$K$4888*Sens!$K$4885)*Sens!$K$4874/1000</f>
        <v>0</v>
      </c>
      <c r="L4911" s="38" t="n">
        <f aca="false">rd2*(1-ext_sh)/ext_sh*(mw_open*he_open+Sens!$L$4888*Sens!$L$4885)*Sens!$L$4874/1000</f>
        <v>0</v>
      </c>
      <c r="M4911" s="38" t="n">
        <f aca="false">rd2*(1-ext_sh)/ext_sh*(mw_open*he_open+Sens!$M$4888*Sens!$M$4885)*Sens!$M$4874/1000</f>
        <v>0</v>
      </c>
      <c r="N4911" s="38" t="n">
        <f aca="false">rd2*(1-ext_sh)/ext_sh*Sens!$N$4873*he_open*Sens!$N$4874/1000</f>
        <v>0</v>
      </c>
      <c r="O4911" s="38" t="n">
        <f aca="false">rd2*(1-ext_sh)/ext_sh*Sens!$O$4873*he_open*Sens!$O$4874/1000</f>
        <v>0</v>
      </c>
      <c r="P4911" s="8" t="s">
        <v>600</v>
      </c>
    </row>
    <row r="4912" customFormat="false" ht="17.15" hidden="false" customHeight="false" outlineLevel="0" collapsed="false">
      <c r="A4912" s="5" t="s">
        <v>601</v>
      </c>
      <c r="B4912" s="0" t="s">
        <v>73</v>
      </c>
      <c r="C4912" s="38" t="n">
        <f aca="false">(1-ext_sh)*(Sens!$C$4892+Sens!$C$4905)-Sens!$C$4911</f>
        <v>0.169206631859174</v>
      </c>
      <c r="D4912" s="38" t="n">
        <f aca="false">(1-ext_sh)*(Sens!$D$4892+Sens!$D$4905)-Sens!$D$4911</f>
        <v>1.20641732046984</v>
      </c>
      <c r="E4912" s="38" t="n">
        <f aca="false">(1-ext_sh)*(Sens!$E$4892+Sens!$E$4905)-Sens!$E$4911</f>
        <v>1.77441259867062</v>
      </c>
      <c r="F4912" s="38" t="n">
        <f aca="false">(1-ext_sh)*(Sens!$F$4892+Sens!$F$4905)-Sens!$F$4911</f>
        <v>2.1140391597214</v>
      </c>
      <c r="G4912" s="38" t="n">
        <f aca="false">(1-ext_sh)*(Sens!$G$4892+Sens!$G$4905)-Sens!$G$4911</f>
        <v>3.88845175839202</v>
      </c>
      <c r="H4912" s="38" t="n">
        <f aca="false">(1-ext_sh)*(Sens!$H$4892+Sens!$H$4905)-Sens!$H$4911</f>
        <v>10.2210179503985</v>
      </c>
      <c r="I4912" s="38" t="n">
        <f aca="false">(1-ext_sh)*(Sens!$I$4892+Sens!$I$4905)-Sens!$I$4911</f>
        <v>17.8408961823075</v>
      </c>
      <c r="J4912" s="38" t="n">
        <f aca="false">(1-ext_sh)*(Sens!$J$4892+Sens!$J$4905)-Sens!$J$4911</f>
        <v>25.6671150670732</v>
      </c>
      <c r="K4912" s="38" t="n">
        <f aca="false">(1-ext_sh)*(Sens!$K$4892+Sens!$K$4905)-Sens!$K$4911</f>
        <v>33.6325293834986</v>
      </c>
      <c r="L4912" s="38" t="n">
        <f aca="false">(1-ext_sh)*(Sens!$L$4892+Sens!$L$4905)-Sens!$L$4911</f>
        <v>41.1939886299065</v>
      </c>
      <c r="M4912" s="38" t="n">
        <f aca="false">(1-ext_sh)*(Sens!$M$4892+Sens!$M$4905)-Sens!$M$4911</f>
        <v>48.8988205728617</v>
      </c>
      <c r="N4912" s="38" t="n">
        <f aca="false">(1-ext_sh)*(Sens!$N$4892+Sens!$N$4905)-Sens!$N$4911</f>
        <v>0.530919624033979</v>
      </c>
      <c r="O4912" s="38" t="n">
        <f aca="false">(1-ext_sh)*(Sens!$O$4892+Sens!$O$4905)-Sens!$O$4911</f>
        <v>0.675497696435861</v>
      </c>
    </row>
    <row r="4913" customFormat="false" ht="17.15" hidden="false" customHeight="false" outlineLevel="0" collapsed="false">
      <c r="A4913" s="0" t="s">
        <v>602</v>
      </c>
      <c r="B4913" s="0" t="s">
        <v>73</v>
      </c>
      <c r="C4913" s="38" t="n">
        <f aca="false">Q!$D$24</f>
        <v>39.834</v>
      </c>
      <c r="D4913" s="38" t="n">
        <f aca="false">Q!$E$24</f>
        <v>45.606</v>
      </c>
      <c r="E4913" s="38" t="n">
        <f aca="false">Q!$P$24</f>
        <v>30.782</v>
      </c>
      <c r="N4913" s="38" t="n">
        <f aca="false">Q!$N$24</f>
        <v>21.707</v>
      </c>
      <c r="O4913" s="38" t="n">
        <f aca="false">Q!$O$24</f>
        <v>23.899</v>
      </c>
    </row>
    <row r="4914" customFormat="false" ht="17.15" hidden="false" customHeight="false" outlineLevel="0" collapsed="false">
      <c r="A4914" s="0" t="s">
        <v>603</v>
      </c>
      <c r="B4914" s="0" t="s">
        <v>73</v>
      </c>
      <c r="C4914" s="38" t="n">
        <f aca="false">Sens!$C$4913-Sens!$C$4909</f>
        <v>38.1898211704631</v>
      </c>
      <c r="D4914" s="38" t="n">
        <f aca="false">Sens!$D$4913-Sens!$D$4909</f>
        <v>41.7278991932282</v>
      </c>
      <c r="E4914" s="38" t="n">
        <f aca="false">Sens!$E$4913-Sens!$E$4909</f>
        <v>29.3692974191125</v>
      </c>
      <c r="F4914" s="38" t="n">
        <f aca="false">Sens!$F$4894*Sens!$F$4915</f>
        <v>29.458060516894</v>
      </c>
      <c r="G4914" s="38" t="n">
        <f aca="false">Sens!$E$4914+Sens!$F$4914</f>
        <v>58.8273579360065</v>
      </c>
      <c r="H4914" s="38" t="n">
        <f aca="false">Sens!$H$4894*Sens!$H$4915</f>
        <v>67.8004040185081</v>
      </c>
      <c r="I4914" s="38" t="n">
        <f aca="false">Sens!$I$4894*Sens!$I$4915</f>
        <v>78.9527630302702</v>
      </c>
      <c r="J4914" s="38" t="n">
        <f aca="false">Sens!$J$4894*Sens!$J$4915</f>
        <v>88.6042681781841</v>
      </c>
      <c r="K4914" s="38" t="n">
        <f aca="false">Sens!$K$4894*Sens!$K$4915</f>
        <v>95.6926096324389</v>
      </c>
      <c r="L4914" s="38" t="n">
        <f aca="false">Sens!$L$4894*Sens!$L$4915</f>
        <v>103.348018403034</v>
      </c>
      <c r="M4914" s="38" t="n">
        <f aca="false">Sens!$M$4894*Sens!$M$4915</f>
        <v>111.615859875277</v>
      </c>
      <c r="N4914" s="38" t="n">
        <f aca="false">Sens!$N$4913-Sens!$N$4909</f>
        <v>20.784358965108</v>
      </c>
      <c r="O4914" s="38" t="n">
        <f aca="false">Sens!$O$4913-Sens!$O$4909</f>
        <v>20.9435402281202</v>
      </c>
      <c r="P4914" s="5" t="s">
        <v>604</v>
      </c>
    </row>
    <row r="4915" customFormat="false" ht="17.15" hidden="false" customHeight="false" outlineLevel="0" collapsed="false">
      <c r="A4915" s="0" t="s">
        <v>605</v>
      </c>
      <c r="B4915" s="0" t="s">
        <v>52</v>
      </c>
      <c r="C4915" s="12" t="n">
        <f aca="false">Sens!$C$4914/Sens!$C$4894</f>
        <v>0.362900395443635</v>
      </c>
      <c r="D4915" s="12" t="n">
        <f aca="false">Sens!$D$4914/Sens!$D$4894</f>
        <v>0.34767098474203</v>
      </c>
      <c r="E4915" s="12" t="n">
        <f aca="false">Sens!$E$4914/Sens!$E$4894</f>
        <v>0.411861655558416</v>
      </c>
      <c r="F4915" s="12" t="n">
        <f aca="false">(Sens!$O$4914+Sens!$E$4914)/(Sens!$O$4894+Sens!$E$4894)</f>
        <v>0.37480827803158</v>
      </c>
      <c r="G4915" s="12" t="n">
        <f aca="false">Sens!$G$4914/Sens!$G$4894</f>
        <v>0.392434440489471</v>
      </c>
      <c r="H4915" s="12" t="n">
        <f aca="false">Sens!$F$4915</f>
        <v>0.37480827803158</v>
      </c>
      <c r="I4915" s="12" t="n">
        <f aca="false">Sens!$F$4915</f>
        <v>0.37480827803158</v>
      </c>
      <c r="J4915" s="12" t="n">
        <f aca="false">Sens!$F$4915</f>
        <v>0.37480827803158</v>
      </c>
      <c r="K4915" s="12" t="n">
        <f aca="false">Sens!$F$4915</f>
        <v>0.37480827803158</v>
      </c>
      <c r="L4915" s="12" t="n">
        <f aca="false">Sens!$F$4915</f>
        <v>0.37480827803158</v>
      </c>
      <c r="M4915" s="12" t="n">
        <f aca="false">Sens!$F$4915</f>
        <v>0.37480827803158</v>
      </c>
      <c r="N4915" s="12" t="n">
        <f aca="false">Sens!$N$4914/Sens!$N$4894</f>
        <v>0.364039571356823</v>
      </c>
      <c r="O4915" s="12" t="n">
        <f aca="false">Sens!$O$4914/Sens!$O$4894</f>
        <v>0.332819892300086</v>
      </c>
      <c r="P4915" s="8" t="s">
        <v>606</v>
      </c>
    </row>
    <row r="4916" customFormat="false" ht="17.15" hidden="false" customHeight="false" outlineLevel="0" collapsed="false">
      <c r="A4916" s="0" t="s">
        <v>607</v>
      </c>
      <c r="B4916" s="0" t="s">
        <v>52</v>
      </c>
      <c r="D4916" s="12" t="n">
        <f aca="false">(Q!$E$31-ext_sh*Sens!$D$4905)/Sens!$D$4894</f>
        <v>0.154572973163571</v>
      </c>
    </row>
    <row r="4917" customFormat="false" ht="17.15" hidden="false" customHeight="false" outlineLevel="0" collapsed="false">
      <c r="A4917" s="0" t="s">
        <v>608</v>
      </c>
      <c r="B4917" s="0" t="s">
        <v>73</v>
      </c>
      <c r="C4917" s="38" t="n">
        <f aca="false">Q!$D$31</f>
        <v>13.32</v>
      </c>
      <c r="D4917" s="38" t="n">
        <f aca="false">Q!$E$31</f>
        <v>21.45</v>
      </c>
      <c r="E4917" s="38" t="n">
        <f aca="false">Q!$P$31</f>
        <v>15.353</v>
      </c>
      <c r="F4917" s="38" t="n">
        <f aca="false">ext_sh*Sens!$F$4905+Sens!$D$4916*Sens!$F$4894</f>
        <v>17.3614451462707</v>
      </c>
      <c r="G4917" s="38" t="n">
        <f aca="false">Sens!$E$4917+Sens!$F$4917</f>
        <v>32.7144451462707</v>
      </c>
      <c r="H4917" s="38" t="n">
        <f aca="false">ext_sh*Sens!$H$4905+Sens!$D$4916*Sens!$H$4894</f>
        <v>56.1966092719415</v>
      </c>
      <c r="I4917" s="38" t="n">
        <f aca="false">ext_sh*Sens!$I$4905+Sens!$D$4916*Sens!$I$4894</f>
        <v>82.9744039068297</v>
      </c>
      <c r="J4917" s="38" t="n">
        <f aca="false">ext_sh*Sens!$J$4905+Sens!$D$4916*Sens!$J$4894</f>
        <v>109.943252237669</v>
      </c>
      <c r="K4917" s="38" t="n">
        <f aca="false">ext_sh*Sens!$K$4905+Sens!$D$4916*Sens!$K$4894</f>
        <v>136.406703436571</v>
      </c>
      <c r="L4917" s="38" t="n">
        <f aca="false">ext_sh*Sens!$L$4905+Sens!$D$4916*Sens!$L$4894</f>
        <v>161.485870454155</v>
      </c>
      <c r="M4917" s="38" t="n">
        <f aca="false">ext_sh*Sens!$M$4905+Sens!$D$4916*Sens!$M$4894</f>
        <v>187.389846618199</v>
      </c>
      <c r="N4917" s="38" t="n">
        <f aca="false">Q!$N$31</f>
        <v>9.234</v>
      </c>
      <c r="O4917" s="38" t="n">
        <f aca="false">Q!$O$31</f>
        <v>12.216</v>
      </c>
    </row>
    <row r="4918" customFormat="false" ht="17.15" hidden="false" customHeight="false" outlineLevel="0" collapsed="false">
      <c r="A4918" s="1" t="s">
        <v>609</v>
      </c>
    </row>
    <row r="4919" customFormat="false" ht="17.15" hidden="false" customHeight="false" outlineLevel="0" collapsed="false">
      <c r="A4919" s="14" t="s">
        <v>610</v>
      </c>
      <c r="B4919" s="13" t="s">
        <v>52</v>
      </c>
      <c r="C4919" s="13"/>
      <c r="D4919" s="13"/>
      <c r="E4919" s="13"/>
      <c r="F4919" s="13"/>
      <c r="G4919" s="16" t="n">
        <f aca="false">Sens!$G$4909*(1-tax)/(ext_sh*(Sens!$D$4906+Sens!$G$4906)/2)</f>
        <v>0.0492184452944045</v>
      </c>
      <c r="H4919" s="16" t="n">
        <f aca="false">Sens!$H$4909*(1-tax)/(ext_sh*(Sens!$G$4906+Sens!$H$4906)/2)</f>
        <v>0.0619414246858107</v>
      </c>
      <c r="I4919" s="16" t="n">
        <f aca="false">Sens!$I$4909*(1-tax)/(ext_sh*(Sens!$H$4906+Sens!$I$4906)/2)</f>
        <v>0.0656831488051666</v>
      </c>
      <c r="J4919" s="16" t="n">
        <f aca="false">Sens!$J$4909*(1-tax)/(ext_sh*(Sens!$I$4906+Sens!$J$4906)/2)</f>
        <v>0.0690334849962116</v>
      </c>
      <c r="K4919" s="16" t="n">
        <f aca="false">Sens!$K$4909*(1-tax)/(ext_sh*(Sens!$J$4906+Sens!$K$4906)/2)</f>
        <v>0.0728680488295485</v>
      </c>
      <c r="L4919" s="16" t="n">
        <f aca="false">Sens!$L$4909*(1-tax)/(ext_sh*(Sens!$K$4906+Sens!$L$4906)/2)</f>
        <v>0.0785052878122331</v>
      </c>
      <c r="M4919" s="16" t="n">
        <f aca="false">Sens!$M$4909*(1-tax)/(ext_sh*(Sens!$L$4906+Sens!$M$4906)/2)</f>
        <v>0.0804526580722741</v>
      </c>
      <c r="N4919" s="13"/>
      <c r="O4919" s="13"/>
      <c r="P4919" s="8" t="s">
        <v>611</v>
      </c>
    </row>
    <row r="4920" customFormat="false" ht="17.15" hidden="false" customHeight="false" outlineLevel="0" collapsed="false">
      <c r="A4920" s="5" t="s">
        <v>612</v>
      </c>
      <c r="B4920" s="0" t="s">
        <v>57</v>
      </c>
      <c r="H4920" s="36" t="n">
        <f aca="false">Sens!$H$4890*1000/(mw_open*he_open+Sens!$H$4888*Sens!$H$4885)</f>
        <v>0.991949006767191</v>
      </c>
      <c r="I4920" s="36" t="n">
        <f aca="false">Sens!$I$4890*1000/(mw_open*he_open+Sens!$I$4888*Sens!$I$4885)</f>
        <v>0.991949006767191</v>
      </c>
      <c r="J4920" s="36" t="n">
        <f aca="false">Sens!$J$4890*1000/(mw_open*he_open+Sens!$J$4888*Sens!$J$4885)</f>
        <v>0.991949006767191</v>
      </c>
      <c r="K4920" s="36" t="n">
        <f aca="false">Sens!$K$4890*1000/(mw_open*he_open+Sens!$K$4888*Sens!$K$4885)</f>
        <v>0.991949006767191</v>
      </c>
      <c r="L4920" s="36" t="n">
        <f aca="false">Sens!$L$4890*1000/(mw_open*he_open+Sens!$L$4888*Sens!$L$4885)</f>
        <v>0.991949006767191</v>
      </c>
      <c r="M4920" s="36" t="n">
        <f aca="false">Sens!$M$4890*1000/(mw_open*he_open+Sens!$M$4888*Sens!$M$4885)</f>
        <v>0.991949006767192</v>
      </c>
    </row>
    <row r="4921" customFormat="false" ht="17.15" hidden="false" customHeight="false" outlineLevel="0" collapsed="false">
      <c r="A4921" s="5" t="s">
        <v>613</v>
      </c>
      <c r="B4921" s="0" t="s">
        <v>57</v>
      </c>
      <c r="H4921" s="36" t="n">
        <f aca="false">Sens!$H$4920*(Sens!$H$4890+wacc*ext_sh*(Sens!$G$4906+Sens!$H$4906)/2/(1-tax)-Sens!$H$4909)/Sens!$H$4890</f>
        <v>1.3149781212103</v>
      </c>
      <c r="I4921" s="36" t="n">
        <f aca="false">Sens!$I$4920*(Sens!$I$4890+wacc*ext_sh*(Sens!$H$4906+Sens!$I$4906)/2/(1-tax)-Sens!$I$4909)/Sens!$I$4890</f>
        <v>1.25742005569107</v>
      </c>
      <c r="J4921" s="36" t="n">
        <f aca="false">Sens!$J$4920*(Sens!$J$4890+wacc*ext_sh*(Sens!$I$4906+Sens!$J$4906)/2/(1-tax)-Sens!$J$4909)/Sens!$J$4890</f>
        <v>1.21838845868559</v>
      </c>
      <c r="K4921" s="36" t="n">
        <f aca="false">Sens!$K$4920*(Sens!$K$4890+wacc*ext_sh*(Sens!$J$4906+Sens!$K$4906)/2/(1-tax)-Sens!$K$4909)/Sens!$K$4890</f>
        <v>1.18402644209548</v>
      </c>
      <c r="L4921" s="36" t="n">
        <f aca="false">Sens!$L$4920*(Sens!$L$4890+wacc*ext_sh*(Sens!$K$4906+Sens!$L$4906)/2/(1-tax)-Sens!$L$4909)/Sens!$L$4890</f>
        <v>1.15111215322059</v>
      </c>
      <c r="M4921" s="36" t="n">
        <f aca="false">Sens!$M$4920*(Sens!$M$4890+wacc*ext_sh*(Sens!$L$4906+Sens!$M$4906)/2/(1-tax)-Sens!$M$4909)/Sens!$M$4890</f>
        <v>1.1397166845677</v>
      </c>
    </row>
    <row r="4922" customFormat="false" ht="17.15" hidden="false" customHeight="false" outlineLevel="0" collapsed="false">
      <c r="A4922" s="5" t="s">
        <v>614</v>
      </c>
      <c r="B4922" s="0" t="s">
        <v>52</v>
      </c>
      <c r="C4922" s="12" t="n">
        <f aca="false">Sens!$C$4891/tk_pq</f>
        <v>0.195316432429398</v>
      </c>
      <c r="D4922" s="12" t="n">
        <f aca="false">Sens!$D$4891/tk_pq</f>
        <v>0.195316432429398</v>
      </c>
      <c r="E4922" s="12" t="n">
        <f aca="false">Sens!$E$4891/tk_pq</f>
        <v>0.195316432429398</v>
      </c>
      <c r="F4922" s="12" t="n">
        <f aca="false">Sens!$F$4891/tk_pq</f>
        <v>0.202241827274866</v>
      </c>
      <c r="G4922" s="12" t="n">
        <f aca="false">Sens!$G$4891/tk_pq</f>
        <v>0.199675016194063</v>
      </c>
      <c r="H4922" s="12" t="n">
        <f aca="false">Sens!$H$4891/tk_pq</f>
        <v>0.212647947710325</v>
      </c>
      <c r="I4922" s="12" t="n">
        <f aca="false">Sens!$I$4891/tk_pq</f>
        <v>0.219285125475351</v>
      </c>
      <c r="J4922" s="12" t="n">
        <f aca="false">Sens!$J$4891/tk_pq</f>
        <v>0.222492493217189</v>
      </c>
      <c r="K4922" s="12" t="n">
        <f aca="false">Sens!$K$4891/tk_pq</f>
        <v>0.224371415939166</v>
      </c>
      <c r="L4922" s="12" t="n">
        <f aca="false">Sens!$L$4891/tk_pq</f>
        <v>0.225603749825993</v>
      </c>
      <c r="M4922" s="12" t="n">
        <f aca="false">Sens!$M$4891/tk_pq</f>
        <v>0.22647376274628</v>
      </c>
      <c r="N4922" s="12" t="n">
        <f aca="false">Sens!$N$4891/tk_pq</f>
        <v>0.195316432429398</v>
      </c>
      <c r="O4922" s="12" t="n">
        <f aca="false">Sens!$O$4891/tk_pq</f>
        <v>0.195316432429398</v>
      </c>
      <c r="P4922" s="5" t="s">
        <v>615</v>
      </c>
    </row>
    <row r="4925" customFormat="false" ht="17.15" hidden="false" customHeight="false" outlineLevel="0" collapsed="false">
      <c r="A4925" s="1" t="s">
        <v>642</v>
      </c>
    </row>
    <row r="4926" customFormat="false" ht="17.15" hidden="false" customHeight="false" outlineLevel="0" collapsed="false">
      <c r="A4926" s="0" t="s">
        <v>643</v>
      </c>
      <c r="B4926" s="0" t="s">
        <v>73</v>
      </c>
      <c r="C4926" s="38" t="n">
        <f aca="false">Sens!$C$4890</f>
        <v>2.32100535697364</v>
      </c>
      <c r="D4926" s="38" t="n">
        <f aca="false">Sens!$D$4890</f>
        <v>8.70377008865116</v>
      </c>
      <c r="E4926" s="38" t="n">
        <f aca="false">Sens!$E$4890</f>
        <v>8.51035297557002</v>
      </c>
      <c r="F4926" s="38" t="n">
        <f aca="false">Sens!$F$4890</f>
        <v>14.9634336447205</v>
      </c>
      <c r="G4926" s="38" t="n">
        <f aca="false">Sens!$G$4890</f>
        <v>23.4737866202905</v>
      </c>
      <c r="H4926" s="38" t="n">
        <f aca="false">Sens!$H$4890</f>
        <v>60.1658907497746</v>
      </c>
      <c r="I4926" s="38" t="n">
        <f aca="false">Sens!$I$4890</f>
        <v>101.503699136432</v>
      </c>
      <c r="J4926" s="38" t="n">
        <f aca="false">Sens!$J$4890</f>
        <v>143.025407151278</v>
      </c>
      <c r="K4926" s="38" t="n">
        <f aca="false">Sens!$K$4890</f>
        <v>184.608415042187</v>
      </c>
      <c r="L4926" s="38" t="n">
        <f aca="false">Sens!$L$4890</f>
        <v>226.219286513125</v>
      </c>
      <c r="M4926" s="38" t="n">
        <f aca="false">Sens!$M$4890</f>
        <v>267.845161450232</v>
      </c>
      <c r="N4926" s="38" t="n">
        <f aca="false">Sens!$N$4890</f>
        <v>3.04631953102791</v>
      </c>
      <c r="O4926" s="38" t="n">
        <f aca="false">Sens!$O$4890</f>
        <v>5.65745055762326</v>
      </c>
      <c r="P4926" s="8" t="s">
        <v>644</v>
      </c>
    </row>
    <row r="4927" customFormat="false" ht="17.15" hidden="false" customHeight="false" outlineLevel="0" collapsed="false">
      <c r="A4927" s="0" t="s">
        <v>645</v>
      </c>
      <c r="B4927" s="0" t="s">
        <v>73</v>
      </c>
      <c r="C4927" s="38" t="n">
        <f aca="false">Sens!$C$4894</f>
        <v>105.234994643026</v>
      </c>
      <c r="D4927" s="38" t="n">
        <f aca="false">Sens!$D$4894</f>
        <v>120.021229911349</v>
      </c>
      <c r="E4927" s="38" t="n">
        <f aca="false">Sens!$E$4894</f>
        <v>71.30864702443</v>
      </c>
      <c r="F4927" s="38" t="n">
        <f aca="false">Sens!$F$4894</f>
        <v>78.5950104186653</v>
      </c>
      <c r="G4927" s="38" t="n">
        <f aca="false">Sens!$G$4894</f>
        <v>149.903657443095</v>
      </c>
      <c r="H4927" s="38" t="n">
        <f aca="false">Sens!$H$4894</f>
        <v>180.893560768142</v>
      </c>
      <c r="I4927" s="38" t="n">
        <f aca="false">Sens!$I$4894</f>
        <v>210.64839721501</v>
      </c>
      <c r="J4927" s="38" t="n">
        <f aca="false">Sens!$J$4894</f>
        <v>236.398909446495</v>
      </c>
      <c r="K4927" s="38" t="n">
        <f aca="false">Sens!$K$4894</f>
        <v>255.310822202215</v>
      </c>
      <c r="L4927" s="38" t="n">
        <f aca="false">Sens!$L$4894</f>
        <v>275.735687978392</v>
      </c>
      <c r="M4927" s="38" t="n">
        <f aca="false">Sens!$M$4894</f>
        <v>297.794543016663</v>
      </c>
      <c r="N4927" s="38" t="n">
        <f aca="false">Sens!$N$4894</f>
        <v>57.0936804689721</v>
      </c>
      <c r="O4927" s="38" t="n">
        <f aca="false">Sens!$O$4894</f>
        <v>62.9275494423768</v>
      </c>
      <c r="P4927" s="8" t="s">
        <v>644</v>
      </c>
    </row>
    <row r="4928" customFormat="false" ht="17.15" hidden="false" customHeight="false" outlineLevel="0" collapsed="false">
      <c r="A4928" s="1" t="s">
        <v>476</v>
      </c>
      <c r="B4928" s="8" t="s">
        <v>73</v>
      </c>
      <c r="C4928" s="38" t="n">
        <f aca="false">Q!$D$7</f>
        <v>107.556</v>
      </c>
      <c r="D4928" s="38" t="n">
        <f aca="false">Q!$E$7</f>
        <v>128.725</v>
      </c>
      <c r="E4928" s="38" t="n">
        <f aca="false">Q!$P$7</f>
        <v>79.819</v>
      </c>
      <c r="F4928" s="38" t="n">
        <f aca="false">Sens!$F$4926+Sens!$F$4927</f>
        <v>93.5584440633857</v>
      </c>
      <c r="G4928" s="38" t="n">
        <f aca="false">Sens!$G$4926+Sens!$G$4927</f>
        <v>173.377444063386</v>
      </c>
      <c r="H4928" s="38" t="n">
        <f aca="false">Sens!$H$4926+Sens!$H$4927</f>
        <v>241.059451517916</v>
      </c>
      <c r="I4928" s="38" t="n">
        <f aca="false">Sens!$I$4926+Sens!$I$4927</f>
        <v>312.152096351442</v>
      </c>
      <c r="J4928" s="38" t="n">
        <f aca="false">Sens!$J$4926+Sens!$J$4927</f>
        <v>379.424316597773</v>
      </c>
      <c r="K4928" s="38" t="n">
        <f aca="false">Sens!$K$4926+Sens!$K$4927</f>
        <v>439.919237244402</v>
      </c>
      <c r="L4928" s="38" t="n">
        <f aca="false">Sens!$L$4926+Sens!$L$4927</f>
        <v>501.954974491517</v>
      </c>
      <c r="M4928" s="38" t="n">
        <f aca="false">Sens!$M$4926+Sens!$M$4927</f>
        <v>565.639704466895</v>
      </c>
      <c r="N4928" s="38" t="n">
        <f aca="false">Q!$N$7</f>
        <v>60.14</v>
      </c>
      <c r="O4928" s="38" t="n">
        <f aca="false">Q!$O$7</f>
        <v>68.585</v>
      </c>
      <c r="P4928" s="5" t="s">
        <v>646</v>
      </c>
    </row>
    <row r="4929" customFormat="false" ht="15" hidden="false" customHeight="false" outlineLevel="0" collapsed="false">
      <c r="A4929" s="3" t="s">
        <v>647</v>
      </c>
      <c r="B4929" s="8" t="s">
        <v>73</v>
      </c>
      <c r="C4929" s="38" t="n">
        <f aca="false">Q!$D$8</f>
        <v>637.959</v>
      </c>
      <c r="D4929" s="38" t="n">
        <f aca="false">Q!$E$8</f>
        <v>716.924</v>
      </c>
      <c r="E4929" s="38" t="n">
        <f aca="false">Q!$P$8</f>
        <v>382.125</v>
      </c>
      <c r="F4929" s="38" t="n">
        <f aca="false">Sens!$F$4863+Sens!$F$4928</f>
        <v>450.494873271816</v>
      </c>
      <c r="G4929" s="38" t="n">
        <f aca="false">Sens!$G$4863+Sens!$G$4928</f>
        <v>832.619873271816</v>
      </c>
      <c r="H4929" s="38" t="n">
        <f aca="false">Sens!$H$4863+Sens!$H$4928</f>
        <v>970.995189139617</v>
      </c>
      <c r="I4929" s="38" t="n">
        <f aca="false">Sens!$I$4863+Sens!$I$4928</f>
        <v>1110.44766604932</v>
      </c>
      <c r="J4929" s="38" t="n">
        <f aca="false">Sens!$J$4863+Sens!$J$4928</f>
        <v>1241.16113892356</v>
      </c>
      <c r="K4929" s="38" t="n">
        <f aca="false">Sens!$K$4863+Sens!$K$4928</f>
        <v>1357.47672934633</v>
      </c>
      <c r="L4929" s="38" t="n">
        <f aca="false">Sens!$L$4863+Sens!$L$4928</f>
        <v>1479.24006423468</v>
      </c>
      <c r="M4929" s="38" t="n">
        <f aca="false">Sens!$M$4863+Sens!$M$4928</f>
        <v>1606.8537230104</v>
      </c>
      <c r="N4929" s="38" t="n">
        <f aca="false">Q!$N$8</f>
        <v>323.369</v>
      </c>
      <c r="O4929" s="38" t="n">
        <f aca="false">Q!$O$8</f>
        <v>393.555</v>
      </c>
    </row>
    <row r="4930" customFormat="false" ht="17.15" hidden="false" customHeight="false" outlineLevel="0" collapsed="false">
      <c r="A4930" s="24" t="s">
        <v>655</v>
      </c>
      <c r="B4930" s="25" t="s">
        <v>73</v>
      </c>
      <c r="C4930" s="39" t="n">
        <f aca="false">Sens!$C$4863-(Sens!$C$4865+Sens!$C$4866)</f>
        <v>0</v>
      </c>
      <c r="D4930" s="39" t="n">
        <f aca="false">Sens!$D$4863-(Sens!$D$4865+Sens!$D$4866)</f>
        <v>0</v>
      </c>
      <c r="E4930" s="39" t="n">
        <f aca="false">Sens!$E$4863-(Sens!$E$4865+Sens!$E$4866)</f>
        <v>0</v>
      </c>
      <c r="F4930" s="39" t="n">
        <f aca="false">Sens!$F$4863-(Sens!$F$4865+Sens!$F$4866)</f>
        <v>0</v>
      </c>
      <c r="G4930" s="39" t="n">
        <f aca="false">Sens!$G$4863-(Sens!$G$4865+Sens!$G$4866)</f>
        <v>0</v>
      </c>
      <c r="H4930" s="39" t="n">
        <f aca="false">Sens!$H$4863-(Sens!$H$4865+Sens!$H$4866)</f>
        <v>0</v>
      </c>
      <c r="I4930" s="39" t="n">
        <f aca="false">Sens!$I$4863-(Sens!$I$4865+Sens!$I$4866)</f>
        <v>0</v>
      </c>
      <c r="J4930" s="39" t="n">
        <f aca="false">Sens!$J$4863-(Sens!$J$4865+Sens!$J$4866)</f>
        <v>0</v>
      </c>
      <c r="K4930" s="39" t="n">
        <f aca="false">Sens!$K$4863-(Sens!$K$4865+Sens!$K$4866)</f>
        <v>0</v>
      </c>
      <c r="L4930" s="39" t="n">
        <f aca="false">Sens!$L$4863-(Sens!$L$4865+Sens!$L$4866)</f>
        <v>0</v>
      </c>
      <c r="M4930" s="39" t="n">
        <f aca="false">Sens!$M$4863-(Sens!$M$4865+Sens!$M$4866)</f>
        <v>0</v>
      </c>
      <c r="N4930" s="39" t="n">
        <f aca="false">Sens!$N$4863-(Sens!$N$4865+Sens!$N$4866)</f>
        <v>0</v>
      </c>
      <c r="O4930" s="39" t="n">
        <f aca="false">Sens!$O$4863-(Sens!$O$4865+Sens!$O$4866)</f>
        <v>0</v>
      </c>
    </row>
    <row r="4931" customFormat="false" ht="17.15" hidden="false" customHeight="false" outlineLevel="0" collapsed="false">
      <c r="A4931" s="24" t="s">
        <v>656</v>
      </c>
      <c r="B4931" s="25" t="s">
        <v>73</v>
      </c>
      <c r="C4931" s="39" t="n">
        <f aca="false">Sens!$C$4926+Sens!$C$4927-Sens!$C$4928</f>
        <v>0</v>
      </c>
      <c r="D4931" s="39" t="n">
        <f aca="false">Sens!$D$4926+Sens!$D$4927-Sens!$D$4928</f>
        <v>0</v>
      </c>
      <c r="E4931" s="39" t="n">
        <f aca="false">Sens!$E$4926+Sens!$E$4927-Sens!$E$4928</f>
        <v>0</v>
      </c>
      <c r="F4931" s="39" t="n">
        <f aca="false">Sens!$F$4926+Sens!$F$4927-Sens!$F$4928</f>
        <v>0</v>
      </c>
      <c r="G4931" s="39" t="n">
        <f aca="false">Sens!$G$4926+Sens!$G$4927-Sens!$G$4928</f>
        <v>0</v>
      </c>
      <c r="H4931" s="39" t="n">
        <f aca="false">Sens!$H$4926+Sens!$H$4927-Sens!$H$4928</f>
        <v>0</v>
      </c>
      <c r="I4931" s="39" t="n">
        <f aca="false">Sens!$I$4926+Sens!$I$4927-Sens!$I$4928</f>
        <v>0</v>
      </c>
      <c r="J4931" s="39" t="n">
        <f aca="false">Sens!$J$4926+Sens!$J$4927-Sens!$J$4928</f>
        <v>0</v>
      </c>
      <c r="K4931" s="39" t="n">
        <f aca="false">Sens!$K$4926+Sens!$K$4927-Sens!$K$4928</f>
        <v>0</v>
      </c>
      <c r="L4931" s="39" t="n">
        <f aca="false">Sens!$L$4926+Sens!$L$4927-Sens!$L$4928</f>
        <v>0</v>
      </c>
      <c r="M4931" s="39" t="n">
        <f aca="false">Sens!$M$4926+Sens!$M$4927-Sens!$M$4928</f>
        <v>0</v>
      </c>
      <c r="N4931" s="39" t="n">
        <f aca="false">Sens!$N$4926+Sens!$N$4927-Sens!$N$4928</f>
        <v>0</v>
      </c>
      <c r="O4931" s="39" t="n">
        <f aca="false">Sens!$O$4926+Sens!$O$4927-Sens!$O$4928</f>
        <v>0</v>
      </c>
    </row>
    <row r="4932" customFormat="false" ht="17.15" hidden="false" customHeight="false" outlineLevel="0" collapsed="false">
      <c r="A4932" s="24" t="s">
        <v>657</v>
      </c>
      <c r="B4932" s="25" t="s">
        <v>73</v>
      </c>
      <c r="C4932" s="39" t="n">
        <f aca="false">Sens!$C$4865+Sens!$C$4866+Sens!$C$4928-Sens!$C$4929</f>
        <v>0</v>
      </c>
      <c r="D4932" s="39" t="n">
        <f aca="false">Sens!$D$4865+Sens!$D$4866+Sens!$D$4928-Sens!$D$4929</f>
        <v>0</v>
      </c>
      <c r="E4932" s="39" t="n">
        <f aca="false">Sens!$E$4865+Sens!$E$4866+Sens!$E$4928-Sens!$E$4929</f>
        <v>0</v>
      </c>
      <c r="F4932" s="39" t="n">
        <f aca="false">Sens!$F$4865+Sens!$F$4866+Sens!$F$4928-Sens!$F$4929</f>
        <v>0</v>
      </c>
      <c r="G4932" s="39" t="n">
        <f aca="false">Sens!$G$4865+Sens!$G$4866+Sens!$G$4928-Sens!$G$4929</f>
        <v>0</v>
      </c>
      <c r="H4932" s="39" t="n">
        <f aca="false">Sens!$H$4865+Sens!$H$4866+Sens!$H$4928-Sens!$H$4929</f>
        <v>0</v>
      </c>
      <c r="I4932" s="39" t="n">
        <f aca="false">Sens!$I$4865+Sens!$I$4866+Sens!$I$4928-Sens!$I$4929</f>
        <v>0</v>
      </c>
      <c r="J4932" s="39" t="n">
        <f aca="false">Sens!$J$4865+Sens!$J$4866+Sens!$J$4928-Sens!$J$4929</f>
        <v>0</v>
      </c>
      <c r="K4932" s="39" t="n">
        <f aca="false">Sens!$K$4865+Sens!$K$4866+Sens!$K$4928-Sens!$K$4929</f>
        <v>0</v>
      </c>
      <c r="L4932" s="39" t="n">
        <f aca="false">Sens!$L$4865+Sens!$L$4866+Sens!$L$4928-Sens!$L$4929</f>
        <v>0</v>
      </c>
      <c r="M4932" s="39" t="n">
        <f aca="false">Sens!$M$4865+Sens!$M$4866+Sens!$M$4928-Sens!$M$4929</f>
        <v>0</v>
      </c>
      <c r="N4932" s="39" t="n">
        <f aca="false">Sens!$N$4865+Sens!$N$4866+Sens!$N$4928-Sens!$N$4929</f>
        <v>0</v>
      </c>
      <c r="O4932" s="39" t="n">
        <f aca="false">Sens!$O$4865+Sens!$O$4866+Sens!$O$4928-Sens!$O$4929</f>
        <v>0</v>
      </c>
    </row>
    <row r="4933" customFormat="false" ht="15" hidden="false" customHeight="false" outlineLevel="0" collapsed="false">
      <c r="A4933" s="5" t="s">
        <v>651</v>
      </c>
      <c r="B4933" s="0" t="s">
        <v>52</v>
      </c>
      <c r="G4933" s="12" t="n">
        <f aca="false">Sens!$G$4929/Sens!$D$4929-1</f>
        <v>0.161378156222718</v>
      </c>
      <c r="H4933" s="12" t="n">
        <f aca="false">Sens!$H$4929/Sens!$G$4929-1</f>
        <v>0.166192665236357</v>
      </c>
      <c r="I4933" s="12" t="n">
        <f aca="false">Sens!$I$4929/Sens!$H$4929-1</f>
        <v>0.143618092519351</v>
      </c>
      <c r="J4933" s="12" t="n">
        <f aca="false">Sens!$J$4929/Sens!$I$4929-1</f>
        <v>0.117712411733268</v>
      </c>
      <c r="K4933" s="12" t="n">
        <f aca="false">Sens!$K$4929/Sens!$J$4929-1</f>
        <v>0.0937151404237868</v>
      </c>
      <c r="L4933" s="12" t="n">
        <f aca="false">Sens!$L$4929/Sens!$K$4929-1</f>
        <v>0.0896982852494186</v>
      </c>
      <c r="M4933" s="12" t="n">
        <f aca="false">Sens!$M$4929/Sens!$L$4929-1</f>
        <v>0.0862697420528154</v>
      </c>
    </row>
    <row r="4934" customFormat="false" ht="17.15" hidden="false" customHeight="false" outlineLevel="0" collapsed="false">
      <c r="A4934" s="0" t="s">
        <v>652</v>
      </c>
      <c r="B4934" s="0" t="s">
        <v>52</v>
      </c>
      <c r="C4934" s="12" t="n">
        <f aca="false">Sens!$C$4928/Sens!$C$4929</f>
        <v>0.168593906504964</v>
      </c>
      <c r="D4934" s="12" t="n">
        <f aca="false">Sens!$D$4928/Sens!$D$4929</f>
        <v>0.179551807444025</v>
      </c>
      <c r="E4934" s="12" t="n">
        <f aca="false">Sens!$E$4928/Sens!$E$4929</f>
        <v>0.208881910369643</v>
      </c>
      <c r="F4934" s="12" t="n">
        <f aca="false">Sens!$F$4928/Sens!$F$4929</f>
        <v>0.207679264769203</v>
      </c>
      <c r="G4934" s="12" t="n">
        <f aca="false">Sens!$G$4928/Sens!$G$4929</f>
        <v>0.208231210458731</v>
      </c>
      <c r="H4934" s="12" t="n">
        <f aca="false">Sens!$H$4928/Sens!$H$4929</f>
        <v>0.248260191414043</v>
      </c>
      <c r="I4934" s="12" t="n">
        <f aca="false">Sens!$I$4928/Sens!$I$4929</f>
        <v>0.28110473450946</v>
      </c>
      <c r="J4934" s="12" t="n">
        <f aca="false">Sens!$J$4928/Sens!$J$4929</f>
        <v>0.30570109287086</v>
      </c>
      <c r="K4934" s="12" t="n">
        <f aca="false">Sens!$K$4928/Sens!$K$4929</f>
        <v>0.324071291782835</v>
      </c>
      <c r="L4934" s="12" t="n">
        <f aca="false">Sens!$L$4928/Sens!$L$4929</f>
        <v>0.339333003903741</v>
      </c>
      <c r="M4934" s="12" t="n">
        <f aca="false">Sens!$M$4928/Sens!$M$4929</f>
        <v>0.3520169237354</v>
      </c>
      <c r="N4934" s="12" t="n">
        <f aca="false">Sens!$N$4928/Sens!$N$4929</f>
        <v>0.185979484737251</v>
      </c>
      <c r="O4934" s="12" t="n">
        <f aca="false">Sens!$O$4928/Sens!$O$4929</f>
        <v>0.174270432341096</v>
      </c>
    </row>
    <row r="4935" customFormat="false" ht="17.15" hidden="false" customHeight="false" outlineLevel="0" collapsed="false">
      <c r="A4935" s="0" t="s">
        <v>653</v>
      </c>
      <c r="B4935" s="0" t="s">
        <v>52</v>
      </c>
      <c r="C4935" s="12" t="n">
        <f aca="false">Sens!$C$4926/Sens!$C$4928</f>
        <v>0.0215795060896058</v>
      </c>
      <c r="D4935" s="12" t="n">
        <f aca="false">Sens!$D$4926/Sens!$D$4928</f>
        <v>0.0676152269462122</v>
      </c>
      <c r="E4935" s="12" t="n">
        <f aca="false">Sens!$E$4926/Sens!$E$4928</f>
        <v>0.106620641395783</v>
      </c>
      <c r="F4935" s="12" t="n">
        <f aca="false">Sens!$F$4926/Sens!$F$4928</f>
        <v>0.159936751776064</v>
      </c>
      <c r="G4935" s="12" t="n">
        <f aca="false">Sens!$G$4926/Sens!$G$4928</f>
        <v>0.135391237003751</v>
      </c>
      <c r="H4935" s="12" t="n">
        <f aca="false">Sens!$H$4926/Sens!$H$4928</f>
        <v>0.249589428545194</v>
      </c>
      <c r="I4935" s="12" t="n">
        <f aca="false">Sens!$I$4926/Sens!$I$4928</f>
        <v>0.325173850577483</v>
      </c>
      <c r="J4935" s="12" t="n">
        <f aca="false">Sens!$J$4926/Sens!$J$4928</f>
        <v>0.376953718817392</v>
      </c>
      <c r="K4935" s="12" t="n">
        <f aca="false">Sens!$K$4926/Sens!$K$4928</f>
        <v>0.419641605578676</v>
      </c>
      <c r="L4935" s="12" t="n">
        <f aca="false">Sens!$L$4926/Sens!$L$4928</f>
        <v>0.450676451094615</v>
      </c>
      <c r="M4935" s="12" t="n">
        <f aca="false">Sens!$M$4926/Sens!$M$4928</f>
        <v>0.473526096798086</v>
      </c>
      <c r="N4935" s="12" t="n">
        <f aca="false">Sens!$N$4926/Sens!$N$4928</f>
        <v>0.0506537999838362</v>
      </c>
      <c r="O4935" s="12" t="n">
        <f aca="false">Sens!$O$4926/Sens!$O$4928</f>
        <v>0.0824881615167056</v>
      </c>
    </row>
    <row r="4938" customFormat="false" ht="19.4" hidden="false" customHeight="false" outlineLevel="0" collapsed="false">
      <c r="A4938" s="31" t="s">
        <v>1150</v>
      </c>
    </row>
    <row r="4939" customFormat="false" ht="17.15" hidden="false" customHeight="false" outlineLevel="0" collapsed="false">
      <c r="A4939" s="6" t="s">
        <v>16</v>
      </c>
      <c r="B4939" s="6" t="s">
        <v>17</v>
      </c>
      <c r="C4939" s="20" t="s">
        <v>457</v>
      </c>
      <c r="D4939" s="20" t="s">
        <v>458</v>
      </c>
      <c r="E4939" s="20" t="s">
        <v>540</v>
      </c>
      <c r="F4939" s="20" t="s">
        <v>541</v>
      </c>
      <c r="G4939" s="20" t="s">
        <v>542</v>
      </c>
      <c r="H4939" s="20" t="s">
        <v>543</v>
      </c>
      <c r="I4939" s="20" t="s">
        <v>544</v>
      </c>
      <c r="J4939" s="20" t="s">
        <v>545</v>
      </c>
      <c r="K4939" s="20" t="s">
        <v>546</v>
      </c>
      <c r="L4939" s="20" t="s">
        <v>547</v>
      </c>
      <c r="M4939" s="20" t="s">
        <v>548</v>
      </c>
      <c r="N4939" s="20" t="s">
        <v>549</v>
      </c>
      <c r="O4939" s="20" t="s">
        <v>550</v>
      </c>
      <c r="P4939" s="6" t="s">
        <v>23</v>
      </c>
      <c r="R4939" s="20" t="n">
        <v>2023</v>
      </c>
      <c r="S4939" s="20" t="n">
        <v>2024</v>
      </c>
      <c r="T4939" s="20" t="n">
        <v>2025</v>
      </c>
      <c r="U4939" s="20" t="n">
        <v>2026</v>
      </c>
      <c r="V4939" s="20" t="n">
        <v>2027</v>
      </c>
      <c r="W4939" s="20" t="n">
        <v>2028</v>
      </c>
      <c r="X4939" s="20" t="n">
        <v>2029</v>
      </c>
      <c r="Y4939" s="20" t="n">
        <v>2030</v>
      </c>
      <c r="Z4939" s="20" t="n">
        <v>2031</v>
      </c>
      <c r="AA4939" s="20" t="n">
        <v>2032</v>
      </c>
    </row>
    <row r="4940" customFormat="false" ht="17.15" hidden="false" customHeight="false" outlineLevel="0" collapsed="false">
      <c r="A4940" s="1" t="s">
        <v>668</v>
      </c>
    </row>
    <row r="4941" customFormat="false" ht="15" hidden="false" customHeight="false" outlineLevel="0" collapsed="false">
      <c r="A4941" s="0" t="s">
        <v>479</v>
      </c>
      <c r="B4941" s="0" t="s">
        <v>73</v>
      </c>
      <c r="C4941" s="38" t="n">
        <f aca="false">Sens!$C$4851</f>
        <v>247.029</v>
      </c>
      <c r="D4941" s="38" t="n">
        <f aca="false">Sens!$D$4851</f>
        <v>269.287</v>
      </c>
      <c r="E4941" s="38" t="n">
        <f aca="false">Sens!$E$4851</f>
        <v>134.686</v>
      </c>
      <c r="F4941" s="38" t="n">
        <f aca="false">Sens!$F$4851</f>
        <v>160.728085930082</v>
      </c>
      <c r="G4941" s="38" t="n">
        <f aca="false">Sens!$G$4851</f>
        <v>295.414085930082</v>
      </c>
      <c r="H4941" s="38" t="n">
        <f aca="false">Sens!$H$4851</f>
        <v>320.828163943375</v>
      </c>
      <c r="I4941" s="38" t="n">
        <f aca="false">Sens!$I$4851</f>
        <v>344.575578072228</v>
      </c>
      <c r="J4941" s="38" t="n">
        <f aca="false">Sens!$J$4851</f>
        <v>365.942555779681</v>
      </c>
      <c r="K4941" s="38" t="n">
        <f aca="false">Sens!$K$4851</f>
        <v>384.239683568665</v>
      </c>
      <c r="L4941" s="38" t="n">
        <f aca="false">Sens!$L$4851</f>
        <v>403.451667747098</v>
      </c>
      <c r="M4941" s="38" t="n">
        <f aca="false">Sens!$M$4851</f>
        <v>423.624251134453</v>
      </c>
      <c r="N4941" s="38" t="n">
        <f aca="false">Sens!$N$4851</f>
        <v>118.892</v>
      </c>
      <c r="O4941" s="38" t="n">
        <f aca="false">Sens!$O$4851</f>
        <v>150.395</v>
      </c>
    </row>
    <row r="4942" customFormat="false" ht="15" hidden="false" customHeight="false" outlineLevel="0" collapsed="false">
      <c r="A4942" s="0" t="s">
        <v>480</v>
      </c>
      <c r="B4942" s="0" t="s">
        <v>73</v>
      </c>
      <c r="C4942" s="38" t="n">
        <f aca="false">Sens!$C$4853</f>
        <v>21.215</v>
      </c>
      <c r="D4942" s="38" t="n">
        <f aca="false">Sens!$D$4853</f>
        <v>22.561</v>
      </c>
      <c r="E4942" s="38" t="n">
        <f aca="false">Sens!$E$4853</f>
        <v>11.579</v>
      </c>
      <c r="F4942" s="38" t="n">
        <f aca="false">Sens!$F$4853</f>
        <v>12.0952613121125</v>
      </c>
      <c r="G4942" s="38" t="n">
        <f aca="false">Sens!$G$4853</f>
        <v>23.6742613121125</v>
      </c>
      <c r="H4942" s="38" t="n">
        <f aca="false">Sens!$H$4853</f>
        <v>24.8803243963206</v>
      </c>
      <c r="I4942" s="38" t="n">
        <f aca="false">Sens!$I$4853</f>
        <v>25.9741308664154</v>
      </c>
      <c r="J4942" s="38" t="n">
        <f aca="false">Sens!$J$4853</f>
        <v>26.9346894124267</v>
      </c>
      <c r="K4942" s="38" t="n">
        <f aca="false">Sens!$K$4853</f>
        <v>27.7427300947995</v>
      </c>
      <c r="L4942" s="38" t="n">
        <f aca="false">Sens!$L$4853</f>
        <v>28.5750119976435</v>
      </c>
      <c r="M4942" s="38" t="n">
        <f aca="false">Sens!$M$4853</f>
        <v>29.4322623575728</v>
      </c>
      <c r="N4942" s="38" t="n">
        <f aca="false">Sens!$N$4853</f>
        <v>11.128</v>
      </c>
      <c r="O4942" s="38" t="n">
        <f aca="false">Sens!$O$4853</f>
        <v>11.433</v>
      </c>
    </row>
    <row r="4943" customFormat="false" ht="15" hidden="false" customHeight="false" outlineLevel="0" collapsed="false">
      <c r="A4943" s="0" t="s">
        <v>481</v>
      </c>
      <c r="B4943" s="0" t="s">
        <v>73</v>
      </c>
      <c r="C4943" s="38" t="n">
        <f aca="false">Sens!$C$4855</f>
        <v>156.146</v>
      </c>
      <c r="D4943" s="38" t="n">
        <f aca="false">Sens!$D$4855</f>
        <v>172.162</v>
      </c>
      <c r="E4943" s="38" t="n">
        <f aca="false">Sens!$E$4855</f>
        <v>88.358</v>
      </c>
      <c r="F4943" s="38" t="n">
        <f aca="false">Sens!$F$4855</f>
        <v>103.62028337149</v>
      </c>
      <c r="G4943" s="38" t="n">
        <f aca="false">Sens!$G$4855</f>
        <v>191.97828337149</v>
      </c>
      <c r="H4943" s="38" t="n">
        <f aca="false">Sens!$H$4855</f>
        <v>212.128608444755</v>
      </c>
      <c r="I4943" s="38" t="n">
        <f aca="false">Sens!$I$4855</f>
        <v>231.92183134134</v>
      </c>
      <c r="J4943" s="38" t="n">
        <f aca="false">Sens!$J$4855</f>
        <v>250.859136487863</v>
      </c>
      <c r="K4943" s="38" t="n">
        <f aca="false">Sens!$K$4855</f>
        <v>268.419276042014</v>
      </c>
      <c r="L4943" s="38" t="n">
        <f aca="false">Sens!$L$4855</f>
        <v>287.208625364954</v>
      </c>
      <c r="M4943" s="38" t="n">
        <f aca="false">Sens!$M$4855</f>
        <v>307.313229140501</v>
      </c>
      <c r="N4943" s="38" t="n">
        <f aca="false">Sens!$N$4855</f>
        <v>76.86</v>
      </c>
      <c r="O4943" s="38" t="n">
        <f aca="false">Sens!$O$4855</f>
        <v>95.302</v>
      </c>
    </row>
    <row r="4944" customFormat="false" ht="15" hidden="false" customHeight="false" outlineLevel="0" collapsed="false">
      <c r="A4944" s="0" t="s">
        <v>482</v>
      </c>
      <c r="B4944" s="0" t="s">
        <v>73</v>
      </c>
      <c r="C4944" s="38" t="n">
        <f aca="false">Sens!$C$4857</f>
        <v>56.214</v>
      </c>
      <c r="D4944" s="38" t="n">
        <f aca="false">Sens!$D$4857</f>
        <v>68.635</v>
      </c>
      <c r="E4944" s="38" t="n">
        <f aca="false">Sens!$E$4857</f>
        <v>37.052</v>
      </c>
      <c r="F4944" s="38" t="n">
        <f aca="false">Sens!$F$4857</f>
        <v>48.1533381827382</v>
      </c>
      <c r="G4944" s="38" t="n">
        <f aca="false">Sens!$G$4857</f>
        <v>85.2053381827382</v>
      </c>
      <c r="H4944" s="38" t="n">
        <f aca="false">Sens!$H$4857</f>
        <v>102.29336185894</v>
      </c>
      <c r="I4944" s="38" t="n">
        <f aca="false">Sens!$I$4857</f>
        <v>119.379837585241</v>
      </c>
      <c r="J4944" s="38" t="n">
        <f aca="false">Sens!$J$4857</f>
        <v>135.319079048844</v>
      </c>
      <c r="K4944" s="38" t="n">
        <f aca="false">Sens!$K$4857</f>
        <v>148.850986953729</v>
      </c>
      <c r="L4944" s="38" t="n">
        <f aca="false">Sens!$L$4857</f>
        <v>163.736085649102</v>
      </c>
      <c r="M4944" s="38" t="n">
        <f aca="false">Sens!$M$4857</f>
        <v>180.109694214012</v>
      </c>
      <c r="N4944" s="38" t="n">
        <f aca="false">Sens!$N$4857</f>
        <v>29.615</v>
      </c>
      <c r="O4944" s="38" t="n">
        <f aca="false">Sens!$O$4857</f>
        <v>39.02</v>
      </c>
    </row>
    <row r="4945" customFormat="false" ht="15" hidden="false" customHeight="false" outlineLevel="0" collapsed="false">
      <c r="A4945" s="0" t="s">
        <v>483</v>
      </c>
      <c r="B4945" s="0" t="s">
        <v>73</v>
      </c>
      <c r="C4945" s="38" t="n">
        <f aca="false">Sens!$C$4859</f>
        <v>44.374</v>
      </c>
      <c r="D4945" s="38" t="n">
        <f aca="false">Sens!$D$4859</f>
        <v>49.619</v>
      </c>
      <c r="E4945" s="38" t="n">
        <f aca="false">Sens!$E$4859</f>
        <v>27.157</v>
      </c>
      <c r="F4945" s="38" t="n">
        <f aca="false">Sens!$F$4859</f>
        <v>28.9776360923374</v>
      </c>
      <c r="G4945" s="38" t="n">
        <f aca="false">Sens!$G$4859</f>
        <v>56.1346360923374</v>
      </c>
      <c r="H4945" s="38" t="n">
        <f aca="false">Sens!$H$4859</f>
        <v>62.4937078946075</v>
      </c>
      <c r="I4945" s="38" t="n">
        <f aca="false">Sens!$I$4859</f>
        <v>68.6715233062498</v>
      </c>
      <c r="J4945" s="38" t="n">
        <f aca="false">Sens!$J$4859</f>
        <v>74.4692882949818</v>
      </c>
      <c r="K4945" s="38" t="n">
        <f aca="false">Sens!$K$4859</f>
        <v>79.6821384756306</v>
      </c>
      <c r="L4945" s="38" t="n">
        <f aca="false">Sens!$L$4859</f>
        <v>85.2598881689247</v>
      </c>
      <c r="M4945" s="38" t="n">
        <f aca="false">Sens!$M$4859</f>
        <v>91.2280803407494</v>
      </c>
      <c r="N4945" s="38" t="n">
        <f aca="false">Sens!$N$4859</f>
        <v>23.923</v>
      </c>
      <c r="O4945" s="38" t="n">
        <f aca="false">Sens!$O$4859</f>
        <v>25.696</v>
      </c>
    </row>
    <row r="4946" customFormat="false" ht="15" hidden="false" customHeight="false" outlineLevel="0" collapsed="false">
      <c r="A4946" s="0" t="s">
        <v>484</v>
      </c>
      <c r="B4946" s="0" t="s">
        <v>73</v>
      </c>
      <c r="C4946" s="38" t="n">
        <f aca="false">Sens!$C$4861</f>
        <v>5.425</v>
      </c>
      <c r="D4946" s="38" t="n">
        <f aca="false">Sens!$D$4861</f>
        <v>5.935</v>
      </c>
      <c r="E4946" s="38" t="n">
        <f aca="false">Sens!$E$4861</f>
        <v>3.474</v>
      </c>
      <c r="F4946" s="38" t="n">
        <f aca="false">Sens!$F$4861</f>
        <v>3.36182431966931</v>
      </c>
      <c r="G4946" s="38" t="n">
        <f aca="false">Sens!$G$4861</f>
        <v>6.83582431966931</v>
      </c>
      <c r="H4946" s="38" t="n">
        <f aca="false">Sens!$H$4861</f>
        <v>7.31157108370141</v>
      </c>
      <c r="I4946" s="38" t="n">
        <f aca="false">Sens!$I$4861</f>
        <v>7.77266852639815</v>
      </c>
      <c r="J4946" s="38" t="n">
        <f aca="false">Sens!$J$4861</f>
        <v>8.2120733019884</v>
      </c>
      <c r="K4946" s="38" t="n">
        <f aca="false">Sens!$K$4861</f>
        <v>8.62267696708783</v>
      </c>
      <c r="L4946" s="38" t="n">
        <f aca="false">Sens!$L$4861</f>
        <v>9.05381081544222</v>
      </c>
      <c r="M4946" s="38" t="n">
        <f aca="false">Sens!$M$4861</f>
        <v>9.50650135621433</v>
      </c>
      <c r="N4946" s="38" t="n">
        <f aca="false">Sens!$N$4861</f>
        <v>2.811</v>
      </c>
      <c r="O4946" s="38" t="n">
        <f aca="false">Sens!$O$4861</f>
        <v>3.124</v>
      </c>
    </row>
    <row r="4947" customFormat="false" ht="17.15" hidden="false" customHeight="false" outlineLevel="0" collapsed="false">
      <c r="A4947" s="0" t="s">
        <v>669</v>
      </c>
      <c r="B4947" s="0" t="s">
        <v>73</v>
      </c>
      <c r="C4947" s="38" t="n">
        <f aca="false">Sens!$C$4928</f>
        <v>107.556</v>
      </c>
      <c r="D4947" s="38" t="n">
        <f aca="false">Sens!$D$4928</f>
        <v>128.725</v>
      </c>
      <c r="E4947" s="38" t="n">
        <f aca="false">Sens!$E$4928</f>
        <v>79.819</v>
      </c>
      <c r="F4947" s="38" t="n">
        <f aca="false">Sens!$F$4928</f>
        <v>93.5584440633857</v>
      </c>
      <c r="G4947" s="38" t="n">
        <f aca="false">Sens!$G$4928</f>
        <v>173.377444063386</v>
      </c>
      <c r="H4947" s="38" t="n">
        <f aca="false">Sens!$H$4928</f>
        <v>241.059451517916</v>
      </c>
      <c r="I4947" s="38" t="n">
        <f aca="false">Sens!$I$4928</f>
        <v>312.152096351442</v>
      </c>
      <c r="J4947" s="38" t="n">
        <f aca="false">Sens!$J$4928</f>
        <v>379.424316597773</v>
      </c>
      <c r="K4947" s="38" t="n">
        <f aca="false">Sens!$K$4928</f>
        <v>439.919237244402</v>
      </c>
      <c r="L4947" s="38" t="n">
        <f aca="false">Sens!$L$4928</f>
        <v>501.954974491517</v>
      </c>
      <c r="M4947" s="38" t="n">
        <f aca="false">Sens!$M$4928</f>
        <v>565.639704466895</v>
      </c>
      <c r="N4947" s="38" t="n">
        <f aca="false">Sens!$N$4928</f>
        <v>60.14</v>
      </c>
      <c r="O4947" s="38" t="n">
        <f aca="false">Sens!$O$4928</f>
        <v>68.585</v>
      </c>
    </row>
    <row r="4948" customFormat="false" ht="15" hidden="false" customHeight="false" outlineLevel="0" collapsed="false">
      <c r="A4948" s="1" t="s">
        <v>472</v>
      </c>
      <c r="B4948" s="8" t="s">
        <v>73</v>
      </c>
      <c r="C4948" s="38" t="n">
        <f aca="false">Sens!$C$4865</f>
        <v>387.497</v>
      </c>
      <c r="D4948" s="38" t="n">
        <f aca="false">Sens!$D$4865</f>
        <v>426.305</v>
      </c>
      <c r="E4948" s="38" t="n">
        <f aca="false">Sens!$E$4865</f>
        <v>220.32</v>
      </c>
      <c r="F4948" s="38" t="n">
        <f aca="false">Sens!$F$4865</f>
        <v>256.304015003807</v>
      </c>
      <c r="G4948" s="38" t="n">
        <f aca="false">Sens!$G$4865</f>
        <v>476.624015003807</v>
      </c>
      <c r="H4948" s="38" t="n">
        <f aca="false">Sens!$H$4865</f>
        <v>527.734391091543</v>
      </c>
      <c r="I4948" s="38" t="n">
        <f aca="false">Sens!$I$4865</f>
        <v>577.157693029577</v>
      </c>
      <c r="J4948" s="38" t="n">
        <f aca="false">Sens!$J$4865</f>
        <v>623.024923663827</v>
      </c>
      <c r="K4948" s="38" t="n">
        <f aca="false">Sens!$K$4865</f>
        <v>663.382568393781</v>
      </c>
      <c r="L4948" s="38" t="n">
        <f aca="false">Sens!$L$4865</f>
        <v>706.564873010432</v>
      </c>
      <c r="M4948" s="38" t="n">
        <f aca="false">Sens!$M$4865</f>
        <v>752.784687406019</v>
      </c>
      <c r="N4948" s="38" t="n">
        <f aca="false">Sens!$N$4865</f>
        <v>192.955</v>
      </c>
      <c r="O4948" s="38" t="n">
        <f aca="false">Sens!$O$4865</f>
        <v>233.35</v>
      </c>
    </row>
    <row r="4949" customFormat="false" ht="15" hidden="false" customHeight="false" outlineLevel="0" collapsed="false">
      <c r="A4949" s="1" t="s">
        <v>475</v>
      </c>
      <c r="B4949" s="8" t="s">
        <v>73</v>
      </c>
      <c r="C4949" s="38" t="n">
        <f aca="false">Sens!$C$4866</f>
        <v>142.906</v>
      </c>
      <c r="D4949" s="38" t="n">
        <f aca="false">Sens!$D$4866</f>
        <v>161.894</v>
      </c>
      <c r="E4949" s="38" t="n">
        <f aca="false">Sens!$E$4866</f>
        <v>81.986</v>
      </c>
      <c r="F4949" s="38" t="n">
        <f aca="false">Sens!$F$4866</f>
        <v>100.632414204623</v>
      </c>
      <c r="G4949" s="38" t="n">
        <f aca="false">Sens!$G$4866</f>
        <v>182.618414204623</v>
      </c>
      <c r="H4949" s="38" t="n">
        <f aca="false">Sens!$H$4866</f>
        <v>202.201346530158</v>
      </c>
      <c r="I4949" s="38" t="n">
        <f aca="false">Sens!$I$4866</f>
        <v>221.137876668296</v>
      </c>
      <c r="J4949" s="38" t="n">
        <f aca="false">Sens!$J$4866</f>
        <v>238.711898661958</v>
      </c>
      <c r="K4949" s="38" t="n">
        <f aca="false">Sens!$K$4866</f>
        <v>254.174923708144</v>
      </c>
      <c r="L4949" s="38" t="n">
        <f aca="false">Sens!$L$4866</f>
        <v>270.720216732733</v>
      </c>
      <c r="M4949" s="38" t="n">
        <f aca="false">Sens!$M$4866</f>
        <v>288.429331137484</v>
      </c>
      <c r="N4949" s="38" t="n">
        <f aca="false">Sens!$N$4866</f>
        <v>70.274</v>
      </c>
      <c r="O4949" s="38" t="n">
        <f aca="false">Sens!$O$4866</f>
        <v>91.62</v>
      </c>
    </row>
    <row r="4950" customFormat="false" ht="15" hidden="false" customHeight="false" outlineLevel="0" collapsed="false">
      <c r="A4950" s="1" t="s">
        <v>476</v>
      </c>
      <c r="B4950" s="8" t="s">
        <v>73</v>
      </c>
      <c r="C4950" s="38" t="n">
        <f aca="false">Sens!$C$4928</f>
        <v>107.556</v>
      </c>
      <c r="D4950" s="38" t="n">
        <f aca="false">Sens!$D$4928</f>
        <v>128.725</v>
      </c>
      <c r="E4950" s="38" t="n">
        <f aca="false">Sens!$E$4928</f>
        <v>79.819</v>
      </c>
      <c r="F4950" s="38" t="n">
        <f aca="false">Sens!$F$4928</f>
        <v>93.5584440633857</v>
      </c>
      <c r="G4950" s="38" t="n">
        <f aca="false">Sens!$G$4928</f>
        <v>173.377444063386</v>
      </c>
      <c r="H4950" s="38" t="n">
        <f aca="false">Sens!$H$4928</f>
        <v>241.059451517916</v>
      </c>
      <c r="I4950" s="38" t="n">
        <f aca="false">Sens!$I$4928</f>
        <v>312.152096351442</v>
      </c>
      <c r="J4950" s="38" t="n">
        <f aca="false">Sens!$J$4928</f>
        <v>379.424316597773</v>
      </c>
      <c r="K4950" s="38" t="n">
        <f aca="false">Sens!$K$4928</f>
        <v>439.919237244402</v>
      </c>
      <c r="L4950" s="38" t="n">
        <f aca="false">Sens!$L$4928</f>
        <v>501.954974491517</v>
      </c>
      <c r="M4950" s="38" t="n">
        <f aca="false">Sens!$M$4928</f>
        <v>565.639704466895</v>
      </c>
      <c r="N4950" s="38" t="n">
        <f aca="false">Sens!$N$4928</f>
        <v>60.14</v>
      </c>
      <c r="O4950" s="38" t="n">
        <f aca="false">Sens!$O$4928</f>
        <v>68.585</v>
      </c>
    </row>
    <row r="4951" customFormat="false" ht="17.15" hidden="false" customHeight="false" outlineLevel="0" collapsed="false">
      <c r="A4951" s="0" t="s">
        <v>643</v>
      </c>
      <c r="B4951" s="0" t="s">
        <v>73</v>
      </c>
      <c r="C4951" s="38" t="n">
        <f aca="false">Sens!$C$4926</f>
        <v>2.32100535697364</v>
      </c>
      <c r="D4951" s="38" t="n">
        <f aca="false">Sens!$D$4926</f>
        <v>8.70377008865116</v>
      </c>
      <c r="E4951" s="38" t="n">
        <f aca="false">Sens!$E$4926</f>
        <v>8.51035297557002</v>
      </c>
      <c r="F4951" s="38" t="n">
        <f aca="false">Sens!$F$4926</f>
        <v>14.9634336447205</v>
      </c>
      <c r="G4951" s="38" t="n">
        <f aca="false">Sens!$G$4926</f>
        <v>23.4737866202905</v>
      </c>
      <c r="H4951" s="38" t="n">
        <f aca="false">Sens!$H$4926</f>
        <v>60.1658907497746</v>
      </c>
      <c r="I4951" s="38" t="n">
        <f aca="false">Sens!$I$4926</f>
        <v>101.503699136432</v>
      </c>
      <c r="J4951" s="38" t="n">
        <f aca="false">Sens!$J$4926</f>
        <v>143.025407151278</v>
      </c>
      <c r="K4951" s="38" t="n">
        <f aca="false">Sens!$K$4926</f>
        <v>184.608415042187</v>
      </c>
      <c r="L4951" s="38" t="n">
        <f aca="false">Sens!$L$4926</f>
        <v>226.219286513125</v>
      </c>
      <c r="M4951" s="38" t="n">
        <f aca="false">Sens!$M$4926</f>
        <v>267.845161450232</v>
      </c>
      <c r="N4951" s="38" t="n">
        <f aca="false">Sens!$N$4926</f>
        <v>3.04631953102791</v>
      </c>
      <c r="O4951" s="38" t="n">
        <f aca="false">Sens!$O$4926</f>
        <v>5.65745055762326</v>
      </c>
    </row>
    <row r="4952" customFormat="false" ht="17.15" hidden="false" customHeight="false" outlineLevel="0" collapsed="false">
      <c r="A4952" s="0" t="s">
        <v>645</v>
      </c>
      <c r="B4952" s="0" t="s">
        <v>73</v>
      </c>
      <c r="C4952" s="38" t="n">
        <f aca="false">Sens!$C$4927</f>
        <v>105.234994643026</v>
      </c>
      <c r="D4952" s="38" t="n">
        <f aca="false">Sens!$D$4927</f>
        <v>120.021229911349</v>
      </c>
      <c r="E4952" s="38" t="n">
        <f aca="false">Sens!$E$4927</f>
        <v>71.30864702443</v>
      </c>
      <c r="F4952" s="38" t="n">
        <f aca="false">Sens!$F$4927</f>
        <v>78.5950104186653</v>
      </c>
      <c r="G4952" s="38" t="n">
        <f aca="false">Sens!$G$4927</f>
        <v>149.903657443095</v>
      </c>
      <c r="H4952" s="38" t="n">
        <f aca="false">Sens!$H$4927</f>
        <v>180.893560768142</v>
      </c>
      <c r="I4952" s="38" t="n">
        <f aca="false">Sens!$I$4927</f>
        <v>210.64839721501</v>
      </c>
      <c r="J4952" s="38" t="n">
        <f aca="false">Sens!$J$4927</f>
        <v>236.398909446495</v>
      </c>
      <c r="K4952" s="38" t="n">
        <f aca="false">Sens!$K$4927</f>
        <v>255.310822202215</v>
      </c>
      <c r="L4952" s="38" t="n">
        <f aca="false">Sens!$L$4927</f>
        <v>275.735687978392</v>
      </c>
      <c r="M4952" s="38" t="n">
        <f aca="false">Sens!$M$4927</f>
        <v>297.794543016663</v>
      </c>
      <c r="N4952" s="38" t="n">
        <f aca="false">Sens!$N$4927</f>
        <v>57.0936804689721</v>
      </c>
      <c r="O4952" s="38" t="n">
        <f aca="false">Sens!$O$4927</f>
        <v>62.9275494423768</v>
      </c>
    </row>
    <row r="4953" customFormat="false" ht="15" hidden="false" customHeight="false" outlineLevel="0" collapsed="false">
      <c r="A4953" s="3" t="s">
        <v>477</v>
      </c>
      <c r="B4953" s="8" t="s">
        <v>73</v>
      </c>
      <c r="C4953" s="38" t="n">
        <f aca="false">Sens!$C$4929</f>
        <v>637.959</v>
      </c>
      <c r="D4953" s="38" t="n">
        <f aca="false">Sens!$D$4929</f>
        <v>716.924</v>
      </c>
      <c r="E4953" s="38" t="n">
        <f aca="false">Sens!$E$4929</f>
        <v>382.125</v>
      </c>
      <c r="F4953" s="38" t="n">
        <f aca="false">Sens!$F$4929</f>
        <v>450.494873271816</v>
      </c>
      <c r="G4953" s="38" t="n">
        <f aca="false">Sens!$G$4929</f>
        <v>832.619873271816</v>
      </c>
      <c r="H4953" s="38" t="n">
        <f aca="false">Sens!$H$4929</f>
        <v>970.995189139617</v>
      </c>
      <c r="I4953" s="38" t="n">
        <f aca="false">Sens!$I$4929</f>
        <v>1110.44766604932</v>
      </c>
      <c r="J4953" s="38" t="n">
        <f aca="false">Sens!$J$4929</f>
        <v>1241.16113892356</v>
      </c>
      <c r="K4953" s="38" t="n">
        <f aca="false">Sens!$K$4929</f>
        <v>1357.47672934633</v>
      </c>
      <c r="L4953" s="38" t="n">
        <f aca="false">Sens!$L$4929</f>
        <v>1479.24006423468</v>
      </c>
      <c r="M4953" s="38" t="n">
        <f aca="false">Sens!$M$4929</f>
        <v>1606.8537230104</v>
      </c>
      <c r="N4953" s="38" t="n">
        <f aca="false">Sens!$N$4929</f>
        <v>323.369</v>
      </c>
      <c r="O4953" s="38" t="n">
        <f aca="false">Sens!$O$4929</f>
        <v>393.555</v>
      </c>
    </row>
    <row r="4954" customFormat="false" ht="17.15" hidden="false" customHeight="false" outlineLevel="0" collapsed="false">
      <c r="A4954" s="24" t="s">
        <v>655</v>
      </c>
      <c r="B4954" s="25" t="s">
        <v>73</v>
      </c>
      <c r="C4954" s="39" t="n">
        <f aca="false">Sens!$C$4941+Sens!$C$4942+Sens!$C$4943+Sens!$C$4944+Sens!$C$4945+Sens!$C$4946-(Sens!$C$4948+Sens!$C$4949)</f>
        <v>0</v>
      </c>
      <c r="D4954" s="39" t="n">
        <f aca="false">Sens!$D$4941+Sens!$D$4942+Sens!$D$4943+Sens!$D$4944+Sens!$D$4945+Sens!$D$4946-(Sens!$D$4948+Sens!$D$4949)</f>
        <v>0</v>
      </c>
      <c r="E4954" s="39" t="n">
        <f aca="false">Sens!$E$4941+Sens!$E$4942+Sens!$E$4943+Sens!$E$4944+Sens!$E$4945+Sens!$E$4946-(Sens!$E$4948+Sens!$E$4949)</f>
        <v>0</v>
      </c>
      <c r="F4954" s="39" t="n">
        <f aca="false">Sens!$F$4941+Sens!$F$4942+Sens!$F$4943+Sens!$F$4944+Sens!$F$4945+Sens!$F$4946-(Sens!$F$4948+Sens!$F$4949)</f>
        <v>0</v>
      </c>
      <c r="G4954" s="39" t="n">
        <f aca="false">Sens!$G$4941+Sens!$G$4942+Sens!$G$4943+Sens!$G$4944+Sens!$G$4945+Sens!$G$4946-(Sens!$G$4948+Sens!$G$4949)</f>
        <v>0</v>
      </c>
      <c r="H4954" s="39" t="n">
        <f aca="false">Sens!$H$4941+Sens!$H$4942+Sens!$H$4943+Sens!$H$4944+Sens!$H$4945+Sens!$H$4946-(Sens!$H$4948+Sens!$H$4949)</f>
        <v>0</v>
      </c>
      <c r="I4954" s="39" t="n">
        <f aca="false">Sens!$I$4941+Sens!$I$4942+Sens!$I$4943+Sens!$I$4944+Sens!$I$4945+Sens!$I$4946-(Sens!$I$4948+Sens!$I$4949)</f>
        <v>0</v>
      </c>
      <c r="J4954" s="39" t="n">
        <f aca="false">Sens!$J$4941+Sens!$J$4942+Sens!$J$4943+Sens!$J$4944+Sens!$J$4945+Sens!$J$4946-(Sens!$J$4948+Sens!$J$4949)</f>
        <v>0</v>
      </c>
      <c r="K4954" s="39" t="n">
        <f aca="false">Sens!$K$4941+Sens!$K$4942+Sens!$K$4943+Sens!$K$4944+Sens!$K$4945+Sens!$K$4946-(Sens!$K$4948+Sens!$K$4949)</f>
        <v>0</v>
      </c>
      <c r="L4954" s="39" t="n">
        <f aca="false">Sens!$L$4941+Sens!$L$4942+Sens!$L$4943+Sens!$L$4944+Sens!$L$4945+Sens!$L$4946-(Sens!$L$4948+Sens!$L$4949)</f>
        <v>0</v>
      </c>
      <c r="M4954" s="39" t="n">
        <f aca="false">Sens!$M$4941+Sens!$M$4942+Sens!$M$4943+Sens!$M$4944+Sens!$M$4945+Sens!$M$4946-(Sens!$M$4948+Sens!$M$4949)</f>
        <v>0</v>
      </c>
      <c r="N4954" s="39" t="n">
        <f aca="false">Sens!$N$4941+Sens!$N$4942+Sens!$N$4943+Sens!$N$4944+Sens!$N$4945+Sens!$N$4946-(Sens!$N$4948+Sens!$N$4949)</f>
        <v>0</v>
      </c>
      <c r="O4954" s="39" t="n">
        <f aca="false">Sens!$O$4941+Sens!$O$4942+Sens!$O$4943+Sens!$O$4944+Sens!$O$4945+Sens!$O$4946-(Sens!$O$4948+Sens!$O$4949)</f>
        <v>0</v>
      </c>
    </row>
    <row r="4955" customFormat="false" ht="17.15" hidden="false" customHeight="false" outlineLevel="0" collapsed="false">
      <c r="A4955" s="24" t="s">
        <v>656</v>
      </c>
      <c r="B4955" s="25" t="s">
        <v>73</v>
      </c>
      <c r="C4955" s="39" t="n">
        <f aca="false">Sens!$C$4951+Sens!$C$4952-Sens!$C$4950</f>
        <v>0</v>
      </c>
      <c r="D4955" s="39" t="n">
        <f aca="false">Sens!$D$4951+Sens!$D$4952-Sens!$D$4950</f>
        <v>0</v>
      </c>
      <c r="E4955" s="39" t="n">
        <f aca="false">Sens!$E$4951+Sens!$E$4952-Sens!$E$4950</f>
        <v>0</v>
      </c>
      <c r="F4955" s="39" t="n">
        <f aca="false">Sens!$F$4951+Sens!$F$4952-Sens!$F$4950</f>
        <v>0</v>
      </c>
      <c r="G4955" s="39" t="n">
        <f aca="false">Sens!$G$4951+Sens!$G$4952-Sens!$G$4950</f>
        <v>0</v>
      </c>
      <c r="H4955" s="39" t="n">
        <f aca="false">Sens!$H$4951+Sens!$H$4952-Sens!$H$4950</f>
        <v>0</v>
      </c>
      <c r="I4955" s="39" t="n">
        <f aca="false">Sens!$I$4951+Sens!$I$4952-Sens!$I$4950</f>
        <v>0</v>
      </c>
      <c r="J4955" s="39" t="n">
        <f aca="false">Sens!$J$4951+Sens!$J$4952-Sens!$J$4950</f>
        <v>0</v>
      </c>
      <c r="K4955" s="39" t="n">
        <f aca="false">Sens!$K$4951+Sens!$K$4952-Sens!$K$4950</f>
        <v>0</v>
      </c>
      <c r="L4955" s="39" t="n">
        <f aca="false">Sens!$L$4951+Sens!$L$4952-Sens!$L$4950</f>
        <v>0</v>
      </c>
      <c r="M4955" s="39" t="n">
        <f aca="false">Sens!$M$4951+Sens!$M$4952-Sens!$M$4950</f>
        <v>0</v>
      </c>
      <c r="N4955" s="39" t="n">
        <f aca="false">Sens!$N$4951+Sens!$N$4952-Sens!$N$4950</f>
        <v>0</v>
      </c>
      <c r="O4955" s="39" t="n">
        <f aca="false">Sens!$O$4951+Sens!$O$4952-Sens!$O$4950</f>
        <v>0</v>
      </c>
    </row>
    <row r="4956" customFormat="false" ht="17.15" hidden="false" customHeight="false" outlineLevel="0" collapsed="false">
      <c r="A4956" s="24" t="s">
        <v>710</v>
      </c>
      <c r="B4956" s="25" t="s">
        <v>73</v>
      </c>
      <c r="C4956" s="39" t="n">
        <f aca="false">Sens!$C$4941+Sens!$C$4942+Sens!$C$4943+Sens!$C$4944+Sens!$C$4945+Sens!$C$4946+Sens!$C$4947-Sens!$C$4953</f>
        <v>0</v>
      </c>
      <c r="D4956" s="39" t="n">
        <f aca="false">Sens!$D$4941+Sens!$D$4942+Sens!$D$4943+Sens!$D$4944+Sens!$D$4945+Sens!$D$4946+Sens!$D$4947-Sens!$D$4953</f>
        <v>0</v>
      </c>
      <c r="E4956" s="39" t="n">
        <f aca="false">Sens!$E$4941+Sens!$E$4942+Sens!$E$4943+Sens!$E$4944+Sens!$E$4945+Sens!$E$4946+Sens!$E$4947-Sens!$E$4953</f>
        <v>0</v>
      </c>
      <c r="F4956" s="39" t="n">
        <f aca="false">Sens!$F$4941+Sens!$F$4942+Sens!$F$4943+Sens!$F$4944+Sens!$F$4945+Sens!$F$4946+Sens!$F$4947-Sens!$F$4953</f>
        <v>0</v>
      </c>
      <c r="G4956" s="39" t="n">
        <f aca="false">Sens!$G$4941+Sens!$G$4942+Sens!$G$4943+Sens!$G$4944+Sens!$G$4945+Sens!$G$4946+Sens!$G$4947-Sens!$G$4953</f>
        <v>0</v>
      </c>
      <c r="H4956" s="39" t="n">
        <f aca="false">Sens!$H$4941+Sens!$H$4942+Sens!$H$4943+Sens!$H$4944+Sens!$H$4945+Sens!$H$4946+Sens!$H$4947-Sens!$H$4953</f>
        <v>0</v>
      </c>
      <c r="I4956" s="39" t="n">
        <f aca="false">Sens!$I$4941+Sens!$I$4942+Sens!$I$4943+Sens!$I$4944+Sens!$I$4945+Sens!$I$4946+Sens!$I$4947-Sens!$I$4953</f>
        <v>0</v>
      </c>
      <c r="J4956" s="39" t="n">
        <f aca="false">Sens!$J$4941+Sens!$J$4942+Sens!$J$4943+Sens!$J$4944+Sens!$J$4945+Sens!$J$4946+Sens!$J$4947-Sens!$J$4953</f>
        <v>0</v>
      </c>
      <c r="K4956" s="39" t="n">
        <f aca="false">Sens!$K$4941+Sens!$K$4942+Sens!$K$4943+Sens!$K$4944+Sens!$K$4945+Sens!$K$4946+Sens!$K$4947-Sens!$K$4953</f>
        <v>0</v>
      </c>
      <c r="L4956" s="39" t="n">
        <f aca="false">Sens!$L$4941+Sens!$L$4942+Sens!$L$4943+Sens!$L$4944+Sens!$L$4945+Sens!$L$4946+Sens!$L$4947-Sens!$L$4953</f>
        <v>0</v>
      </c>
      <c r="M4956" s="39" t="n">
        <f aca="false">Sens!$M$4941+Sens!$M$4942+Sens!$M$4943+Sens!$M$4944+Sens!$M$4945+Sens!$M$4946+Sens!$M$4947-Sens!$M$4953</f>
        <v>0</v>
      </c>
      <c r="N4956" s="39" t="n">
        <f aca="false">Sens!$N$4941+Sens!$N$4942+Sens!$N$4943+Sens!$N$4944+Sens!$N$4945+Sens!$N$4946+Sens!$N$4947-Sens!$N$4953</f>
        <v>0</v>
      </c>
      <c r="O4956" s="39" t="n">
        <f aca="false">Sens!$O$4941+Sens!$O$4942+Sens!$O$4943+Sens!$O$4944+Sens!$O$4945+Sens!$O$4946+Sens!$O$4947-Sens!$O$4953</f>
        <v>0</v>
      </c>
    </row>
    <row r="4957" customFormat="false" ht="17.15" hidden="false" customHeight="false" outlineLevel="0" collapsed="false">
      <c r="A4957" s="24" t="s">
        <v>657</v>
      </c>
      <c r="B4957" s="25" t="s">
        <v>73</v>
      </c>
      <c r="C4957" s="39" t="n">
        <f aca="false">Sens!$C$4948+Sens!$C$4949+Sens!$C$4950-Sens!$C$4953</f>
        <v>0</v>
      </c>
      <c r="D4957" s="39" t="n">
        <f aca="false">Sens!$D$4948+Sens!$D$4949+Sens!$D$4950-Sens!$D$4953</f>
        <v>0</v>
      </c>
      <c r="E4957" s="39" t="n">
        <f aca="false">Sens!$E$4948+Sens!$E$4949+Sens!$E$4950-Sens!$E$4953</f>
        <v>0</v>
      </c>
      <c r="F4957" s="39" t="n">
        <f aca="false">Sens!$F$4948+Sens!$F$4949+Sens!$F$4950-Sens!$F$4953</f>
        <v>0</v>
      </c>
      <c r="G4957" s="39" t="n">
        <f aca="false">Sens!$G$4948+Sens!$G$4949+Sens!$G$4950-Sens!$G$4953</f>
        <v>0</v>
      </c>
      <c r="H4957" s="39" t="n">
        <f aca="false">Sens!$H$4948+Sens!$H$4949+Sens!$H$4950-Sens!$H$4953</f>
        <v>0</v>
      </c>
      <c r="I4957" s="39" t="n">
        <f aca="false">Sens!$I$4948+Sens!$I$4949+Sens!$I$4950-Sens!$I$4953</f>
        <v>0</v>
      </c>
      <c r="J4957" s="39" t="n">
        <f aca="false">Sens!$J$4948+Sens!$J$4949+Sens!$J$4950-Sens!$J$4953</f>
        <v>0</v>
      </c>
      <c r="K4957" s="39" t="n">
        <f aca="false">Sens!$K$4948+Sens!$K$4949+Sens!$K$4950-Sens!$K$4953</f>
        <v>0</v>
      </c>
      <c r="L4957" s="39" t="n">
        <f aca="false">Sens!$L$4948+Sens!$L$4949+Sens!$L$4950-Sens!$L$4953</f>
        <v>0</v>
      </c>
      <c r="M4957" s="39" t="n">
        <f aca="false">Sens!$M$4948+Sens!$M$4949+Sens!$M$4950-Sens!$M$4953</f>
        <v>0</v>
      </c>
      <c r="N4957" s="39" t="n">
        <f aca="false">Sens!$N$4948+Sens!$N$4949+Sens!$N$4950-Sens!$N$4953</f>
        <v>0</v>
      </c>
      <c r="O4957" s="39" t="n">
        <f aca="false">Sens!$O$4948+Sens!$O$4949+Sens!$O$4950-Sens!$O$4953</f>
        <v>0</v>
      </c>
    </row>
    <row r="4958" customFormat="false" ht="17.15" hidden="false" customHeight="false" outlineLevel="0" collapsed="false">
      <c r="A4958" s="1" t="s">
        <v>671</v>
      </c>
    </row>
    <row r="4959" customFormat="false" ht="17.15" hidden="false" customHeight="false" outlineLevel="0" collapsed="false">
      <c r="A4959" s="0" t="s">
        <v>672</v>
      </c>
      <c r="B4959" s="0" t="s">
        <v>73</v>
      </c>
      <c r="C4959" s="38" t="n">
        <f aca="false">Sens!$C$4867*m_ad</f>
        <v>20.5341564414228</v>
      </c>
      <c r="D4959" s="38" t="n">
        <f aca="false">Sens!$D$4867*m_ad</f>
        <v>24.8720617299587</v>
      </c>
      <c r="E4959" s="38" t="n">
        <f aca="false">Sens!$E$4867*m_ad</f>
        <v>13.5017112462207</v>
      </c>
      <c r="F4959" s="38" t="n">
        <f aca="false">Sens!$F$4867*m_ad</f>
        <v>17.2886442824599</v>
      </c>
      <c r="G4959" s="38" t="n">
        <f aca="false">Sens!$G$4867*m_ad</f>
        <v>30.8011958765886</v>
      </c>
      <c r="H4959" s="38" t="n">
        <f aca="false">Sens!$H$4867*m_ad</f>
        <v>36.978409366026</v>
      </c>
      <c r="I4959" s="38" t="n">
        <f aca="false">Sens!$I$4867*m_ad</f>
        <v>43.155063281273</v>
      </c>
      <c r="J4959" s="38" t="n">
        <f aca="false">Sens!$J$4867*m_ad</f>
        <v>48.9169991988532</v>
      </c>
      <c r="K4959" s="38" t="n">
        <f aca="false">Sens!$K$4867*m_ad</f>
        <v>53.8086991187386</v>
      </c>
      <c r="L4959" s="38" t="n">
        <f aca="false">Sens!$L$4867*m_ad</f>
        <v>59.1895690306124</v>
      </c>
      <c r="M4959" s="38" t="n">
        <f aca="false">Sens!$M$4867*m_ad</f>
        <v>65.1085259336737</v>
      </c>
      <c r="N4959" s="38" t="n">
        <f aca="false">Sens!$N$4867*m_ad</f>
        <v>10.8543555706248</v>
      </c>
      <c r="O4959" s="38" t="n">
        <f aca="false">Sens!$O$4867*m_ad</f>
        <v>14.0094731821399</v>
      </c>
    </row>
    <row r="4960" customFormat="false" ht="17.15" hidden="false" customHeight="false" outlineLevel="0" collapsed="false">
      <c r="A4960" s="0" t="s">
        <v>673</v>
      </c>
      <c r="B4960" s="0" t="s">
        <v>73</v>
      </c>
      <c r="C4960" s="38" t="n">
        <f aca="false">Sens!$C$4865-Sens!$C$4867</f>
        <v>346.428687117154</v>
      </c>
      <c r="D4960" s="38" t="n">
        <f aca="false">Sens!$D$4865-Sens!$D$4867</f>
        <v>376.560876540083</v>
      </c>
      <c r="E4960" s="38" t="n">
        <f aca="false">Sens!$E$4865-Sens!$E$4867</f>
        <v>193.316577507559</v>
      </c>
      <c r="F4960" s="38" t="n">
        <f aca="false">Sens!$F$4865-Sens!$F$4867</f>
        <v>221.726726438887</v>
      </c>
      <c r="G4960" s="38" t="n">
        <f aca="false">Sens!$G$4865-Sens!$G$4867</f>
        <v>415.02162325063</v>
      </c>
      <c r="H4960" s="38" t="n">
        <f aca="false">Sens!$H$4865-Sens!$H$4867</f>
        <v>453.777572359491</v>
      </c>
      <c r="I4960" s="38" t="n">
        <f aca="false">Sens!$I$4865-Sens!$I$4867</f>
        <v>490.847566467031</v>
      </c>
      <c r="J4960" s="38" t="n">
        <f aca="false">Sens!$J$4865-Sens!$J$4867</f>
        <v>525.190925266121</v>
      </c>
      <c r="K4960" s="38" t="n">
        <f aca="false">Sens!$K$4865-Sens!$K$4867</f>
        <v>555.765170156304</v>
      </c>
      <c r="L4960" s="38" t="n">
        <f aca="false">Sens!$L$4865-Sens!$L$4867</f>
        <v>588.185734949207</v>
      </c>
      <c r="M4960" s="38" t="n">
        <f aca="false">Sens!$M$4865-Sens!$M$4867</f>
        <v>622.567635538672</v>
      </c>
      <c r="N4960" s="38" t="n">
        <f aca="false">Sens!$N$4865-Sens!$N$4867</f>
        <v>171.24628885875</v>
      </c>
      <c r="O4960" s="38" t="n">
        <f aca="false">Sens!$O$4865-Sens!$O$4867</f>
        <v>205.33105363572</v>
      </c>
    </row>
    <row r="4961" customFormat="false" ht="17.15" hidden="false" customHeight="false" outlineLevel="0" collapsed="false">
      <c r="A4961" s="0" t="s">
        <v>674</v>
      </c>
      <c r="B4961" s="0" t="s">
        <v>73</v>
      </c>
      <c r="C4961" s="38" t="n">
        <f aca="false">Sens!$C$4912*Sens!$C$4864</f>
        <v>0.123617442257179</v>
      </c>
      <c r="D4961" s="38" t="n">
        <f aca="false">Sens!$D$4912*Sens!$D$4864</f>
        <v>0.874366899302609</v>
      </c>
      <c r="E4961" s="38" t="n">
        <f aca="false">Sens!$E$4912*Sens!$E$4864</f>
        <v>1.29318830502574</v>
      </c>
      <c r="F4961" s="38" t="n">
        <f aca="false">Sens!$F$4912*Sens!$F$4864</f>
        <v>1.51802024162534</v>
      </c>
      <c r="G4961" s="38" t="n">
        <f aca="false">Sens!$G$4912*Sens!$G$4864</f>
        <v>2.81130189308167</v>
      </c>
      <c r="H4961" s="38" t="n">
        <f aca="false">Sens!$H$4912*Sens!$H$4864</f>
        <v>7.38966789318209</v>
      </c>
      <c r="I4961" s="38" t="n">
        <f aca="false">Sens!$I$4912*Sens!$I$4864</f>
        <v>12.8987443661473</v>
      </c>
      <c r="J4961" s="38" t="n">
        <f aca="false">Sens!$J$4912*Sens!$J$4864</f>
        <v>18.5570025453645</v>
      </c>
      <c r="K4961" s="38" t="n">
        <f aca="false">Sens!$K$4912*Sens!$K$4864</f>
        <v>24.3158972773405</v>
      </c>
      <c r="L4961" s="38" t="n">
        <f aca="false">Sens!$L$4912*Sens!$L$4864</f>
        <v>29.7827375558674</v>
      </c>
      <c r="M4961" s="38" t="n">
        <f aca="false">Sens!$M$4912*Sens!$M$4864</f>
        <v>35.3532344973194</v>
      </c>
      <c r="N4961" s="38" t="n">
        <f aca="false">Sens!$N$4912*Sens!$N$4864</f>
        <v>0.389180508437431</v>
      </c>
      <c r="O4961" s="38" t="n">
        <f aca="false">Sens!$O$4912*Sens!$O$4864</f>
        <v>0.485052120082802</v>
      </c>
    </row>
    <row r="4962" customFormat="false" ht="17.15" hidden="false" customHeight="false" outlineLevel="0" collapsed="false">
      <c r="A4962" s="0" t="s">
        <v>675</v>
      </c>
      <c r="B4962" s="0" t="s">
        <v>52</v>
      </c>
      <c r="C4962" s="28" t="n">
        <f aca="false">(Sens!$C$4963-Sens!$C$4959+Sens!$C$4961)/Sens!$C$4960</f>
        <v>0.0131526665379575</v>
      </c>
      <c r="D4962" s="28" t="n">
        <f aca="false">(Sens!$D$4963-Sens!$D$4959+Sens!$D$4961)/Sens!$D$4960</f>
        <v>0.0149280116962589</v>
      </c>
      <c r="E4962" s="28" t="n">
        <f aca="false">(Sens!$E$4963-Sens!$E$4959+Sens!$E$4961)/Sens!$E$4960</f>
        <v>0.0268030663774938</v>
      </c>
      <c r="F4962" s="28" t="n">
        <f aca="false">Sens!$O$4962+(Sens!$E$4962-Sens!$N$4962)</f>
        <v>0.0232379346966962</v>
      </c>
      <c r="G4962" s="28" t="n">
        <f aca="false">(Sens!$G$4963-Sens!$G$4959+Sens!$G$4961)/Sens!$G$4960</f>
        <v>0.0248738876928168</v>
      </c>
      <c r="H4962" s="28" t="n">
        <f aca="false">Sens!$G$4962+step_na</f>
        <v>0.0278738876928168</v>
      </c>
      <c r="I4962" s="28" t="n">
        <f aca="false">Sens!$H$4962+step_na</f>
        <v>0.0308738876928168</v>
      </c>
      <c r="J4962" s="28" t="n">
        <f aca="false">Sens!$I$4962+step_na</f>
        <v>0.0338738876928168</v>
      </c>
      <c r="K4962" s="28" t="n">
        <f aca="false">Sens!$J$4962+step_na</f>
        <v>0.0368738876928168</v>
      </c>
      <c r="L4962" s="28" t="n">
        <f aca="false">Sens!$K$4962</f>
        <v>0.0368738876928168</v>
      </c>
      <c r="M4962" s="28" t="n">
        <f aca="false">Sens!$L$4962</f>
        <v>0.0368738876928168</v>
      </c>
      <c r="N4962" s="28" t="n">
        <f aca="false">(Sens!$N$4963-Sens!$N$4959+Sens!$N$4961)/Sens!$N$4960</f>
        <v>0.0168927744775755</v>
      </c>
      <c r="O4962" s="28" t="n">
        <f aca="false">(Sens!$O$4963-Sens!$O$4959+Sens!$O$4961)/Sens!$O$4960</f>
        <v>0.0133276427967779</v>
      </c>
      <c r="P4962" s="8" t="s">
        <v>676</v>
      </c>
    </row>
    <row r="4963" customFormat="false" ht="17.15" hidden="false" customHeight="false" outlineLevel="0" collapsed="false">
      <c r="A4963" s="1" t="s">
        <v>677</v>
      </c>
      <c r="B4963" s="8" t="s">
        <v>73</v>
      </c>
      <c r="C4963" s="38" t="n">
        <f aca="false">Q!$D$22</f>
        <v>24.967</v>
      </c>
      <c r="D4963" s="38" t="n">
        <f aca="false">Q!$E$22</f>
        <v>29.619</v>
      </c>
      <c r="E4963" s="38" t="n">
        <f aca="false">Q!$P$22</f>
        <v>17.39</v>
      </c>
      <c r="F4963" s="38" t="n">
        <f aca="false">Sens!$F$4959+Sens!$F$4960*Sens!$F$4962-Sens!$F$4961</f>
        <v>20.9230952303336</v>
      </c>
      <c r="G4963" s="38" t="n">
        <f aca="false">Sens!$E$4963+Sens!$F$4963</f>
        <v>38.3130952303336</v>
      </c>
      <c r="H4963" s="38" t="n">
        <f aca="false">Sens!$H$4959+Sens!$H$4960*Sens!$H$4962-Sens!$H$4961</f>
        <v>42.2372865623114</v>
      </c>
      <c r="I4963" s="38" t="n">
        <f aca="false">Sens!$I$4959+Sens!$I$4960*Sens!$I$4962-Sens!$I$4961</f>
        <v>45.4106915565213</v>
      </c>
      <c r="J4963" s="38" t="n">
        <f aca="false">Sens!$J$4959+Sens!$J$4960*Sens!$J$4962-Sens!$J$4961</f>
        <v>48.1502550732398</v>
      </c>
      <c r="K4963" s="38" t="n">
        <f aca="false">Sens!$K$4959+Sens!$K$4960*Sens!$K$4962-Sens!$K$4961</f>
        <v>49.9860243093208</v>
      </c>
      <c r="L4963" s="38" t="n">
        <f aca="false">Sens!$L$4959+Sens!$L$4960*Sens!$L$4962-Sens!$L$4961</f>
        <v>51.095526207779</v>
      </c>
      <c r="M4963" s="38" t="n">
        <f aca="false">Sens!$M$4959+Sens!$M$4960*Sens!$M$4962-Sens!$M$4961</f>
        <v>52.7117805103898</v>
      </c>
      <c r="N4963" s="38" t="n">
        <f aca="false">Q!$N$22</f>
        <v>13.358</v>
      </c>
      <c r="O4963" s="38" t="n">
        <f aca="false">Q!$O$22</f>
        <v>16.261</v>
      </c>
    </row>
    <row r="4964" customFormat="false" ht="17.15" hidden="false" customHeight="false" outlineLevel="0" collapsed="false">
      <c r="A4964" s="0" t="s">
        <v>678</v>
      </c>
      <c r="B4964" s="0" t="s">
        <v>73</v>
      </c>
      <c r="C4964" s="38" t="n">
        <f aca="false">Sens!$C$4868*m_ad</f>
        <v>7.57284355857716</v>
      </c>
      <c r="D4964" s="38" t="n">
        <f aca="false">Sens!$D$4868*m_ad</f>
        <v>9.44543827004127</v>
      </c>
      <c r="E4964" s="38" t="n">
        <f aca="false">Sens!$E$4868*m_ad</f>
        <v>5.02428875377928</v>
      </c>
      <c r="F4964" s="38" t="n">
        <f aca="false">Sens!$F$4868*m_ad</f>
        <v>6.78802480890925</v>
      </c>
      <c r="G4964" s="38" t="n">
        <f aca="false">Sens!$G$4868*m_ad</f>
        <v>11.8014732147805</v>
      </c>
      <c r="H4964" s="38" t="n">
        <f aca="false">Sens!$H$4868*m_ad</f>
        <v>14.1682715634442</v>
      </c>
      <c r="I4964" s="38" t="n">
        <f aca="false">Sens!$I$4868*m_ad</f>
        <v>16.5348555113474</v>
      </c>
      <c r="J4964" s="38" t="n">
        <f aca="false">Sens!$J$4868*m_ad</f>
        <v>18.7425403255689</v>
      </c>
      <c r="K4964" s="38" t="n">
        <f aca="false">Sens!$K$4868*m_ad</f>
        <v>20.6167943581258</v>
      </c>
      <c r="L4964" s="38" t="n">
        <f aca="false">Sens!$L$4868*m_ad</f>
        <v>22.6784737939383</v>
      </c>
      <c r="M4964" s="38" t="n">
        <f aca="false">Sens!$M$4868*m_ad</f>
        <v>24.9463211733322</v>
      </c>
      <c r="N4964" s="38" t="n">
        <f aca="false">Sens!$N$4868*m_ad</f>
        <v>3.95314442937518</v>
      </c>
      <c r="O4964" s="38" t="n">
        <f aca="false">Sens!$O$4868*m_ad</f>
        <v>5.50052681786011</v>
      </c>
    </row>
    <row r="4965" customFormat="false" ht="17.15" hidden="false" customHeight="false" outlineLevel="0" collapsed="false">
      <c r="A4965" s="0" t="s">
        <v>679</v>
      </c>
      <c r="B4965" s="0" t="s">
        <v>73</v>
      </c>
      <c r="C4965" s="38" t="n">
        <f aca="false">Sens!$C$4866-Sens!$C$4868</f>
        <v>127.760312882846</v>
      </c>
      <c r="D4965" s="38" t="n">
        <f aca="false">Sens!$D$4866-Sens!$D$4868</f>
        <v>143.003123459917</v>
      </c>
      <c r="E4965" s="38" t="n">
        <f aca="false">Sens!$E$4866-Sens!$E$4868</f>
        <v>71.9374224924414</v>
      </c>
      <c r="F4965" s="38" t="n">
        <f aca="false">Sens!$F$4866-Sens!$F$4868</f>
        <v>87.0563645868046</v>
      </c>
      <c r="G4965" s="38" t="n">
        <f aca="false">Sens!$G$4866-Sens!$G$4868</f>
        <v>159.015467775062</v>
      </c>
      <c r="H4965" s="38" t="n">
        <f aca="false">Sens!$H$4866-Sens!$H$4868</f>
        <v>173.864803403269</v>
      </c>
      <c r="I4965" s="38" t="n">
        <f aca="false">Sens!$I$4866-Sens!$I$4868</f>
        <v>188.068165645601</v>
      </c>
      <c r="J4965" s="38" t="n">
        <f aca="false">Sens!$J$4866-Sens!$J$4868</f>
        <v>201.22681801082</v>
      </c>
      <c r="K4965" s="38" t="n">
        <f aca="false">Sens!$K$4866-Sens!$K$4868</f>
        <v>212.941334991893</v>
      </c>
      <c r="L4965" s="38" t="n">
        <f aca="false">Sens!$L$4866-Sens!$L$4868</f>
        <v>225.363269144856</v>
      </c>
      <c r="M4965" s="38" t="n">
        <f aca="false">Sens!$M$4866-Sens!$M$4868</f>
        <v>238.536688790819</v>
      </c>
      <c r="N4965" s="38" t="n">
        <f aca="false">Sens!$N$4866-Sens!$N$4868</f>
        <v>62.3677111412496</v>
      </c>
      <c r="O4965" s="38" t="n">
        <f aca="false">Sens!$O$4866-Sens!$O$4868</f>
        <v>80.6189463642798</v>
      </c>
    </row>
    <row r="4966" customFormat="false" ht="17.15" hidden="false" customHeight="false" outlineLevel="0" collapsed="false">
      <c r="A4966" s="0" t="s">
        <v>680</v>
      </c>
      <c r="B4966" s="0" t="s">
        <v>73</v>
      </c>
      <c r="C4966" s="38" t="n">
        <f aca="false">Sens!$C$4912*(1-Sens!$C$4864)</f>
        <v>0.0455891896019953</v>
      </c>
      <c r="D4966" s="38" t="n">
        <f aca="false">Sens!$D$4912*(1-Sens!$D$4864)</f>
        <v>0.332050421167231</v>
      </c>
      <c r="E4966" s="38" t="n">
        <f aca="false">Sens!$E$4912*(1-Sens!$E$4864)</f>
        <v>0.481224293644882</v>
      </c>
      <c r="F4966" s="38" t="n">
        <f aca="false">Sens!$F$4912*(1-Sens!$F$4864)</f>
        <v>0.596018918096053</v>
      </c>
      <c r="G4966" s="38" t="n">
        <f aca="false">Sens!$G$4912*(1-Sens!$G$4864)</f>
        <v>1.07714986531035</v>
      </c>
      <c r="H4966" s="38" t="n">
        <f aca="false">Sens!$H$4912*(1-Sens!$H$4864)</f>
        <v>2.83135005721638</v>
      </c>
      <c r="I4966" s="38" t="n">
        <f aca="false">Sens!$I$4912*(1-Sens!$I$4864)</f>
        <v>4.9421518161602</v>
      </c>
      <c r="J4966" s="38" t="n">
        <f aca="false">Sens!$J$4912*(1-Sens!$J$4864)</f>
        <v>7.11011252170866</v>
      </c>
      <c r="K4966" s="38" t="n">
        <f aca="false">Sens!$K$4912*(1-Sens!$K$4864)</f>
        <v>9.31663210615807</v>
      </c>
      <c r="L4966" s="38" t="n">
        <f aca="false">Sens!$L$4912*(1-Sens!$L$4864)</f>
        <v>11.411251074039</v>
      </c>
      <c r="M4966" s="38" t="n">
        <f aca="false">Sens!$M$4912*(1-Sens!$M$4864)</f>
        <v>13.5455860755423</v>
      </c>
      <c r="N4966" s="38" t="n">
        <f aca="false">Sens!$N$4912*(1-Sens!$N$4864)</f>
        <v>0.141739115596548</v>
      </c>
      <c r="O4966" s="38" t="n">
        <f aca="false">Sens!$O$4912*(1-Sens!$O$4864)</f>
        <v>0.190445576353059</v>
      </c>
    </row>
    <row r="4967" customFormat="false" ht="17.15" hidden="false" customHeight="false" outlineLevel="0" collapsed="false">
      <c r="A4967" s="0" t="s">
        <v>681</v>
      </c>
      <c r="B4967" s="0" t="s">
        <v>52</v>
      </c>
      <c r="C4967" s="28" t="n">
        <f aca="false">(Sens!$C$4968-Sens!$C$4964+Sens!$C$4966)/Sens!$C$4965</f>
        <v>-0.0292364215826579</v>
      </c>
      <c r="D4967" s="28" t="n">
        <f aca="false">(Sens!$D$4968-Sens!$D$4964+Sens!$D$4966)/Sens!$D$4965</f>
        <v>-0.0305125352740778</v>
      </c>
      <c r="E4967" s="28" t="n">
        <f aca="false">(Sens!$E$4968-Sens!$E$4964+Sens!$E$4966)/Sens!$E$4965</f>
        <v>-0.019490056934994</v>
      </c>
      <c r="F4967" s="28" t="n">
        <f aca="false">Sens!$O$4967+(Sens!$E$4967-Sens!$N$4967)</f>
        <v>-0.0367332293992226</v>
      </c>
      <c r="G4967" s="28" t="n">
        <f aca="false">(Sens!$G$4968-Sens!$G$4964+Sens!$G$4966)/Sens!$G$4965</f>
        <v>-0.0288599526442178</v>
      </c>
      <c r="H4967" s="28" t="n">
        <f aca="false">Sens!$G$4967+step_in</f>
        <v>-0.0288599526442178</v>
      </c>
      <c r="I4967" s="28" t="n">
        <f aca="false">Sens!$H$4967+step_in</f>
        <v>-0.0288599526442178</v>
      </c>
      <c r="J4967" s="28" t="n">
        <f aca="false">Sens!$I$4967+step_in</f>
        <v>-0.0288599526442178</v>
      </c>
      <c r="K4967" s="28" t="n">
        <f aca="false">Sens!$J$4967+step_in</f>
        <v>-0.0288599526442178</v>
      </c>
      <c r="L4967" s="28" t="n">
        <f aca="false">Sens!$K$4967</f>
        <v>-0.0288599526442178</v>
      </c>
      <c r="M4967" s="28" t="n">
        <f aca="false">Sens!$L$4967</f>
        <v>-0.0288599526442178</v>
      </c>
      <c r="N4967" s="28" t="n">
        <f aca="false">(Sens!$N$4968-Sens!$N$4964+Sens!$N$4966)/Sens!$N$4965</f>
        <v>-0.02085061789158</v>
      </c>
      <c r="O4967" s="28" t="n">
        <f aca="false">(Sens!$O$4968-Sens!$O$4964+Sens!$O$4966)/Sens!$O$4965</f>
        <v>-0.0380937903558086</v>
      </c>
      <c r="P4967" s="8" t="s">
        <v>676</v>
      </c>
    </row>
    <row r="4968" customFormat="false" ht="17.15" hidden="false" customHeight="false" outlineLevel="0" collapsed="false">
      <c r="A4968" s="1" t="s">
        <v>682</v>
      </c>
      <c r="B4968" s="8" t="s">
        <v>73</v>
      </c>
      <c r="C4968" s="38" t="n">
        <f aca="false">Q!$D$23</f>
        <v>3.792</v>
      </c>
      <c r="D4968" s="38" t="n">
        <f aca="false">Q!$E$23</f>
        <v>4.75</v>
      </c>
      <c r="E4968" s="38" t="n">
        <f aca="false">Q!$P$23</f>
        <v>3.141</v>
      </c>
      <c r="F4968" s="38" t="n">
        <f aca="false">Sens!$F$4964+Sens!$F$4965*Sens!$F$4967-Sens!$F$4966</f>
        <v>2.99414447978375</v>
      </c>
      <c r="G4968" s="38" t="n">
        <f aca="false">Sens!$E$4968+Sens!$F$4968</f>
        <v>6.13514447978375</v>
      </c>
      <c r="H4968" s="38" t="n">
        <f aca="false">Sens!$H$4964+Sens!$H$4965*Sens!$H$4967-Sens!$H$4966</f>
        <v>6.31919151351322</v>
      </c>
      <c r="I4968" s="38" t="n">
        <f aca="false">Sens!$I$4964+Sens!$I$4965*Sens!$I$4967-Sens!$I$4966</f>
        <v>6.16506534077027</v>
      </c>
      <c r="J4968" s="38" t="n">
        <f aca="false">Sens!$J$4964+Sens!$J$4965*Sens!$J$4967-Sens!$J$4966</f>
        <v>5.8250313653213</v>
      </c>
      <c r="K4968" s="38" t="n">
        <f aca="false">Sens!$K$4964+Sens!$K$4965*Sens!$K$4967-Sens!$K$4966</f>
        <v>5.15468540810514</v>
      </c>
      <c r="L4968" s="38" t="n">
        <f aca="false">Sens!$L$4964+Sens!$L$4965*Sens!$L$4967-Sens!$L$4966</f>
        <v>4.76324944463266</v>
      </c>
      <c r="M4968" s="38" t="n">
        <f aca="false">Sens!$M$4964+Sens!$M$4965*Sens!$M$4967-Sens!$M$4966</f>
        <v>4.51657755537829</v>
      </c>
      <c r="N4968" s="38" t="n">
        <f aca="false">Q!$N$23</f>
        <v>2.511</v>
      </c>
      <c r="O4968" s="38" t="n">
        <f aca="false">Q!$O$23</f>
        <v>2.239</v>
      </c>
    </row>
    <row r="4969" customFormat="false" ht="17.15" hidden="false" customHeight="false" outlineLevel="0" collapsed="false">
      <c r="A4969" s="0" t="s">
        <v>683</v>
      </c>
      <c r="B4969" s="0" t="s">
        <v>73</v>
      </c>
      <c r="C4969" s="38" t="n">
        <f aca="false">Sens!$C$4909</f>
        <v>1.64417882953695</v>
      </c>
      <c r="D4969" s="38" t="n">
        <f aca="false">Sens!$D$4909</f>
        <v>3.8781008067718</v>
      </c>
      <c r="E4969" s="38" t="n">
        <f aca="false">Sens!$E$4909</f>
        <v>1.41270258088753</v>
      </c>
      <c r="F4969" s="38" t="n">
        <f aca="false">Sens!$F$4909</f>
        <v>6.50727700583486</v>
      </c>
      <c r="G4969" s="38" t="n">
        <f aca="false">Sens!$G$4909</f>
        <v>7.9199795867224</v>
      </c>
      <c r="H4969" s="38" t="n">
        <f aca="false">Sens!$H$4909</f>
        <v>19.2818189481807</v>
      </c>
      <c r="I4969" s="38" t="n">
        <f aca="false">Sens!$I$4909</f>
        <v>30.140114407202</v>
      </c>
      <c r="J4969" s="38" t="n">
        <f aca="false">Sens!$J$4909</f>
        <v>40.3569468829854</v>
      </c>
      <c r="K4969" s="38" t="n">
        <f aca="false">Sens!$K$4909</f>
        <v>50.0782975081929</v>
      </c>
      <c r="L4969" s="38" t="n">
        <f aca="false">Sens!$L$4909</f>
        <v>61.443331993499</v>
      </c>
      <c r="M4969" s="38" t="n">
        <f aca="false">Sens!$M$4909</f>
        <v>72.2498791587849</v>
      </c>
      <c r="N4969" s="38" t="n">
        <f aca="false">Sens!$N$4909</f>
        <v>0.92264103489199</v>
      </c>
      <c r="O4969" s="38" t="n">
        <f aca="false">Sens!$O$4909</f>
        <v>2.95545977187981</v>
      </c>
    </row>
    <row r="4970" customFormat="false" ht="17.15" hidden="false" customHeight="false" outlineLevel="0" collapsed="false">
      <c r="A4970" s="0" t="s">
        <v>603</v>
      </c>
      <c r="B4970" s="0" t="s">
        <v>73</v>
      </c>
      <c r="C4970" s="38" t="n">
        <f aca="false">Sens!$C$4914</f>
        <v>38.1898211704631</v>
      </c>
      <c r="D4970" s="38" t="n">
        <f aca="false">Sens!$D$4914</f>
        <v>41.7278991932282</v>
      </c>
      <c r="E4970" s="38" t="n">
        <f aca="false">Sens!$E$4914</f>
        <v>29.3692974191125</v>
      </c>
      <c r="F4970" s="38" t="n">
        <f aca="false">Sens!$F$4914</f>
        <v>29.458060516894</v>
      </c>
      <c r="G4970" s="38" t="n">
        <f aca="false">Sens!$G$4914</f>
        <v>58.8273579360065</v>
      </c>
      <c r="H4970" s="38" t="n">
        <f aca="false">Sens!$H$4914</f>
        <v>67.8004040185081</v>
      </c>
      <c r="I4970" s="38" t="n">
        <f aca="false">Sens!$I$4914</f>
        <v>78.9527630302702</v>
      </c>
      <c r="J4970" s="38" t="n">
        <f aca="false">Sens!$J$4914</f>
        <v>88.6042681781841</v>
      </c>
      <c r="K4970" s="38" t="n">
        <f aca="false">Sens!$K$4914</f>
        <v>95.6926096324389</v>
      </c>
      <c r="L4970" s="38" t="n">
        <f aca="false">Sens!$L$4914</f>
        <v>103.348018403034</v>
      </c>
      <c r="M4970" s="38" t="n">
        <f aca="false">Sens!$M$4914</f>
        <v>111.615859875277</v>
      </c>
      <c r="N4970" s="38" t="n">
        <f aca="false">Sens!$N$4914</f>
        <v>20.784358965108</v>
      </c>
      <c r="O4970" s="38" t="n">
        <f aca="false">Sens!$O$4914</f>
        <v>20.9435402281202</v>
      </c>
    </row>
    <row r="4971" customFormat="false" ht="17.15" hidden="false" customHeight="false" outlineLevel="0" collapsed="false">
      <c r="A4971" s="1" t="s">
        <v>684</v>
      </c>
      <c r="B4971" s="8" t="s">
        <v>73</v>
      </c>
      <c r="C4971" s="38" t="n">
        <f aca="false">Q!$D$24</f>
        <v>39.834</v>
      </c>
      <c r="D4971" s="38" t="n">
        <f aca="false">Q!$E$24</f>
        <v>45.606</v>
      </c>
      <c r="E4971" s="38" t="n">
        <f aca="false">Q!$P$24</f>
        <v>30.782</v>
      </c>
      <c r="F4971" s="38" t="n">
        <f aca="false">Sens!$F$4969+Sens!$F$4970</f>
        <v>35.9653375227289</v>
      </c>
      <c r="G4971" s="38" t="n">
        <f aca="false">Sens!$G$4969+Sens!$G$4970</f>
        <v>66.7473375227289</v>
      </c>
      <c r="H4971" s="38" t="n">
        <f aca="false">Sens!$H$4969+Sens!$H$4970</f>
        <v>87.0822229666888</v>
      </c>
      <c r="I4971" s="38" t="n">
        <f aca="false">Sens!$I$4969+Sens!$I$4970</f>
        <v>109.092877437472</v>
      </c>
      <c r="J4971" s="38" t="n">
        <f aca="false">Sens!$J$4969+Sens!$J$4970</f>
        <v>128.96121506117</v>
      </c>
      <c r="K4971" s="38" t="n">
        <f aca="false">Sens!$K$4969+Sens!$K$4970</f>
        <v>145.770907140632</v>
      </c>
      <c r="L4971" s="38" t="n">
        <f aca="false">Sens!$L$4969+Sens!$L$4970</f>
        <v>164.791350396533</v>
      </c>
      <c r="M4971" s="38" t="n">
        <f aca="false">Sens!$M$4969+Sens!$M$4970</f>
        <v>183.865739034062</v>
      </c>
      <c r="N4971" s="38" t="n">
        <f aca="false">Q!$N$24</f>
        <v>21.707</v>
      </c>
      <c r="O4971" s="38" t="n">
        <f aca="false">Q!$O$24</f>
        <v>23.899</v>
      </c>
    </row>
    <row r="4972" customFormat="false" ht="17.15" hidden="false" customHeight="false" outlineLevel="0" collapsed="false">
      <c r="A4972" s="5" t="s">
        <v>685</v>
      </c>
      <c r="B4972" s="0" t="s">
        <v>73</v>
      </c>
      <c r="C4972" s="38" t="n">
        <f aca="false">Q!$D$26</f>
        <v>0</v>
      </c>
      <c r="D4972" s="38" t="n">
        <f aca="false">Q!$E$26</f>
        <v>0</v>
      </c>
      <c r="E4972" s="38" t="n">
        <f aca="false">Q!$P$26</f>
        <v>0</v>
      </c>
      <c r="F4972" s="41" t="n">
        <v>0</v>
      </c>
      <c r="G4972" s="38" t="n">
        <f aca="false">Sens!$E$4972+Sens!$F$4972</f>
        <v>0</v>
      </c>
      <c r="H4972" s="41" t="n">
        <v>0</v>
      </c>
      <c r="I4972" s="41" t="n">
        <v>0</v>
      </c>
      <c r="J4972" s="41" t="n">
        <v>0</v>
      </c>
      <c r="K4972" s="41" t="n">
        <v>0</v>
      </c>
      <c r="L4972" s="41" t="n">
        <v>0</v>
      </c>
      <c r="M4972" s="41" t="n">
        <v>0</v>
      </c>
      <c r="N4972" s="38" t="n">
        <f aca="false">Q!$N$26</f>
        <v>0</v>
      </c>
      <c r="O4972" s="38" t="n">
        <f aca="false">Q!$O$26</f>
        <v>0</v>
      </c>
    </row>
    <row r="4973" customFormat="false" ht="15" hidden="false" customHeight="false" outlineLevel="0" collapsed="false">
      <c r="A4973" s="3" t="s">
        <v>494</v>
      </c>
      <c r="B4973" s="8" t="s">
        <v>73</v>
      </c>
      <c r="C4973" s="38" t="n">
        <f aca="false">Q!$D$25</f>
        <v>68.593</v>
      </c>
      <c r="D4973" s="38" t="n">
        <f aca="false">Q!$E$25</f>
        <v>79.975</v>
      </c>
      <c r="E4973" s="38" t="n">
        <f aca="false">Q!$P$25</f>
        <v>51.313</v>
      </c>
      <c r="F4973" s="38" t="n">
        <f aca="false">Sens!$F$4963+Sens!$F$4968+Sens!$F$4971+Sens!$F$4972</f>
        <v>59.8825772328462</v>
      </c>
      <c r="G4973" s="38" t="n">
        <f aca="false">Sens!$G$4963+Sens!$G$4968+Sens!$G$4971+Sens!$G$4972</f>
        <v>111.195577232846</v>
      </c>
      <c r="H4973" s="38" t="n">
        <f aca="false">Sens!$H$4963+Sens!$H$4968+Sens!$H$4971+Sens!$H$4972</f>
        <v>135.638701042513</v>
      </c>
      <c r="I4973" s="38" t="n">
        <f aca="false">Sens!$I$4963+Sens!$I$4968+Sens!$I$4971+Sens!$I$4972</f>
        <v>160.668634334764</v>
      </c>
      <c r="J4973" s="38" t="n">
        <f aca="false">Sens!$J$4963+Sens!$J$4968+Sens!$J$4971+Sens!$J$4972</f>
        <v>182.936501499731</v>
      </c>
      <c r="K4973" s="38" t="n">
        <f aca="false">Sens!$K$4963+Sens!$K$4968+Sens!$K$4971+Sens!$K$4972</f>
        <v>200.911616858058</v>
      </c>
      <c r="L4973" s="38" t="n">
        <f aca="false">Sens!$L$4963+Sens!$L$4968+Sens!$L$4971+Sens!$L$4972</f>
        <v>220.650126048945</v>
      </c>
      <c r="M4973" s="38" t="n">
        <f aca="false">Sens!$M$4963+Sens!$M$4968+Sens!$M$4971+Sens!$M$4972</f>
        <v>241.09409709983</v>
      </c>
      <c r="N4973" s="38" t="n">
        <f aca="false">Q!$N$25</f>
        <v>37.576</v>
      </c>
      <c r="O4973" s="38" t="n">
        <f aca="false">Q!$O$25</f>
        <v>42.399</v>
      </c>
    </row>
    <row r="4974" customFormat="false" ht="17.15" hidden="false" customHeight="false" outlineLevel="0" collapsed="false">
      <c r="A4974" s="24" t="s">
        <v>711</v>
      </c>
      <c r="B4974" s="25" t="s">
        <v>73</v>
      </c>
      <c r="C4974" s="39" t="n">
        <f aca="false">Sens!$C$4963+Sens!$C$4968+Sens!$C$4971+Sens!$C$4972-Sens!$C$4973</f>
        <v>0</v>
      </c>
      <c r="D4974" s="39" t="n">
        <f aca="false">Sens!$D$4963+Sens!$D$4968+Sens!$D$4971+Sens!$D$4972-Sens!$D$4973</f>
        <v>0</v>
      </c>
      <c r="E4974" s="39" t="n">
        <f aca="false">Sens!$E$4963+Sens!$E$4968+Sens!$E$4971+Sens!$E$4972-Sens!$E$4973</f>
        <v>0</v>
      </c>
      <c r="F4974" s="39" t="n">
        <f aca="false">Sens!$F$4963+Sens!$F$4968+Sens!$F$4971+Sens!$F$4972-Sens!$F$4973</f>
        <v>0</v>
      </c>
      <c r="G4974" s="39" t="n">
        <f aca="false">Sens!$G$4963+Sens!$G$4968+Sens!$G$4971+Sens!$G$4972-Sens!$G$4973</f>
        <v>0</v>
      </c>
      <c r="H4974" s="39" t="n">
        <f aca="false">Sens!$H$4963+Sens!$H$4968+Sens!$H$4971+Sens!$H$4972-Sens!$H$4973</f>
        <v>0</v>
      </c>
      <c r="I4974" s="39" t="n">
        <f aca="false">Sens!$I$4963+Sens!$I$4968+Sens!$I$4971+Sens!$I$4972-Sens!$I$4973</f>
        <v>0</v>
      </c>
      <c r="J4974" s="39" t="n">
        <f aca="false">Sens!$J$4963+Sens!$J$4968+Sens!$J$4971+Sens!$J$4972-Sens!$J$4973</f>
        <v>0</v>
      </c>
      <c r="K4974" s="39" t="n">
        <f aca="false">Sens!$K$4963+Sens!$K$4968+Sens!$K$4971+Sens!$K$4972-Sens!$K$4973</f>
        <v>0</v>
      </c>
      <c r="L4974" s="39" t="n">
        <f aca="false">Sens!$L$4963+Sens!$L$4968+Sens!$L$4971+Sens!$L$4972-Sens!$L$4973</f>
        <v>0</v>
      </c>
      <c r="M4974" s="39" t="n">
        <f aca="false">Sens!$M$4963+Sens!$M$4968+Sens!$M$4971+Sens!$M$4972-Sens!$M$4973</f>
        <v>0</v>
      </c>
      <c r="N4974" s="39" t="n">
        <f aca="false">Sens!$N$4963+Sens!$N$4968+Sens!$N$4971+Sens!$N$4972-Sens!$N$4973</f>
        <v>0</v>
      </c>
      <c r="O4974" s="39" t="n">
        <f aca="false">Sens!$O$4963+Sens!$O$4968+Sens!$O$4971+Sens!$O$4972-Sens!$O$4973</f>
        <v>0</v>
      </c>
    </row>
    <row r="4975" customFormat="false" ht="17.15" hidden="false" customHeight="false" outlineLevel="0" collapsed="false">
      <c r="A4975" s="0" t="s">
        <v>687</v>
      </c>
      <c r="B4975" s="0" t="s">
        <v>52</v>
      </c>
      <c r="C4975" s="12" t="n">
        <f aca="false">Sens!$C$4963/Sens!$C$4948</f>
        <v>0.0644314665661928</v>
      </c>
      <c r="D4975" s="12" t="n">
        <f aca="false">Sens!$D$4963/Sens!$D$4948</f>
        <v>0.0694784250712518</v>
      </c>
      <c r="E4975" s="12" t="n">
        <f aca="false">Sens!$E$4963/Sens!$E$4948</f>
        <v>0.0789306463326071</v>
      </c>
      <c r="F4975" s="12" t="n">
        <f aca="false">Sens!$F$4963/Sens!$F$4948</f>
        <v>0.0816338957078875</v>
      </c>
      <c r="G4975" s="12" t="n">
        <f aca="false">Sens!$G$4963/Sens!$G$4948</f>
        <v>0.080384315570057</v>
      </c>
      <c r="H4975" s="12" t="n">
        <f aca="false">Sens!$H$4963/Sens!$H$4948</f>
        <v>0.080035122355679</v>
      </c>
      <c r="I4975" s="12" t="n">
        <f aca="false">Sens!$I$4963/Sens!$I$4948</f>
        <v>0.0786798687862144</v>
      </c>
      <c r="J4975" s="12" t="n">
        <f aca="false">Sens!$J$4963/Sens!$J$4948</f>
        <v>0.0772846370095153</v>
      </c>
      <c r="K4975" s="12" t="n">
        <f aca="false">Sens!$K$4963/Sens!$K$4948</f>
        <v>0.0753502227686655</v>
      </c>
      <c r="L4975" s="12" t="n">
        <f aca="false">Sens!$L$4963/Sens!$L$4948</f>
        <v>0.0723154067793922</v>
      </c>
      <c r="M4975" s="12" t="n">
        <f aca="false">Sens!$M$4963/Sens!$M$4948</f>
        <v>0.070022386735876</v>
      </c>
      <c r="N4975" s="12" t="n">
        <f aca="false">Sens!$N$4963/Sens!$N$4948</f>
        <v>0.069228576611127</v>
      </c>
      <c r="O4975" s="12" t="n">
        <f aca="false">Sens!$O$4963/Sens!$O$4948</f>
        <v>0.069685022498393</v>
      </c>
    </row>
    <row r="4976" customFormat="false" ht="17.15" hidden="false" customHeight="false" outlineLevel="0" collapsed="false">
      <c r="A4976" s="0" t="s">
        <v>688</v>
      </c>
      <c r="B4976" s="0" t="s">
        <v>52</v>
      </c>
      <c r="C4976" s="12" t="n">
        <f aca="false">Sens!$C$4968/Sens!$C$4949</f>
        <v>0.026534925055631</v>
      </c>
      <c r="D4976" s="12" t="n">
        <f aca="false">Sens!$D$4968/Sens!$D$4949</f>
        <v>0.0293401855535103</v>
      </c>
      <c r="E4976" s="12" t="n">
        <f aca="false">Sens!$E$4968/Sens!$E$4949</f>
        <v>0.03831141902276</v>
      </c>
      <c r="F4976" s="12" t="n">
        <f aca="false">Sens!$F$4968/Sens!$F$4949</f>
        <v>0.0297532808235678</v>
      </c>
      <c r="G4976" s="12" t="n">
        <f aca="false">Sens!$G$4968/Sens!$G$4949</f>
        <v>0.0335954317997163</v>
      </c>
      <c r="H4976" s="12" t="n">
        <f aca="false">Sens!$H$4968/Sens!$H$4949</f>
        <v>0.0312519754292078</v>
      </c>
      <c r="I4976" s="12" t="n">
        <f aca="false">Sens!$I$4968/Sens!$I$4949</f>
        <v>0.0278788303191397</v>
      </c>
      <c r="J4976" s="12" t="n">
        <f aca="false">Sens!$J$4968/Sens!$J$4949</f>
        <v>0.0244019313573061</v>
      </c>
      <c r="K4976" s="12" t="n">
        <f aca="false">Sens!$K$4968/Sens!$K$4949</f>
        <v>0.020280070641524</v>
      </c>
      <c r="L4976" s="12" t="n">
        <f aca="false">Sens!$L$4968/Sens!$L$4949</f>
        <v>0.0175947312030086</v>
      </c>
      <c r="M4976" s="12" t="n">
        <f aca="false">Sens!$M$4968/Sens!$M$4949</f>
        <v>0.0156592172424565</v>
      </c>
      <c r="N4976" s="12" t="n">
        <f aca="false">Sens!$N$4968/Sens!$N$4949</f>
        <v>0.0357315650169337</v>
      </c>
      <c r="O4976" s="12" t="n">
        <f aca="false">Sens!$O$4968/Sens!$O$4949</f>
        <v>0.0244378956559703</v>
      </c>
    </row>
    <row r="4977" customFormat="false" ht="17.15" hidden="false" customHeight="false" outlineLevel="0" collapsed="false">
      <c r="A4977" s="13" t="s">
        <v>689</v>
      </c>
      <c r="B4977" s="13" t="s">
        <v>52</v>
      </c>
      <c r="C4977" s="16" t="n">
        <f aca="false">Sens!$C$4971/Sens!$C$4950</f>
        <v>0.370355907620217</v>
      </c>
      <c r="D4977" s="16" t="n">
        <f aca="false">Sens!$D$4971/Sens!$D$4950</f>
        <v>0.35429015342785</v>
      </c>
      <c r="E4977" s="16" t="n">
        <f aca="false">Sens!$E$4971/Sens!$E$4950</f>
        <v>0.385647527531039</v>
      </c>
      <c r="F4977" s="16" t="n">
        <f aca="false">Sens!$F$4971/Sens!$F$4950</f>
        <v>0.384415729470259</v>
      </c>
      <c r="G4977" s="16" t="n">
        <f aca="false">Sens!$G$4971/Sens!$G$4950</f>
        <v>0.38498282105443</v>
      </c>
      <c r="H4977" s="16" t="n">
        <f aca="false">Sens!$H$4971/Sens!$H$4950</f>
        <v>0.361247909668527</v>
      </c>
      <c r="I4977" s="16" t="n">
        <f aca="false">Sens!$I$4971/Sens!$I$4950</f>
        <v>0.349486287974975</v>
      </c>
      <c r="J4977" s="16" t="n">
        <f aca="false">Sens!$J$4971/Sens!$J$4950</f>
        <v>0.339886531832068</v>
      </c>
      <c r="K4977" s="16" t="n">
        <f aca="false">Sens!$K$4971/Sens!$K$4950</f>
        <v>0.33135833762061</v>
      </c>
      <c r="L4977" s="16" t="n">
        <f aca="false">Sens!$L$4971/Sens!$L$4950</f>
        <v>0.328299068185284</v>
      </c>
      <c r="M4977" s="16" t="n">
        <f aca="false">Sens!$M$4971/Sens!$M$4950</f>
        <v>0.325058049465166</v>
      </c>
      <c r="N4977" s="16" t="n">
        <f aca="false">Sens!$N$4971/Sens!$N$4950</f>
        <v>0.360941137346192</v>
      </c>
      <c r="O4977" s="16" t="n">
        <f aca="false">Sens!$O$4971/Sens!$O$4950</f>
        <v>0.348458117664212</v>
      </c>
    </row>
    <row r="4978" customFormat="false" ht="17.15" hidden="false" customHeight="false" outlineLevel="0" collapsed="false">
      <c r="A4978" s="0" t="s">
        <v>690</v>
      </c>
      <c r="B4978" s="0" t="s">
        <v>52</v>
      </c>
      <c r="C4978" s="12" t="n">
        <f aca="false">Sens!$C$4969/Sens!$C$4951</f>
        <v>0.708390794789371</v>
      </c>
      <c r="D4978" s="12" t="n">
        <f aca="false">Sens!$D$4969/Sens!$D$4951</f>
        <v>0.445565630441968</v>
      </c>
      <c r="E4978" s="12" t="n">
        <f aca="false">Sens!$E$4969/Sens!$E$4951</f>
        <v>0.165998118402711</v>
      </c>
      <c r="F4978" s="12" t="n">
        <f aca="false">Sens!$F$4969/Sens!$F$4951</f>
        <v>0.434878595403858</v>
      </c>
      <c r="G4978" s="12" t="n">
        <f aca="false">Sens!$G$4969/Sens!$G$4951</f>
        <v>0.3373967615381</v>
      </c>
      <c r="H4978" s="12" t="n">
        <f aca="false">Sens!$H$4969/Sens!$H$4951</f>
        <v>0.320477578041224</v>
      </c>
      <c r="I4978" s="12" t="n">
        <f aca="false">Sens!$I$4969/Sens!$I$4951</f>
        <v>0.296936118226494</v>
      </c>
      <c r="J4978" s="12" t="n">
        <f aca="false">Sens!$J$4969/Sens!$J$4951</f>
        <v>0.282166278613001</v>
      </c>
      <c r="K4978" s="12" t="n">
        <f aca="false">Sens!$K$4969/Sens!$K$4951</f>
        <v>0.271267685694333</v>
      </c>
      <c r="L4978" s="12" t="n">
        <f aca="false">Sens!$L$4969/Sens!$L$4951</f>
        <v>0.27160960915653</v>
      </c>
      <c r="M4978" s="12" t="n">
        <f aca="false">Sens!$M$4969/Sens!$M$4951</f>
        <v>0.26974494804234</v>
      </c>
      <c r="N4978" s="12" t="n">
        <f aca="false">Sens!$N$4969/Sens!$N$4951</f>
        <v>0.302870734830849</v>
      </c>
      <c r="O4978" s="12" t="n">
        <f aca="false">Sens!$O$4969/Sens!$O$4951</f>
        <v>0.52240134346334</v>
      </c>
    </row>
    <row r="4979" customFormat="false" ht="15" hidden="false" customHeight="false" outlineLevel="0" collapsed="false">
      <c r="A4979" s="5" t="s">
        <v>691</v>
      </c>
      <c r="B4979" s="0" t="s">
        <v>52</v>
      </c>
      <c r="C4979" s="12" t="n">
        <f aca="false">Sens!$C$4973/Sens!$C$4953</f>
        <v>0.107519448742004</v>
      </c>
      <c r="D4979" s="12" t="n">
        <f aca="false">Sens!$D$4973/Sens!$D$4953</f>
        <v>0.111552967957552</v>
      </c>
      <c r="E4979" s="12" t="n">
        <f aca="false">Sens!$E$4973/Sens!$E$4953</f>
        <v>0.13428328426562</v>
      </c>
      <c r="F4979" s="12" t="n">
        <f aca="false">Sens!$F$4973/Sens!$F$4953</f>
        <v>0.132926212451512</v>
      </c>
      <c r="G4979" s="12" t="n">
        <f aca="false">Sens!$G$4973/Sens!$G$4953</f>
        <v>0.133549030959228</v>
      </c>
      <c r="H4979" s="12" t="n">
        <f aca="false">Sens!$H$4973/Sens!$H$4953</f>
        <v>0.139690394514416</v>
      </c>
      <c r="I4979" s="12" t="n">
        <f aca="false">Sens!$I$4973/Sens!$I$4953</f>
        <v>0.144688164284573</v>
      </c>
      <c r="J4979" s="12" t="n">
        <f aca="false">Sens!$J$4973/Sens!$J$4953</f>
        <v>0.147391419021054</v>
      </c>
      <c r="K4979" s="12" t="n">
        <f aca="false">Sens!$K$4973/Sens!$K$4953</f>
        <v>0.148003728177944</v>
      </c>
      <c r="L4979" s="12" t="n">
        <f aca="false">Sens!$L$4973/Sens!$L$4953</f>
        <v>0.149164514525979</v>
      </c>
      <c r="M4979" s="12" t="n">
        <f aca="false">Sens!$M$4973/Sens!$M$4953</f>
        <v>0.150041098108262</v>
      </c>
      <c r="N4979" s="12" t="n">
        <f aca="false">Sens!$N$4973/Sens!$N$4953</f>
        <v>0.116201614873411</v>
      </c>
      <c r="O4979" s="12" t="n">
        <f aca="false">Sens!$O$4973/Sens!$O$4953</f>
        <v>0.107733353660861</v>
      </c>
    </row>
    <row r="4980" customFormat="false" ht="17.15" hidden="false" customHeight="false" outlineLevel="0" collapsed="false">
      <c r="A4980" s="1" t="s">
        <v>692</v>
      </c>
    </row>
    <row r="4981" customFormat="false" ht="17.15" hidden="false" customHeight="false" outlineLevel="0" collapsed="false">
      <c r="A4981" s="5" t="s">
        <v>693</v>
      </c>
      <c r="B4981" s="0" t="s">
        <v>52</v>
      </c>
      <c r="D4981" s="28" t="n">
        <f aca="false">(Q!$E$29+Q!$E$30-(1-ext_sh)*Sens!$D$4905)/Sens!$D$4863</f>
        <v>0.0334674312393194</v>
      </c>
    </row>
    <row r="4982" customFormat="false" ht="17.15" hidden="false" customHeight="false" outlineLevel="0" collapsed="false">
      <c r="A4982" s="0" t="s">
        <v>498</v>
      </c>
      <c r="B4982" s="0" t="s">
        <v>73</v>
      </c>
      <c r="C4982" s="38" t="n">
        <f aca="false">Q!$D$29</f>
        <v>14.285</v>
      </c>
      <c r="D4982" s="38" t="n">
        <f aca="false">Q!$E$29</f>
        <v>15.503</v>
      </c>
      <c r="E4982" s="38" t="n">
        <f aca="false">Q!$P$29</f>
        <v>8.78</v>
      </c>
      <c r="F4982" s="38" t="n">
        <f aca="false">(Sens!$D$4981*Sens!$F$4863+(1-ext_sh)*Sens!$F$4905)*Sens!$F$4864</f>
        <v>9.51361751569285</v>
      </c>
      <c r="G4982" s="38" t="n">
        <f aca="false">Sens!$E$4982+Sens!$F$4982</f>
        <v>18.2936175156929</v>
      </c>
      <c r="H4982" s="38" t="n">
        <f aca="false">(Sens!$D$4981*Sens!$H$4863+(1-ext_sh)*Sens!$H$4905)*Sens!$H$4864</f>
        <v>22.7653661801943</v>
      </c>
      <c r="I4982" s="38" t="n">
        <f aca="false">(Sens!$D$4981*Sens!$I$4863+(1-ext_sh)*Sens!$I$4905)*Sens!$I$4864</f>
        <v>28.4281317305062</v>
      </c>
      <c r="J4982" s="38" t="n">
        <f aca="false">(Sens!$D$4981*Sens!$J$4863+(1-ext_sh)*Sens!$J$4905)*Sens!$J$4864</f>
        <v>34.1182922009732</v>
      </c>
      <c r="K4982" s="38" t="n">
        <f aca="false">(Sens!$D$4981*Sens!$K$4863+(1-ext_sh)*Sens!$K$4905)*Sens!$K$4864</f>
        <v>39.7237727987046</v>
      </c>
      <c r="L4982" s="38" t="n">
        <f aca="false">(Sens!$D$4981*Sens!$L$4863+(1-ext_sh)*Sens!$L$4905)*Sens!$L$4864</f>
        <v>45.1313127180263</v>
      </c>
      <c r="M4982" s="38" t="n">
        <f aca="false">(Sens!$D$4981*Sens!$M$4863+(1-ext_sh)*Sens!$M$4905)*Sens!$M$4864</f>
        <v>50.743940615442</v>
      </c>
      <c r="N4982" s="38" t="n">
        <f aca="false">Q!$N$29</f>
        <v>7.272</v>
      </c>
      <c r="O4982" s="38" t="n">
        <f aca="false">Q!$O$29</f>
        <v>8.231</v>
      </c>
    </row>
    <row r="4983" customFormat="false" ht="17.15" hidden="false" customHeight="false" outlineLevel="0" collapsed="false">
      <c r="A4983" s="0" t="s">
        <v>500</v>
      </c>
      <c r="B4983" s="0" t="s">
        <v>73</v>
      </c>
      <c r="C4983" s="38" t="n">
        <f aca="false">Q!$D$30</f>
        <v>4.462</v>
      </c>
      <c r="D4983" s="38" t="n">
        <f aca="false">Q!$E$30</f>
        <v>4.907</v>
      </c>
      <c r="E4983" s="38" t="n">
        <f aca="false">Q!$P$30</f>
        <v>2.57</v>
      </c>
      <c r="F4983" s="38" t="n">
        <f aca="false">(Sens!$D$4981*Sens!$F$4863+(1-ext_sh)*Sens!$F$4905)*(1-Sens!$F$4864)</f>
        <v>3.7353230631574</v>
      </c>
      <c r="G4983" s="38" t="n">
        <f aca="false">Sens!$E$4983+Sens!$F$4983</f>
        <v>6.3053230631574</v>
      </c>
      <c r="H4983" s="38" t="n">
        <f aca="false">(Sens!$D$4981*Sens!$H$4863+(1-ext_sh)*Sens!$H$4905)*(1-Sens!$H$4864)</f>
        <v>8.72254636724805</v>
      </c>
      <c r="I4983" s="38" t="n">
        <f aca="false">(Sens!$D$4981*Sens!$I$4863+(1-ext_sh)*Sens!$I$4905)*(1-Sens!$I$4864)</f>
        <v>10.8922340713019</v>
      </c>
      <c r="J4983" s="38" t="n">
        <f aca="false">(Sens!$D$4981*Sens!$J$4863+(1-ext_sh)*Sens!$J$4905)*(1-Sens!$J$4864)</f>
        <v>13.0724181345791</v>
      </c>
      <c r="K4983" s="38" t="n">
        <f aca="false">(Sens!$D$4981*Sens!$K$4863+(1-ext_sh)*Sens!$K$4905)*(1-Sens!$K$4864)</f>
        <v>15.2201571183236</v>
      </c>
      <c r="L4983" s="38" t="n">
        <f aca="false">(Sens!$D$4981*Sens!$L$4863+(1-ext_sh)*Sens!$L$4905)*(1-Sens!$L$4864)</f>
        <v>17.2920551631732</v>
      </c>
      <c r="M4983" s="38" t="n">
        <f aca="false">(Sens!$D$4981*Sens!$M$4863+(1-ext_sh)*Sens!$M$4905)*(1-Sens!$M$4864)</f>
        <v>19.4425326336348</v>
      </c>
      <c r="N4983" s="38" t="n">
        <f aca="false">Q!$N$30</f>
        <v>2.316</v>
      </c>
      <c r="O4983" s="38" t="n">
        <f aca="false">Q!$O$30</f>
        <v>2.591</v>
      </c>
    </row>
    <row r="4984" customFormat="false" ht="17.15" hidden="false" customHeight="false" outlineLevel="0" collapsed="false">
      <c r="A4984" s="0" t="s">
        <v>501</v>
      </c>
      <c r="B4984" s="0" t="s">
        <v>73</v>
      </c>
      <c r="C4984" s="38" t="n">
        <f aca="false">Sens!$C$4917</f>
        <v>13.32</v>
      </c>
      <c r="D4984" s="38" t="n">
        <f aca="false">Sens!$D$4917</f>
        <v>21.45</v>
      </c>
      <c r="E4984" s="38" t="n">
        <f aca="false">Sens!$E$4917</f>
        <v>15.353</v>
      </c>
      <c r="F4984" s="38" t="n">
        <f aca="false">Sens!$F$4917</f>
        <v>17.3614451462707</v>
      </c>
      <c r="G4984" s="38" t="n">
        <f aca="false">Sens!$G$4917</f>
        <v>32.7144451462707</v>
      </c>
      <c r="H4984" s="38" t="n">
        <f aca="false">Sens!$H$4917</f>
        <v>56.1966092719415</v>
      </c>
      <c r="I4984" s="38" t="n">
        <f aca="false">Sens!$I$4917</f>
        <v>82.9744039068297</v>
      </c>
      <c r="J4984" s="38" t="n">
        <f aca="false">Sens!$J$4917</f>
        <v>109.943252237669</v>
      </c>
      <c r="K4984" s="38" t="n">
        <f aca="false">Sens!$K$4917</f>
        <v>136.406703436571</v>
      </c>
      <c r="L4984" s="38" t="n">
        <f aca="false">Sens!$L$4917</f>
        <v>161.485870454155</v>
      </c>
      <c r="M4984" s="38" t="n">
        <f aca="false">Sens!$M$4917</f>
        <v>187.389846618199</v>
      </c>
      <c r="N4984" s="38" t="n">
        <f aca="false">Sens!$N$4917</f>
        <v>9.234</v>
      </c>
      <c r="O4984" s="38" t="n">
        <f aca="false">Sens!$O$4917</f>
        <v>12.216</v>
      </c>
    </row>
    <row r="4985" customFormat="false" ht="17.15" hidden="false" customHeight="false" outlineLevel="0" collapsed="false">
      <c r="A4985" s="5" t="s">
        <v>694</v>
      </c>
      <c r="B4985" s="0" t="s">
        <v>73</v>
      </c>
      <c r="C4985" s="38" t="n">
        <f aca="false">Sens!$C$4982+Sens!$C$4983+Sens!$C$4984</f>
        <v>32.067</v>
      </c>
      <c r="D4985" s="38" t="n">
        <f aca="false">Sens!$D$4982+Sens!$D$4983+Sens!$D$4984</f>
        <v>41.86</v>
      </c>
      <c r="E4985" s="38" t="n">
        <f aca="false">Sens!$E$4982+Sens!$E$4983+Sens!$E$4984</f>
        <v>26.703</v>
      </c>
      <c r="F4985" s="38" t="n">
        <f aca="false">Sens!$F$4982+Sens!$F$4983+Sens!$F$4984</f>
        <v>30.6103857251209</v>
      </c>
      <c r="G4985" s="38" t="n">
        <f aca="false">Sens!$G$4982+Sens!$G$4983+Sens!$G$4984</f>
        <v>57.3133857251209</v>
      </c>
      <c r="H4985" s="38" t="n">
        <f aca="false">Sens!$H$4982+Sens!$H$4983+Sens!$H$4984</f>
        <v>87.6845218193838</v>
      </c>
      <c r="I4985" s="38" t="n">
        <f aca="false">Sens!$I$4982+Sens!$I$4983+Sens!$I$4984</f>
        <v>122.294769708638</v>
      </c>
      <c r="J4985" s="38" t="n">
        <f aca="false">Sens!$J$4982+Sens!$J$4983+Sens!$J$4984</f>
        <v>157.133962573221</v>
      </c>
      <c r="K4985" s="38" t="n">
        <f aca="false">Sens!$K$4982+Sens!$K$4983+Sens!$K$4984</f>
        <v>191.350633353599</v>
      </c>
      <c r="L4985" s="38" t="n">
        <f aca="false">Sens!$L$4982+Sens!$L$4983+Sens!$L$4984</f>
        <v>223.909238335354</v>
      </c>
      <c r="M4985" s="38" t="n">
        <f aca="false">Sens!$M$4982+Sens!$M$4983+Sens!$M$4984</f>
        <v>257.576319867276</v>
      </c>
      <c r="N4985" s="38" t="n">
        <f aca="false">Sens!$N$4982+Sens!$N$4983+Sens!$N$4984</f>
        <v>18.822</v>
      </c>
      <c r="O4985" s="38" t="n">
        <f aca="false">Sens!$O$4982+Sens!$O$4983+Sens!$O$4984</f>
        <v>23.038</v>
      </c>
    </row>
    <row r="4986" customFormat="false" ht="17.15" hidden="false" customHeight="false" outlineLevel="0" collapsed="false">
      <c r="A4986" s="0" t="s">
        <v>695</v>
      </c>
      <c r="B4986" s="0" t="s">
        <v>73</v>
      </c>
      <c r="C4986" s="38" t="n">
        <f aca="false">Sens!$C$4959+Sens!$C$4964</f>
        <v>28.107</v>
      </c>
      <c r="D4986" s="38" t="n">
        <f aca="false">Sens!$D$4959+Sens!$D$4964</f>
        <v>34.3175</v>
      </c>
      <c r="E4986" s="38" t="n">
        <f aca="false">Sens!$E$4959+Sens!$E$4964</f>
        <v>18.526</v>
      </c>
      <c r="F4986" s="38" t="n">
        <f aca="false">Sens!$F$4959+Sens!$F$4964</f>
        <v>24.0766690913691</v>
      </c>
      <c r="G4986" s="38" t="n">
        <f aca="false">Sens!$G$4959+Sens!$G$4964</f>
        <v>42.6026690913691</v>
      </c>
      <c r="H4986" s="38" t="n">
        <f aca="false">Sens!$H$4959+Sens!$H$4964</f>
        <v>51.1466809294702</v>
      </c>
      <c r="I4986" s="38" t="n">
        <f aca="false">Sens!$I$4959+Sens!$I$4964</f>
        <v>59.6899187926205</v>
      </c>
      <c r="J4986" s="38" t="n">
        <f aca="false">Sens!$J$4959+Sens!$J$4964</f>
        <v>67.6595395244221</v>
      </c>
      <c r="K4986" s="38" t="n">
        <f aca="false">Sens!$K$4959+Sens!$K$4964</f>
        <v>74.4254934768643</v>
      </c>
      <c r="L4986" s="38" t="n">
        <f aca="false">Sens!$L$4959+Sens!$L$4964</f>
        <v>81.8680428245508</v>
      </c>
      <c r="M4986" s="38" t="n">
        <f aca="false">Sens!$M$4959+Sens!$M$4964</f>
        <v>90.0548471070059</v>
      </c>
      <c r="N4986" s="38" t="n">
        <f aca="false">Sens!$N$4959+Sens!$N$4964</f>
        <v>14.8075</v>
      </c>
      <c r="O4986" s="38" t="n">
        <f aca="false">Sens!$O$4959+Sens!$O$4964</f>
        <v>19.51</v>
      </c>
    </row>
    <row r="4987" customFormat="false" ht="17.15" hidden="false" customHeight="false" outlineLevel="0" collapsed="false">
      <c r="A4987" s="0" t="s">
        <v>696</v>
      </c>
      <c r="B4987" s="0" t="s">
        <v>73</v>
      </c>
      <c r="C4987" s="38" t="n">
        <f aca="false">Sens!$C$4963+Sens!$C$4968+Sens!$C$4982+Sens!$C$4983-Sens!$C$4986</f>
        <v>19.399</v>
      </c>
      <c r="D4987" s="38" t="n">
        <f aca="false">Sens!$D$4963+Sens!$D$4968+Sens!$D$4982+Sens!$D$4983-Sens!$D$4986</f>
        <v>20.4615</v>
      </c>
      <c r="E4987" s="38" t="n">
        <f aca="false">Sens!$E$4963+Sens!$E$4968+Sens!$E$4982+Sens!$E$4983-Sens!$E$4986</f>
        <v>13.355</v>
      </c>
      <c r="F4987" s="38" t="n">
        <f aca="false">Sens!$F$4963+Sens!$F$4968+Sens!$F$4982+Sens!$F$4983-Sens!$F$4986</f>
        <v>13.0895111975985</v>
      </c>
      <c r="G4987" s="38" t="n">
        <f aca="false">Sens!$G$4963+Sens!$G$4968+Sens!$G$4982+Sens!$G$4983-Sens!$G$4986</f>
        <v>26.4445111975985</v>
      </c>
      <c r="H4987" s="38" t="n">
        <f aca="false">Sens!$H$4963+Sens!$H$4968+Sens!$H$4982+Sens!$H$4983-Sens!$H$4986</f>
        <v>28.8977096937968</v>
      </c>
      <c r="I4987" s="38" t="n">
        <f aca="false">Sens!$I$4963+Sens!$I$4968+Sens!$I$4982+Sens!$I$4983-Sens!$I$4986</f>
        <v>31.2062039064791</v>
      </c>
      <c r="J4987" s="38" t="n">
        <f aca="false">Sens!$J$4963+Sens!$J$4968+Sens!$J$4982+Sens!$J$4983-Sens!$J$4986</f>
        <v>33.5064572496913</v>
      </c>
      <c r="K4987" s="38" t="n">
        <f aca="false">Sens!$K$4963+Sens!$K$4968+Sens!$K$4982+Sens!$K$4983-Sens!$K$4986</f>
        <v>35.6591461575899</v>
      </c>
      <c r="L4987" s="38" t="n">
        <f aca="false">Sens!$L$4963+Sens!$L$4968+Sens!$L$4982+Sens!$L$4983-Sens!$L$4986</f>
        <v>36.4141007090604</v>
      </c>
      <c r="M4987" s="38" t="n">
        <f aca="false">Sens!$M$4963+Sens!$M$4968+Sens!$M$4982+Sens!$M$4983-Sens!$M$4986</f>
        <v>37.359984207839</v>
      </c>
      <c r="N4987" s="38" t="n">
        <f aca="false">Sens!$N$4963+Sens!$N$4968+Sens!$N$4982+Sens!$N$4983-Sens!$N$4986</f>
        <v>10.6495</v>
      </c>
      <c r="O4987" s="38" t="n">
        <f aca="false">Sens!$O$4963+Sens!$O$4968+Sens!$O$4982+Sens!$O$4983-Sens!$O$4986</f>
        <v>9.81200000000001</v>
      </c>
    </row>
    <row r="4988" customFormat="false" ht="17.15" hidden="false" customHeight="false" outlineLevel="0" collapsed="false">
      <c r="A4988" s="0" t="s">
        <v>697</v>
      </c>
      <c r="B4988" s="0" t="s">
        <v>73</v>
      </c>
      <c r="C4988" s="38" t="n">
        <f aca="false">Sens!$C$4970+Sens!$C$4984-ext_sh*Sens!$C$4905</f>
        <v>51.3470500115664</v>
      </c>
      <c r="D4988" s="38" t="n">
        <f aca="false">Sens!$D$4970+Sens!$D$4984-ext_sh*Sens!$D$4905</f>
        <v>60.2799375433739</v>
      </c>
      <c r="E4988" s="38" t="n">
        <f aca="false">Sens!$E$4970+Sens!$E$4984-ext_sh*Sens!$E$4905</f>
        <v>39.5095167090767</v>
      </c>
      <c r="F4988" s="38" t="n">
        <f aca="false">Sens!$F$4970+Sens!$F$4984-ext_sh*Sens!$F$4905</f>
        <v>41.606724953129</v>
      </c>
      <c r="G4988" s="38" t="n">
        <f aca="false">Sens!$G$4970+Sens!$G$4984-ext_sh*Sens!$G$4905</f>
        <v>81.1162416622057</v>
      </c>
      <c r="H4988" s="38" t="n">
        <f aca="false">Sens!$H$4970+Sens!$H$4984-ext_sh*Sens!$H$4905</f>
        <v>95.7616595325849</v>
      </c>
      <c r="I4988" s="38" t="n">
        <f aca="false">Sens!$I$4970+Sens!$I$4984-ext_sh*Sens!$I$4905</f>
        <v>111.513312079935</v>
      </c>
      <c r="J4988" s="38" t="n">
        <f aca="false">Sens!$J$4970+Sens!$J$4984-ext_sh*Sens!$J$4905</f>
        <v>125.145150463955</v>
      </c>
      <c r="K4988" s="38" t="n">
        <f aca="false">Sens!$K$4970+Sens!$K$4984-ext_sh*Sens!$K$4905</f>
        <v>135.156762501071</v>
      </c>
      <c r="L4988" s="38" t="n">
        <f aca="false">Sens!$L$4970+Sens!$L$4984-ext_sh*Sens!$L$4905</f>
        <v>145.969303501157</v>
      </c>
      <c r="M4988" s="38" t="n">
        <f aca="false">Sens!$M$4970+Sens!$M$4984-ext_sh*Sens!$M$4905</f>
        <v>157.646847781249</v>
      </c>
      <c r="N4988" s="38" t="n">
        <f aca="false">Sens!$N$4970+Sens!$N$4984-ext_sh*Sens!$N$4905</f>
        <v>28.5693781401809</v>
      </c>
      <c r="O4988" s="38" t="n">
        <f aca="false">Sens!$O$4970+Sens!$O$4984-ext_sh*Sens!$O$4905</f>
        <v>31.7105594031931</v>
      </c>
    </row>
    <row r="4989" customFormat="false" ht="17.15" hidden="false" customHeight="false" outlineLevel="0" collapsed="false">
      <c r="A4989" s="0" t="s">
        <v>698</v>
      </c>
      <c r="B4989" s="0" t="s">
        <v>73</v>
      </c>
      <c r="C4989" s="38" t="n">
        <f aca="false">Sens!$C$4908</f>
        <v>1.80694998843362</v>
      </c>
      <c r="D4989" s="38" t="n">
        <f aca="false">Sens!$D$4908</f>
        <v>6.77606245662607</v>
      </c>
      <c r="E4989" s="38" t="n">
        <f aca="false">Sens!$E$4908</f>
        <v>6.62548329092326</v>
      </c>
      <c r="F4989" s="38" t="n">
        <f aca="false">Sens!$F$4908</f>
        <v>11.7200577158706</v>
      </c>
      <c r="G4989" s="38" t="n">
        <f aca="false">Sens!$G$4908</f>
        <v>18.3455410067939</v>
      </c>
      <c r="H4989" s="38" t="n">
        <f aca="false">Sens!$H$4908</f>
        <v>47.5171727060453</v>
      </c>
      <c r="I4989" s="38" t="n">
        <f aca="false">Sens!$I$4908</f>
        <v>80.5539692643667</v>
      </c>
      <c r="J4989" s="38" t="n">
        <f aca="false">Sens!$J$4908</f>
        <v>113.759316834883</v>
      </c>
      <c r="K4989" s="38" t="n">
        <f aca="false">Sens!$K$4908</f>
        <v>147.020848076132</v>
      </c>
      <c r="L4989" s="38" t="n">
        <f aca="false">Sens!$L$4908</f>
        <v>180.307917349531</v>
      </c>
      <c r="M4989" s="38" t="n">
        <f aca="false">Sens!$M$4908</f>
        <v>213.608737871012</v>
      </c>
      <c r="N4989" s="38" t="n">
        <f aca="false">Sens!$N$4908</f>
        <v>2.37162185981912</v>
      </c>
      <c r="O4989" s="38" t="n">
        <f aca="false">Sens!$O$4908</f>
        <v>4.40444059680694</v>
      </c>
    </row>
    <row r="4990" customFormat="false" ht="17.15" hidden="false" customHeight="false" outlineLevel="0" collapsed="false">
      <c r="A4990" s="0" t="s">
        <v>699</v>
      </c>
      <c r="B4990" s="0" t="s">
        <v>73</v>
      </c>
      <c r="C4990" s="38" t="n">
        <f aca="false">Sens!$C$4973+Sens!$C$4985</f>
        <v>100.66</v>
      </c>
      <c r="D4990" s="38" t="n">
        <f aca="false">Sens!$D$4973+Sens!$D$4985</f>
        <v>121.835</v>
      </c>
      <c r="E4990" s="38" t="n">
        <f aca="false">Sens!$E$4973+Sens!$E$4985</f>
        <v>78.016</v>
      </c>
      <c r="F4990" s="38" t="n">
        <f aca="false">Sens!$F$4973+Sens!$F$4985</f>
        <v>90.4929629579672</v>
      </c>
      <c r="G4990" s="38" t="n">
        <f aca="false">Sens!$G$4973+Sens!$G$4985</f>
        <v>168.508962957967</v>
      </c>
      <c r="H4990" s="38" t="n">
        <f aca="false">Sens!$H$4973+Sens!$H$4985</f>
        <v>223.323222861897</v>
      </c>
      <c r="I4990" s="38" t="n">
        <f aca="false">Sens!$I$4973+Sens!$I$4985</f>
        <v>282.963404043402</v>
      </c>
      <c r="J4990" s="38" t="n">
        <f aca="false">Sens!$J$4973+Sens!$J$4985</f>
        <v>340.070464072952</v>
      </c>
      <c r="K4990" s="38" t="n">
        <f aca="false">Sens!$K$4973+Sens!$K$4985</f>
        <v>392.262250211657</v>
      </c>
      <c r="L4990" s="38" t="n">
        <f aca="false">Sens!$L$4973+Sens!$L$4985</f>
        <v>444.559364384299</v>
      </c>
      <c r="M4990" s="38" t="n">
        <f aca="false">Sens!$M$4973+Sens!$M$4985</f>
        <v>498.670416967106</v>
      </c>
      <c r="N4990" s="38" t="n">
        <f aca="false">Sens!$N$4973+Sens!$N$4985</f>
        <v>56.398</v>
      </c>
      <c r="O4990" s="38" t="n">
        <f aca="false">Sens!$O$4973+Sens!$O$4985</f>
        <v>65.437</v>
      </c>
    </row>
    <row r="4991" customFormat="false" ht="17.15" hidden="false" customHeight="false" outlineLevel="0" collapsed="false">
      <c r="A4991" s="1" t="s">
        <v>700</v>
      </c>
    </row>
    <row r="4992" customFormat="false" ht="15" hidden="false" customHeight="false" outlineLevel="0" collapsed="false">
      <c r="A4992" s="5" t="s">
        <v>504</v>
      </c>
      <c r="B4992" s="0" t="s">
        <v>73</v>
      </c>
      <c r="C4992" s="38" t="n">
        <f aca="false">Q!$D$34</f>
        <v>2.406</v>
      </c>
      <c r="D4992" s="38" t="n">
        <f aca="false">Q!$E$34</f>
        <v>2.274</v>
      </c>
      <c r="E4992" s="38" t="n">
        <f aca="false">Q!$P$34</f>
        <v>2.114</v>
      </c>
      <c r="F4992" s="38" t="n">
        <f aca="false">Sens!$F$5028</f>
        <v>3.24888964316061</v>
      </c>
      <c r="G4992" s="38" t="n">
        <f aca="false">Sens!$E$4992+Sens!$F$4992</f>
        <v>5.36288964316061</v>
      </c>
      <c r="H4992" s="38" t="n">
        <f aca="false">Sens!$H$5028</f>
        <v>7.42354178632123</v>
      </c>
      <c r="I4992" s="38" t="n">
        <f aca="false">Sens!$I$5028</f>
        <v>7.51827597635917</v>
      </c>
      <c r="J4992" s="38" t="n">
        <f aca="false">Sens!$J$5028</f>
        <v>7.76994062068418</v>
      </c>
      <c r="K4992" s="38" t="n">
        <f aca="false">Sens!$K$5028</f>
        <v>7.76994062068418</v>
      </c>
      <c r="L4992" s="38" t="n">
        <f aca="false">Sens!$L$5028</f>
        <v>7.76994062068418</v>
      </c>
      <c r="M4992" s="38" t="n">
        <f aca="false">Sens!$M$5028</f>
        <v>7.76994062068418</v>
      </c>
      <c r="N4992" s="38" t="n">
        <f aca="false">Q!$N$34</f>
        <v>1.057</v>
      </c>
      <c r="O4992" s="38" t="n">
        <f aca="false">Q!$O$34</f>
        <v>1.217</v>
      </c>
    </row>
    <row r="4993" customFormat="false" ht="15" hidden="false" customHeight="false" outlineLevel="0" collapsed="false">
      <c r="A4993" s="5" t="s">
        <v>701</v>
      </c>
      <c r="B4993" s="0" t="s">
        <v>73</v>
      </c>
      <c r="F4993" s="38" t="n">
        <f aca="false">Sens!$F$5029</f>
        <v>2.59</v>
      </c>
      <c r="H4993" s="38" t="n">
        <f aca="false">Sens!$H$5029</f>
        <v>4.00971603121774</v>
      </c>
      <c r="I4993" s="38" t="n">
        <f aca="false">Sens!$I$5029</f>
        <v>2.10589651022864</v>
      </c>
      <c r="J4993" s="38" t="n">
        <f aca="false">Sens!$J$5029</f>
        <v>2.10589651022864</v>
      </c>
      <c r="K4993" s="38" t="n">
        <f aca="false">Sens!$K$5029</f>
        <v>3.77985822695893</v>
      </c>
      <c r="L4993" s="38" t="n">
        <f aca="false">Sens!$L$5029</f>
        <v>7.24081936505971</v>
      </c>
      <c r="M4993" s="38" t="n">
        <f aca="false">Sens!$M$5029</f>
        <v>11.205150593419</v>
      </c>
    </row>
    <row r="4994" customFormat="false" ht="17.15" hidden="false" customHeight="false" outlineLevel="0" collapsed="false">
      <c r="A4994" s="5" t="s">
        <v>702</v>
      </c>
      <c r="B4994" s="0" t="s">
        <v>73</v>
      </c>
      <c r="C4994" s="38" t="n">
        <f aca="false">Q!$D$39</f>
        <v>2.427</v>
      </c>
      <c r="D4994" s="38" t="n">
        <f aca="false">Q!$E$39</f>
        <v>19.61</v>
      </c>
      <c r="E4994" s="38" t="n">
        <f aca="false">Q!$P$39</f>
        <v>71.492</v>
      </c>
      <c r="F4994" s="41" t="n">
        <v>0</v>
      </c>
      <c r="G4994" s="38" t="n">
        <f aca="false">Sens!$E$4994+Sens!$F$4994</f>
        <v>71.492</v>
      </c>
      <c r="H4994" s="41" t="n">
        <v>0</v>
      </c>
      <c r="I4994" s="41" t="n">
        <v>0</v>
      </c>
      <c r="J4994" s="41" t="n">
        <v>0</v>
      </c>
      <c r="K4994" s="41" t="n">
        <v>0</v>
      </c>
      <c r="L4994" s="41" t="n">
        <v>0</v>
      </c>
      <c r="M4994" s="41" t="n">
        <v>0</v>
      </c>
      <c r="N4994" s="38" t="n">
        <f aca="false">Q!$N$39</f>
        <v>6.017</v>
      </c>
      <c r="O4994" s="38" t="n">
        <f aca="false">Q!$O$39</f>
        <v>13.593</v>
      </c>
      <c r="P4994" s="5" t="s">
        <v>703</v>
      </c>
    </row>
    <row r="4995" customFormat="false" ht="15" hidden="false" customHeight="false" outlineLevel="0" collapsed="false">
      <c r="A4995" s="5" t="s">
        <v>507</v>
      </c>
      <c r="B4995" s="0" t="s">
        <v>73</v>
      </c>
      <c r="C4995" s="38" t="n">
        <f aca="false">Q!$D$36</f>
        <v>68.614</v>
      </c>
      <c r="D4995" s="38" t="n">
        <f aca="false">Q!$E$36</f>
        <v>97.311</v>
      </c>
      <c r="E4995" s="38" t="n">
        <f aca="false">Q!$P$36</f>
        <v>120.691</v>
      </c>
      <c r="F4995" s="38" t="n">
        <f aca="false">Sens!$F$4973-Sens!$F$4992+Sens!$F$4993+Sens!$F$4994</f>
        <v>59.2236875896856</v>
      </c>
      <c r="G4995" s="38" t="n">
        <f aca="false">Sens!$E$4995+Sens!$F$4995</f>
        <v>179.914687589686</v>
      </c>
      <c r="H4995" s="38" t="n">
        <f aca="false">Sens!$H$4973-Sens!$H$4992+Sens!$H$4993+Sens!$H$4994</f>
        <v>132.22487528741</v>
      </c>
      <c r="I4995" s="38" t="n">
        <f aca="false">Sens!$I$4973-Sens!$I$4992+Sens!$I$4993+Sens!$I$4994</f>
        <v>155.256254868633</v>
      </c>
      <c r="J4995" s="38" t="n">
        <f aca="false">Sens!$J$4973-Sens!$J$4992+Sens!$J$4993+Sens!$J$4994</f>
        <v>177.272457389275</v>
      </c>
      <c r="K4995" s="38" t="n">
        <f aca="false">Sens!$K$4973-Sens!$K$4992+Sens!$K$4993+Sens!$K$4994</f>
        <v>196.921534464333</v>
      </c>
      <c r="L4995" s="38" t="n">
        <f aca="false">Sens!$L$4973-Sens!$L$4992+Sens!$L$4993+Sens!$L$4994</f>
        <v>220.12100479332</v>
      </c>
      <c r="M4995" s="38" t="n">
        <f aca="false">Sens!$M$4973-Sens!$M$4992+Sens!$M$4993+Sens!$M$4994</f>
        <v>244.529307072564</v>
      </c>
      <c r="N4995" s="38" t="n">
        <f aca="false">Q!$N$36</f>
        <v>42.536</v>
      </c>
      <c r="O4995" s="38" t="n">
        <f aca="false">Q!$O$36</f>
        <v>54.775</v>
      </c>
    </row>
    <row r="4996" customFormat="false" ht="15" hidden="false" customHeight="false" outlineLevel="0" collapsed="false">
      <c r="A4996" s="5" t="s">
        <v>508</v>
      </c>
      <c r="B4996" s="0" t="s">
        <v>73</v>
      </c>
      <c r="C4996" s="38" t="n">
        <f aca="false">Q!$D$37</f>
        <v>9.265</v>
      </c>
      <c r="D4996" s="38" t="n">
        <f aca="false">Q!$E$37</f>
        <v>19.087</v>
      </c>
      <c r="E4996" s="38" t="n">
        <f aca="false">Q!$P$37</f>
        <v>27.759</v>
      </c>
      <c r="F4996" s="38" t="n">
        <f aca="false">Sens!$F$4995*tax</f>
        <v>10.2803157750071</v>
      </c>
      <c r="G4996" s="38" t="n">
        <f aca="false">Sens!$E$4996+Sens!$F$4996</f>
        <v>38.0393157750071</v>
      </c>
      <c r="H4996" s="38" t="n">
        <f aca="false">Sens!$H$4995*tax</f>
        <v>22.9521923842892</v>
      </c>
      <c r="I4996" s="38" t="n">
        <f aca="false">Sens!$I$4995*tax</f>
        <v>26.9500835063251</v>
      </c>
      <c r="J4996" s="38" t="n">
        <f aca="false">Sens!$J$4995*tax</f>
        <v>30.7717555988633</v>
      </c>
      <c r="K4996" s="38" t="n">
        <f aca="false">Sens!$K$4995*tax</f>
        <v>34.1825313414772</v>
      </c>
      <c r="L4996" s="38" t="n">
        <f aca="false">Sens!$L$4995*tax</f>
        <v>38.209600416393</v>
      </c>
      <c r="M4996" s="38" t="n">
        <f aca="false">Sens!$M$4995*tax</f>
        <v>42.4465040131586</v>
      </c>
      <c r="N4996" s="38" t="n">
        <f aca="false">Q!$N$37</f>
        <v>7.231</v>
      </c>
      <c r="O4996" s="38" t="n">
        <f aca="false">Q!$O$37</f>
        <v>11.856</v>
      </c>
    </row>
    <row r="4997" customFormat="false" ht="15" hidden="false" customHeight="false" outlineLevel="0" collapsed="false">
      <c r="A4997" s="3" t="s">
        <v>509</v>
      </c>
      <c r="B4997" s="8" t="s">
        <v>73</v>
      </c>
      <c r="C4997" s="38" t="n">
        <f aca="false">Q!$D$38</f>
        <v>59.248</v>
      </c>
      <c r="D4997" s="38" t="n">
        <f aca="false">Q!$E$38</f>
        <v>77.67</v>
      </c>
      <c r="E4997" s="38" t="n">
        <f aca="false">Q!$P$38</f>
        <v>92.902</v>
      </c>
      <c r="F4997" s="38" t="n">
        <f aca="false">Sens!$F$4995-Sens!$F$4996</f>
        <v>48.9433718146785</v>
      </c>
      <c r="G4997" s="38" t="n">
        <f aca="false">Sens!$E$4997+Sens!$F$4997</f>
        <v>141.845371814679</v>
      </c>
      <c r="H4997" s="38" t="n">
        <f aca="false">Sens!$H$4995-Sens!$H$4996</f>
        <v>109.272682903121</v>
      </c>
      <c r="I4997" s="38" t="n">
        <f aca="false">Sens!$I$4995-Sens!$I$4996</f>
        <v>128.306171362308</v>
      </c>
      <c r="J4997" s="38" t="n">
        <f aca="false">Sens!$J$4995-Sens!$J$4996</f>
        <v>146.500701790412</v>
      </c>
      <c r="K4997" s="38" t="n">
        <f aca="false">Sens!$K$4995-Sens!$K$4996</f>
        <v>162.739003122855</v>
      </c>
      <c r="L4997" s="38" t="n">
        <f aca="false">Sens!$L$4995-Sens!$L$4996</f>
        <v>181.911404376927</v>
      </c>
      <c r="M4997" s="38" t="n">
        <f aca="false">Sens!$M$4995-Sens!$M$4996</f>
        <v>202.082803059406</v>
      </c>
      <c r="N4997" s="38" t="n">
        <f aca="false">Q!$N$38</f>
        <v>35.291</v>
      </c>
      <c r="O4997" s="38" t="n">
        <f aca="false">Q!$O$38</f>
        <v>42.379</v>
      </c>
    </row>
    <row r="4998" customFormat="false" ht="17.15" hidden="false" customHeight="false" outlineLevel="0" collapsed="false">
      <c r="A4998" s="5" t="s">
        <v>512</v>
      </c>
      <c r="B4998" s="5" t="s">
        <v>33</v>
      </c>
      <c r="C4998" s="22" t="n">
        <f aca="false">Q!$D$41</f>
        <v>10.721</v>
      </c>
      <c r="D4998" s="22" t="n">
        <f aca="false">Q!$E$41</f>
        <v>10.827</v>
      </c>
      <c r="E4998" s="22" t="n">
        <f aca="false">(Q!$L$41+Q!$M$41)/2</f>
        <v>10.8885</v>
      </c>
      <c r="F4998" s="22" t="n">
        <f aca="false">Sens!$G$4998</f>
        <v>10.924806</v>
      </c>
      <c r="G4998" s="22" t="n">
        <f aca="false">Q!$M$41*(1+sh_g*0.25)</f>
        <v>10.924806</v>
      </c>
      <c r="H4998" s="22" t="n">
        <f aca="false">Sens!$G$4998*(1+sh_g)</f>
        <v>11.012204448</v>
      </c>
      <c r="I4998" s="22" t="n">
        <f aca="false">Sens!$H$4998*(1+sh_g)</f>
        <v>11.100302083584</v>
      </c>
      <c r="J4998" s="22" t="n">
        <f aca="false">Sens!$I$4998*(1+sh_g)</f>
        <v>11.1891045002527</v>
      </c>
      <c r="K4998" s="22" t="n">
        <f aca="false">Sens!$J$4998*(1+sh_g)</f>
        <v>11.2786173362547</v>
      </c>
      <c r="L4998" s="22" t="n">
        <f aca="false">Sens!$K$4998*(1+sh_g)</f>
        <v>11.3688462749447</v>
      </c>
      <c r="M4998" s="22" t="n">
        <f aca="false">Sens!$L$4998*(1+sh_g)</f>
        <v>11.4597970451443</v>
      </c>
      <c r="P4998" s="5" t="s">
        <v>704</v>
      </c>
    </row>
    <row r="4999" customFormat="false" ht="17.15" hidden="false" customHeight="false" outlineLevel="0" collapsed="false">
      <c r="A4999" s="42" t="s">
        <v>705</v>
      </c>
      <c r="B4999" s="13" t="s">
        <v>27</v>
      </c>
      <c r="C4999" s="43" t="n">
        <f aca="false">Sens!$C$4997/Sens!$C$4998</f>
        <v>5.52635015390355</v>
      </c>
      <c r="D4999" s="43" t="n">
        <f aca="false">Sens!$D$4997/Sens!$D$4998</f>
        <v>7.1737323358271</v>
      </c>
      <c r="E4999" s="43" t="n">
        <f aca="false">Sens!$E$4997/Sens!$E$4998</f>
        <v>8.53212104513937</v>
      </c>
      <c r="F4999" s="13"/>
      <c r="G4999" s="43" t="n">
        <f aca="false">Sens!$G$4997/Sens!$G$4998</f>
        <v>12.9837886196495</v>
      </c>
      <c r="H4999" s="43" t="n">
        <f aca="false">Sens!$H$4997/Sens!$H$4998</f>
        <v>9.92287088558062</v>
      </c>
      <c r="I4999" s="43" t="n">
        <f aca="false">Sens!$I$4997/Sens!$I$4998</f>
        <v>11.5587999674403</v>
      </c>
      <c r="J4999" s="43" t="n">
        <f aca="false">Sens!$J$4997/Sens!$J$4998</f>
        <v>13.0931569892035</v>
      </c>
      <c r="K4999" s="43" t="n">
        <f aca="false">Sens!$K$4997/Sens!$K$4998</f>
        <v>14.4289852444711</v>
      </c>
      <c r="L4999" s="43" t="n">
        <f aca="false">Sens!$L$4997/Sens!$L$4998</f>
        <v>16.0008676322621</v>
      </c>
      <c r="M4999" s="43" t="n">
        <f aca="false">Sens!$M$4997/Sens!$M$4998</f>
        <v>17.6340647450673</v>
      </c>
      <c r="N4999" s="13"/>
      <c r="O4999" s="13"/>
    </row>
    <row r="5000" customFormat="false" ht="17.15" hidden="false" customHeight="false" outlineLevel="0" collapsed="false">
      <c r="A5000" s="0" t="s">
        <v>706</v>
      </c>
      <c r="B5000" s="0" t="s">
        <v>27</v>
      </c>
      <c r="C5000" s="30" t="n">
        <f aca="false">(Sens!$C$4997-Sens!$C$4994*(1-tax))/Sens!$C$4998</f>
        <v>5.33926775917445</v>
      </c>
      <c r="D5000" s="30" t="n">
        <f aca="false">(Sens!$D$4997-Sens!$D$4994*(1-tax))/Sens!$D$4998</f>
        <v>5.67691812755503</v>
      </c>
      <c r="E5000" s="30" t="n">
        <f aca="false">(Sens!$E$4997-Sens!$E$4994*(1-tax))/Sens!$E$4998</f>
        <v>3.10602057006846</v>
      </c>
      <c r="G5000" s="30" t="n">
        <f aca="false">(Sens!$G$4997-Sens!$G$4994*(1-tax))/Sens!$G$4998</f>
        <v>7.57572050175252</v>
      </c>
      <c r="H5000" s="30" t="n">
        <f aca="false">(Sens!$H$4997-Sens!$H$4994*(1-tax))/Sens!$H$4998</f>
        <v>9.92287088558062</v>
      </c>
      <c r="I5000" s="30" t="n">
        <f aca="false">(Sens!$I$4997-Sens!$I$4994*(1-tax))/Sens!$I$4998</f>
        <v>11.5587999674403</v>
      </c>
      <c r="J5000" s="30" t="n">
        <f aca="false">(Sens!$J$4997-Sens!$J$4994*(1-tax))/Sens!$J$4998</f>
        <v>13.0931569892035</v>
      </c>
      <c r="K5000" s="30" t="n">
        <f aca="false">(Sens!$K$4997-Sens!$K$4994*(1-tax))/Sens!$K$4998</f>
        <v>14.4289852444711</v>
      </c>
      <c r="L5000" s="30" t="n">
        <f aca="false">(Sens!$L$4997-Sens!$L$4994*(1-tax))/Sens!$L$4998</f>
        <v>16.0008676322621</v>
      </c>
      <c r="M5000" s="30" t="n">
        <f aca="false">(Sens!$M$4997-Sens!$M$4994*(1-tax))/Sens!$M$4998</f>
        <v>17.6340647450673</v>
      </c>
      <c r="P5000" s="5" t="s">
        <v>707</v>
      </c>
    </row>
    <row r="5001" customFormat="false" ht="17.15" hidden="false" customHeight="false" outlineLevel="0" collapsed="false">
      <c r="A5001" s="0" t="s">
        <v>708</v>
      </c>
      <c r="B5001" s="0" t="s">
        <v>52</v>
      </c>
      <c r="H5001" s="12" t="n">
        <f aca="false">Sens!$H$4999/Sens!$G$4999-1</f>
        <v>-0.23574919645846</v>
      </c>
      <c r="I5001" s="12" t="n">
        <f aca="false">Sens!$I$4999/Sens!$H$4999-1</f>
        <v>0.164864493423664</v>
      </c>
      <c r="J5001" s="12" t="n">
        <f aca="false">Sens!$J$4999/Sens!$I$4999-1</f>
        <v>0.132743626162345</v>
      </c>
      <c r="K5001" s="12" t="n">
        <f aca="false">Sens!$K$4999/Sens!$J$4999-1</f>
        <v>0.102024917013454</v>
      </c>
      <c r="L5001" s="12" t="n">
        <f aca="false">Sens!$L$4999/Sens!$K$4999-1</f>
        <v>0.108939219297719</v>
      </c>
      <c r="M5001" s="12" t="n">
        <f aca="false">Sens!$M$4999/Sens!$L$4999-1</f>
        <v>0.102069284637555</v>
      </c>
    </row>
    <row r="5004" customFormat="false" ht="19.4" hidden="false" customHeight="false" outlineLevel="0" collapsed="false">
      <c r="A5004" s="31" t="s">
        <v>1151</v>
      </c>
    </row>
    <row r="5005" customFormat="false" ht="17.15" hidden="false" customHeight="false" outlineLevel="0" collapsed="false">
      <c r="A5005" s="6" t="s">
        <v>16</v>
      </c>
      <c r="B5005" s="6" t="s">
        <v>17</v>
      </c>
      <c r="C5005" s="20" t="s">
        <v>457</v>
      </c>
      <c r="D5005" s="20" t="s">
        <v>458</v>
      </c>
      <c r="E5005" s="20" t="s">
        <v>540</v>
      </c>
      <c r="F5005" s="20" t="s">
        <v>541</v>
      </c>
      <c r="G5005" s="20" t="s">
        <v>542</v>
      </c>
      <c r="H5005" s="20" t="s">
        <v>543</v>
      </c>
      <c r="I5005" s="20" t="s">
        <v>544</v>
      </c>
      <c r="J5005" s="20" t="s">
        <v>545</v>
      </c>
      <c r="K5005" s="20" t="s">
        <v>546</v>
      </c>
      <c r="L5005" s="20" t="s">
        <v>547</v>
      </c>
      <c r="M5005" s="20" t="s">
        <v>548</v>
      </c>
      <c r="N5005" s="20" t="s">
        <v>549</v>
      </c>
      <c r="O5005" s="20" t="s">
        <v>550</v>
      </c>
      <c r="P5005" s="6" t="s">
        <v>23</v>
      </c>
      <c r="R5005" s="20" t="n">
        <v>2023</v>
      </c>
      <c r="S5005" s="20" t="n">
        <v>2024</v>
      </c>
      <c r="T5005" s="20" t="n">
        <v>2025</v>
      </c>
      <c r="U5005" s="20" t="n">
        <v>2026</v>
      </c>
      <c r="V5005" s="20" t="n">
        <v>2027</v>
      </c>
      <c r="W5005" s="20" t="n">
        <v>2028</v>
      </c>
      <c r="X5005" s="20" t="n">
        <v>2029</v>
      </c>
      <c r="Y5005" s="20" t="n">
        <v>2030</v>
      </c>
      <c r="Z5005" s="20" t="n">
        <v>2031</v>
      </c>
      <c r="AA5005" s="20" t="n">
        <v>2032</v>
      </c>
    </row>
    <row r="5006" customFormat="false" ht="15" hidden="false" customHeight="false" outlineLevel="0" collapsed="false">
      <c r="A5006" s="5" t="s">
        <v>509</v>
      </c>
      <c r="B5006" s="0" t="s">
        <v>73</v>
      </c>
      <c r="C5006" s="38" t="n">
        <f aca="false">Sens!$C$4997</f>
        <v>59.248</v>
      </c>
      <c r="D5006" s="38" t="n">
        <f aca="false">Sens!$D$4997</f>
        <v>77.67</v>
      </c>
      <c r="E5006" s="38" t="n">
        <f aca="false">Sens!$E$4997</f>
        <v>92.902</v>
      </c>
      <c r="F5006" s="38" t="n">
        <f aca="false">Sens!$F$4997</f>
        <v>48.9433718146785</v>
      </c>
      <c r="G5006" s="38" t="n">
        <f aca="false">Sens!$G$4997</f>
        <v>141.845371814679</v>
      </c>
      <c r="H5006" s="38" t="n">
        <f aca="false">Sens!$H$4997</f>
        <v>109.272682903121</v>
      </c>
      <c r="I5006" s="38" t="n">
        <f aca="false">Sens!$I$4997</f>
        <v>128.306171362308</v>
      </c>
      <c r="J5006" s="38" t="n">
        <f aca="false">Sens!$J$4997</f>
        <v>146.500701790412</v>
      </c>
      <c r="K5006" s="38" t="n">
        <f aca="false">Sens!$K$4997</f>
        <v>162.739003122855</v>
      </c>
      <c r="L5006" s="38" t="n">
        <f aca="false">Sens!$L$4997</f>
        <v>181.911404376927</v>
      </c>
      <c r="M5006" s="38" t="n">
        <f aca="false">Sens!$M$4997</f>
        <v>202.082803059406</v>
      </c>
    </row>
    <row r="5007" customFormat="false" ht="17.15" hidden="false" customHeight="false" outlineLevel="0" collapsed="false">
      <c r="A5007" s="5" t="s">
        <v>730</v>
      </c>
      <c r="B5007" s="0" t="s">
        <v>73</v>
      </c>
      <c r="C5007" s="38" t="n">
        <f aca="false">Sens!$C$4985</f>
        <v>32.067</v>
      </c>
      <c r="D5007" s="38" t="n">
        <f aca="false">Sens!$D$4985</f>
        <v>41.86</v>
      </c>
      <c r="E5007" s="38" t="n">
        <f aca="false">Sens!$E$4985</f>
        <v>26.703</v>
      </c>
      <c r="F5007" s="38" t="n">
        <f aca="false">Sens!$F$4985</f>
        <v>30.6103857251209</v>
      </c>
      <c r="G5007" s="38" t="n">
        <f aca="false">Sens!$G$4985</f>
        <v>57.3133857251209</v>
      </c>
      <c r="H5007" s="38" t="n">
        <f aca="false">Sens!$H$4985</f>
        <v>87.6845218193838</v>
      </c>
      <c r="I5007" s="38" t="n">
        <f aca="false">Sens!$I$4985</f>
        <v>122.294769708638</v>
      </c>
      <c r="J5007" s="38" t="n">
        <f aca="false">Sens!$J$4985</f>
        <v>157.133962573221</v>
      </c>
      <c r="K5007" s="38" t="n">
        <f aca="false">Sens!$K$4985</f>
        <v>191.350633353599</v>
      </c>
      <c r="L5007" s="38" t="n">
        <f aca="false">Sens!$L$4985</f>
        <v>223.909238335354</v>
      </c>
      <c r="M5007" s="38" t="n">
        <f aca="false">Sens!$M$4985</f>
        <v>257.576319867276</v>
      </c>
    </row>
    <row r="5008" customFormat="false" ht="15" hidden="false" customHeight="false" outlineLevel="0" collapsed="false">
      <c r="A5008" s="5" t="s">
        <v>731</v>
      </c>
      <c r="B5008" s="0" t="s">
        <v>73</v>
      </c>
      <c r="C5008" s="38" t="n">
        <f aca="false">Q!$D$48</f>
        <v>22.011</v>
      </c>
      <c r="D5008" s="38" t="n">
        <f aca="false">Q!$E$48</f>
        <v>19.467</v>
      </c>
      <c r="E5008" s="38" t="n">
        <f aca="false">Q!$P$48</f>
        <v>10.07</v>
      </c>
      <c r="F5008" s="38" t="n">
        <f aca="false">sbc_r*Sens!$F$4929</f>
        <v>11.2170714500462</v>
      </c>
      <c r="G5008" s="38" t="n">
        <f aca="false">Sens!$E$5008+Sens!$F$5008</f>
        <v>21.2870714500462</v>
      </c>
      <c r="H5008" s="38" t="n">
        <f aca="false">sbc_r*Sens!$H$4929</f>
        <v>24.1772394325528</v>
      </c>
      <c r="I5008" s="38" t="n">
        <f aca="false">sbc_r*Sens!$I$4929</f>
        <v>27.6495284422397</v>
      </c>
      <c r="J5008" s="38" t="n">
        <f aca="false">sbc_r*Sens!$J$4929</f>
        <v>30.9042211184633</v>
      </c>
      <c r="K5008" s="38" t="n">
        <f aca="false">sbc_r*Sens!$K$4929</f>
        <v>33.8004145402678</v>
      </c>
      <c r="L5008" s="38" t="n">
        <f aca="false">sbc_r*Sens!$L$4929</f>
        <v>36.8322537652494</v>
      </c>
      <c r="M5008" s="38" t="n">
        <f aca="false">sbc_r*Sens!$M$4929</f>
        <v>40.0097627968013</v>
      </c>
    </row>
    <row r="5009" customFormat="false" ht="17.15" hidden="false" customHeight="false" outlineLevel="0" collapsed="false">
      <c r="A5009" s="5" t="s">
        <v>732</v>
      </c>
      <c r="B5009" s="0" t="s">
        <v>73</v>
      </c>
      <c r="C5009" s="38" t="n">
        <f aca="false">Q!$D$44-Sens!$C$5006-Sens!$C$5007-Sens!$C$5008</f>
        <v>2.551</v>
      </c>
      <c r="D5009" s="38" t="n">
        <f aca="false">Q!$E$44-Sens!$D$5006-Sens!$D$5007-Sens!$D$5008</f>
        <v>0.51700000000001</v>
      </c>
      <c r="E5009" s="38" t="n">
        <f aca="false">Q!$P$44-Sens!$E$5006-Sens!$E$5007-Sens!$E$5008</f>
        <v>-58.256</v>
      </c>
      <c r="F5009" s="38" t="n">
        <f aca="false">wc_2h26+oth_r*Sens!$F$4929</f>
        <v>7.34599241893378</v>
      </c>
      <c r="G5009" s="38" t="n">
        <f aca="false">Sens!$E$5009+Sens!$F$5009</f>
        <v>-50.9100075810662</v>
      </c>
      <c r="H5009" s="38" t="n">
        <f aca="false">oth_r*Sens!$H$4929</f>
        <v>11.6369707537667</v>
      </c>
      <c r="I5009" s="38" t="n">
        <f aca="false">oth_r*Sens!$I$4929</f>
        <v>13.3082502961262</v>
      </c>
      <c r="J5009" s="38" t="n">
        <f aca="false">oth_r*Sens!$J$4929</f>
        <v>14.8747965344332</v>
      </c>
      <c r="K5009" s="38" t="n">
        <f aca="false">oth_r*Sens!$K$4929</f>
        <v>16.2687901804328</v>
      </c>
      <c r="L5009" s="38" t="n">
        <f aca="false">oth_r*Sens!$L$4929</f>
        <v>17.7280727627002</v>
      </c>
      <c r="M5009" s="38" t="n">
        <f aca="false">oth_r*Sens!$M$4929</f>
        <v>19.2574690270319</v>
      </c>
      <c r="P5009" s="8" t="s">
        <v>733</v>
      </c>
    </row>
    <row r="5010" customFormat="false" ht="15" hidden="false" customHeight="false" outlineLevel="0" collapsed="false">
      <c r="A5010" s="3" t="s">
        <v>515</v>
      </c>
      <c r="B5010" s="8" t="s">
        <v>73</v>
      </c>
      <c r="C5010" s="38" t="n">
        <f aca="false">Q!$D$44</f>
        <v>115.877</v>
      </c>
      <c r="D5010" s="38" t="n">
        <f aca="false">Q!$E$44</f>
        <v>139.514</v>
      </c>
      <c r="E5010" s="38" t="n">
        <f aca="false">Q!$P$44</f>
        <v>71.419</v>
      </c>
      <c r="F5010" s="38" t="n">
        <f aca="false">Sens!$F$5006+Sens!$F$5007+Sens!$F$5008+Sens!$F$5009</f>
        <v>98.1168214087795</v>
      </c>
      <c r="G5010" s="38" t="n">
        <f aca="false">Sens!$E$5010+Sens!$F$5010</f>
        <v>169.535821408779</v>
      </c>
      <c r="H5010" s="38" t="n">
        <f aca="false">Sens!$H$5006+Sens!$H$5007+Sens!$H$5008+Sens!$H$5009</f>
        <v>232.771414908824</v>
      </c>
      <c r="I5010" s="38" t="n">
        <f aca="false">Sens!$I$5006+Sens!$I$5007+Sens!$I$5008+Sens!$I$5009</f>
        <v>291.558719809312</v>
      </c>
      <c r="J5010" s="38" t="n">
        <f aca="false">Sens!$J$5006+Sens!$J$5007+Sens!$J$5008+Sens!$J$5009</f>
        <v>349.413682016529</v>
      </c>
      <c r="K5010" s="38" t="n">
        <f aca="false">Sens!$K$5006+Sens!$K$5007+Sens!$K$5008+Sens!$K$5009</f>
        <v>404.158841197156</v>
      </c>
      <c r="L5010" s="38" t="n">
        <f aca="false">Sens!$L$5006+Sens!$L$5007+Sens!$L$5008+Sens!$L$5009</f>
        <v>460.380969240231</v>
      </c>
      <c r="M5010" s="38" t="n">
        <f aca="false">Sens!$M$5006+Sens!$M$5007+Sens!$M$5008+Sens!$M$5009</f>
        <v>518.926354750515</v>
      </c>
    </row>
    <row r="5011" customFormat="false" ht="17.15" hidden="false" customHeight="false" outlineLevel="0" collapsed="false">
      <c r="A5011" s="5" t="s">
        <v>734</v>
      </c>
      <c r="B5011" s="0" t="s">
        <v>73</v>
      </c>
      <c r="C5011" s="38" t="n">
        <f aca="false">Sens!$C$4899</f>
        <v>25.2781053077374</v>
      </c>
      <c r="D5011" s="38" t="n">
        <f aca="false">Sens!$D$4899</f>
        <v>69.5686316310026</v>
      </c>
      <c r="E5011" s="38" t="n">
        <f aca="false">Sens!$E$4899</f>
        <v>64.1899206485108</v>
      </c>
      <c r="F5011" s="38" t="n">
        <f aca="false">Sens!$F$4899</f>
        <v>96.2481299895</v>
      </c>
      <c r="G5011" s="38" t="n">
        <f aca="false">Sens!$G$4899</f>
        <v>160.438050638011</v>
      </c>
      <c r="H5011" s="38" t="n">
        <f aca="false">Sens!$H$4899</f>
        <v>198.57136494475</v>
      </c>
      <c r="I5011" s="38" t="n">
        <f aca="false">Sens!$I$4899</f>
        <v>204.6464699105</v>
      </c>
      <c r="J5011" s="38" t="n">
        <f aca="false">Sens!$J$4899</f>
        <v>209.8832381105</v>
      </c>
      <c r="K5011" s="38" t="n">
        <f aca="false">Sens!$K$4899</f>
        <v>215.1200063105</v>
      </c>
      <c r="L5011" s="38" t="n">
        <f aca="false">Sens!$L$4899</f>
        <v>251.7773837105</v>
      </c>
      <c r="M5011" s="38" t="n">
        <f aca="false">Sens!$M$4899</f>
        <v>311.87584476575</v>
      </c>
    </row>
    <row r="5012" customFormat="false" ht="17.15" hidden="false" customHeight="false" outlineLevel="0" collapsed="false">
      <c r="A5012" s="5" t="s">
        <v>735</v>
      </c>
      <c r="B5012" s="0" t="s">
        <v>73</v>
      </c>
      <c r="C5012" s="38" t="n">
        <f aca="false">cx_awso*Sens!$C$4927</f>
        <v>21.0469989286053</v>
      </c>
      <c r="D5012" s="38" t="n">
        <f aca="false">cx_awso*Sens!$D$4927</f>
        <v>24.0042459822698</v>
      </c>
      <c r="E5012" s="38" t="n">
        <f aca="false">cx_awso*Sens!$E$4927</f>
        <v>14.261729404886</v>
      </c>
      <c r="F5012" s="38" t="n">
        <f aca="false">cx_awso*Sens!$F$4927</f>
        <v>15.7190020837331</v>
      </c>
      <c r="G5012" s="38" t="n">
        <f aca="false">Sens!$E$5012+Sens!$F$5012</f>
        <v>29.9807314886191</v>
      </c>
      <c r="H5012" s="38" t="n">
        <f aca="false">cx_awso*Sens!$H$4927</f>
        <v>36.1787121536283</v>
      </c>
      <c r="I5012" s="38" t="n">
        <f aca="false">cx_awso*Sens!$I$4927</f>
        <v>42.1296794430021</v>
      </c>
      <c r="J5012" s="38" t="n">
        <f aca="false">cx_awso*Sens!$J$4927</f>
        <v>47.279781889299</v>
      </c>
      <c r="K5012" s="38" t="n">
        <f aca="false">cx_awso*Sens!$K$4927</f>
        <v>51.0621644404429</v>
      </c>
      <c r="L5012" s="38" t="n">
        <f aca="false">cx_awso*Sens!$L$4927</f>
        <v>55.1471375956783</v>
      </c>
      <c r="M5012" s="38" t="n">
        <f aca="false">cx_awso*Sens!$M$4927</f>
        <v>59.5589086033326</v>
      </c>
    </row>
    <row r="5013" customFormat="false" ht="17.15" hidden="false" customHeight="false" outlineLevel="0" collapsed="false">
      <c r="A5013" s="5" t="s">
        <v>736</v>
      </c>
      <c r="B5013" s="0" t="s">
        <v>73</v>
      </c>
      <c r="C5013" s="38" t="n">
        <f aca="false">Q!$D$46-Sens!$C$5011-Sens!$C$5012</f>
        <v>31.3328957636573</v>
      </c>
      <c r="D5013" s="38" t="n">
        <f aca="false">Q!$E$46-Sens!$D$5011-Sens!$D$5012</f>
        <v>34.7471223867276</v>
      </c>
      <c r="E5013" s="38" t="n">
        <f aca="false">Q!$P$46-Sens!$E$5011-Sens!$E$5012</f>
        <v>17.8583499466032</v>
      </c>
      <c r="F5013" s="38" t="n">
        <f aca="false">cx_rt*Sens!$F$4863</f>
        <v>21.0855744229195</v>
      </c>
      <c r="G5013" s="38" t="n">
        <f aca="false">Sens!$E$5013+Sens!$F$5013</f>
        <v>38.9439243695228</v>
      </c>
      <c r="H5013" s="38" t="n">
        <f aca="false">cx_rt*Sens!$H$4863</f>
        <v>43.1200434029767</v>
      </c>
      <c r="I5013" s="38" t="n">
        <f aca="false">cx_rt*Sens!$I$4863</f>
        <v>47.1583152318763</v>
      </c>
      <c r="J5013" s="38" t="n">
        <f aca="false">cx_rt*Sens!$J$4863</f>
        <v>50.9060281137911</v>
      </c>
      <c r="K5013" s="38" t="n">
        <f aca="false">cx_rt*Sens!$K$4863</f>
        <v>54.2035645673053</v>
      </c>
      <c r="L5013" s="38" t="n">
        <f aca="false">cx_rt*Sens!$L$4863</f>
        <v>57.7318979121519</v>
      </c>
      <c r="M5013" s="38" t="n">
        <f aca="false">cx_rt*Sens!$M$4863</f>
        <v>61.5084196557756</v>
      </c>
    </row>
    <row r="5014" customFormat="false" ht="15" hidden="false" customHeight="false" outlineLevel="0" collapsed="false">
      <c r="A5014" s="3" t="s">
        <v>737</v>
      </c>
      <c r="B5014" s="8" t="s">
        <v>73</v>
      </c>
      <c r="C5014" s="38" t="n">
        <f aca="false">Q!$D$46</f>
        <v>77.658</v>
      </c>
      <c r="D5014" s="38" t="n">
        <f aca="false">Q!$E$46</f>
        <v>128.32</v>
      </c>
      <c r="E5014" s="38" t="n">
        <f aca="false">Q!$P$46</f>
        <v>96.31</v>
      </c>
      <c r="F5014" s="38" t="n">
        <f aca="false">Sens!$F$5011+Sens!$F$5012+Sens!$F$5013</f>
        <v>133.052706496153</v>
      </c>
      <c r="G5014" s="38" t="n">
        <f aca="false">Sens!$E$5014+Sens!$F$5014</f>
        <v>229.362706496153</v>
      </c>
      <c r="H5014" s="38" t="n">
        <f aca="false">Sens!$H$5011+Sens!$H$5012+Sens!$H$5013</f>
        <v>277.870120501355</v>
      </c>
      <c r="I5014" s="38" t="n">
        <f aca="false">Sens!$I$5011+Sens!$I$5012+Sens!$I$5013</f>
        <v>293.934464585378</v>
      </c>
      <c r="J5014" s="38" t="n">
        <f aca="false">Sens!$J$5011+Sens!$J$5012+Sens!$J$5013</f>
        <v>308.06904811359</v>
      </c>
      <c r="K5014" s="38" t="n">
        <f aca="false">Sens!$K$5011+Sens!$K$5012+Sens!$K$5013</f>
        <v>320.385735318248</v>
      </c>
      <c r="L5014" s="38" t="n">
        <f aca="false">Sens!$L$5011+Sens!$L$5012+Sens!$L$5013</f>
        <v>364.65641921833</v>
      </c>
      <c r="M5014" s="38" t="n">
        <f aca="false">Sens!$M$5011+Sens!$M$5012+Sens!$M$5013</f>
        <v>432.943173024858</v>
      </c>
    </row>
    <row r="5015" customFormat="false" ht="17.15" hidden="false" customHeight="false" outlineLevel="0" collapsed="false">
      <c r="A5015" s="5" t="s">
        <v>523</v>
      </c>
      <c r="B5015" s="0" t="s">
        <v>73</v>
      </c>
      <c r="C5015" s="38" t="n">
        <f aca="false">Q!$D$50</f>
        <v>2.043</v>
      </c>
      <c r="D5015" s="38" t="n">
        <f aca="false">Q!$E$50</f>
        <v>1.557</v>
      </c>
      <c r="E5015" s="38" t="n">
        <f aca="false">lease_pr/2</f>
        <v>0.8</v>
      </c>
      <c r="F5015" s="38" t="n">
        <f aca="false">lease_pr/2</f>
        <v>0.8</v>
      </c>
      <c r="G5015" s="38" t="n">
        <f aca="false">Sens!$E$5015+Sens!$F$5015</f>
        <v>1.6</v>
      </c>
      <c r="H5015" s="38" t="n">
        <f aca="false">lease_pr</f>
        <v>1.6</v>
      </c>
      <c r="I5015" s="38" t="n">
        <f aca="false">lease_pr</f>
        <v>1.6</v>
      </c>
      <c r="J5015" s="38" t="n">
        <f aca="false">lease_pr</f>
        <v>1.6</v>
      </c>
      <c r="K5015" s="38" t="n">
        <f aca="false">lease_pr</f>
        <v>1.6</v>
      </c>
      <c r="L5015" s="38" t="n">
        <f aca="false">lease_pr</f>
        <v>1.6</v>
      </c>
      <c r="M5015" s="38" t="n">
        <f aca="false">lease_pr</f>
        <v>1.6</v>
      </c>
      <c r="P5015" s="8" t="s">
        <v>738</v>
      </c>
    </row>
    <row r="5016" customFormat="false" ht="15" hidden="false" customHeight="false" outlineLevel="0" collapsed="false">
      <c r="A5016" s="46" t="s">
        <v>739</v>
      </c>
      <c r="B5016" s="13" t="s">
        <v>73</v>
      </c>
      <c r="C5016" s="47" t="n">
        <f aca="false">Sens!$C$5010-Sens!$C$5014-Sens!$C$5015</f>
        <v>36.176</v>
      </c>
      <c r="D5016" s="47" t="n">
        <f aca="false">Sens!$D$5010-Sens!$D$5014-Sens!$D$5015</f>
        <v>9.63700000000002</v>
      </c>
      <c r="E5016" s="47" t="n">
        <f aca="false">Sens!$E$5010-Sens!$E$5014-Sens!$E$5015</f>
        <v>-25.691</v>
      </c>
      <c r="F5016" s="47" t="n">
        <f aca="false">Sens!$F$5010-Sens!$F$5014-Sens!$F$5015</f>
        <v>-35.7358850873731</v>
      </c>
      <c r="G5016" s="47" t="n">
        <f aca="false">Sens!$G$5010-Sens!$G$5014-Sens!$G$5015</f>
        <v>-61.4268850873731</v>
      </c>
      <c r="H5016" s="47" t="n">
        <f aca="false">Sens!$H$5010-Sens!$H$5014-Sens!$H$5015</f>
        <v>-46.6987055925312</v>
      </c>
      <c r="I5016" s="47" t="n">
        <f aca="false">Sens!$I$5010-Sens!$I$5014-Sens!$I$5015</f>
        <v>-3.97574477606648</v>
      </c>
      <c r="J5016" s="47" t="n">
        <f aca="false">Sens!$J$5010-Sens!$J$5014-Sens!$J$5015</f>
        <v>39.7446339029391</v>
      </c>
      <c r="K5016" s="47" t="n">
        <f aca="false">Sens!$K$5010-Sens!$K$5014-Sens!$K$5015</f>
        <v>82.1731058789073</v>
      </c>
      <c r="L5016" s="47" t="n">
        <f aca="false">Sens!$L$5010-Sens!$L$5014-Sens!$L$5015</f>
        <v>94.1245500219009</v>
      </c>
      <c r="M5016" s="47" t="n">
        <f aca="false">Sens!$M$5010-Sens!$M$5014-Sens!$M$5015</f>
        <v>84.3831817256571</v>
      </c>
      <c r="N5016" s="13"/>
      <c r="O5016" s="13"/>
    </row>
    <row r="5017" customFormat="false" ht="17.15" hidden="false" customHeight="false" outlineLevel="0" collapsed="false">
      <c r="A5017" s="5" t="s">
        <v>740</v>
      </c>
      <c r="B5017" s="0" t="s">
        <v>73</v>
      </c>
      <c r="C5017" s="38" t="n">
        <f aca="false">dps*Sens!$C$4998</f>
        <v>0</v>
      </c>
      <c r="D5017" s="38" t="n">
        <f aca="false">dps*Sens!$D$4998</f>
        <v>0</v>
      </c>
      <c r="E5017" s="38" t="n">
        <f aca="false">dps*Sens!$E$4998</f>
        <v>0</v>
      </c>
      <c r="F5017" s="38" t="n">
        <f aca="false">0</f>
        <v>0</v>
      </c>
      <c r="G5017" s="38" t="n">
        <f aca="false">dps*Sens!$G$4998</f>
        <v>0</v>
      </c>
      <c r="H5017" s="38" t="n">
        <f aca="false">dps*Sens!$H$4998</f>
        <v>0</v>
      </c>
      <c r="I5017" s="38" t="n">
        <f aca="false">dps*Sens!$I$4998</f>
        <v>0</v>
      </c>
      <c r="J5017" s="38" t="n">
        <f aca="false">dps*Sens!$J$4998</f>
        <v>0</v>
      </c>
      <c r="K5017" s="38" t="n">
        <f aca="false">dps*Sens!$K$4998</f>
        <v>0</v>
      </c>
      <c r="L5017" s="38" t="n">
        <f aca="false">dps*Sens!$L$4998</f>
        <v>0</v>
      </c>
      <c r="M5017" s="38" t="n">
        <f aca="false">dps*Sens!$M$4998</f>
        <v>0</v>
      </c>
      <c r="P5017" s="8" t="s">
        <v>741</v>
      </c>
    </row>
    <row r="5018" customFormat="false" ht="17.15" hidden="false" customHeight="false" outlineLevel="0" collapsed="false">
      <c r="A5018" s="5" t="s">
        <v>742</v>
      </c>
      <c r="B5018" s="0" t="s">
        <v>73</v>
      </c>
      <c r="C5018" s="38" t="n">
        <f aca="false">0</f>
        <v>0</v>
      </c>
      <c r="D5018" s="38" t="n">
        <f aca="false">0</f>
        <v>0</v>
      </c>
      <c r="E5018" s="38" t="n">
        <f aca="false">0</f>
        <v>0</v>
      </c>
      <c r="F5018" s="38" t="n">
        <f aca="false">0</f>
        <v>0</v>
      </c>
      <c r="G5018" s="38" t="n">
        <f aca="false">0</f>
        <v>0</v>
      </c>
      <c r="H5018" s="38" t="n">
        <f aca="false">0</f>
        <v>0</v>
      </c>
      <c r="I5018" s="38" t="n">
        <f aca="false">0</f>
        <v>0</v>
      </c>
      <c r="J5018" s="38" t="n">
        <f aca="false">0</f>
        <v>0</v>
      </c>
      <c r="K5018" s="38" t="n">
        <f aca="false">0</f>
        <v>0</v>
      </c>
      <c r="L5018" s="38" t="n">
        <f aca="false">0</f>
        <v>0</v>
      </c>
      <c r="M5018" s="38" t="n">
        <f aca="false">0</f>
        <v>0</v>
      </c>
      <c r="P5018" s="8" t="s">
        <v>743</v>
      </c>
    </row>
    <row r="5019" customFormat="false" ht="15" hidden="false" customHeight="false" outlineLevel="0" collapsed="false">
      <c r="A5019" s="3" t="s">
        <v>744</v>
      </c>
      <c r="B5019" s="8" t="s">
        <v>73</v>
      </c>
      <c r="C5019" s="38" t="n">
        <f aca="false">Sens!$C$5016-Sens!$C$5017</f>
        <v>36.176</v>
      </c>
      <c r="D5019" s="38" t="n">
        <f aca="false">Sens!$D$5016-Sens!$D$5017</f>
        <v>9.63700000000002</v>
      </c>
      <c r="E5019" s="38" t="n">
        <f aca="false">Sens!$E$5016-Sens!$E$5017</f>
        <v>-25.691</v>
      </c>
      <c r="F5019" s="38" t="n">
        <f aca="false">Sens!$F$5016-Sens!$F$5017</f>
        <v>-35.7358850873731</v>
      </c>
      <c r="G5019" s="38" t="n">
        <f aca="false">Sens!$G$5016-Sens!$G$5017</f>
        <v>-61.4268850873731</v>
      </c>
      <c r="H5019" s="38" t="n">
        <f aca="false">Sens!$H$5016-Sens!$H$5017</f>
        <v>-46.6987055925312</v>
      </c>
      <c r="I5019" s="38" t="n">
        <f aca="false">Sens!$I$5016-Sens!$I$5017</f>
        <v>-3.97574477606648</v>
      </c>
      <c r="J5019" s="38" t="n">
        <f aca="false">Sens!$J$5016-Sens!$J$5017</f>
        <v>39.7446339029391</v>
      </c>
      <c r="K5019" s="38" t="n">
        <f aca="false">Sens!$K$5016-Sens!$K$5017</f>
        <v>82.1731058789073</v>
      </c>
      <c r="L5019" s="38" t="n">
        <f aca="false">Sens!$L$5016-Sens!$L$5017</f>
        <v>94.1245500219009</v>
      </c>
      <c r="M5019" s="38" t="n">
        <f aca="false">Sens!$M$5016-Sens!$M$5017</f>
        <v>84.3831817256571</v>
      </c>
    </row>
    <row r="5020" customFormat="false" ht="17.15" hidden="false" customHeight="false" outlineLevel="0" collapsed="false">
      <c r="A5020" s="5" t="s">
        <v>745</v>
      </c>
      <c r="B5020" s="0" t="s">
        <v>73</v>
      </c>
      <c r="E5020" s="38" t="n">
        <f aca="false">Q!$P$53</f>
        <v>39.767</v>
      </c>
      <c r="F5020" s="38" t="n">
        <f aca="false">inv_2h26</f>
        <v>21.3</v>
      </c>
      <c r="G5020" s="38" t="n">
        <f aca="false">Sens!$E$5020+Sens!$F$5020</f>
        <v>61.067</v>
      </c>
      <c r="H5020" s="41" t="n">
        <v>0</v>
      </c>
      <c r="I5020" s="41" t="n">
        <v>0</v>
      </c>
      <c r="J5020" s="41" t="n">
        <v>0</v>
      </c>
      <c r="K5020" s="41" t="n">
        <v>0</v>
      </c>
      <c r="L5020" s="41" t="n">
        <v>0</v>
      </c>
      <c r="M5020" s="41" t="n">
        <v>0</v>
      </c>
    </row>
    <row r="5021" customFormat="false" ht="17.15" hidden="false" customHeight="false" outlineLevel="0" collapsed="false">
      <c r="A5021" s="5" t="s">
        <v>746</v>
      </c>
      <c r="B5021" s="0" t="s">
        <v>73</v>
      </c>
      <c r="F5021" s="38" t="n">
        <f aca="false">iss_2h26</f>
        <v>29.25</v>
      </c>
      <c r="G5021" s="38" t="n">
        <f aca="false">Sens!$F$5021</f>
        <v>29.25</v>
      </c>
      <c r="H5021" s="41" t="n">
        <v>0</v>
      </c>
      <c r="I5021" s="41" t="n">
        <v>0</v>
      </c>
      <c r="J5021" s="41" t="n">
        <v>0</v>
      </c>
      <c r="K5021" s="41" t="n">
        <v>0</v>
      </c>
      <c r="L5021" s="41" t="n">
        <v>0</v>
      </c>
      <c r="M5021" s="41" t="n">
        <v>0</v>
      </c>
    </row>
    <row r="5022" customFormat="false" ht="17.15" hidden="false" customHeight="false" outlineLevel="0" collapsed="false">
      <c r="A5022" s="5" t="s">
        <v>747</v>
      </c>
      <c r="B5022" s="0" t="s">
        <v>73</v>
      </c>
      <c r="F5022" s="38" t="n">
        <f aca="false">cash_q2</f>
        <v>122.988</v>
      </c>
      <c r="G5022" s="38" t="n">
        <f aca="false">cash_q2</f>
        <v>122.988</v>
      </c>
      <c r="H5022" s="38" t="n">
        <f aca="false">Sens!$G$5025</f>
        <v>95.2021149126269</v>
      </c>
      <c r="I5022" s="38" t="n">
        <f aca="false">Sens!$H$5025</f>
        <v>50</v>
      </c>
      <c r="J5022" s="38" t="n">
        <f aca="false">Sens!$I$5025</f>
        <v>50</v>
      </c>
      <c r="K5022" s="38" t="n">
        <f aca="false">Sens!$J$5025</f>
        <v>89.7446339029391</v>
      </c>
      <c r="L5022" s="38" t="n">
        <f aca="false">Sens!$K$5025</f>
        <v>171.917739781846</v>
      </c>
      <c r="M5022" s="38" t="n">
        <f aca="false">Sens!$L$5025</f>
        <v>266.042289803747</v>
      </c>
    </row>
    <row r="5023" customFormat="false" ht="15" hidden="false" customHeight="false" outlineLevel="0" collapsed="false">
      <c r="A5023" s="5" t="s">
        <v>748</v>
      </c>
      <c r="B5023" s="0" t="s">
        <v>73</v>
      </c>
      <c r="F5023" s="38" t="n">
        <f aca="false">Sens!$F$5022+Sens!$F$5019-Sens!$F$5018-Sens!$F$5020+Sens!$F$5021</f>
        <v>95.2021149126269</v>
      </c>
      <c r="H5023" s="38" t="n">
        <f aca="false">Sens!$H$5022+Sens!$H$5019-Sens!$H$5018-Sens!$H$5020+Sens!$H$5021</f>
        <v>48.5034093200957</v>
      </c>
      <c r="I5023" s="38" t="n">
        <f aca="false">Sens!$I$5022+Sens!$I$5019-Sens!$I$5018-Sens!$I$5020+Sens!$I$5021</f>
        <v>46.0242552239335</v>
      </c>
      <c r="J5023" s="38" t="n">
        <f aca="false">Sens!$J$5022+Sens!$J$5019-Sens!$J$5018-Sens!$J$5020+Sens!$J$5021</f>
        <v>89.7446339029391</v>
      </c>
      <c r="K5023" s="38" t="n">
        <f aca="false">Sens!$K$5022+Sens!$K$5019-Sens!$K$5018-Sens!$K$5020+Sens!$K$5021</f>
        <v>171.917739781846</v>
      </c>
      <c r="L5023" s="38" t="n">
        <f aca="false">Sens!$L$5022+Sens!$L$5019-Sens!$L$5018-Sens!$L$5020+Sens!$L$5021</f>
        <v>266.042289803747</v>
      </c>
      <c r="M5023" s="38" t="n">
        <f aca="false">Sens!$M$5022+Sens!$M$5019-Sens!$M$5018-Sens!$M$5020+Sens!$M$5021</f>
        <v>350.425471529404</v>
      </c>
    </row>
    <row r="5024" customFormat="false" ht="17.15" hidden="false" customHeight="false" outlineLevel="0" collapsed="false">
      <c r="A5024" s="5" t="s">
        <v>749</v>
      </c>
      <c r="B5024" s="0" t="s">
        <v>73</v>
      </c>
      <c r="F5024" s="38" t="n">
        <f aca="false">MAX(0,min_cash-Sens!$F$5023)</f>
        <v>0</v>
      </c>
      <c r="G5024" s="38" t="n">
        <f aca="false">Sens!$F$5024</f>
        <v>0</v>
      </c>
      <c r="H5024" s="38" t="n">
        <f aca="false">MAX(0,min_cash-Sens!$H$5023)</f>
        <v>1.49659067990431</v>
      </c>
      <c r="I5024" s="38" t="n">
        <f aca="false">MAX(0,min_cash-Sens!$I$5023)</f>
        <v>3.97574477606648</v>
      </c>
      <c r="J5024" s="38" t="n">
        <f aca="false">MAX(0,min_cash-Sens!$J$5023)</f>
        <v>0</v>
      </c>
      <c r="K5024" s="38" t="n">
        <f aca="false">MAX(0,min_cash-Sens!$K$5023)</f>
        <v>0</v>
      </c>
      <c r="L5024" s="38" t="n">
        <f aca="false">MAX(0,min_cash-Sens!$L$5023)</f>
        <v>0</v>
      </c>
      <c r="M5024" s="38" t="n">
        <f aca="false">MAX(0,min_cash-Sens!$M$5023)</f>
        <v>0</v>
      </c>
      <c r="P5024" s="5" t="s">
        <v>750</v>
      </c>
    </row>
    <row r="5025" customFormat="false" ht="15" hidden="false" customHeight="false" outlineLevel="0" collapsed="false">
      <c r="A5025" s="5" t="s">
        <v>751</v>
      </c>
      <c r="B5025" s="0" t="s">
        <v>73</v>
      </c>
      <c r="D5025" s="38" t="n">
        <f aca="false">Q!$E$61</f>
        <v>123.029</v>
      </c>
      <c r="E5025" s="38" t="n">
        <f aca="false">Q!$M$61</f>
        <v>122.988</v>
      </c>
      <c r="F5025" s="38" t="n">
        <f aca="false">Sens!$F$5023+Sens!$F$5024</f>
        <v>95.2021149126269</v>
      </c>
      <c r="G5025" s="38" t="n">
        <f aca="false">Sens!$F$5025</f>
        <v>95.2021149126269</v>
      </c>
      <c r="H5025" s="38" t="n">
        <f aca="false">Sens!$H$5023+Sens!$H$5024</f>
        <v>50</v>
      </c>
      <c r="I5025" s="38" t="n">
        <f aca="false">Sens!$I$5023+Sens!$I$5024</f>
        <v>50</v>
      </c>
      <c r="J5025" s="38" t="n">
        <f aca="false">Sens!$J$5023+Sens!$J$5024</f>
        <v>89.7446339029391</v>
      </c>
      <c r="K5025" s="38" t="n">
        <f aca="false">Sens!$K$5023+Sens!$K$5024</f>
        <v>171.917739781846</v>
      </c>
      <c r="L5025" s="38" t="n">
        <f aca="false">Sens!$L$5023+Sens!$L$5024</f>
        <v>266.042289803747</v>
      </c>
      <c r="M5025" s="38" t="n">
        <f aca="false">Sens!$M$5023+Sens!$M$5024</f>
        <v>350.425471529404</v>
      </c>
    </row>
    <row r="5026" customFormat="false" ht="15" hidden="false" customHeight="false" outlineLevel="0" collapsed="false">
      <c r="A5026" s="5" t="s">
        <v>752</v>
      </c>
      <c r="B5026" s="0" t="s">
        <v>73</v>
      </c>
      <c r="D5026" s="38" t="n">
        <f aca="false">Q!$E$62</f>
        <v>68.836</v>
      </c>
      <c r="E5026" s="38" t="n">
        <f aca="false">Q!$M$62</f>
        <v>132.995</v>
      </c>
      <c r="F5026" s="38" t="n">
        <f aca="false">debt_q2+Sens!$F$5021+Sens!$F$5024</f>
        <v>162.245</v>
      </c>
      <c r="G5026" s="38" t="n">
        <f aca="false">Sens!$F$5026</f>
        <v>162.245</v>
      </c>
      <c r="H5026" s="38" t="n">
        <f aca="false">Sens!$G$5026+Sens!$H$5024</f>
        <v>163.741590679904</v>
      </c>
      <c r="I5026" s="38" t="n">
        <f aca="false">Sens!$H$5026+Sens!$I$5024</f>
        <v>167.717335455971</v>
      </c>
      <c r="J5026" s="38" t="n">
        <f aca="false">Sens!$I$5026+Sens!$J$5024</f>
        <v>167.717335455971</v>
      </c>
      <c r="K5026" s="38" t="n">
        <f aca="false">Sens!$J$5026+Sens!$K$5024</f>
        <v>167.717335455971</v>
      </c>
      <c r="L5026" s="38" t="n">
        <f aca="false">Sens!$K$5026+Sens!$L$5024</f>
        <v>167.717335455971</v>
      </c>
      <c r="M5026" s="38" t="n">
        <f aca="false">Sens!$L$5026+Sens!$M$5024</f>
        <v>167.717335455971</v>
      </c>
    </row>
    <row r="5027" customFormat="false" ht="15" hidden="false" customHeight="false" outlineLevel="0" collapsed="false">
      <c r="A5027" s="5" t="s">
        <v>753</v>
      </c>
      <c r="B5027" s="0" t="s">
        <v>73</v>
      </c>
      <c r="D5027" s="38" t="n">
        <f aca="false">Sens!$D$5026-Sens!$D$5025</f>
        <v>-54.193</v>
      </c>
      <c r="E5027" s="38" t="n">
        <f aca="false">Sens!$E$5026-Sens!$E$5025</f>
        <v>10.007</v>
      </c>
      <c r="F5027" s="38" t="n">
        <f aca="false">Sens!$F$5026-Sens!$F$5025</f>
        <v>67.0428850873731</v>
      </c>
      <c r="G5027" s="38" t="n">
        <f aca="false">Sens!$G$5026-Sens!$G$5025</f>
        <v>67.0428850873731</v>
      </c>
      <c r="H5027" s="38" t="n">
        <f aca="false">Sens!$H$5026-Sens!$H$5025</f>
        <v>113.741590679904</v>
      </c>
      <c r="I5027" s="38" t="n">
        <f aca="false">Sens!$I$5026-Sens!$I$5025</f>
        <v>117.717335455971</v>
      </c>
      <c r="J5027" s="38" t="n">
        <f aca="false">Sens!$J$5026-Sens!$J$5025</f>
        <v>77.9727015530317</v>
      </c>
      <c r="K5027" s="38" t="n">
        <f aca="false">Sens!$K$5026-Sens!$K$5025</f>
        <v>-4.20040432587558</v>
      </c>
      <c r="L5027" s="38" t="n">
        <f aca="false">Sens!$L$5026-Sens!$L$5025</f>
        <v>-98.3249543477765</v>
      </c>
      <c r="M5027" s="38" t="n">
        <f aca="false">Sens!$M$5026-Sens!$M$5025</f>
        <v>-182.708136073434</v>
      </c>
    </row>
    <row r="5028" customFormat="false" ht="17.15" hidden="false" customHeight="false" outlineLevel="0" collapsed="false">
      <c r="A5028" s="5" t="s">
        <v>754</v>
      </c>
      <c r="B5028" s="0" t="s">
        <v>73</v>
      </c>
      <c r="F5028" s="38" t="n">
        <f aca="false">debt_q2*kd_book*0.5+iss_2h26*kd_new*0.25</f>
        <v>3.24888964316061</v>
      </c>
      <c r="H5028" s="38" t="n">
        <f aca="false">debt_q2*kd_book+(Sens!$G$5026-debt_q2)*kd_new</f>
        <v>7.42354178632123</v>
      </c>
      <c r="I5028" s="38" t="n">
        <f aca="false">debt_q2*kd_book+(Sens!$H$5026-debt_q2)*kd_new</f>
        <v>7.51827597635917</v>
      </c>
      <c r="J5028" s="38" t="n">
        <f aca="false">debt_q2*kd_book+(Sens!$I$5026-debt_q2)*kd_new</f>
        <v>7.76994062068418</v>
      </c>
      <c r="K5028" s="38" t="n">
        <f aca="false">debt_q2*kd_book+(Sens!$J$5026-debt_q2)*kd_new</f>
        <v>7.76994062068418</v>
      </c>
      <c r="L5028" s="38" t="n">
        <f aca="false">debt_q2*kd_book+(Sens!$K$5026-debt_q2)*kd_new</f>
        <v>7.76994062068418</v>
      </c>
      <c r="M5028" s="38" t="n">
        <f aca="false">debt_q2*kd_book+(Sens!$L$5026-debt_q2)*kd_new</f>
        <v>7.76994062068418</v>
      </c>
    </row>
    <row r="5029" customFormat="false" ht="17.15" hidden="false" customHeight="false" outlineLevel="0" collapsed="false">
      <c r="A5029" s="5" t="s">
        <v>755</v>
      </c>
      <c r="B5029" s="0" t="s">
        <v>73</v>
      </c>
      <c r="F5029" s="38" t="n">
        <f aca="false">cash_q2*y_cash*0.5</f>
        <v>2.59</v>
      </c>
      <c r="H5029" s="38" t="n">
        <f aca="false">Sens!$G$5025*y_cash</f>
        <v>4.00971603121774</v>
      </c>
      <c r="I5029" s="38" t="n">
        <f aca="false">Sens!$H$5025*y_cash</f>
        <v>2.10589651022864</v>
      </c>
      <c r="J5029" s="38" t="n">
        <f aca="false">Sens!$I$5025*y_cash</f>
        <v>2.10589651022864</v>
      </c>
      <c r="K5029" s="38" t="n">
        <f aca="false">Sens!$J$5025*y_cash</f>
        <v>3.77985822695893</v>
      </c>
      <c r="L5029" s="38" t="n">
        <f aca="false">Sens!$K$5025*y_cash</f>
        <v>7.24081936505971</v>
      </c>
      <c r="M5029" s="38" t="n">
        <f aca="false">Sens!$L$5025*y_cash</f>
        <v>11.205150593419</v>
      </c>
    </row>
    <row r="5030" customFormat="false" ht="17.15" hidden="false" customHeight="false" outlineLevel="0" collapsed="false">
      <c r="A5030" s="46" t="s">
        <v>756</v>
      </c>
      <c r="B5030" s="13" t="s">
        <v>73</v>
      </c>
      <c r="C5030" s="13"/>
      <c r="D5030" s="13"/>
      <c r="E5030" s="13"/>
      <c r="F5030" s="13"/>
      <c r="G5030" s="47" t="n">
        <f aca="false">SUM(Sens!$G$5019:$K$5019)</f>
        <v>9.81640432587554</v>
      </c>
      <c r="H5030" s="13"/>
      <c r="I5030" s="13"/>
      <c r="J5030" s="13"/>
      <c r="K5030" s="13"/>
      <c r="L5030" s="13"/>
      <c r="M5030" s="13"/>
      <c r="N5030" s="13"/>
      <c r="O5030" s="13"/>
    </row>
    <row r="5031" customFormat="false" ht="17.15" hidden="false" customHeight="false" outlineLevel="0" collapsed="false">
      <c r="A5031" s="0" t="s">
        <v>723</v>
      </c>
      <c r="B5031" s="0" t="s">
        <v>73</v>
      </c>
      <c r="G5031" s="38" t="n">
        <f aca="false">SUM(Sens!$G$5024:$K$5024)</f>
        <v>5.47233545597079</v>
      </c>
    </row>
    <row r="5034" customFormat="false" ht="19.4" hidden="false" customHeight="false" outlineLevel="0" collapsed="false">
      <c r="A5034" s="31" t="s">
        <v>1152</v>
      </c>
    </row>
    <row r="5035" customFormat="false" ht="17.15" hidden="false" customHeight="false" outlineLevel="0" collapsed="false">
      <c r="A5035" s="6" t="s">
        <v>16</v>
      </c>
      <c r="B5035" s="6" t="s">
        <v>17</v>
      </c>
      <c r="C5035" s="20" t="s">
        <v>457</v>
      </c>
      <c r="D5035" s="20" t="s">
        <v>458</v>
      </c>
      <c r="E5035" s="20" t="s">
        <v>540</v>
      </c>
      <c r="F5035" s="20" t="s">
        <v>541</v>
      </c>
      <c r="G5035" s="20" t="s">
        <v>542</v>
      </c>
      <c r="H5035" s="20" t="s">
        <v>543</v>
      </c>
      <c r="I5035" s="20" t="s">
        <v>544</v>
      </c>
      <c r="J5035" s="20" t="s">
        <v>545</v>
      </c>
      <c r="K5035" s="20" t="s">
        <v>546</v>
      </c>
      <c r="L5035" s="20" t="s">
        <v>547</v>
      </c>
      <c r="M5035" s="20" t="s">
        <v>548</v>
      </c>
      <c r="N5035" s="20" t="s">
        <v>549</v>
      </c>
      <c r="O5035" s="20" t="s">
        <v>550</v>
      </c>
      <c r="P5035" s="6" t="s">
        <v>23</v>
      </c>
      <c r="R5035" s="20" t="n">
        <v>2023</v>
      </c>
      <c r="S5035" s="20" t="n">
        <v>2024</v>
      </c>
      <c r="T5035" s="20" t="n">
        <v>2025</v>
      </c>
      <c r="U5035" s="20" t="n">
        <v>2026</v>
      </c>
      <c r="V5035" s="20" t="n">
        <v>2027</v>
      </c>
      <c r="W5035" s="20" t="n">
        <v>2028</v>
      </c>
      <c r="X5035" s="20" t="n">
        <v>2029</v>
      </c>
      <c r="Y5035" s="20" t="n">
        <v>2030</v>
      </c>
      <c r="Z5035" s="20" t="n">
        <v>2031</v>
      </c>
      <c r="AA5035" s="20" t="n">
        <v>2032</v>
      </c>
    </row>
    <row r="5036" customFormat="false" ht="17.15" hidden="false" customHeight="false" outlineLevel="0" collapsed="false">
      <c r="A5036" s="1" t="s">
        <v>851</v>
      </c>
    </row>
    <row r="5037" customFormat="false" ht="17.15" hidden="false" customHeight="false" outlineLevel="0" collapsed="false">
      <c r="A5037" s="0" t="s">
        <v>852</v>
      </c>
      <c r="B5037" s="0" t="s">
        <v>73</v>
      </c>
      <c r="H5037" s="38" t="n">
        <f aca="false">Sens!$H$4973*(1-tax)</f>
        <v>112.093921330558</v>
      </c>
      <c r="I5037" s="38" t="n">
        <f aca="false">Sens!$I$4973*(1-tax)</f>
        <v>132.779045500917</v>
      </c>
      <c r="J5037" s="38" t="n">
        <f aca="false">Sens!$J$4973*(1-tax)</f>
        <v>151.181555485193</v>
      </c>
      <c r="K5037" s="38" t="n">
        <f aca="false">Sens!$K$4973*(1-tax)</f>
        <v>166.036468953087</v>
      </c>
      <c r="L5037" s="38" t="n">
        <f aca="false">Sens!$L$4973*(1-tax)</f>
        <v>182.348678369869</v>
      </c>
      <c r="M5037" s="38" t="n">
        <f aca="false">Sens!$M$4973*(1-tax)</f>
        <v>199.243892383632</v>
      </c>
    </row>
    <row r="5038" customFormat="false" ht="15" hidden="false" customHeight="false" outlineLevel="0" collapsed="false">
      <c r="A5038" s="5" t="s">
        <v>853</v>
      </c>
      <c r="B5038" s="0" t="s">
        <v>73</v>
      </c>
      <c r="H5038" s="38" t="n">
        <f aca="false">Sens!$H$4985</f>
        <v>87.6845218193838</v>
      </c>
      <c r="I5038" s="38" t="n">
        <f aca="false">Sens!$I$4985</f>
        <v>122.294769708638</v>
      </c>
      <c r="J5038" s="38" t="n">
        <f aca="false">Sens!$J$4985</f>
        <v>157.133962573221</v>
      </c>
      <c r="K5038" s="38" t="n">
        <f aca="false">Sens!$K$4985</f>
        <v>191.350633353599</v>
      </c>
      <c r="L5038" s="38" t="n">
        <f aca="false">Sens!$L$4985</f>
        <v>223.909238335354</v>
      </c>
      <c r="M5038" s="38" t="n">
        <f aca="false">Sens!$M$4985</f>
        <v>257.576319867276</v>
      </c>
    </row>
    <row r="5039" customFormat="false" ht="15" hidden="false" customHeight="false" outlineLevel="0" collapsed="false">
      <c r="A5039" s="5" t="s">
        <v>854</v>
      </c>
      <c r="B5039" s="0" t="s">
        <v>73</v>
      </c>
      <c r="H5039" s="38" t="n">
        <f aca="false">Sens!$H$5014</f>
        <v>277.870120501355</v>
      </c>
      <c r="I5039" s="38" t="n">
        <f aca="false">Sens!$I$5014</f>
        <v>293.934464585378</v>
      </c>
      <c r="J5039" s="38" t="n">
        <f aca="false">Sens!$J$5014</f>
        <v>308.06904811359</v>
      </c>
      <c r="K5039" s="38" t="n">
        <f aca="false">Sens!$K$5014</f>
        <v>320.385735318248</v>
      </c>
      <c r="L5039" s="38" t="n">
        <f aca="false">Sens!$L$5014</f>
        <v>364.65641921833</v>
      </c>
      <c r="M5039" s="38" t="n">
        <f aca="false">Sens!$M$5014</f>
        <v>432.943173024858</v>
      </c>
    </row>
    <row r="5040" customFormat="false" ht="15" hidden="false" customHeight="false" outlineLevel="0" collapsed="false">
      <c r="A5040" s="5" t="s">
        <v>855</v>
      </c>
      <c r="B5040" s="0" t="s">
        <v>73</v>
      </c>
      <c r="H5040" s="38" t="n">
        <f aca="false">Sens!$H$5015</f>
        <v>1.6</v>
      </c>
      <c r="I5040" s="38" t="n">
        <f aca="false">Sens!$I$5015</f>
        <v>1.6</v>
      </c>
      <c r="J5040" s="38" t="n">
        <f aca="false">Sens!$J$5015</f>
        <v>1.6</v>
      </c>
      <c r="K5040" s="38" t="n">
        <f aca="false">Sens!$K$5015</f>
        <v>1.6</v>
      </c>
      <c r="L5040" s="38" t="n">
        <f aca="false">Sens!$L$5015</f>
        <v>1.6</v>
      </c>
      <c r="M5040" s="38" t="n">
        <f aca="false">Sens!$M$5015</f>
        <v>1.6</v>
      </c>
    </row>
    <row r="5041" customFormat="false" ht="15" hidden="false" customHeight="false" outlineLevel="0" collapsed="false">
      <c r="A5041" s="5" t="s">
        <v>856</v>
      </c>
      <c r="B5041" s="0" t="s">
        <v>73</v>
      </c>
      <c r="H5041" s="38" t="n">
        <f aca="false">Sens!$H$5009</f>
        <v>11.6369707537667</v>
      </c>
      <c r="I5041" s="38" t="n">
        <f aca="false">Sens!$I$5009</f>
        <v>13.3082502961262</v>
      </c>
      <c r="J5041" s="38" t="n">
        <f aca="false">Sens!$J$5009</f>
        <v>14.8747965344332</v>
      </c>
      <c r="K5041" s="38" t="n">
        <f aca="false">Sens!$K$5009</f>
        <v>16.2687901804328</v>
      </c>
      <c r="L5041" s="38" t="n">
        <f aca="false">Sens!$L$5009</f>
        <v>17.7280727627002</v>
      </c>
      <c r="M5041" s="38" t="n">
        <f aca="false">Sens!$M$5009</f>
        <v>19.2574690270319</v>
      </c>
    </row>
    <row r="5042" customFormat="false" ht="17.15" hidden="false" customHeight="false" outlineLevel="0" collapsed="false">
      <c r="A5042" s="1" t="s">
        <v>857</v>
      </c>
      <c r="B5042" s="8" t="s">
        <v>73</v>
      </c>
      <c r="H5042" s="38" t="n">
        <f aca="false">Sens!$H$5037+Sens!$H$5038-Sens!$H$5039-Sens!$H$5040+Sens!$H$5041</f>
        <v>-68.0547065976468</v>
      </c>
      <c r="I5042" s="38" t="n">
        <f aca="false">Sens!$I$5037+Sens!$I$5038-Sens!$I$5039-Sens!$I$5040+Sens!$I$5041</f>
        <v>-27.1523990796972</v>
      </c>
      <c r="J5042" s="38" t="n">
        <f aca="false">Sens!$J$5037+Sens!$J$5038-Sens!$J$5039-Sens!$J$5040+Sens!$J$5041</f>
        <v>13.5212664792573</v>
      </c>
      <c r="K5042" s="38" t="n">
        <f aca="false">Sens!$K$5037+Sens!$K$5038-Sens!$K$5039-Sens!$K$5040+Sens!$K$5041</f>
        <v>51.6701571688709</v>
      </c>
      <c r="L5042" s="38" t="n">
        <f aca="false">Sens!$L$5037+Sens!$L$5038-Sens!$L$5039-Sens!$L$5040+Sens!$L$5041</f>
        <v>57.7295702495933</v>
      </c>
      <c r="M5042" s="38" t="n">
        <f aca="false">Sens!$M$5037+Sens!$M$5038-Sens!$M$5039-Sens!$M$5040+Sens!$M$5041</f>
        <v>41.534508253082</v>
      </c>
    </row>
    <row r="5043" customFormat="false" ht="15" hidden="false" customHeight="false" outlineLevel="0" collapsed="false">
      <c r="A5043" s="5" t="s">
        <v>858</v>
      </c>
      <c r="B5043" s="0" t="s">
        <v>57</v>
      </c>
      <c r="H5043" s="51" t="n">
        <f aca="false">1/(1+wacc)^(2027-2026-0.5)</f>
        <v>0.942858177653364</v>
      </c>
      <c r="I5043" s="51" t="n">
        <f aca="false">1/(1+wacc)^(2028-2026-0.5)</f>
        <v>0.838183517758688</v>
      </c>
      <c r="J5043" s="51" t="n">
        <f aca="false">1/(1+wacc)^(2029-2026-0.5)</f>
        <v>0.745129677074952</v>
      </c>
      <c r="K5043" s="51" t="n">
        <f aca="false">1/(1+wacc)^(2030-2026-0.5)</f>
        <v>0.662406530186232</v>
      </c>
      <c r="L5043" s="51" t="n">
        <f aca="false">1/(1+wacc)^(2031-2026-0.5)</f>
        <v>0.588867179409399</v>
      </c>
      <c r="M5043" s="51" t="n">
        <f aca="false">1/(1+wacc)^(2032-2026-0.5)</f>
        <v>0.52349205387225</v>
      </c>
    </row>
    <row r="5044" customFormat="false" ht="15" hidden="false" customHeight="false" outlineLevel="0" collapsed="false">
      <c r="A5044" s="5" t="s">
        <v>859</v>
      </c>
      <c r="B5044" s="0" t="s">
        <v>73</v>
      </c>
      <c r="H5044" s="38" t="n">
        <f aca="false">Sens!$H$5042*Sens!$H$5043</f>
        <v>-64.1659366433916</v>
      </c>
      <c r="I5044" s="38" t="n">
        <f aca="false">Sens!$I$5042*Sens!$I$5043</f>
        <v>-22.7586933762084</v>
      </c>
      <c r="J5044" s="38" t="n">
        <f aca="false">Sens!$J$5042*Sens!$J$5043</f>
        <v>10.0750969253334</v>
      </c>
      <c r="K5044" s="38" t="n">
        <f aca="false">Sens!$K$5042*Sens!$K$5043</f>
        <v>34.226649524409</v>
      </c>
      <c r="L5044" s="38" t="n">
        <f aca="false">Sens!$L$5042*Sens!$L$5043</f>
        <v>33.9950492013948</v>
      </c>
      <c r="M5044" s="38" t="n">
        <f aca="false">Sens!$M$5042*Sens!$M$5043</f>
        <v>21.7429850319798</v>
      </c>
    </row>
    <row r="5045" customFormat="false" ht="15" hidden="false" customHeight="false" outlineLevel="0" collapsed="false">
      <c r="A5045" s="5" t="s">
        <v>860</v>
      </c>
      <c r="B5045" s="0" t="s">
        <v>73</v>
      </c>
      <c r="C5045" s="38" t="n">
        <f aca="false">SUM(Sens!$H$5044:$M$5044)</f>
        <v>13.115150663517</v>
      </c>
    </row>
    <row r="5046" customFormat="false" ht="17.15" hidden="false" customHeight="false" outlineLevel="0" collapsed="false">
      <c r="A5046" s="5" t="s">
        <v>861</v>
      </c>
      <c r="B5046" s="0" t="s">
        <v>73</v>
      </c>
      <c r="C5046" s="38" t="n">
        <f aca="false">Sens!$M$5037*(1+tg_lo)*(1-tg_lo/ronic)/(wacc-tg_lo)</f>
        <v>1627.35666601303</v>
      </c>
    </row>
    <row r="5047" customFormat="false" ht="15" hidden="false" customHeight="false" outlineLevel="0" collapsed="false">
      <c r="A5047" s="5" t="s">
        <v>862</v>
      </c>
      <c r="B5047" s="0" t="s">
        <v>73</v>
      </c>
      <c r="C5047" s="38" t="n">
        <f aca="false">Sens!$C$5046/(1+wacc)^6</f>
        <v>803.228691683966</v>
      </c>
    </row>
    <row r="5048" customFormat="false" ht="17.15" hidden="false" customHeight="false" outlineLevel="0" collapsed="false">
      <c r="A5048" s="5" t="s">
        <v>863</v>
      </c>
      <c r="B5048" s="0" t="s">
        <v>73</v>
      </c>
      <c r="C5048" s="38" t="n">
        <f aca="false">Sens!$C$5045+Sens!$C$5047</f>
        <v>816.343842347484</v>
      </c>
    </row>
    <row r="5049" customFormat="false" ht="17.15" hidden="false" customHeight="false" outlineLevel="0" collapsed="false">
      <c r="A5049" s="5" t="s">
        <v>864</v>
      </c>
      <c r="B5049" s="0" t="s">
        <v>52</v>
      </c>
      <c r="C5049" s="12" t="n">
        <f aca="false">Sens!$C$5047/Sens!$C$5048</f>
        <v>0.983934281140894</v>
      </c>
    </row>
    <row r="5050" customFormat="false" ht="17.15" hidden="false" customHeight="false" outlineLevel="0" collapsed="false">
      <c r="A5050" s="5" t="s">
        <v>865</v>
      </c>
      <c r="B5050" s="0" t="s">
        <v>73</v>
      </c>
      <c r="C5050" s="38" t="n">
        <f aca="false">Sens!$G$5027</f>
        <v>67.0428850873731</v>
      </c>
    </row>
    <row r="5051" customFormat="false" ht="17.15" hidden="false" customHeight="false" outlineLevel="0" collapsed="false">
      <c r="A5051" s="5" t="s">
        <v>866</v>
      </c>
      <c r="B5051" s="0" t="s">
        <v>73</v>
      </c>
      <c r="C5051" s="38" t="n">
        <f aca="false">(ant_val*ant_sh+oai_val*oai_sh)*(1-liq_disc)</f>
        <v>178.944</v>
      </c>
    </row>
    <row r="5052" customFormat="false" ht="15" hidden="false" customHeight="false" outlineLevel="0" collapsed="false">
      <c r="A5052" s="5" t="s">
        <v>867</v>
      </c>
      <c r="B5052" s="0" t="s">
        <v>73</v>
      </c>
      <c r="C5052" s="38" t="n">
        <f aca="false">Sens!$C$5048-Sens!$C$5050+Sens!$C$5051</f>
        <v>928.24495726011</v>
      </c>
    </row>
    <row r="5053" customFormat="false" ht="17.15" hidden="false" customHeight="false" outlineLevel="0" collapsed="false">
      <c r="A5053" s="5" t="s">
        <v>868</v>
      </c>
      <c r="B5053" s="0" t="s">
        <v>27</v>
      </c>
      <c r="C5053" s="30" t="n">
        <f aca="false">Sens!$C$5052/sh_val</f>
        <v>84.1539921039519</v>
      </c>
    </row>
    <row r="5054" customFormat="false" ht="17.15" hidden="false" customHeight="false" outlineLevel="0" collapsed="false">
      <c r="A5054" s="1" t="s">
        <v>869</v>
      </c>
      <c r="B5054" s="8" t="s">
        <v>27</v>
      </c>
      <c r="C5054" s="30" t="n">
        <f aca="false">Sens!$C$5053*(1+ke)^tp_yf</f>
        <v>92.943449112464</v>
      </c>
    </row>
    <row r="5055" customFormat="false" ht="17.15" hidden="false" customHeight="false" outlineLevel="0" collapsed="false">
      <c r="A5055" s="3" t="s">
        <v>870</v>
      </c>
    </row>
    <row r="5056" customFormat="false" ht="17.15" hidden="false" customHeight="false" outlineLevel="0" collapsed="false">
      <c r="A5056" s="5" t="s">
        <v>871</v>
      </c>
      <c r="B5056" s="0" t="s">
        <v>73</v>
      </c>
      <c r="C5056" s="38" t="n">
        <f aca="false">0.25*Sens!$H$4986+0.75*Sens!$I$4986</f>
        <v>57.5541093268329</v>
      </c>
    </row>
    <row r="5057" customFormat="false" ht="15" hidden="false" customHeight="false" outlineLevel="0" collapsed="false">
      <c r="A5057" s="5" t="s">
        <v>872</v>
      </c>
      <c r="B5057" s="0" t="s">
        <v>57</v>
      </c>
      <c r="C5057" s="30" t="n">
        <f aca="false">m_ads*m_x</f>
        <v>9.11</v>
      </c>
    </row>
    <row r="5058" customFormat="false" ht="17.15" hidden="false" customHeight="false" outlineLevel="0" collapsed="false">
      <c r="A5058" s="5" t="s">
        <v>873</v>
      </c>
      <c r="B5058" s="0" t="s">
        <v>73</v>
      </c>
      <c r="C5058" s="38" t="n">
        <f aca="false">Sens!$C$5056*Sens!$C$5057</f>
        <v>524.317935967448</v>
      </c>
    </row>
    <row r="5059" customFormat="false" ht="17.15" hidden="false" customHeight="false" outlineLevel="0" collapsed="false">
      <c r="A5059" s="5" t="s">
        <v>874</v>
      </c>
      <c r="B5059" s="0" t="s">
        <v>73</v>
      </c>
      <c r="C5059" s="38" t="n">
        <f aca="false">0.25*Sens!$H$4987+0.75*Sens!$I$4987</f>
        <v>30.6290803533085</v>
      </c>
    </row>
    <row r="5060" customFormat="false" ht="15" hidden="false" customHeight="false" outlineLevel="0" collapsed="false">
      <c r="A5060" s="5" t="s">
        <v>875</v>
      </c>
      <c r="B5060" s="0" t="s">
        <v>57</v>
      </c>
      <c r="C5060" s="30" t="n">
        <f aca="false">m_retail*m_x</f>
        <v>17.72</v>
      </c>
    </row>
    <row r="5061" customFormat="false" ht="17.15" hidden="false" customHeight="false" outlineLevel="0" collapsed="false">
      <c r="A5061" s="5" t="s">
        <v>876</v>
      </c>
      <c r="B5061" s="0" t="s">
        <v>73</v>
      </c>
      <c r="C5061" s="38" t="n">
        <f aca="false">Sens!$C$5059*Sens!$C$5060</f>
        <v>542.747303860627</v>
      </c>
    </row>
    <row r="5062" customFormat="false" ht="17.15" hidden="false" customHeight="false" outlineLevel="0" collapsed="false">
      <c r="A5062" s="0" t="s">
        <v>877</v>
      </c>
      <c r="B5062" s="0" t="s">
        <v>73</v>
      </c>
      <c r="C5062" s="38" t="n">
        <f aca="false">0.25*Sens!$H$4988+0.75*Sens!$I$4988</f>
        <v>107.575398943098</v>
      </c>
    </row>
    <row r="5063" customFormat="false" ht="17.15" hidden="false" customHeight="false" outlineLevel="0" collapsed="false">
      <c r="A5063" s="0" t="s">
        <v>878</v>
      </c>
      <c r="B5063" s="0" t="s">
        <v>57</v>
      </c>
      <c r="C5063" s="30" t="n">
        <f aca="false">m_cloud*m_x</f>
        <v>13.82</v>
      </c>
    </row>
    <row r="5064" customFormat="false" ht="17.15" hidden="false" customHeight="false" outlineLevel="0" collapsed="false">
      <c r="A5064" s="0" t="s">
        <v>879</v>
      </c>
      <c r="B5064" s="0" t="s">
        <v>73</v>
      </c>
      <c r="C5064" s="38" t="n">
        <f aca="false">Sens!$C$5062*Sens!$C$5063</f>
        <v>1486.69201339361</v>
      </c>
    </row>
    <row r="5065" customFormat="false" ht="17.15" hidden="false" customHeight="false" outlineLevel="0" collapsed="false">
      <c r="A5065" s="0" t="s">
        <v>880</v>
      </c>
      <c r="B5065" s="0" t="s">
        <v>73</v>
      </c>
      <c r="C5065" s="38" t="n">
        <f aca="false">0.25*Sens!$H$4989+0.75*Sens!$I$4989</f>
        <v>72.2947701247864</v>
      </c>
    </row>
    <row r="5066" customFormat="false" ht="17.15" hidden="false" customHeight="false" outlineLevel="0" collapsed="false">
      <c r="A5066" s="0" t="s">
        <v>881</v>
      </c>
      <c r="B5066" s="0" t="s">
        <v>57</v>
      </c>
      <c r="C5066" s="30" t="n">
        <f aca="false">m_ai</f>
        <v>6</v>
      </c>
    </row>
    <row r="5067" customFormat="false" ht="17.15" hidden="false" customHeight="false" outlineLevel="0" collapsed="false">
      <c r="A5067" s="0" t="s">
        <v>882</v>
      </c>
      <c r="B5067" s="0" t="s">
        <v>73</v>
      </c>
      <c r="C5067" s="38" t="n">
        <f aca="false">Sens!$C$5065*Sens!$C$5066</f>
        <v>433.768620748718</v>
      </c>
    </row>
    <row r="5068" customFormat="false" ht="17.15" hidden="false" customHeight="false" outlineLevel="0" collapsed="false">
      <c r="A5068" s="5" t="s">
        <v>883</v>
      </c>
      <c r="B5068" s="0" t="s">
        <v>73</v>
      </c>
      <c r="C5068" s="38" t="n">
        <f aca="false">Sens!$C$5058+Sens!$C$5061+Sens!$C$5064+Sens!$C$5067</f>
        <v>2987.5258739704</v>
      </c>
    </row>
    <row r="5069" customFormat="false" ht="17.15" hidden="false" customHeight="false" outlineLevel="0" collapsed="false">
      <c r="A5069" s="5" t="s">
        <v>884</v>
      </c>
      <c r="B5069" s="0" t="s">
        <v>73</v>
      </c>
      <c r="C5069" s="38" t="n">
        <f aca="false">Sens!$H$5027</f>
        <v>113.741590679904</v>
      </c>
    </row>
    <row r="5070" customFormat="false" ht="15" hidden="false" customHeight="false" outlineLevel="0" collapsed="false">
      <c r="A5070" s="5" t="s">
        <v>885</v>
      </c>
      <c r="B5070" s="0" t="s">
        <v>73</v>
      </c>
      <c r="C5070" s="38" t="n">
        <f aca="false">Sens!$C$5068-Sens!$C$5069+Sens!$C$5051</f>
        <v>3052.7282832905</v>
      </c>
    </row>
    <row r="5071" customFormat="false" ht="15" hidden="false" customHeight="false" outlineLevel="0" collapsed="false">
      <c r="A5071" s="3" t="s">
        <v>886</v>
      </c>
      <c r="B5071" s="8" t="s">
        <v>27</v>
      </c>
      <c r="C5071" s="30" t="n">
        <f aca="false">Sens!$C$5070/sh_val</f>
        <v>276.758058137828</v>
      </c>
    </row>
    <row r="5072" customFormat="false" ht="17.15" hidden="false" customHeight="false" outlineLevel="0" collapsed="false">
      <c r="A5072" s="46" t="s">
        <v>887</v>
      </c>
      <c r="B5072" s="13" t="s">
        <v>27</v>
      </c>
      <c r="C5072" s="43" t="n">
        <f aca="false">w_dcf*Sens!$C$5054+(1-w_dcf)*Sens!$C$5071</f>
        <v>184.850753625146</v>
      </c>
      <c r="D5072" s="13"/>
      <c r="E5072" s="13"/>
      <c r="F5072" s="13"/>
      <c r="G5072" s="13"/>
      <c r="H5072" s="13"/>
      <c r="I5072" s="13"/>
      <c r="J5072" s="13"/>
      <c r="K5072" s="13"/>
      <c r="L5072" s="13"/>
      <c r="M5072" s="13"/>
      <c r="N5072" s="13"/>
      <c r="O5072" s="13"/>
    </row>
    <row r="5073" customFormat="false" ht="17.15" hidden="false" customHeight="false" outlineLevel="0" collapsed="false">
      <c r="A5073" s="5" t="s">
        <v>888</v>
      </c>
      <c r="B5073" s="0" t="s">
        <v>27</v>
      </c>
      <c r="C5073" s="30" t="n">
        <f aca="false">0.45*Sens!$C$5054+0.55*Sens!$C$5071</f>
        <v>194.041484076414</v>
      </c>
    </row>
    <row r="5076" customFormat="false" ht="19.4" hidden="false" customHeight="false" outlineLevel="0" collapsed="false">
      <c r="A5076" s="31" t="s">
        <v>1153</v>
      </c>
    </row>
    <row r="5077" customFormat="false" ht="17.15" hidden="false" customHeight="false" outlineLevel="0" collapsed="false">
      <c r="A5077" s="6" t="s">
        <v>16</v>
      </c>
      <c r="B5077" s="6" t="s">
        <v>17</v>
      </c>
      <c r="C5077" s="20" t="s">
        <v>457</v>
      </c>
      <c r="D5077" s="20" t="s">
        <v>458</v>
      </c>
      <c r="E5077" s="20" t="s">
        <v>540</v>
      </c>
      <c r="F5077" s="20" t="s">
        <v>541</v>
      </c>
      <c r="G5077" s="20" t="s">
        <v>542</v>
      </c>
      <c r="H5077" s="20" t="s">
        <v>543</v>
      </c>
      <c r="I5077" s="20" t="s">
        <v>544</v>
      </c>
      <c r="J5077" s="20" t="s">
        <v>545</v>
      </c>
      <c r="K5077" s="20" t="s">
        <v>546</v>
      </c>
      <c r="L5077" s="20" t="s">
        <v>547</v>
      </c>
      <c r="M5077" s="20" t="s">
        <v>548</v>
      </c>
      <c r="N5077" s="20" t="s">
        <v>549</v>
      </c>
      <c r="O5077" s="20" t="s">
        <v>550</v>
      </c>
      <c r="P5077" s="6" t="s">
        <v>23</v>
      </c>
      <c r="R5077" s="20" t="n">
        <v>2023</v>
      </c>
      <c r="S5077" s="20" t="n">
        <v>2024</v>
      </c>
      <c r="T5077" s="20" t="n">
        <v>2025</v>
      </c>
      <c r="U5077" s="20" t="n">
        <v>2026</v>
      </c>
      <c r="V5077" s="20" t="n">
        <v>2027</v>
      </c>
      <c r="W5077" s="20" t="n">
        <v>2028</v>
      </c>
      <c r="X5077" s="20" t="n">
        <v>2029</v>
      </c>
      <c r="Y5077" s="20" t="n">
        <v>2030</v>
      </c>
      <c r="Z5077" s="20" t="n">
        <v>2031</v>
      </c>
      <c r="AA5077" s="20" t="n">
        <v>2032</v>
      </c>
    </row>
    <row r="5078" customFormat="false" ht="17.15" hidden="false" customHeight="false" outlineLevel="0" collapsed="false">
      <c r="A5078" s="1" t="s">
        <v>620</v>
      </c>
    </row>
    <row r="5079" customFormat="false" ht="17.15" hidden="false" customHeight="false" outlineLevel="0" collapsed="false">
      <c r="A5079" s="0" t="s">
        <v>479</v>
      </c>
      <c r="B5079" s="0" t="s">
        <v>73</v>
      </c>
      <c r="C5079" s="38" t="n">
        <f aca="false">Q!$D$10</f>
        <v>247.029</v>
      </c>
      <c r="D5079" s="38" t="n">
        <f aca="false">Q!$E$10</f>
        <v>269.287</v>
      </c>
      <c r="E5079" s="38" t="n">
        <f aca="false">Q!$P$10</f>
        <v>134.686</v>
      </c>
      <c r="F5079" s="38" t="n">
        <f aca="false">Sens!$O$5079*(1+Sens!$F$5080)-pd_amt*Q!$O$10/(Q!$O$10+Q!$O$12)</f>
        <v>160.728085930082</v>
      </c>
      <c r="G5079" s="38" t="n">
        <f aca="false">Sens!$E$5079+Sens!$F$5079</f>
        <v>295.414085930082</v>
      </c>
      <c r="H5079" s="38" t="n">
        <f aca="false">Sens!$G$5079*(1+Sens!$H$5080)</f>
        <v>320.828163943375</v>
      </c>
      <c r="I5079" s="38" t="n">
        <f aca="false">Sens!$H$5079*(1+Sens!$I$5080)</f>
        <v>344.575578072228</v>
      </c>
      <c r="J5079" s="38" t="n">
        <f aca="false">Sens!$I$5079*(1+Sens!$J$5080)</f>
        <v>365.942555779681</v>
      </c>
      <c r="K5079" s="38" t="n">
        <f aca="false">Sens!$J$5079*(1+Sens!$K$5080)</f>
        <v>384.239683568665</v>
      </c>
      <c r="L5079" s="38" t="n">
        <f aca="false">Sens!$K$5079*(1+Sens!$L$5080)</f>
        <v>403.451667747098</v>
      </c>
      <c r="M5079" s="38" t="n">
        <f aca="false">Sens!$L$5079*(1+Sens!$M$5080)</f>
        <v>423.624251134453</v>
      </c>
      <c r="N5079" s="38" t="n">
        <f aca="false">Q!$N$10</f>
        <v>118.892</v>
      </c>
      <c r="O5079" s="38" t="n">
        <f aca="false">Q!$O$10</f>
        <v>150.395</v>
      </c>
      <c r="P5079" s="8" t="s">
        <v>621</v>
      </c>
    </row>
    <row r="5080" customFormat="false" ht="17.15" hidden="false" customHeight="false" outlineLevel="0" collapsed="false">
      <c r="A5080" s="0" t="s">
        <v>622</v>
      </c>
      <c r="B5080" s="0" t="s">
        <v>52</v>
      </c>
      <c r="E5080" s="12" t="n">
        <f aca="false">Sens!$E$5079/Sens!$N$5079-1</f>
        <v>0.132843252699929</v>
      </c>
      <c r="F5080" s="12" t="n">
        <f aca="false">Sens!$O$5079/(Q!$F$10+Q!$G$10)-1</f>
        <v>0.0980382135842941</v>
      </c>
      <c r="G5080" s="12" t="n">
        <f aca="false">Sens!$G$5079/Sens!$D$5079-1</f>
        <v>0.0970231980380869</v>
      </c>
      <c r="H5080" s="12" t="n">
        <f aca="false">Sens!$F$5080+(g_os-Sens!$F$5080)*1/4</f>
        <v>0.0860286601882206</v>
      </c>
      <c r="I5080" s="12" t="n">
        <f aca="false">Sens!$F$5080+(g_os-Sens!$F$5080)*2/4</f>
        <v>0.074019106792147</v>
      </c>
      <c r="J5080" s="12" t="n">
        <f aca="false">Sens!$F$5080+(g_os-Sens!$F$5080)*3/4</f>
        <v>0.0620095533960735</v>
      </c>
      <c r="K5080" s="12" t="n">
        <f aca="false">Sens!$F$5080+(g_os-Sens!$F$5080)*4/4</f>
        <v>0.05</v>
      </c>
      <c r="L5080" s="12" t="n">
        <f aca="false">g_os</f>
        <v>0.05</v>
      </c>
      <c r="M5080" s="12" t="n">
        <f aca="false">g_os</f>
        <v>0.05</v>
      </c>
      <c r="P5080" s="8" t="s">
        <v>623</v>
      </c>
    </row>
    <row r="5081" customFormat="false" ht="17.15" hidden="false" customHeight="false" outlineLevel="0" collapsed="false">
      <c r="A5081" s="0" t="s">
        <v>480</v>
      </c>
      <c r="B5081" s="0" t="s">
        <v>73</v>
      </c>
      <c r="C5081" s="38" t="n">
        <f aca="false">Q!$D$11</f>
        <v>21.215</v>
      </c>
      <c r="D5081" s="38" t="n">
        <f aca="false">Q!$E$11</f>
        <v>22.561</v>
      </c>
      <c r="E5081" s="38" t="n">
        <f aca="false">Q!$P$11</f>
        <v>11.579</v>
      </c>
      <c r="F5081" s="38" t="n">
        <f aca="false">Sens!$O$5081*(1+Sens!$F$5082)</f>
        <v>12.0952613121125</v>
      </c>
      <c r="G5081" s="38" t="n">
        <f aca="false">Sens!$E$5081+Sens!$F$5081</f>
        <v>23.6742613121125</v>
      </c>
      <c r="H5081" s="38" t="n">
        <f aca="false">Sens!$G$5081*(1+Sens!$H$5082)</f>
        <v>24.8803243963206</v>
      </c>
      <c r="I5081" s="38" t="n">
        <f aca="false">Sens!$H$5081*(1+Sens!$I$5082)</f>
        <v>25.9741308664154</v>
      </c>
      <c r="J5081" s="38" t="n">
        <f aca="false">Sens!$I$5081*(1+Sens!$J$5082)</f>
        <v>26.9346894124267</v>
      </c>
      <c r="K5081" s="38" t="n">
        <f aca="false">Sens!$J$5081*(1+Sens!$K$5082)</f>
        <v>27.7427300947995</v>
      </c>
      <c r="L5081" s="38" t="n">
        <f aca="false">Sens!$K$5081*(1+Sens!$L$5082)</f>
        <v>28.5750119976435</v>
      </c>
      <c r="M5081" s="38" t="n">
        <f aca="false">Sens!$L$5081*(1+Sens!$M$5082)</f>
        <v>29.4322623575728</v>
      </c>
      <c r="N5081" s="38" t="n">
        <f aca="false">Q!$N$11</f>
        <v>11.128</v>
      </c>
      <c r="O5081" s="38" t="n">
        <f aca="false">Q!$O$11</f>
        <v>11.433</v>
      </c>
      <c r="P5081" s="8" t="s">
        <v>621</v>
      </c>
    </row>
    <row r="5082" customFormat="false" ht="17.15" hidden="false" customHeight="false" outlineLevel="0" collapsed="false">
      <c r="A5082" s="0" t="s">
        <v>624</v>
      </c>
      <c r="B5082" s="0" t="s">
        <v>52</v>
      </c>
      <c r="E5082" s="12" t="n">
        <f aca="false">Sens!$E$5081/Sens!$N$5081-1</f>
        <v>0.0405283968368082</v>
      </c>
      <c r="F5082" s="12" t="n">
        <f aca="false">Sens!$O$5081/(Q!$F$11+Q!$G$11)-1</f>
        <v>0.0579254187100955</v>
      </c>
      <c r="G5082" s="12" t="n">
        <f aca="false">Sens!$G$5081/Sens!$D$5081-1</f>
        <v>0.0493445021103904</v>
      </c>
      <c r="H5082" s="12" t="n">
        <f aca="false">Sens!$F$5082+(g_ps-Sens!$F$5082)*1/4</f>
        <v>0.0509440640325716</v>
      </c>
      <c r="I5082" s="12" t="n">
        <f aca="false">Sens!$F$5082+(g_ps-Sens!$F$5082)*2/4</f>
        <v>0.0439627093550477</v>
      </c>
      <c r="J5082" s="12" t="n">
        <f aca="false">Sens!$F$5082+(g_ps-Sens!$F$5082)*3/4</f>
        <v>0.0369813546775239</v>
      </c>
      <c r="K5082" s="12" t="n">
        <f aca="false">Sens!$F$5082+(g_ps-Sens!$F$5082)*4/4</f>
        <v>0.03</v>
      </c>
      <c r="L5082" s="12" t="n">
        <f aca="false">g_ps</f>
        <v>0.03</v>
      </c>
      <c r="M5082" s="12" t="n">
        <f aca="false">g_ps</f>
        <v>0.03</v>
      </c>
      <c r="P5082" s="8" t="s">
        <v>625</v>
      </c>
    </row>
    <row r="5083" customFormat="false" ht="17.15" hidden="false" customHeight="false" outlineLevel="0" collapsed="false">
      <c r="A5083" s="0" t="s">
        <v>481</v>
      </c>
      <c r="B5083" s="0" t="s">
        <v>73</v>
      </c>
      <c r="C5083" s="38" t="n">
        <f aca="false">Q!$D$12</f>
        <v>156.146</v>
      </c>
      <c r="D5083" s="38" t="n">
        <f aca="false">Q!$E$12</f>
        <v>172.162</v>
      </c>
      <c r="E5083" s="38" t="n">
        <f aca="false">Q!$P$12</f>
        <v>88.358</v>
      </c>
      <c r="F5083" s="38" t="n">
        <f aca="false">Sens!$O$5083*(1+Sens!$F$5084)-pd_amt*Q!$O$12/(Q!$O$10+Q!$O$12)</f>
        <v>103.62028337149</v>
      </c>
      <c r="G5083" s="38" t="n">
        <f aca="false">Sens!$E$5083+Sens!$F$5083</f>
        <v>191.97828337149</v>
      </c>
      <c r="H5083" s="38" t="n">
        <f aca="false">Sens!$G$5083*(1+Sens!$H$5084)</f>
        <v>212.128608444755</v>
      </c>
      <c r="I5083" s="38" t="n">
        <f aca="false">Sens!$H$5083*(1+Sens!$I$5084)</f>
        <v>231.92183134134</v>
      </c>
      <c r="J5083" s="38" t="n">
        <f aca="false">Sens!$I$5083*(1+Sens!$J$5084)</f>
        <v>250.859136487863</v>
      </c>
      <c r="K5083" s="38" t="n">
        <f aca="false">Sens!$J$5083*(1+Sens!$K$5084)</f>
        <v>268.419276042014</v>
      </c>
      <c r="L5083" s="38" t="n">
        <f aca="false">Sens!$K$5083*(1+Sens!$L$5084)</f>
        <v>287.208625364954</v>
      </c>
      <c r="M5083" s="38" t="n">
        <f aca="false">Sens!$L$5083*(1+Sens!$M$5084)</f>
        <v>307.313229140501</v>
      </c>
      <c r="N5083" s="38" t="n">
        <f aca="false">Q!$N$12</f>
        <v>76.86</v>
      </c>
      <c r="O5083" s="38" t="n">
        <f aca="false">Q!$O$12</f>
        <v>95.302</v>
      </c>
      <c r="P5083" s="8" t="s">
        <v>621</v>
      </c>
    </row>
    <row r="5084" customFormat="false" ht="17.15" hidden="false" customHeight="false" outlineLevel="0" collapsed="false">
      <c r="A5084" s="0" t="s">
        <v>626</v>
      </c>
      <c r="B5084" s="0" t="s">
        <v>52</v>
      </c>
      <c r="E5084" s="12" t="n">
        <f aca="false">Sens!$E$5083/Sens!$N$5083-1</f>
        <v>0.1495966692688</v>
      </c>
      <c r="F5084" s="12" t="n">
        <f aca="false">Sens!$O$5083/(Q!$F$12+Q!$G$12)-1</f>
        <v>0.11661530890813</v>
      </c>
      <c r="G5084" s="12" t="n">
        <f aca="false">Sens!$G$5083/Sens!$D$5083-1</f>
        <v>0.115102539303041</v>
      </c>
      <c r="H5084" s="12" t="n">
        <f aca="false">Sens!$F$5084+(g_sp-Sens!$F$5084)*1/4</f>
        <v>0.104961481681098</v>
      </c>
      <c r="I5084" s="12" t="n">
        <f aca="false">Sens!$F$5084+(g_sp-Sens!$F$5084)*2/4</f>
        <v>0.0933076544540651</v>
      </c>
      <c r="J5084" s="12" t="n">
        <f aca="false">Sens!$F$5084+(g_sp-Sens!$F$5084)*3/4</f>
        <v>0.0816538272270325</v>
      </c>
      <c r="K5084" s="12" t="n">
        <f aca="false">Sens!$F$5084+(g_sp-Sens!$F$5084)*4/4</f>
        <v>0.07</v>
      </c>
      <c r="L5084" s="12" t="n">
        <f aca="false">g_sp</f>
        <v>0.07</v>
      </c>
      <c r="M5084" s="12" t="n">
        <f aca="false">g_sp</f>
        <v>0.07</v>
      </c>
      <c r="P5084" s="8" t="s">
        <v>627</v>
      </c>
    </row>
    <row r="5085" customFormat="false" ht="17.15" hidden="false" customHeight="false" outlineLevel="0" collapsed="false">
      <c r="A5085" s="0" t="s">
        <v>482</v>
      </c>
      <c r="B5085" s="0" t="s">
        <v>73</v>
      </c>
      <c r="C5085" s="38" t="n">
        <f aca="false">Q!$D$13</f>
        <v>56.214</v>
      </c>
      <c r="D5085" s="38" t="n">
        <f aca="false">Q!$E$13</f>
        <v>68.635</v>
      </c>
      <c r="E5085" s="38" t="n">
        <f aca="false">Q!$P$13</f>
        <v>37.052</v>
      </c>
      <c r="F5085" s="38" t="n">
        <f aca="false">Sens!$O$5085*(1+Sens!$F$5086)</f>
        <v>48.1533381827382</v>
      </c>
      <c r="G5085" s="38" t="n">
        <f aca="false">Sens!$E$5085+Sens!$F$5085</f>
        <v>85.2053381827382</v>
      </c>
      <c r="H5085" s="38" t="n">
        <f aca="false">Sens!$G$5085*(1+Sens!$H$5086)</f>
        <v>102.29336185894</v>
      </c>
      <c r="I5085" s="38" t="n">
        <f aca="false">Sens!$H$5085*(1+Sens!$I$5086)</f>
        <v>119.379837585241</v>
      </c>
      <c r="J5085" s="38" t="n">
        <f aca="false">Sens!$I$5085*(1+Sens!$J$5086)</f>
        <v>135.319079048844</v>
      </c>
      <c r="K5085" s="38" t="n">
        <f aca="false">Sens!$J$5085*(1+Sens!$K$5086)</f>
        <v>148.850986953729</v>
      </c>
      <c r="L5085" s="38" t="n">
        <f aca="false">Sens!$K$5085*(1+Sens!$L$5086)</f>
        <v>163.736085649102</v>
      </c>
      <c r="M5085" s="38" t="n">
        <f aca="false">Sens!$L$5085*(1+Sens!$M$5086)</f>
        <v>180.109694214012</v>
      </c>
      <c r="N5085" s="38" t="n">
        <f aca="false">Q!$N$13</f>
        <v>29.615</v>
      </c>
      <c r="O5085" s="38" t="n">
        <f aca="false">Q!$O$13</f>
        <v>39.02</v>
      </c>
      <c r="P5085" s="8" t="s">
        <v>621</v>
      </c>
    </row>
    <row r="5086" customFormat="false" ht="17.15" hidden="false" customHeight="false" outlineLevel="0" collapsed="false">
      <c r="A5086" s="0" t="s">
        <v>628</v>
      </c>
      <c r="B5086" s="0" t="s">
        <v>52</v>
      </c>
      <c r="E5086" s="12" t="n">
        <f aca="false">Sens!$E$5085/Sens!$N$5085-1</f>
        <v>0.25112274185379</v>
      </c>
      <c r="F5086" s="12" t="n">
        <f aca="false">Sens!$O$5085/(Q!$F$13+Q!$G$13)-1</f>
        <v>0.234068123596572</v>
      </c>
      <c r="G5086" s="12" t="n">
        <f aca="false">Sens!$G$5085/Sens!$D$5085-1</f>
        <v>0.241426942270536</v>
      </c>
      <c r="H5086" s="12" t="n">
        <f aca="false">Sens!$F$5086+(g_ad-Sens!$F$5086)*1/4</f>
        <v>0.200551092697429</v>
      </c>
      <c r="I5086" s="12" t="n">
        <f aca="false">Sens!$F$5086+(g_ad-Sens!$F$5086)*2/4</f>
        <v>0.167034061798286</v>
      </c>
      <c r="J5086" s="12" t="n">
        <f aca="false">Sens!$F$5086+(g_ad-Sens!$F$5086)*3/4</f>
        <v>0.133517030899143</v>
      </c>
      <c r="K5086" s="12" t="n">
        <f aca="false">Sens!$F$5086+(g_ad-Sens!$F$5086)*4/4</f>
        <v>0.1</v>
      </c>
      <c r="L5086" s="12" t="n">
        <f aca="false">g_ad</f>
        <v>0.1</v>
      </c>
      <c r="M5086" s="12" t="n">
        <f aca="false">g_ad</f>
        <v>0.1</v>
      </c>
      <c r="P5086" s="8" t="s">
        <v>629</v>
      </c>
    </row>
    <row r="5087" customFormat="false" ht="17.15" hidden="false" customHeight="false" outlineLevel="0" collapsed="false">
      <c r="A5087" s="0" t="s">
        <v>483</v>
      </c>
      <c r="B5087" s="0" t="s">
        <v>73</v>
      </c>
      <c r="C5087" s="38" t="n">
        <f aca="false">Q!$D$14</f>
        <v>44.374</v>
      </c>
      <c r="D5087" s="38" t="n">
        <f aca="false">Q!$E$14</f>
        <v>49.619</v>
      </c>
      <c r="E5087" s="38" t="n">
        <f aca="false">Q!$P$14</f>
        <v>27.157</v>
      </c>
      <c r="F5087" s="38" t="n">
        <f aca="false">Sens!$O$5087*(1+Sens!$F$5088)</f>
        <v>28.9776360923374</v>
      </c>
      <c r="G5087" s="38" t="n">
        <f aca="false">Sens!$E$5087+Sens!$F$5087</f>
        <v>56.1346360923374</v>
      </c>
      <c r="H5087" s="38" t="n">
        <f aca="false">Sens!$G$5087*(1+Sens!$H$5088)</f>
        <v>62.4937078946075</v>
      </c>
      <c r="I5087" s="38" t="n">
        <f aca="false">Sens!$H$5087*(1+Sens!$I$5088)</f>
        <v>68.6715233062498</v>
      </c>
      <c r="J5087" s="38" t="n">
        <f aca="false">Sens!$I$5087*(1+Sens!$J$5088)</f>
        <v>74.4692882949818</v>
      </c>
      <c r="K5087" s="38" t="n">
        <f aca="false">Sens!$J$5087*(1+Sens!$K$5088)</f>
        <v>79.6821384756306</v>
      </c>
      <c r="L5087" s="38" t="n">
        <f aca="false">Sens!$K$5087*(1+Sens!$L$5088)</f>
        <v>85.2598881689247</v>
      </c>
      <c r="M5087" s="38" t="n">
        <f aca="false">Sens!$L$5087*(1+Sens!$M$5088)</f>
        <v>91.2280803407494</v>
      </c>
      <c r="N5087" s="38" t="n">
        <f aca="false">Q!$N$14</f>
        <v>23.923</v>
      </c>
      <c r="O5087" s="38" t="n">
        <f aca="false">Q!$O$14</f>
        <v>25.696</v>
      </c>
      <c r="P5087" s="8" t="s">
        <v>621</v>
      </c>
    </row>
    <row r="5088" customFormat="false" ht="17.15" hidden="false" customHeight="false" outlineLevel="0" collapsed="false">
      <c r="A5088" s="0" t="s">
        <v>630</v>
      </c>
      <c r="B5088" s="0" t="s">
        <v>52</v>
      </c>
      <c r="E5088" s="12" t="n">
        <f aca="false">Sens!$E$5087/Sens!$N$5087-1</f>
        <v>0.135183714417088</v>
      </c>
      <c r="F5088" s="12" t="n">
        <f aca="false">Sens!$O$5087/(Q!$F$14+Q!$G$14)-1</f>
        <v>0.127709997366804</v>
      </c>
      <c r="G5088" s="12" t="n">
        <f aca="false">Sens!$G$5087/Sens!$D$5087-1</f>
        <v>0.131313329416905</v>
      </c>
      <c r="H5088" s="12" t="n">
        <f aca="false">Sens!$F$5088+(g_sub-Sens!$F$5088)*1/4</f>
        <v>0.113282498025103</v>
      </c>
      <c r="I5088" s="12" t="n">
        <f aca="false">Sens!$F$5088+(g_sub-Sens!$F$5088)*2/4</f>
        <v>0.0988549986834021</v>
      </c>
      <c r="J5088" s="12" t="n">
        <f aca="false">Sens!$F$5088+(g_sub-Sens!$F$5088)*3/4</f>
        <v>0.084427499341701</v>
      </c>
      <c r="K5088" s="12" t="n">
        <f aca="false">Sens!$F$5088+(g_sub-Sens!$F$5088)*4/4</f>
        <v>0.07</v>
      </c>
      <c r="L5088" s="12" t="n">
        <f aca="false">g_sub</f>
        <v>0.07</v>
      </c>
      <c r="M5088" s="12" t="n">
        <f aca="false">g_sub</f>
        <v>0.07</v>
      </c>
      <c r="P5088" s="8" t="s">
        <v>631</v>
      </c>
    </row>
    <row r="5089" customFormat="false" ht="17.15" hidden="false" customHeight="false" outlineLevel="0" collapsed="false">
      <c r="A5089" s="0" t="s">
        <v>484</v>
      </c>
      <c r="B5089" s="0" t="s">
        <v>73</v>
      </c>
      <c r="C5089" s="38" t="n">
        <f aca="false">Q!$D$15</f>
        <v>5.425</v>
      </c>
      <c r="D5089" s="38" t="n">
        <f aca="false">Q!$E$15</f>
        <v>5.935</v>
      </c>
      <c r="E5089" s="38" t="n">
        <f aca="false">Q!$P$15</f>
        <v>3.474</v>
      </c>
      <c r="F5089" s="38" t="n">
        <f aca="false">Sens!$O$5089*(1+Sens!$F$5090)</f>
        <v>3.36182431966931</v>
      </c>
      <c r="G5089" s="38" t="n">
        <f aca="false">Sens!$E$5089+Sens!$F$5089</f>
        <v>6.83582431966931</v>
      </c>
      <c r="H5089" s="38" t="n">
        <f aca="false">Sens!$G$5089*(1+Sens!$H$5090)</f>
        <v>7.31157108370141</v>
      </c>
      <c r="I5089" s="38" t="n">
        <f aca="false">Sens!$H$5089*(1+Sens!$I$5090)</f>
        <v>7.77266852639815</v>
      </c>
      <c r="J5089" s="38" t="n">
        <f aca="false">Sens!$I$5089*(1+Sens!$J$5090)</f>
        <v>8.2120733019884</v>
      </c>
      <c r="K5089" s="38" t="n">
        <f aca="false">Sens!$J$5089*(1+Sens!$K$5090)</f>
        <v>8.62267696708783</v>
      </c>
      <c r="L5089" s="38" t="n">
        <f aca="false">Sens!$K$5089*(1+Sens!$L$5090)</f>
        <v>9.05381081544222</v>
      </c>
      <c r="M5089" s="38" t="n">
        <f aca="false">Sens!$L$5089*(1+Sens!$M$5090)</f>
        <v>9.50650135621433</v>
      </c>
      <c r="N5089" s="38" t="n">
        <f aca="false">Q!$N$15</f>
        <v>2.811</v>
      </c>
      <c r="O5089" s="38" t="n">
        <f aca="false">Q!$O$15</f>
        <v>3.124</v>
      </c>
      <c r="P5089" s="8" t="s">
        <v>621</v>
      </c>
    </row>
    <row r="5090" customFormat="false" ht="17.15" hidden="false" customHeight="false" outlineLevel="0" collapsed="false">
      <c r="A5090" s="0" t="s">
        <v>632</v>
      </c>
      <c r="B5090" s="0" t="s">
        <v>52</v>
      </c>
      <c r="E5090" s="12" t="n">
        <f aca="false">Sens!$E$5089/Sens!$N$5089-1</f>
        <v>0.235859124866596</v>
      </c>
      <c r="F5090" s="12" t="n">
        <f aca="false">Sens!$O$5089/(Q!$F$15+Q!$G$15)-1</f>
        <v>0.0761281433000345</v>
      </c>
      <c r="G5090" s="12" t="n">
        <f aca="false">Sens!$G$5089/Sens!$D$5089-1</f>
        <v>0.151781688234087</v>
      </c>
      <c r="H5090" s="12" t="n">
        <f aca="false">Sens!$F$5090+(g_ot-Sens!$F$5090)*1/4</f>
        <v>0.0695961074750259</v>
      </c>
      <c r="I5090" s="12" t="n">
        <f aca="false">Sens!$F$5090+(g_ot-Sens!$F$5090)*2/4</f>
        <v>0.0630640716500172</v>
      </c>
      <c r="J5090" s="12" t="n">
        <f aca="false">Sens!$F$5090+(g_ot-Sens!$F$5090)*3/4</f>
        <v>0.0565320358250086</v>
      </c>
      <c r="K5090" s="12" t="n">
        <f aca="false">Sens!$F$5090+(g_ot-Sens!$F$5090)*4/4</f>
        <v>0.05</v>
      </c>
      <c r="L5090" s="12" t="n">
        <f aca="false">g_ot</f>
        <v>0.05</v>
      </c>
      <c r="M5090" s="12" t="n">
        <f aca="false">g_ot</f>
        <v>0.05</v>
      </c>
      <c r="P5090" s="8" t="s">
        <v>633</v>
      </c>
    </row>
    <row r="5091" customFormat="false" ht="17.15" hidden="false" customHeight="false" outlineLevel="0" collapsed="false">
      <c r="A5091" s="3" t="s">
        <v>634</v>
      </c>
      <c r="B5091" s="8" t="s">
        <v>73</v>
      </c>
      <c r="C5091" s="38" t="n">
        <f aca="false">Sens!$C$5079+Sens!$C$5081+Sens!$C$5083+Sens!$C$5085+Sens!$C$5087+Sens!$C$5089</f>
        <v>530.403</v>
      </c>
      <c r="D5091" s="38" t="n">
        <f aca="false">Sens!$D$5079+Sens!$D$5081+Sens!$D$5083+Sens!$D$5085+Sens!$D$5087+Sens!$D$5089</f>
        <v>588.199</v>
      </c>
      <c r="E5091" s="38" t="n">
        <f aca="false">Sens!$E$5079+Sens!$E$5081+Sens!$E$5083+Sens!$E$5085+Sens!$E$5087+Sens!$E$5089</f>
        <v>302.306</v>
      </c>
      <c r="F5091" s="38" t="n">
        <f aca="false">Sens!$F$5079+Sens!$F$5081+Sens!$F$5083+Sens!$F$5085+Sens!$F$5087+Sens!$F$5089</f>
        <v>356.93642920843</v>
      </c>
      <c r="G5091" s="38" t="n">
        <f aca="false">Sens!$G$5079+Sens!$G$5081+Sens!$G$5083+Sens!$G$5085+Sens!$G$5087+Sens!$G$5089</f>
        <v>659.24242920843</v>
      </c>
      <c r="H5091" s="38" t="n">
        <f aca="false">Sens!$H$5079+Sens!$H$5081+Sens!$H$5083+Sens!$H$5085+Sens!$H$5087+Sens!$H$5089</f>
        <v>729.935737621701</v>
      </c>
      <c r="I5091" s="38" t="n">
        <f aca="false">Sens!$I$5079+Sens!$I$5081+Sens!$I$5083+Sens!$I$5085+Sens!$I$5087+Sens!$I$5089</f>
        <v>798.295569697873</v>
      </c>
      <c r="J5091" s="38" t="n">
        <f aca="false">Sens!$J$5079+Sens!$J$5081+Sens!$J$5083+Sens!$J$5085+Sens!$J$5087+Sens!$J$5089</f>
        <v>861.736822325785</v>
      </c>
      <c r="K5091" s="38" t="n">
        <f aca="false">Sens!$K$5079+Sens!$K$5081+Sens!$K$5083+Sens!$K$5085+Sens!$K$5087+Sens!$K$5089</f>
        <v>917.557492101925</v>
      </c>
      <c r="L5091" s="38" t="n">
        <f aca="false">Sens!$L$5079+Sens!$L$5081+Sens!$L$5083+Sens!$L$5085+Sens!$L$5087+Sens!$L$5089</f>
        <v>977.285089743165</v>
      </c>
      <c r="M5091" s="38" t="n">
        <f aca="false">Sens!$M$5079+Sens!$M$5081+Sens!$M$5083+Sens!$M$5085+Sens!$M$5087+Sens!$M$5089</f>
        <v>1041.2140185435</v>
      </c>
      <c r="N5091" s="38" t="n">
        <f aca="false">Sens!$N$5079+Sens!$N$5081+Sens!$N$5083+Sens!$N$5085+Sens!$N$5087+Sens!$N$5089</f>
        <v>263.229</v>
      </c>
      <c r="O5091" s="38" t="n">
        <f aca="false">Sens!$O$5079+Sens!$O$5081+Sens!$O$5083+Sens!$O$5085+Sens!$O$5087+Sens!$O$5089</f>
        <v>324.97</v>
      </c>
    </row>
    <row r="5092" customFormat="false" ht="17.15" hidden="false" customHeight="false" outlineLevel="0" collapsed="false">
      <c r="A5092" s="5" t="s">
        <v>635</v>
      </c>
      <c r="B5092" s="0" t="s">
        <v>52</v>
      </c>
      <c r="C5092" s="12" t="n">
        <f aca="false">Q!$D$5/(Q!$D$5+Q!$D$6)</f>
        <v>0.730570905519011</v>
      </c>
      <c r="D5092" s="12" t="n">
        <f aca="false">Q!$E$5/(Q!$E$5+Q!$E$6)</f>
        <v>0.724763217890544</v>
      </c>
      <c r="E5092" s="12" t="n">
        <f aca="false">Q!$P$5/(Q!$P$5+Q!$P$6)</f>
        <v>0.728797972914861</v>
      </c>
      <c r="F5092" s="12" t="n">
        <f aca="false">Sens!$O$5092</f>
        <v>0.718066283041511</v>
      </c>
      <c r="G5092" s="12" t="n">
        <f aca="false">Sens!$G$5093/Sens!$G$5091</f>
        <v>0.722987468473627</v>
      </c>
      <c r="H5092" s="12" t="n">
        <f aca="false">Sens!$G$5092</f>
        <v>0.722987468473627</v>
      </c>
      <c r="I5092" s="12" t="n">
        <f aca="false">Sens!$G$5092</f>
        <v>0.722987468473627</v>
      </c>
      <c r="J5092" s="12" t="n">
        <f aca="false">Sens!$G$5092</f>
        <v>0.722987468473627</v>
      </c>
      <c r="K5092" s="12" t="n">
        <f aca="false">Sens!$G$5092</f>
        <v>0.722987468473627</v>
      </c>
      <c r="L5092" s="12" t="n">
        <f aca="false">Sens!$G$5092</f>
        <v>0.722987468473627</v>
      </c>
      <c r="M5092" s="12" t="n">
        <f aca="false">Sens!$G$5092</f>
        <v>0.722987468473627</v>
      </c>
      <c r="N5092" s="12" t="n">
        <f aca="false">Q!$N$5/(Q!$N$5+Q!$N$6)</f>
        <v>0.733030935041352</v>
      </c>
      <c r="O5092" s="12" t="n">
        <f aca="false">Q!$O$5/(Q!$O$5+Q!$O$6)</f>
        <v>0.718066283041511</v>
      </c>
      <c r="P5092" s="8" t="s">
        <v>636</v>
      </c>
    </row>
    <row r="5093" customFormat="false" ht="17.15" hidden="false" customHeight="false" outlineLevel="0" collapsed="false">
      <c r="A5093" s="1" t="s">
        <v>472</v>
      </c>
      <c r="B5093" s="8" t="s">
        <v>73</v>
      </c>
      <c r="C5093" s="38" t="n">
        <f aca="false">Q!$D$5</f>
        <v>387.497</v>
      </c>
      <c r="D5093" s="38" t="n">
        <f aca="false">Q!$E$5</f>
        <v>426.305</v>
      </c>
      <c r="E5093" s="38" t="n">
        <f aca="false">Q!$P$5</f>
        <v>220.32</v>
      </c>
      <c r="F5093" s="38" t="n">
        <f aca="false">Sens!$F$5091*Sens!$F$5092</f>
        <v>256.304015003807</v>
      </c>
      <c r="G5093" s="38" t="n">
        <f aca="false">Sens!$E$5093+Sens!$F$5093</f>
        <v>476.624015003807</v>
      </c>
      <c r="H5093" s="38" t="n">
        <f aca="false">Sens!$H$5091*Sens!$H$5092</f>
        <v>527.734391091543</v>
      </c>
      <c r="I5093" s="38" t="n">
        <f aca="false">Sens!$I$5091*Sens!$I$5092</f>
        <v>577.157693029577</v>
      </c>
      <c r="J5093" s="38" t="n">
        <f aca="false">Sens!$J$5091*Sens!$J$5092</f>
        <v>623.024923663827</v>
      </c>
      <c r="K5093" s="38" t="n">
        <f aca="false">Sens!$K$5091*Sens!$K$5092</f>
        <v>663.382568393781</v>
      </c>
      <c r="L5093" s="38" t="n">
        <f aca="false">Sens!$L$5091*Sens!$L$5092</f>
        <v>706.564873010432</v>
      </c>
      <c r="M5093" s="38" t="n">
        <f aca="false">Sens!$M$5091*Sens!$M$5092</f>
        <v>752.784687406019</v>
      </c>
      <c r="N5093" s="38" t="n">
        <f aca="false">Q!$N$5</f>
        <v>192.955</v>
      </c>
      <c r="O5093" s="38" t="n">
        <f aca="false">Q!$O$5</f>
        <v>233.35</v>
      </c>
      <c r="P5093" s="5" t="s">
        <v>637</v>
      </c>
    </row>
    <row r="5094" customFormat="false" ht="17.15" hidden="false" customHeight="false" outlineLevel="0" collapsed="false">
      <c r="A5094" s="1" t="s">
        <v>475</v>
      </c>
      <c r="B5094" s="8" t="s">
        <v>73</v>
      </c>
      <c r="C5094" s="38" t="n">
        <f aca="false">Q!$D$6</f>
        <v>142.906</v>
      </c>
      <c r="D5094" s="38" t="n">
        <f aca="false">Q!$E$6</f>
        <v>161.894</v>
      </c>
      <c r="E5094" s="38" t="n">
        <f aca="false">Q!$P$6</f>
        <v>81.986</v>
      </c>
      <c r="F5094" s="38" t="n">
        <f aca="false">Sens!$F$5091*(1-Sens!$F$5092)</f>
        <v>100.632414204623</v>
      </c>
      <c r="G5094" s="38" t="n">
        <f aca="false">Sens!$E$5094+Sens!$F$5094</f>
        <v>182.618414204623</v>
      </c>
      <c r="H5094" s="38" t="n">
        <f aca="false">Sens!$H$5091*(1-Sens!$H$5092)</f>
        <v>202.201346530158</v>
      </c>
      <c r="I5094" s="38" t="n">
        <f aca="false">Sens!$I$5091*(1-Sens!$I$5092)</f>
        <v>221.137876668296</v>
      </c>
      <c r="J5094" s="38" t="n">
        <f aca="false">Sens!$J$5091*(1-Sens!$J$5092)</f>
        <v>238.711898661958</v>
      </c>
      <c r="K5094" s="38" t="n">
        <f aca="false">Sens!$K$5091*(1-Sens!$K$5092)</f>
        <v>254.174923708144</v>
      </c>
      <c r="L5094" s="38" t="n">
        <f aca="false">Sens!$L$5091*(1-Sens!$L$5092)</f>
        <v>270.720216732733</v>
      </c>
      <c r="M5094" s="38" t="n">
        <f aca="false">Sens!$M$5091*(1-Sens!$M$5092)</f>
        <v>288.429331137484</v>
      </c>
      <c r="N5094" s="38" t="n">
        <f aca="false">Q!$N$6</f>
        <v>70.274</v>
      </c>
      <c r="O5094" s="38" t="n">
        <f aca="false">Q!$O$6</f>
        <v>91.62</v>
      </c>
      <c r="P5094" s="5" t="s">
        <v>638</v>
      </c>
    </row>
    <row r="5095" customFormat="false" ht="17.15" hidden="false" customHeight="false" outlineLevel="0" collapsed="false">
      <c r="A5095" s="5" t="s">
        <v>639</v>
      </c>
      <c r="B5095" s="0" t="s">
        <v>73</v>
      </c>
      <c r="C5095" s="38" t="n">
        <f aca="false">Sens!$C$5085*Sens!$C$5092</f>
        <v>41.0683128828457</v>
      </c>
      <c r="D5095" s="38" t="n">
        <f aca="false">Sens!$D$5085*Sens!$D$5092</f>
        <v>49.7441234599175</v>
      </c>
      <c r="E5095" s="38" t="n">
        <f aca="false">Sens!$E$5085*Sens!$E$5092</f>
        <v>27.0034224924414</v>
      </c>
      <c r="F5095" s="38" t="n">
        <f aca="false">Sens!$F$5085*Sens!$F$5092</f>
        <v>34.5772885649197</v>
      </c>
      <c r="G5095" s="38" t="n">
        <f aca="false">Sens!$G$5085*Sens!$G$5092</f>
        <v>61.6023917531772</v>
      </c>
      <c r="H5095" s="38" t="n">
        <f aca="false">Sens!$H$5085*Sens!$H$5092</f>
        <v>73.9568187320519</v>
      </c>
      <c r="I5095" s="38" t="n">
        <f aca="false">Sens!$I$5085*Sens!$I$5092</f>
        <v>86.3101265625461</v>
      </c>
      <c r="J5095" s="38" t="n">
        <f aca="false">Sens!$J$5085*Sens!$J$5092</f>
        <v>97.8339983977065</v>
      </c>
      <c r="K5095" s="38" t="n">
        <f aca="false">Sens!$K$5085*Sens!$K$5092</f>
        <v>107.617398237477</v>
      </c>
      <c r="L5095" s="38" t="n">
        <f aca="false">Sens!$L$5085*Sens!$L$5092</f>
        <v>118.379138061225</v>
      </c>
      <c r="M5095" s="38" t="n">
        <f aca="false">Sens!$M$5085*Sens!$M$5092</f>
        <v>130.217051867347</v>
      </c>
      <c r="N5095" s="38" t="n">
        <f aca="false">Sens!$N$5085*Sens!$N$5092</f>
        <v>21.7087111412496</v>
      </c>
      <c r="O5095" s="38" t="n">
        <f aca="false">Sens!$O$5085*Sens!$O$5092</f>
        <v>28.0189463642798</v>
      </c>
      <c r="P5095" s="5" t="s">
        <v>640</v>
      </c>
    </row>
    <row r="5096" customFormat="false" ht="15" hidden="false" customHeight="false" outlineLevel="0" collapsed="false">
      <c r="A5096" s="5" t="s">
        <v>641</v>
      </c>
      <c r="B5096" s="0" t="s">
        <v>73</v>
      </c>
      <c r="C5096" s="38" t="n">
        <f aca="false">Sens!$C$5085-Sens!$C$5095</f>
        <v>15.1456871171543</v>
      </c>
      <c r="D5096" s="38" t="n">
        <f aca="false">Sens!$D$5085-Sens!$D$5095</f>
        <v>18.8908765400825</v>
      </c>
      <c r="E5096" s="38" t="n">
        <f aca="false">Sens!$E$5085-Sens!$E$5095</f>
        <v>10.0485775075586</v>
      </c>
      <c r="F5096" s="38" t="n">
        <f aca="false">Sens!$F$5085-Sens!$F$5095</f>
        <v>13.5760496178185</v>
      </c>
      <c r="G5096" s="38" t="n">
        <f aca="false">Sens!$G$5085-Sens!$G$5095</f>
        <v>23.6029464295611</v>
      </c>
      <c r="H5096" s="38" t="n">
        <f aca="false">Sens!$H$5085-Sens!$H$5095</f>
        <v>28.3365431268884</v>
      </c>
      <c r="I5096" s="38" t="n">
        <f aca="false">Sens!$I$5085-Sens!$I$5095</f>
        <v>33.0697110226949</v>
      </c>
      <c r="J5096" s="38" t="n">
        <f aca="false">Sens!$J$5085-Sens!$J$5095</f>
        <v>37.4850806511378</v>
      </c>
      <c r="K5096" s="38" t="n">
        <f aca="false">Sens!$K$5085-Sens!$K$5095</f>
        <v>41.2335887162515</v>
      </c>
      <c r="L5096" s="38" t="n">
        <f aca="false">Sens!$L$5085-Sens!$L$5095</f>
        <v>45.3569475878767</v>
      </c>
      <c r="M5096" s="38" t="n">
        <f aca="false">Sens!$M$5085-Sens!$M$5095</f>
        <v>49.8926423466644</v>
      </c>
      <c r="N5096" s="38" t="n">
        <f aca="false">Sens!$N$5085-Sens!$N$5095</f>
        <v>7.90628885875037</v>
      </c>
      <c r="O5096" s="38" t="n">
        <f aca="false">Sens!$O$5085-Sens!$O$5095</f>
        <v>11.0010536357202</v>
      </c>
    </row>
    <row r="5097" customFormat="false" ht="19.4" hidden="false" customHeight="false" outlineLevel="0" collapsed="false">
      <c r="A5097" s="31" t="s">
        <v>1154</v>
      </c>
    </row>
    <row r="5098" customFormat="false" ht="17.15" hidden="false" customHeight="false" outlineLevel="0" collapsed="false">
      <c r="A5098" s="6" t="s">
        <v>16</v>
      </c>
      <c r="B5098" s="6" t="s">
        <v>17</v>
      </c>
      <c r="C5098" s="20" t="s">
        <v>457</v>
      </c>
      <c r="D5098" s="20" t="s">
        <v>458</v>
      </c>
      <c r="E5098" s="20" t="s">
        <v>540</v>
      </c>
      <c r="F5098" s="20" t="s">
        <v>541</v>
      </c>
      <c r="G5098" s="20" t="s">
        <v>542</v>
      </c>
      <c r="H5098" s="20" t="s">
        <v>543</v>
      </c>
      <c r="I5098" s="20" t="s">
        <v>544</v>
      </c>
      <c r="J5098" s="20" t="s">
        <v>545</v>
      </c>
      <c r="K5098" s="20" t="s">
        <v>546</v>
      </c>
      <c r="L5098" s="20" t="s">
        <v>547</v>
      </c>
      <c r="M5098" s="20" t="s">
        <v>548</v>
      </c>
      <c r="N5098" s="20" t="s">
        <v>549</v>
      </c>
      <c r="O5098" s="20" t="s">
        <v>550</v>
      </c>
      <c r="P5098" s="6" t="s">
        <v>23</v>
      </c>
      <c r="R5098" s="20" t="n">
        <v>2023</v>
      </c>
      <c r="S5098" s="20" t="n">
        <v>2024</v>
      </c>
      <c r="T5098" s="20" t="n">
        <v>2025</v>
      </c>
      <c r="U5098" s="20" t="n">
        <v>2026</v>
      </c>
      <c r="V5098" s="20" t="n">
        <v>2027</v>
      </c>
      <c r="W5098" s="20" t="n">
        <v>2028</v>
      </c>
      <c r="X5098" s="20" t="n">
        <v>2029</v>
      </c>
      <c r="Y5098" s="20" t="n">
        <v>2030</v>
      </c>
      <c r="Z5098" s="20" t="n">
        <v>2031</v>
      </c>
      <c r="AA5098" s="20" t="n">
        <v>2032</v>
      </c>
    </row>
    <row r="5099" customFormat="false" ht="17.15" hidden="false" customHeight="false" outlineLevel="0" collapsed="false">
      <c r="A5099" s="1" t="s">
        <v>551</v>
      </c>
    </row>
    <row r="5100" customFormat="false" ht="17.15" hidden="false" customHeight="false" outlineLevel="0" collapsed="false">
      <c r="A5100" s="14" t="s">
        <v>552</v>
      </c>
      <c r="B5100" s="13" t="s">
        <v>108</v>
      </c>
      <c r="C5100" s="32" t="n">
        <f aca="false">mw_ye24</f>
        <v>360</v>
      </c>
      <c r="D5100" s="32" t="n">
        <f aca="false">mw_ye25</f>
        <v>1440</v>
      </c>
      <c r="E5100" s="32" t="n">
        <f aca="false">mw_open</f>
        <v>2080</v>
      </c>
      <c r="F5100" s="32" t="n">
        <f aca="false">Sens!$E$5100+pace_B*0.5</f>
        <v>3897.15</v>
      </c>
      <c r="G5100" s="32" t="n">
        <f aca="false">Sens!$F$5100</f>
        <v>3897.15</v>
      </c>
      <c r="H5100" s="32" t="n">
        <f aca="false">Sens!$G$5100+pace_B</f>
        <v>7531.45</v>
      </c>
      <c r="I5100" s="32" t="n">
        <f aca="false">Sens!$H$5100+pace_B</f>
        <v>11165.75</v>
      </c>
      <c r="J5100" s="32" t="n">
        <f aca="false">Sens!$I$5100+pace_B</f>
        <v>14800.05</v>
      </c>
      <c r="K5100" s="32" t="n">
        <f aca="false">Sens!$J$5100+pace_B</f>
        <v>18434.35</v>
      </c>
      <c r="L5100" s="32" t="n">
        <f aca="false">Sens!$K$5100+pace_B</f>
        <v>22068.65</v>
      </c>
      <c r="M5100" s="32" t="n">
        <f aca="false">Sens!$L$5100+pace_B</f>
        <v>25702.95</v>
      </c>
      <c r="N5100" s="32" t="n">
        <f aca="false">(mw_ye24+mw_ye25)/2</f>
        <v>900</v>
      </c>
      <c r="O5100" s="32" t="n">
        <f aca="false">mw_ye25</f>
        <v>1440</v>
      </c>
      <c r="P5100" s="5" t="s">
        <v>553</v>
      </c>
    </row>
    <row r="5101" customFormat="false" ht="17.15" hidden="false" customHeight="false" outlineLevel="0" collapsed="false">
      <c r="A5101" s="5" t="s">
        <v>554</v>
      </c>
      <c r="B5101" s="0" t="s">
        <v>108</v>
      </c>
      <c r="C5101" s="33" t="n">
        <f aca="false">(mw_ye23+mw_ye24)/2</f>
        <v>240</v>
      </c>
      <c r="D5101" s="33" t="n">
        <f aca="false">(Sens!$C$5100+Sens!$D$5100)/2</f>
        <v>900</v>
      </c>
      <c r="E5101" s="33" t="n">
        <f aca="false">(Sens!$D$5100+Sens!$E$5100)/2</f>
        <v>1760</v>
      </c>
      <c r="F5101" s="33" t="n">
        <f aca="false">(Sens!$E$5100+Sens!$F$5100)/2</f>
        <v>2988.575</v>
      </c>
      <c r="G5101" s="33" t="n">
        <f aca="false">(Sens!$E$5101+Sens!$F$5101)/2</f>
        <v>2374.2875</v>
      </c>
      <c r="H5101" s="33" t="n">
        <f aca="false">(Sens!$G$5100+Sens!$H$5100)/2</f>
        <v>5714.3</v>
      </c>
      <c r="I5101" s="33" t="n">
        <f aca="false">(Sens!$H$5100+Sens!$I$5100)/2</f>
        <v>9348.6</v>
      </c>
      <c r="J5101" s="33" t="n">
        <f aca="false">(Sens!$I$5100+Sens!$J$5100)/2</f>
        <v>12982.9</v>
      </c>
      <c r="K5101" s="33" t="n">
        <f aca="false">(Sens!$J$5100+Sens!$K$5100)/2</f>
        <v>16617.2</v>
      </c>
      <c r="L5101" s="33" t="n">
        <f aca="false">(Sens!$K$5100+Sens!$L$5100)/2</f>
        <v>20251.5</v>
      </c>
      <c r="M5101" s="33" t="n">
        <f aca="false">(Sens!$L$5100+Sens!$M$5100)/2</f>
        <v>23885.8</v>
      </c>
      <c r="N5101" s="33" t="n">
        <f aca="false">(Sens!$C$5100+Sens!$N$5100)/2</f>
        <v>630</v>
      </c>
      <c r="O5101" s="33" t="n">
        <f aca="false">(Sens!$N$5100+Sens!$O$5100)/2</f>
        <v>1170</v>
      </c>
    </row>
    <row r="5102" customFormat="false" ht="15" hidden="false" customHeight="false" outlineLevel="0" collapsed="false">
      <c r="A5102" s="5" t="s">
        <v>555</v>
      </c>
      <c r="B5102" s="5" t="s">
        <v>102</v>
      </c>
      <c r="C5102" s="34" t="n">
        <v>1</v>
      </c>
      <c r="D5102" s="34" t="n">
        <v>1</v>
      </c>
      <c r="E5102" s="34" t="n">
        <v>0.5</v>
      </c>
      <c r="F5102" s="34" t="n">
        <v>0.5</v>
      </c>
      <c r="G5102" s="34" t="n">
        <v>1</v>
      </c>
      <c r="H5102" s="34" t="n">
        <v>1</v>
      </c>
      <c r="I5102" s="34" t="n">
        <v>1</v>
      </c>
      <c r="J5102" s="34" t="n">
        <v>1</v>
      </c>
      <c r="K5102" s="34" t="n">
        <v>1</v>
      </c>
      <c r="L5102" s="34" t="n">
        <v>1</v>
      </c>
      <c r="M5102" s="34" t="n">
        <v>1</v>
      </c>
      <c r="N5102" s="34" t="n">
        <v>0.5</v>
      </c>
      <c r="O5102" s="34" t="n">
        <v>0.5</v>
      </c>
    </row>
    <row r="5103" customFormat="false" ht="17.15" hidden="false" customHeight="false" outlineLevel="0" collapsed="false">
      <c r="A5103" s="5" t="s">
        <v>556</v>
      </c>
      <c r="B5103" s="0" t="s">
        <v>108</v>
      </c>
      <c r="C5103" s="33" t="n">
        <f aca="false">Sens!$C$5100-mw_ye23</f>
        <v>240</v>
      </c>
      <c r="D5103" s="33" t="n">
        <f aca="false">Sens!$D$5100-Sens!$C$5100</f>
        <v>1080</v>
      </c>
      <c r="E5103" s="33" t="n">
        <f aca="false">Sens!$E$5100-Sens!$D$5100</f>
        <v>640</v>
      </c>
      <c r="F5103" s="33" t="n">
        <f aca="false">Sens!$F$5100-Sens!$E$5100</f>
        <v>1817.15</v>
      </c>
      <c r="G5103" s="33" t="n">
        <f aca="false">Sens!$E$5103+Sens!$F$5103</f>
        <v>2457.15</v>
      </c>
      <c r="H5103" s="33" t="n">
        <f aca="false">Sens!$H$5100-Sens!$G$5100</f>
        <v>3634.3</v>
      </c>
      <c r="I5103" s="33" t="n">
        <f aca="false">Sens!$I$5100-Sens!$H$5100</f>
        <v>3634.3</v>
      </c>
      <c r="J5103" s="33" t="n">
        <f aca="false">Sens!$J$5100-Sens!$I$5100</f>
        <v>3634.3</v>
      </c>
      <c r="K5103" s="33" t="n">
        <f aca="false">Sens!$K$5100-Sens!$J$5100</f>
        <v>3634.3</v>
      </c>
      <c r="L5103" s="33" t="n">
        <f aca="false">Sens!$L$5100-Sens!$K$5100</f>
        <v>3634.3</v>
      </c>
      <c r="M5103" s="33" t="n">
        <f aca="false">Sens!$M$5100-Sens!$L$5100</f>
        <v>3634.3</v>
      </c>
      <c r="N5103" s="33" t="n">
        <f aca="false">Sens!$N$5100-Sens!$C$5100</f>
        <v>540</v>
      </c>
      <c r="O5103" s="33" t="n">
        <f aca="false">Sens!$O$5100-Sens!$N$5100</f>
        <v>540</v>
      </c>
    </row>
    <row r="5104" customFormat="false" ht="17.15" hidden="false" customHeight="false" outlineLevel="0" collapsed="false">
      <c r="A5104" s="5" t="s">
        <v>557</v>
      </c>
      <c r="B5104" s="0" t="s">
        <v>108</v>
      </c>
      <c r="C5104" s="33" t="n">
        <f aca="false">Sens!$C$5103/ext_sh</f>
        <v>300</v>
      </c>
      <c r="D5104" s="33" t="n">
        <f aca="false">Sens!$D$5103/ext_sh</f>
        <v>1350</v>
      </c>
      <c r="E5104" s="33" t="n">
        <f aca="false">Sens!$E$5103/ext_sh</f>
        <v>800</v>
      </c>
      <c r="F5104" s="33" t="n">
        <f aca="false">Sens!$F$5103/ext_sh</f>
        <v>2271.4375</v>
      </c>
      <c r="G5104" s="33" t="n">
        <f aca="false">Sens!$G$5103/ext_sh</f>
        <v>3071.4375</v>
      </c>
      <c r="H5104" s="33" t="n">
        <f aca="false">Sens!$H$5103/ext_sh</f>
        <v>4542.875</v>
      </c>
      <c r="I5104" s="33" t="n">
        <f aca="false">Sens!$I$5103/ext_sh</f>
        <v>4542.875</v>
      </c>
      <c r="J5104" s="33" t="n">
        <f aca="false">Sens!$J$5103/ext_sh</f>
        <v>4542.875</v>
      </c>
      <c r="K5104" s="33" t="n">
        <f aca="false">Sens!$K$5103/ext_sh</f>
        <v>4542.875</v>
      </c>
      <c r="L5104" s="33" t="n">
        <f aca="false">Sens!$L$5103/ext_sh</f>
        <v>4542.875</v>
      </c>
      <c r="M5104" s="33" t="n">
        <f aca="false">Sens!$M$5103/ext_sh</f>
        <v>4542.875</v>
      </c>
      <c r="N5104" s="33" t="n">
        <f aca="false">Sens!$N$5103/ext_sh</f>
        <v>675</v>
      </c>
      <c r="O5104" s="33" t="n">
        <f aca="false">Sens!$O$5103/ext_sh</f>
        <v>675</v>
      </c>
      <c r="P5104" s="8" t="s">
        <v>558</v>
      </c>
      <c r="R5104" s="33" t="n">
        <f aca="false">mw_ye23/ext_sh</f>
        <v>150</v>
      </c>
      <c r="S5104" s="33" t="n">
        <f aca="false">Sens!$C$5104</f>
        <v>300</v>
      </c>
      <c r="T5104" s="33" t="n">
        <f aca="false">Sens!$D$5104</f>
        <v>1350</v>
      </c>
      <c r="U5104" s="33" t="n">
        <f aca="false">Sens!$G$5104</f>
        <v>3071.4375</v>
      </c>
      <c r="V5104" s="33" t="n">
        <f aca="false">Sens!$H$5104</f>
        <v>4542.875</v>
      </c>
      <c r="W5104" s="33" t="n">
        <f aca="false">Sens!$I$5104</f>
        <v>4542.875</v>
      </c>
      <c r="X5104" s="33" t="n">
        <f aca="false">Sens!$J$5104</f>
        <v>4542.875</v>
      </c>
      <c r="Y5104" s="33" t="n">
        <f aca="false">Sens!$K$5104</f>
        <v>4542.875</v>
      </c>
      <c r="Z5104" s="33" t="n">
        <f aca="false">Sens!$L$5104</f>
        <v>4542.875</v>
      </c>
      <c r="AA5104" s="33" t="n">
        <f aca="false">Sens!$M$5104</f>
        <v>4542.875</v>
      </c>
    </row>
    <row r="5105" customFormat="false" ht="17.15" hidden="false" customHeight="false" outlineLevel="0" collapsed="false">
      <c r="A5105" s="1" t="s">
        <v>559</v>
      </c>
    </row>
    <row r="5106" customFormat="false" ht="17.15" hidden="false" customHeight="false" outlineLevel="0" collapsed="false">
      <c r="A5106" s="0" t="s">
        <v>560</v>
      </c>
      <c r="B5106" s="0" t="s">
        <v>52</v>
      </c>
      <c r="F5106" s="35" t="n">
        <f aca="false">na_vr26</f>
        <v>0</v>
      </c>
      <c r="G5106" s="35" t="n">
        <f aca="false">na_vr26</f>
        <v>0</v>
      </c>
      <c r="H5106" s="35" t="n">
        <f aca="false">na_vr27</f>
        <v>0.5</v>
      </c>
      <c r="I5106" s="35" t="n">
        <f aca="false">na_vr28</f>
        <v>1</v>
      </c>
      <c r="J5106" s="35" t="n">
        <f aca="false">na_vr28</f>
        <v>1</v>
      </c>
      <c r="K5106" s="35" t="n">
        <f aca="false">na_vr28</f>
        <v>1</v>
      </c>
      <c r="L5106" s="35" t="n">
        <f aca="false">na_vr28</f>
        <v>1</v>
      </c>
      <c r="M5106" s="35" t="n">
        <f aca="false">na_vr28</f>
        <v>1</v>
      </c>
    </row>
    <row r="5107" customFormat="false" ht="17.15" hidden="false" customHeight="false" outlineLevel="0" collapsed="false">
      <c r="A5107" s="5" t="s">
        <v>561</v>
      </c>
      <c r="B5107" s="0" t="s">
        <v>151</v>
      </c>
      <c r="F5107" s="36" t="n">
        <f aca="false">cust_sh*tk_he_gb300*cf_chip+(1-cust_sh)*((1-Sens!$F$5106)*tk_he_gb300+Sens!$F$5106*tk_he_vr200)</f>
        <v>10.8864110021101</v>
      </c>
      <c r="G5107" s="36" t="n">
        <f aca="false">cust_sh*tk_he_gb300*cf_chip+(1-cust_sh)*((1-Sens!$G$5106)*tk_he_gb300+Sens!$G$5106*tk_he_vr200)</f>
        <v>10.8864110021101</v>
      </c>
      <c r="H5107" s="36" t="n">
        <f aca="false">cust_sh*tk_he_gb300*cf_chip+(1-cust_sh)*((1-Sens!$H$5106)*tk_he_gb300+Sens!$H$5106*tk_he_vr200)</f>
        <v>11.2211760027286</v>
      </c>
      <c r="I5107" s="36" t="n">
        <f aca="false">cust_sh*tk_he_gb300*cf_chip+(1-cust_sh)*((1-Sens!$I$5106)*tk_he_gb300+Sens!$I$5106*tk_he_vr200)</f>
        <v>11.5559410033471</v>
      </c>
      <c r="J5107" s="36" t="n">
        <f aca="false">cust_sh*tk_he_gb300*cf_chip+(1-cust_sh)*((1-Sens!$J$5106)*tk_he_gb300+Sens!$J$5106*tk_he_vr200)</f>
        <v>11.5559410033471</v>
      </c>
      <c r="K5107" s="36" t="n">
        <f aca="false">cust_sh*tk_he_gb300*cf_chip+(1-cust_sh)*((1-Sens!$K$5106)*tk_he_gb300+Sens!$K$5106*tk_he_vr200)</f>
        <v>11.5559410033471</v>
      </c>
      <c r="L5107" s="36" t="n">
        <f aca="false">cust_sh*tk_he_gb300*cf_chip+(1-cust_sh)*((1-Sens!$L$5106)*tk_he_gb300+Sens!$L$5106*tk_he_vr200)</f>
        <v>11.5559410033471</v>
      </c>
      <c r="M5107" s="36" t="n">
        <f aca="false">cust_sh*tk_he_gb300*cf_chip+(1-cust_sh)*((1-Sens!$M$5106)*tk_he_gb300+Sens!$M$5106*tk_he_vr200)</f>
        <v>11.5559410033471</v>
      </c>
    </row>
    <row r="5108" customFormat="false" ht="17.15" hidden="false" customHeight="false" outlineLevel="0" collapsed="false">
      <c r="A5108" s="5" t="s">
        <v>562</v>
      </c>
      <c r="B5108" s="0" t="s">
        <v>151</v>
      </c>
      <c r="F5108" s="36" t="n">
        <f aca="false">cust_sh*tk_ox_gb300+(1-cust_sh)*((1-Sens!$F$5106)*tk_ox_gb300+Sens!$F$5106*tk_ox_vr200)</f>
        <v>1.98263481314457</v>
      </c>
      <c r="G5108" s="36" t="n">
        <f aca="false">cust_sh*tk_ox_gb300+(1-cust_sh)*((1-Sens!$G$5106)*tk_ox_gb300+Sens!$G$5106*tk_ox_vr200)</f>
        <v>1.98263481314457</v>
      </c>
      <c r="H5108" s="36" t="n">
        <f aca="false">cust_sh*tk_ox_gb300+(1-cust_sh)*((1-Sens!$H$5106)*tk_ox_gb300+Sens!$H$5106*tk_ox_vr200)</f>
        <v>2.01034999693694</v>
      </c>
      <c r="I5108" s="36" t="n">
        <f aca="false">cust_sh*tk_ox_gb300+(1-cust_sh)*((1-Sens!$I$5106)*tk_ox_gb300+Sens!$I$5106*tk_ox_vr200)</f>
        <v>2.0380651807293</v>
      </c>
      <c r="J5108" s="36" t="n">
        <f aca="false">cust_sh*tk_ox_gb300+(1-cust_sh)*((1-Sens!$J$5106)*tk_ox_gb300+Sens!$J$5106*tk_ox_vr200)</f>
        <v>2.0380651807293</v>
      </c>
      <c r="K5108" s="36" t="n">
        <f aca="false">cust_sh*tk_ox_gb300+(1-cust_sh)*((1-Sens!$K$5106)*tk_ox_gb300+Sens!$K$5106*tk_ox_vr200)</f>
        <v>2.0380651807293</v>
      </c>
      <c r="L5108" s="36" t="n">
        <f aca="false">cust_sh*tk_ox_gb300+(1-cust_sh)*((1-Sens!$L$5106)*tk_ox_gb300+Sens!$L$5106*tk_ox_vr200)</f>
        <v>2.0380651807293</v>
      </c>
      <c r="M5108" s="36" t="n">
        <f aca="false">cust_sh*tk_ox_gb300+(1-cust_sh)*((1-Sens!$M$5106)*tk_ox_gb300+Sens!$M$5106*tk_ox_vr200)</f>
        <v>2.0380651807293</v>
      </c>
    </row>
    <row r="5109" customFormat="false" ht="17.15" hidden="false" customHeight="false" outlineLevel="0" collapsed="false">
      <c r="A5109" s="5" t="s">
        <v>563</v>
      </c>
      <c r="B5109" s="0" t="s">
        <v>170</v>
      </c>
      <c r="F5109" s="36" t="n">
        <f aca="false">cust_sh*tk_cx_gb300*cf_cx+(1-cust_sh)*((1-Sens!$F$5106)*tk_cx_gb300+Sens!$F$5106*tk_cx_vr200)</f>
        <v>32.237224</v>
      </c>
      <c r="G5109" s="36" t="n">
        <f aca="false">cust_sh*tk_cx_gb300*cf_cx+(1-cust_sh)*((1-Sens!$G$5106)*tk_cx_gb300+Sens!$G$5106*tk_cx_vr200)</f>
        <v>32.237224</v>
      </c>
      <c r="H5109" s="36" t="n">
        <f aca="false">cust_sh*tk_cx_gb300*cf_cx+(1-cust_sh)*((1-Sens!$H$5106)*tk_cx_gb300+Sens!$H$5106*tk_cx_vr200)</f>
        <v>33.574506</v>
      </c>
      <c r="I5109" s="36" t="n">
        <f aca="false">cust_sh*tk_cx_gb300*cf_cx+(1-cust_sh)*((1-Sens!$I$5106)*tk_cx_gb300+Sens!$I$5106*tk_cx_vr200)</f>
        <v>34.911788</v>
      </c>
      <c r="J5109" s="36" t="n">
        <f aca="false">cust_sh*tk_cx_gb300*cf_cx+(1-cust_sh)*((1-Sens!$J$5106)*tk_cx_gb300+Sens!$J$5106*tk_cx_vr200)</f>
        <v>34.911788</v>
      </c>
      <c r="K5109" s="36" t="n">
        <f aca="false">cust_sh*tk_cx_gb300*cf_cx+(1-cust_sh)*((1-Sens!$K$5106)*tk_cx_gb300+Sens!$K$5106*tk_cx_vr200)</f>
        <v>34.911788</v>
      </c>
      <c r="L5109" s="36" t="n">
        <f aca="false">cust_sh*tk_cx_gb300*cf_cx+(1-cust_sh)*((1-Sens!$L$5106)*tk_cx_gb300+Sens!$L$5106*tk_cx_vr200)</f>
        <v>34.911788</v>
      </c>
      <c r="M5109" s="36" t="n">
        <f aca="false">cust_sh*tk_cx_gb300*cf_cx+(1-cust_sh)*((1-Sens!$M$5106)*tk_cx_gb300+Sens!$M$5106*tk_cx_vr200)</f>
        <v>34.911788</v>
      </c>
    </row>
    <row r="5110" customFormat="false" ht="17.15" hidden="false" customHeight="false" outlineLevel="0" collapsed="false">
      <c r="A5110" s="5" t="s">
        <v>564</v>
      </c>
      <c r="B5110" s="0" t="s">
        <v>108</v>
      </c>
      <c r="F5110" s="33" t="n">
        <f aca="false">Sens!$F$5100-mw_open</f>
        <v>1817.15</v>
      </c>
      <c r="G5110" s="33" t="n">
        <f aca="false">Sens!$F$5110</f>
        <v>1817.15</v>
      </c>
      <c r="H5110" s="33" t="n">
        <f aca="false">Sens!$H$5100-mw_open</f>
        <v>5451.45</v>
      </c>
      <c r="I5110" s="33" t="n">
        <f aca="false">Sens!$I$5100-mw_open</f>
        <v>9085.75</v>
      </c>
      <c r="J5110" s="33" t="n">
        <f aca="false">Sens!$J$5100-mw_open</f>
        <v>12720.05</v>
      </c>
      <c r="K5110" s="33" t="n">
        <f aca="false">Sens!$K$5100-mw_open</f>
        <v>16354.35</v>
      </c>
      <c r="L5110" s="33" t="n">
        <f aca="false">Sens!$L$5100-mw_open</f>
        <v>19988.65</v>
      </c>
      <c r="M5110" s="33" t="n">
        <f aca="false">Sens!$M$5100-mw_open</f>
        <v>23622.95</v>
      </c>
    </row>
    <row r="5111" customFormat="false" ht="17.15" hidden="false" customHeight="false" outlineLevel="0" collapsed="false">
      <c r="A5111" s="0" t="s">
        <v>565</v>
      </c>
      <c r="B5111" s="0" t="s">
        <v>566</v>
      </c>
      <c r="F5111" s="33" t="n">
        <f aca="false">Sens!$F$5103*Sens!$F$5107</f>
        <v>19782.2417524844</v>
      </c>
      <c r="G5111" s="33" t="n">
        <f aca="false">Sens!$F$5111</f>
        <v>19782.2417524844</v>
      </c>
      <c r="H5111" s="33" t="n">
        <f aca="false">Sens!$G$5111+Sens!$H$5103*Sens!$H$5107</f>
        <v>60563.3616992009</v>
      </c>
      <c r="I5111" s="33" t="n">
        <f aca="false">Sens!$H$5111+Sens!$I$5103*Sens!$I$5107</f>
        <v>102561.118087665</v>
      </c>
      <c r="J5111" s="33" t="n">
        <f aca="false">Sens!$I$5111+Sens!$J$5103*Sens!$J$5107</f>
        <v>144558.87447613</v>
      </c>
      <c r="K5111" s="33" t="n">
        <f aca="false">Sens!$J$5111+Sens!$K$5103*Sens!$K$5107</f>
        <v>186556.630864594</v>
      </c>
      <c r="L5111" s="33" t="n">
        <f aca="false">Sens!$K$5111+Sens!$L$5103*Sens!$L$5107</f>
        <v>228554.387253058</v>
      </c>
      <c r="M5111" s="33" t="n">
        <f aca="false">Sens!$L$5111+Sens!$M$5103*Sens!$M$5107</f>
        <v>270552.143641523</v>
      </c>
    </row>
    <row r="5112" customFormat="false" ht="17.15" hidden="false" customHeight="false" outlineLevel="0" collapsed="false">
      <c r="A5112" s="0" t="s">
        <v>567</v>
      </c>
      <c r="B5112" s="0" t="s">
        <v>566</v>
      </c>
      <c r="F5112" s="33" t="n">
        <f aca="false">Sens!$F$5103*Sens!$F$5108</f>
        <v>3602.74485070566</v>
      </c>
      <c r="G5112" s="33" t="n">
        <f aca="false">Sens!$F$5112</f>
        <v>3602.74485070566</v>
      </c>
      <c r="H5112" s="33" t="n">
        <f aca="false">Sens!$G$5112+Sens!$H$5103*Sens!$H$5108</f>
        <v>10908.9598445736</v>
      </c>
      <c r="I5112" s="33" t="n">
        <f aca="false">Sens!$H$5112+Sens!$I$5103*Sens!$I$5108</f>
        <v>18315.9001308981</v>
      </c>
      <c r="J5112" s="33" t="n">
        <f aca="false">Sens!$I$5112+Sens!$J$5103*Sens!$J$5108</f>
        <v>25722.8404172225</v>
      </c>
      <c r="K5112" s="33" t="n">
        <f aca="false">Sens!$J$5112+Sens!$K$5103*Sens!$K$5108</f>
        <v>33129.780703547</v>
      </c>
      <c r="L5112" s="33" t="n">
        <f aca="false">Sens!$K$5112+Sens!$L$5103*Sens!$L$5108</f>
        <v>40536.7209898715</v>
      </c>
      <c r="M5112" s="33" t="n">
        <f aca="false">Sens!$L$5112+Sens!$M$5103*Sens!$M$5108</f>
        <v>47943.661276196</v>
      </c>
    </row>
    <row r="5113" customFormat="false" ht="17.15" hidden="false" customHeight="false" outlineLevel="0" collapsed="false">
      <c r="A5113" s="5" t="s">
        <v>568</v>
      </c>
      <c r="B5113" s="0" t="s">
        <v>151</v>
      </c>
      <c r="F5113" s="36" t="n">
        <f aca="false">IF(Sens!$F$5110&gt;0,Sens!$F$5111/Sens!$F$5110,Sens!$F$5107)</f>
        <v>10.8864110021101</v>
      </c>
      <c r="G5113" s="36" t="n">
        <f aca="false">IF(Sens!$G$5110&gt;0,Sens!$G$5111/Sens!$G$5110,Sens!$G$5107)</f>
        <v>10.8864110021101</v>
      </c>
      <c r="H5113" s="36" t="n">
        <f aca="false">IF(Sens!$H$5110&gt;0,Sens!$H$5111/Sens!$H$5110,Sens!$H$5107)</f>
        <v>11.1095876691891</v>
      </c>
      <c r="I5113" s="36" t="n">
        <f aca="false">IF(Sens!$I$5110&gt;0,Sens!$I$5111/Sens!$I$5110,Sens!$I$5107)</f>
        <v>11.2881290028523</v>
      </c>
      <c r="J5113" s="36" t="n">
        <f aca="false">IF(Sens!$J$5110&gt;0,Sens!$J$5111/Sens!$J$5110,Sens!$J$5107)</f>
        <v>11.3646467172794</v>
      </c>
      <c r="K5113" s="36" t="n">
        <f aca="false">IF(Sens!$K$5110&gt;0,Sens!$K$5111/Sens!$K$5110,Sens!$K$5107)</f>
        <v>11.4071565586278</v>
      </c>
      <c r="L5113" s="36" t="n">
        <f aca="false">IF(Sens!$L$5110&gt;0,Sens!$L$5111/Sens!$L$5110,Sens!$L$5107)</f>
        <v>11.4342082758495</v>
      </c>
      <c r="M5113" s="36" t="n">
        <f aca="false">IF(Sens!$M$5110&gt;0,Sens!$M$5111/Sens!$M$5110,Sens!$M$5107)</f>
        <v>11.4529363877722</v>
      </c>
    </row>
    <row r="5114" customFormat="false" ht="17.15" hidden="false" customHeight="false" outlineLevel="0" collapsed="false">
      <c r="A5114" s="5" t="s">
        <v>569</v>
      </c>
      <c r="B5114" s="0" t="s">
        <v>151</v>
      </c>
      <c r="F5114" s="36" t="n">
        <f aca="false">IF(Sens!$F$5110&gt;0,Sens!$F$5112/Sens!$F$5110,Sens!$F$5108)</f>
        <v>1.98263481314457</v>
      </c>
      <c r="G5114" s="36" t="n">
        <f aca="false">IF(Sens!$G$5110&gt;0,Sens!$G$5112/Sens!$G$5110,Sens!$G$5108)</f>
        <v>1.98263481314457</v>
      </c>
      <c r="H5114" s="36" t="n">
        <f aca="false">IF(Sens!$H$5110&gt;0,Sens!$H$5112/Sens!$H$5110,Sens!$H$5108)</f>
        <v>2.00111160233948</v>
      </c>
      <c r="I5114" s="36" t="n">
        <f aca="false">IF(Sens!$I$5110&gt;0,Sens!$I$5112/Sens!$I$5110,Sens!$I$5108)</f>
        <v>2.01589303369541</v>
      </c>
      <c r="J5114" s="36" t="n">
        <f aca="false">IF(Sens!$J$5110&gt;0,Sens!$J$5112/Sens!$J$5110,Sens!$J$5108)</f>
        <v>2.02222793284795</v>
      </c>
      <c r="K5114" s="36" t="n">
        <f aca="false">IF(Sens!$K$5110&gt;0,Sens!$K$5112/Sens!$K$5110,Sens!$K$5108)</f>
        <v>2.02574732126603</v>
      </c>
      <c r="L5114" s="36" t="n">
        <f aca="false">IF(Sens!$L$5110&gt;0,Sens!$L$5112/Sens!$L$5110,Sens!$L$5108)</f>
        <v>2.02798693207753</v>
      </c>
      <c r="M5114" s="36" t="n">
        <f aca="false">IF(Sens!$M$5110&gt;0,Sens!$M$5112/Sens!$M$5110,Sens!$M$5108)</f>
        <v>2.02953743187011</v>
      </c>
    </row>
    <row r="5115" customFormat="false" ht="17.15" hidden="false" customHeight="false" outlineLevel="0" collapsed="false">
      <c r="A5115" s="14" t="s">
        <v>570</v>
      </c>
      <c r="B5115" s="13" t="s">
        <v>151</v>
      </c>
      <c r="C5115" s="13"/>
      <c r="D5115" s="13"/>
      <c r="E5115" s="13"/>
      <c r="F5115" s="37" t="n">
        <f aca="false">Sens!$F$5113*k_B</f>
        <v>10.7987645808025</v>
      </c>
      <c r="G5115" s="37" t="n">
        <f aca="false">Sens!$G$5113*k_B</f>
        <v>10.7987645808025</v>
      </c>
      <c r="H5115" s="37" t="n">
        <f aca="false">Sens!$H$5113*k_B</f>
        <v>11.0201444540452</v>
      </c>
      <c r="I5115" s="37" t="n">
        <f aca="false">Sens!$I$5113*k_B</f>
        <v>11.1972483526393</v>
      </c>
      <c r="J5115" s="37" t="n">
        <f aca="false">Sens!$J$5113*k_B</f>
        <v>11.2731500234653</v>
      </c>
      <c r="K5115" s="37" t="n">
        <f aca="false">Sens!$K$5113*k_B</f>
        <v>11.3153176183687</v>
      </c>
      <c r="L5115" s="37" t="n">
        <f aca="false">Sens!$L$5113*k_B</f>
        <v>11.3421515423981</v>
      </c>
      <c r="M5115" s="37" t="n">
        <f aca="false">Sens!$M$5113*k_B</f>
        <v>11.3607288744184</v>
      </c>
      <c r="N5115" s="13"/>
      <c r="O5115" s="13"/>
      <c r="P5115" s="5" t="s">
        <v>571</v>
      </c>
    </row>
    <row r="5116" customFormat="false" ht="17.15" hidden="false" customHeight="false" outlineLevel="0" collapsed="false">
      <c r="A5116" s="5" t="s">
        <v>572</v>
      </c>
      <c r="B5116" s="0" t="s">
        <v>108</v>
      </c>
      <c r="F5116" s="33" t="n">
        <f aca="false">Sens!$F$5110/2</f>
        <v>908.575</v>
      </c>
      <c r="H5116" s="33" t="n">
        <f aca="false">(Sens!$G$5110+Sens!$H$5110)/2</f>
        <v>3634.3</v>
      </c>
      <c r="I5116" s="33" t="n">
        <f aca="false">(Sens!$H$5110+Sens!$I$5110)/2</f>
        <v>7268.6</v>
      </c>
      <c r="J5116" s="33" t="n">
        <f aca="false">(Sens!$I$5110+Sens!$J$5110)/2</f>
        <v>10902.9</v>
      </c>
      <c r="K5116" s="33" t="n">
        <f aca="false">(Sens!$J$5110+Sens!$K$5110)/2</f>
        <v>14537.2</v>
      </c>
      <c r="L5116" s="33" t="n">
        <f aca="false">(Sens!$K$5110+Sens!$L$5110)/2</f>
        <v>18171.5</v>
      </c>
      <c r="M5116" s="33" t="n">
        <f aca="false">(Sens!$L$5110+Sens!$M$5110)/2</f>
        <v>21805.8</v>
      </c>
    </row>
    <row r="5117" customFormat="false" ht="17.15" hidden="false" customHeight="false" outlineLevel="0" collapsed="false">
      <c r="A5117" s="1" t="s">
        <v>573</v>
      </c>
    </row>
    <row r="5118" customFormat="false" ht="17.15" hidden="false" customHeight="false" outlineLevel="0" collapsed="false">
      <c r="A5118" s="1" t="s">
        <v>574</v>
      </c>
      <c r="B5118" s="8" t="s">
        <v>73</v>
      </c>
      <c r="C5118" s="38" t="n">
        <f aca="false">Sens!$C$5101*rpm_open*Sens!$C$5102/1000</f>
        <v>2.32100535697364</v>
      </c>
      <c r="D5118" s="38" t="n">
        <f aca="false">Sens!$D$5101*rpm_open*Sens!$D$5102/1000</f>
        <v>8.70377008865116</v>
      </c>
      <c r="E5118" s="38" t="n">
        <f aca="false">Sens!$E$5101*rpm_open*Sens!$E$5102/1000</f>
        <v>8.51035297557002</v>
      </c>
      <c r="F5118" s="38" t="n">
        <f aca="false">(mw_open*rpm_open+Sens!$F$5116*Sens!$F$5115)*Sens!$F$5102/1000</f>
        <v>14.9634336447205</v>
      </c>
      <c r="G5118" s="38" t="n">
        <f aca="false">Sens!$E$5118+Sens!$F$5118</f>
        <v>23.4737866202905</v>
      </c>
      <c r="H5118" s="38" t="n">
        <f aca="false">(mw_open*rpm_open+Sens!$H$5116*Sens!$H$5115)/1000</f>
        <v>60.1658907497746</v>
      </c>
      <c r="I5118" s="38" t="n">
        <f aca="false">(mw_open*rpm_open+Sens!$I$5116*Sens!$I$5115)/1000</f>
        <v>101.503699136432</v>
      </c>
      <c r="J5118" s="38" t="n">
        <f aca="false">(mw_open*rpm_open+Sens!$J$5116*Sens!$J$5115)/1000</f>
        <v>143.025407151278</v>
      </c>
      <c r="K5118" s="38" t="n">
        <f aca="false">(mw_open*rpm_open+Sens!$K$5116*Sens!$K$5115)/1000</f>
        <v>184.608415042187</v>
      </c>
      <c r="L5118" s="38" t="n">
        <f aca="false">(mw_open*rpm_open+Sens!$L$5116*Sens!$L$5115)/1000</f>
        <v>226.219286513125</v>
      </c>
      <c r="M5118" s="38" t="n">
        <f aca="false">(mw_open*rpm_open+Sens!$M$5116*Sens!$M$5115)/1000</f>
        <v>267.845161450232</v>
      </c>
      <c r="N5118" s="38" t="n">
        <f aca="false">Sens!$N$5101*rpm_open*Sens!$N$5102/1000</f>
        <v>3.04631953102791</v>
      </c>
      <c r="O5118" s="38" t="n">
        <f aca="false">Sens!$O$5101*rpm_open*Sens!$O$5102/1000</f>
        <v>5.65745055762326</v>
      </c>
      <c r="P5118" s="5" t="s">
        <v>575</v>
      </c>
    </row>
    <row r="5119" customFormat="false" ht="17.15" hidden="false" customHeight="false" outlineLevel="0" collapsed="false">
      <c r="A5119" s="5" t="s">
        <v>576</v>
      </c>
      <c r="B5119" s="0" t="s">
        <v>151</v>
      </c>
      <c r="C5119" s="36" t="n">
        <f aca="false">Sens!$C$5118*1000/(Sens!$C$5101*Sens!$C$5102)</f>
        <v>9.67085565405685</v>
      </c>
      <c r="D5119" s="36" t="n">
        <f aca="false">Sens!$D$5118*1000/(Sens!$D$5101*Sens!$D$5102)</f>
        <v>9.67085565405685</v>
      </c>
      <c r="E5119" s="36" t="n">
        <f aca="false">Sens!$E$5118*1000/(Sens!$E$5101*Sens!$E$5102)</f>
        <v>9.67085565405685</v>
      </c>
      <c r="F5119" s="36" t="n">
        <f aca="false">Sens!$F$5118*1000/(Sens!$F$5101*Sens!$F$5102)</f>
        <v>10.0137581588017</v>
      </c>
      <c r="G5119" s="36" t="n">
        <f aca="false">Sens!$G$5118*1000/(Sens!$G$5101*Sens!$G$5102)</f>
        <v>9.88666562928478</v>
      </c>
      <c r="H5119" s="36" t="n">
        <f aca="false">Sens!$H$5118*1000/(Sens!$H$5101*Sens!$H$5102)</f>
        <v>10.5290045586992</v>
      </c>
      <c r="I5119" s="36" t="n">
        <f aca="false">Sens!$I$5118*1000/(Sens!$I$5101*Sens!$I$5102)</f>
        <v>10.8576363451674</v>
      </c>
      <c r="J5119" s="36" t="n">
        <f aca="false">Sens!$J$5118*1000/(Sens!$J$5101*Sens!$J$5102)</f>
        <v>11.0164452588619</v>
      </c>
      <c r="K5119" s="36" t="n">
        <f aca="false">Sens!$K$5118*1000/(Sens!$K$5101*Sens!$K$5102)</f>
        <v>11.1094778327388</v>
      </c>
      <c r="L5119" s="36" t="n">
        <f aca="false">Sens!$L$5118*1000/(Sens!$L$5101*Sens!$L$5102)</f>
        <v>11.1704953466718</v>
      </c>
      <c r="M5119" s="36" t="n">
        <f aca="false">Sens!$M$5118*1000/(Sens!$M$5101*Sens!$M$5102)</f>
        <v>11.2135729785158</v>
      </c>
      <c r="N5119" s="36" t="n">
        <f aca="false">Sens!$N$5118*1000/(Sens!$N$5101*Sens!$N$5102)</f>
        <v>9.67085565405685</v>
      </c>
      <c r="O5119" s="36" t="n">
        <f aca="false">Sens!$O$5118*1000/(Sens!$O$5101*Sens!$O$5102)</f>
        <v>9.67085565405685</v>
      </c>
    </row>
    <row r="5120" customFormat="false" ht="17.15" hidden="false" customHeight="false" outlineLevel="0" collapsed="false">
      <c r="A5120" s="0" t="s">
        <v>577</v>
      </c>
      <c r="B5120" s="0" t="s">
        <v>73</v>
      </c>
      <c r="C5120" s="38" t="n">
        <f aca="false">Sens!$C$5101/ext_sh*(ox_open+rent_mw)*Sens!$C$5102/1000</f>
        <v>0.642569210675032</v>
      </c>
      <c r="D5120" s="38" t="n">
        <f aca="false">Sens!$D$5101/ext_sh*(ox_open+rent_mw)*Sens!$D$5102/1000</f>
        <v>2.40963454003137</v>
      </c>
      <c r="E5120" s="38" t="n">
        <f aca="false">Sens!$E$5101/ext_sh*(ox_open+rent_mw)*Sens!$E$5102/1000</f>
        <v>2.35608710580845</v>
      </c>
      <c r="F5120" s="38" t="n">
        <f aca="false">((mw_open*ox_open+Sens!$F$5116*Sens!$F$5114)/ext_sh+Sens!$F$5101/ext_sh*rent_mw)*Sens!$F$5102/1000</f>
        <v>4.05421991106232</v>
      </c>
      <c r="G5120" s="38" t="n">
        <f aca="false">Sens!$E$5120+Sens!$F$5120</f>
        <v>6.41030701687077</v>
      </c>
      <c r="H5120" s="38" t="n">
        <f aca="false">((mw_open*ox_open+Sens!$H$5116*Sens!$H$5114)/ext_sh+Sens!$H$5101/ext_sh*rent_mw)*Sens!$H$5102/1000</f>
        <v>15.8108975546616</v>
      </c>
      <c r="I5120" s="38" t="n">
        <f aca="false">((mw_open*ox_open+Sens!$I$5116*Sens!$I$5114)/ext_sh+Sens!$I$5101/ext_sh*rent_mw)*Sens!$I$5102/1000</f>
        <v>26.1871623400817</v>
      </c>
      <c r="J5120" s="38" t="n">
        <f aca="false">((mw_open*ox_open+Sens!$J$5116*Sens!$J$5114)/ext_sh+Sens!$J$5101/ext_sh*rent_mw)*Sens!$J$5102/1000</f>
        <v>36.5826128954935</v>
      </c>
      <c r="K5120" s="38" t="n">
        <f aca="false">((mw_open*ox_open+Sens!$K$5116*Sens!$K$5114)/ext_sh+Sens!$K$5101/ext_sh*rent_mw)*Sens!$K$5102/1000</f>
        <v>46.9844587075692</v>
      </c>
      <c r="L5120" s="38" t="n">
        <f aca="false">((mw_open*ox_open+Sens!$L$5116*Sens!$L$5114)/ext_sh+Sens!$L$5101/ext_sh*rent_mw)*Sens!$L$5102/1000</f>
        <v>57.3892114544922</v>
      </c>
      <c r="M5120" s="38" t="n">
        <f aca="false">((mw_open*ox_open+Sens!$M$5116*Sens!$M$5114)/ext_sh+Sens!$M$5101/ext_sh*rent_mw)*Sens!$M$5102/1000</f>
        <v>67.7955294740252</v>
      </c>
      <c r="N5120" s="38" t="n">
        <f aca="false">Sens!$N$5101/ext_sh*(ox_open+rent_mw)*Sens!$N$5102/1000</f>
        <v>0.84337208901098</v>
      </c>
      <c r="O5120" s="38" t="n">
        <f aca="false">Sens!$O$5101/ext_sh*(ox_open+rent_mw)*Sens!$O$5102/1000</f>
        <v>1.56626245102039</v>
      </c>
    </row>
    <row r="5121" customFormat="false" ht="17.15" hidden="false" customHeight="false" outlineLevel="0" collapsed="false">
      <c r="A5121" s="0" t="s">
        <v>578</v>
      </c>
      <c r="B5121" s="0" t="s">
        <v>73</v>
      </c>
      <c r="C5121" s="38" t="n">
        <f aca="false">Q!$D$7</f>
        <v>107.556</v>
      </c>
      <c r="D5121" s="38" t="n">
        <f aca="false">Q!$E$7</f>
        <v>128.725</v>
      </c>
      <c r="E5121" s="38" t="n">
        <f aca="false">Q!$P$7</f>
        <v>79.819</v>
      </c>
      <c r="N5121" s="38" t="n">
        <f aca="false">Q!$N$7</f>
        <v>60.14</v>
      </c>
      <c r="O5121" s="38" t="n">
        <f aca="false">Q!$O$7</f>
        <v>68.585</v>
      </c>
    </row>
    <row r="5122" customFormat="false" ht="17.15" hidden="false" customHeight="false" outlineLevel="0" collapsed="false">
      <c r="A5122" s="1" t="s">
        <v>579</v>
      </c>
      <c r="B5122" s="8" t="s">
        <v>73</v>
      </c>
      <c r="C5122" s="38" t="n">
        <f aca="false">Sens!$C$5121-Sens!$C$5118</f>
        <v>105.234994643026</v>
      </c>
      <c r="D5122" s="38" t="n">
        <f aca="false">Sens!$D$5121-Sens!$D$5118</f>
        <v>120.021229911349</v>
      </c>
      <c r="E5122" s="38" t="n">
        <f aca="false">Sens!$E$5121-Sens!$E$5118</f>
        <v>71.30864702443</v>
      </c>
      <c r="F5122" s="38" t="n">
        <f aca="false">Sens!$O$5122*(1+Sens!$F$5123)</f>
        <v>78.5950104186653</v>
      </c>
      <c r="G5122" s="38" t="n">
        <f aca="false">Sens!$E$5122+Sens!$F$5122</f>
        <v>149.903657443095</v>
      </c>
      <c r="H5122" s="38" t="n">
        <f aca="false">Sens!$G$5122*(1+Sens!$H$5123)</f>
        <v>180.893560768142</v>
      </c>
      <c r="I5122" s="38" t="n">
        <f aca="false">Sens!$H$5122*(1+Sens!$I$5123)</f>
        <v>210.64839721501</v>
      </c>
      <c r="J5122" s="38" t="n">
        <f aca="false">Sens!$I$5122*(1+Sens!$J$5123)</f>
        <v>236.398909446495</v>
      </c>
      <c r="K5122" s="38" t="n">
        <f aca="false">Sens!$J$5122*(1+Sens!$K$5123)</f>
        <v>255.310822202215</v>
      </c>
      <c r="L5122" s="38" t="n">
        <f aca="false">Sens!$K$5122*(1+Sens!$L$5123)</f>
        <v>275.735687978392</v>
      </c>
      <c r="M5122" s="38" t="n">
        <f aca="false">Sens!$L$5122*(1+Sens!$M$5123)</f>
        <v>297.794543016663</v>
      </c>
      <c r="N5122" s="38" t="n">
        <f aca="false">Sens!$N$5121-Sens!$N$5118</f>
        <v>57.0936804689721</v>
      </c>
      <c r="O5122" s="38" t="n">
        <f aca="false">Sens!$O$5121-Sens!$O$5118</f>
        <v>62.9275494423768</v>
      </c>
      <c r="P5122" s="5" t="s">
        <v>580</v>
      </c>
    </row>
    <row r="5123" customFormat="false" ht="17.15" hidden="false" customHeight="false" outlineLevel="0" collapsed="false">
      <c r="A5123" s="0" t="s">
        <v>581</v>
      </c>
      <c r="B5123" s="0" t="s">
        <v>52</v>
      </c>
      <c r="E5123" s="12" t="n">
        <f aca="false">Sens!$E$5122/Sens!$N$5122-1</f>
        <v>0.248976181579029</v>
      </c>
      <c r="F5123" s="12" t="n">
        <f aca="false">Sens!$E$5123</f>
        <v>0.248976181579029</v>
      </c>
      <c r="G5123" s="12" t="n">
        <f aca="false">Sens!$G$5122/Sens!$D$5122-1</f>
        <v>0.248976181579029</v>
      </c>
      <c r="H5123" s="12" t="n">
        <f aca="false">Sens!$E$5123+(g_awso_lt-Sens!$E$5123)*1/4</f>
        <v>0.206732136184272</v>
      </c>
      <c r="I5123" s="12" t="n">
        <f aca="false">Sens!$E$5123+(g_awso_lt-Sens!$E$5123)*2/4</f>
        <v>0.164488090789515</v>
      </c>
      <c r="J5123" s="12" t="n">
        <f aca="false">Sens!$E$5123+(g_awso_lt-Sens!$E$5123)*3/4</f>
        <v>0.122244045394757</v>
      </c>
      <c r="K5123" s="12" t="n">
        <f aca="false">Sens!$E$5123+(g_awso_lt-Sens!$E$5123)*4/4</f>
        <v>0.08</v>
      </c>
      <c r="L5123" s="12" t="n">
        <f aca="false">g_awso_lt</f>
        <v>0.08</v>
      </c>
      <c r="M5123" s="12" t="n">
        <f aca="false">g_awso_lt</f>
        <v>0.08</v>
      </c>
      <c r="P5123" s="8" t="s">
        <v>582</v>
      </c>
    </row>
    <row r="5124" customFormat="false" ht="17.15" hidden="false" customHeight="false" outlineLevel="0" collapsed="false">
      <c r="A5124" s="1" t="s">
        <v>583</v>
      </c>
    </row>
    <row r="5125" customFormat="false" ht="17.15" hidden="false" customHeight="false" outlineLevel="0" collapsed="false">
      <c r="A5125" s="0" t="s">
        <v>584</v>
      </c>
      <c r="B5125" s="0" t="s">
        <v>73</v>
      </c>
      <c r="F5125" s="38" t="n">
        <f aca="false">cx_rt*Sens!$F$5091+cx_awso*Sens!$F$5122</f>
        <v>36.8045765066526</v>
      </c>
    </row>
    <row r="5126" customFormat="false" ht="17.15" hidden="false" customHeight="false" outlineLevel="0" collapsed="false">
      <c r="A5126" s="0" t="s">
        <v>585</v>
      </c>
      <c r="B5126" s="0" t="s">
        <v>52</v>
      </c>
      <c r="C5126" s="12" t="n">
        <f aca="false">tk_cx_h100/(tk_cx_h100+tk_fac*(1-colo_sh))</f>
        <v>0.730756458006641</v>
      </c>
      <c r="D5126" s="12" t="n">
        <f aca="false">tk_cx_h100/(tk_cx_h100+tk_fac*(1-colo_sh))</f>
        <v>0.730756458006641</v>
      </c>
      <c r="E5126" s="12" t="n">
        <f aca="false">Sens!$F$5126</f>
        <v>0.760792334328868</v>
      </c>
      <c r="F5126" s="12" t="n">
        <f aca="false">Sens!$F$5109/(Sens!$F$5109+tk_fac*(1-colo_sh))</f>
        <v>0.760792334328868</v>
      </c>
      <c r="G5126" s="12" t="n">
        <f aca="false">Sens!$G$5109/(Sens!$G$5109+tk_fac*(1-colo_sh))</f>
        <v>0.760792334328868</v>
      </c>
      <c r="H5126" s="12" t="n">
        <f aca="false">Sens!$H$5109/(Sens!$H$5109+tk_fac*(1-colo_sh))</f>
        <v>0.768110668862996</v>
      </c>
      <c r="I5126" s="12" t="n">
        <f aca="false">Sens!$I$5109/(Sens!$I$5109+tk_fac*(1-colo_sh))</f>
        <v>0.77499450139483</v>
      </c>
      <c r="J5126" s="12" t="n">
        <f aca="false">Sens!$J$5109/(Sens!$J$5109+tk_fac*(1-colo_sh))</f>
        <v>0.77499450139483</v>
      </c>
      <c r="K5126" s="12" t="n">
        <f aca="false">Sens!$K$5109/(Sens!$K$5109+tk_fac*(1-colo_sh))</f>
        <v>0.77499450139483</v>
      </c>
      <c r="L5126" s="12" t="n">
        <f aca="false">Sens!$L$5109/(Sens!$L$5109+tk_fac*(1-colo_sh))</f>
        <v>0.77499450139483</v>
      </c>
      <c r="M5126" s="12" t="n">
        <f aca="false">Sens!$M$5109/(Sens!$M$5109+tk_fac*(1-colo_sh))</f>
        <v>0.77499450139483</v>
      </c>
    </row>
    <row r="5127" customFormat="false" ht="17.15" hidden="false" customHeight="false" outlineLevel="0" collapsed="false">
      <c r="A5127" s="1" t="s">
        <v>586</v>
      </c>
      <c r="B5127" s="8" t="s">
        <v>73</v>
      </c>
      <c r="C5127" s="38" t="n">
        <f aca="false">Q!$D$46-cx_rt*Q!$D$16-cx_awso*Sens!$C$5122</f>
        <v>25.2781053077374</v>
      </c>
      <c r="D5127" s="38" t="n">
        <f aca="false">Q!$E$46-cx_rt*Q!$E$16-cx_awso*Sens!$D$5122</f>
        <v>69.5686316310026</v>
      </c>
      <c r="E5127" s="38" t="n">
        <f aca="false">Q!$P$46-cx_rt*Q!$P$16-cx_awso*Sens!$E$5122</f>
        <v>64.1899206485108</v>
      </c>
      <c r="F5127" s="38" t="n">
        <f aca="false">MAX(Sens!$F$5104*(Sens!$F$5109+tk_fac*(1-colo_sh))/1000,capex_g26-Q!$P$46-Sens!$F$5125)</f>
        <v>96.2481299895</v>
      </c>
      <c r="G5127" s="38" t="n">
        <f aca="false">Sens!$E$5127+Sens!$F$5127</f>
        <v>160.438050638011</v>
      </c>
      <c r="H5127" s="38" t="n">
        <f aca="false">Sens!$H$5104*(Sens!$H$5109+tk_fac*(1-colo_sh))/1000+Sens!$H$5128</f>
        <v>198.57136494475</v>
      </c>
      <c r="I5127" s="38" t="n">
        <f aca="false">Sens!$I$5104*(Sens!$I$5109+tk_fac*(1-colo_sh))/1000+Sens!$I$5128</f>
        <v>204.6464699105</v>
      </c>
      <c r="J5127" s="38" t="n">
        <f aca="false">Sens!$J$5104*(Sens!$J$5109+tk_fac*(1-colo_sh))/1000+Sens!$J$5128</f>
        <v>209.8832381105</v>
      </c>
      <c r="K5127" s="38" t="n">
        <f aca="false">Sens!$K$5104*(Sens!$K$5109+tk_fac*(1-colo_sh))/1000+Sens!$K$5128</f>
        <v>215.1200063105</v>
      </c>
      <c r="L5127" s="38" t="n">
        <f aca="false">Sens!$L$5104*(Sens!$L$5109+tk_fac*(1-colo_sh))/1000+Sens!$L$5128</f>
        <v>251.7773837105</v>
      </c>
      <c r="M5127" s="38" t="n">
        <f aca="false">Sens!$M$5104*(Sens!$M$5109+tk_fac*(1-colo_sh))/1000+Sens!$M$5128</f>
        <v>311.87584476575</v>
      </c>
      <c r="P5127" s="5" t="s">
        <v>587</v>
      </c>
      <c r="R5127" s="38" t="n">
        <f aca="false">Q!$C$46-cx_rt*Q!$C$16-cx_awso*(Q!$C$7-mw_ye23/2*rpm_open/1000)</f>
        <v>1.50429979529945</v>
      </c>
      <c r="S5127" s="38" t="n">
        <f aca="false">Sens!$C$5127</f>
        <v>25.2781053077374</v>
      </c>
      <c r="T5127" s="38" t="n">
        <f aca="false">Sens!$D$5127</f>
        <v>69.5686316310026</v>
      </c>
      <c r="U5127" s="38" t="n">
        <f aca="false">Sens!$G$5127</f>
        <v>160.438050638011</v>
      </c>
      <c r="V5127" s="38" t="n">
        <f aca="false">Sens!$H$5127</f>
        <v>198.57136494475</v>
      </c>
      <c r="W5127" s="38" t="n">
        <f aca="false">Sens!$I$5127</f>
        <v>204.6464699105</v>
      </c>
      <c r="X5127" s="38" t="n">
        <f aca="false">Sens!$J$5127</f>
        <v>209.8832381105</v>
      </c>
      <c r="Y5127" s="38" t="n">
        <f aca="false">Sens!$K$5127</f>
        <v>215.1200063105</v>
      </c>
      <c r="Z5127" s="38" t="n">
        <f aca="false">Sens!$L$5127</f>
        <v>251.7773837105</v>
      </c>
      <c r="AA5127" s="38" t="n">
        <f aca="false">Sens!$M$5127</f>
        <v>311.87584476575</v>
      </c>
    </row>
    <row r="5128" customFormat="false" ht="17.15" hidden="false" customHeight="false" outlineLevel="0" collapsed="false">
      <c r="A5128" s="0" t="s">
        <v>588</v>
      </c>
      <c r="B5128" s="0" t="s">
        <v>73</v>
      </c>
      <c r="H5128" s="38" t="n">
        <f aca="false">SUMPRODUCT(--(Sens!$R$5098:$AA$5098=2027-tk_life),Sens!$R$5104:$AA$5104)*Sens!$H$5109/1000</f>
        <v>0</v>
      </c>
      <c r="I5128" s="38" t="n">
        <f aca="false">SUMPRODUCT(--(Sens!$R$5098:$AA$5098=2028-tk_life),Sens!$R$5104:$AA$5104)*Sens!$I$5109/1000</f>
        <v>0</v>
      </c>
      <c r="J5128" s="38" t="n">
        <f aca="false">SUMPRODUCT(--(Sens!$R$5098:$AA$5098=2029-tk_life),Sens!$R$5104:$AA$5104)*Sens!$J$5109/1000</f>
        <v>5.2367682</v>
      </c>
      <c r="K5128" s="38" t="n">
        <f aca="false">SUMPRODUCT(--(Sens!$R$5098:$AA$5098=2030-tk_life),Sens!$R$5104:$AA$5104)*Sens!$K$5109/1000</f>
        <v>10.4735364</v>
      </c>
      <c r="L5128" s="38" t="n">
        <f aca="false">SUMPRODUCT(--(Sens!$R$5098:$AA$5098=2031-tk_life),Sens!$R$5104:$AA$5104)*Sens!$L$5109/1000</f>
        <v>47.1309138</v>
      </c>
      <c r="M5128" s="38" t="n">
        <f aca="false">SUMPRODUCT(--(Sens!$R$5098:$AA$5098=2032-tk_life),Sens!$R$5104:$AA$5104)*Sens!$M$5109/1000</f>
        <v>107.22937485525</v>
      </c>
    </row>
    <row r="5129" customFormat="false" ht="17.15" hidden="false" customHeight="false" outlineLevel="0" collapsed="false">
      <c r="A5129" s="5" t="s">
        <v>589</v>
      </c>
      <c r="B5129" s="0" t="s">
        <v>73</v>
      </c>
      <c r="C5129" s="38" t="n">
        <f aca="false">Sens!$C$5127*Sens!$C$5126</f>
        <v>18.472138699801</v>
      </c>
      <c r="D5129" s="38" t="n">
        <f aca="false">Sens!$D$5127*Sens!$D$5126</f>
        <v>50.8377268390402</v>
      </c>
      <c r="E5129" s="38" t="n">
        <f aca="false">Sens!$E$5127*Sens!$E$5126</f>
        <v>48.8351995705653</v>
      </c>
      <c r="F5129" s="38" t="n">
        <f aca="false">Sens!$F$5127*Sens!$F$5126</f>
        <v>73.2248394895</v>
      </c>
      <c r="G5129" s="38" t="n">
        <f aca="false">Sens!$E$5129+Sens!$F$5129</f>
        <v>122.060039060065</v>
      </c>
      <c r="H5129" s="38" t="n">
        <f aca="false">(Sens!$H$5127-Sens!$H$5128)*Sens!$H$5126+Sens!$H$5128</f>
        <v>152.52478394475</v>
      </c>
      <c r="I5129" s="38" t="n">
        <f aca="false">(Sens!$I$5127-Sens!$I$5128)*Sens!$I$5126+Sens!$I$5128</f>
        <v>158.5998889105</v>
      </c>
      <c r="J5129" s="38" t="n">
        <f aca="false">(Sens!$J$5127-Sens!$J$5128)*Sens!$J$5126+Sens!$J$5128</f>
        <v>163.8366571105</v>
      </c>
      <c r="K5129" s="38" t="n">
        <f aca="false">(Sens!$K$5127-Sens!$K$5128)*Sens!$K$5126+Sens!$K$5128</f>
        <v>169.0734253105</v>
      </c>
      <c r="L5129" s="38" t="n">
        <f aca="false">(Sens!$L$5127-Sens!$L$5128)*Sens!$L$5126+Sens!$L$5128</f>
        <v>205.7308027105</v>
      </c>
      <c r="M5129" s="38" t="n">
        <f aca="false">(Sens!$M$5127-Sens!$M$5128)*Sens!$M$5126+Sens!$M$5128</f>
        <v>265.82926376575</v>
      </c>
      <c r="R5129" s="38" t="n">
        <f aca="false">Sens!$R$5127*Sens!$C$5126</f>
        <v>1.09927679019314</v>
      </c>
      <c r="S5129" s="38" t="n">
        <f aca="false">Sens!$C$5129</f>
        <v>18.472138699801</v>
      </c>
      <c r="T5129" s="38" t="n">
        <f aca="false">Sens!$D$5129</f>
        <v>50.8377268390402</v>
      </c>
      <c r="U5129" s="38" t="n">
        <f aca="false">Sens!$G$5129</f>
        <v>122.060039060065</v>
      </c>
      <c r="V5129" s="38" t="n">
        <f aca="false">Sens!$H$5129</f>
        <v>152.52478394475</v>
      </c>
      <c r="W5129" s="38" t="n">
        <f aca="false">Sens!$I$5129</f>
        <v>158.5998889105</v>
      </c>
      <c r="X5129" s="38" t="n">
        <f aca="false">Sens!$J$5129</f>
        <v>163.8366571105</v>
      </c>
      <c r="Y5129" s="38" t="n">
        <f aca="false">Sens!$K$5129</f>
        <v>169.0734253105</v>
      </c>
      <c r="Z5129" s="38" t="n">
        <f aca="false">Sens!$L$5129</f>
        <v>205.7308027105</v>
      </c>
      <c r="AA5129" s="38" t="n">
        <f aca="false">Sens!$M$5129</f>
        <v>265.82926376575</v>
      </c>
    </row>
    <row r="5130" customFormat="false" ht="15" hidden="false" customHeight="false" outlineLevel="0" collapsed="false">
      <c r="A5130" s="5" t="s">
        <v>590</v>
      </c>
      <c r="B5130" s="0" t="s">
        <v>73</v>
      </c>
      <c r="R5130" s="38" t="n">
        <f aca="false">Sens!$R$5127-Sens!$R$5129</f>
        <v>0.405023005106309</v>
      </c>
      <c r="S5130" s="38" t="n">
        <f aca="false">Sens!$S$5127-Sens!$S$5129</f>
        <v>6.80596660793636</v>
      </c>
      <c r="T5130" s="38" t="n">
        <f aca="false">Sens!$T$5127-Sens!$T$5129</f>
        <v>18.7309047919624</v>
      </c>
      <c r="U5130" s="38" t="n">
        <f aca="false">Sens!$U$5127-Sens!$U$5129</f>
        <v>38.3780115779455</v>
      </c>
      <c r="V5130" s="38" t="n">
        <f aca="false">Sens!$V$5127-Sens!$V$5129</f>
        <v>46.046581</v>
      </c>
      <c r="W5130" s="38" t="n">
        <f aca="false">Sens!$W$5127-Sens!$W$5129</f>
        <v>46.046581</v>
      </c>
      <c r="X5130" s="38" t="n">
        <f aca="false">Sens!$X$5127-Sens!$X$5129</f>
        <v>46.046581</v>
      </c>
      <c r="Y5130" s="38" t="n">
        <f aca="false">Sens!$Y$5127-Sens!$Y$5129</f>
        <v>46.046581</v>
      </c>
      <c r="Z5130" s="38" t="n">
        <f aca="false">Sens!$Z$5127-Sens!$Z$5129</f>
        <v>46.046581</v>
      </c>
      <c r="AA5130" s="38" t="n">
        <f aca="false">Sens!$AA$5127-Sens!$AA$5129</f>
        <v>46.046581</v>
      </c>
    </row>
    <row r="5131" customFormat="false" ht="17.15" hidden="false" customHeight="false" outlineLevel="0" collapsed="false">
      <c r="A5131" s="0" t="s">
        <v>591</v>
      </c>
      <c r="B5131" s="0" t="s">
        <v>73</v>
      </c>
      <c r="C5131" s="38" t="n">
        <f aca="false">Sens!$S$5131</f>
        <v>0.183212798365523</v>
      </c>
      <c r="D5131" s="38" t="n">
        <f aca="false">Sens!$T$5131</f>
        <v>3.2619025816657</v>
      </c>
      <c r="E5131" s="38" t="n">
        <f aca="false">Sens!$G$5131/2</f>
        <v>5.86742852741953</v>
      </c>
      <c r="F5131" s="38" t="n">
        <f aca="false">Sens!$G$5131/2</f>
        <v>5.86742852741953</v>
      </c>
      <c r="G5131" s="38" t="n">
        <f aca="false">Sens!$U$5131</f>
        <v>11.7348570548391</v>
      </c>
      <c r="H5131" s="38" t="n">
        <f aca="false">Sens!$V$5131</f>
        <v>32.0781968981833</v>
      </c>
      <c r="I5131" s="38" t="n">
        <f aca="false">Sens!$W$5131</f>
        <v>57.4989942223083</v>
      </c>
      <c r="J5131" s="38" t="n">
        <f aca="false">Sens!$X$5131</f>
        <v>83.932309040725</v>
      </c>
      <c r="K5131" s="38" t="n">
        <f aca="false">Sens!$Y$5131</f>
        <v>111.055205760776</v>
      </c>
      <c r="L5131" s="38" t="n">
        <f aca="false">Sens!$Z$5131</f>
        <v>136.155420195893</v>
      </c>
      <c r="M5131" s="38" t="n">
        <f aca="false">Sens!$AA$5131</f>
        <v>161.970932841136</v>
      </c>
      <c r="N5131" s="38" t="n">
        <f aca="false">Sens!$D$5131/2</f>
        <v>1.63095129083285</v>
      </c>
      <c r="O5131" s="38" t="n">
        <f aca="false">Sens!$D$5131/2</f>
        <v>1.63095129083285</v>
      </c>
      <c r="R5131" s="38" t="n">
        <f aca="false">SUMPRODUCT(--(Sens!$R$5098:$AA$5098&lt;Sens!R$5098),--(Sens!$R$5098:$AA$5098&gt;=Sens!R$5098-tk_life),Sens!$R$5129:$AA$5129)/tk_life</f>
        <v>0</v>
      </c>
      <c r="S5131" s="38" t="n">
        <f aca="false">SUMPRODUCT(--(Sens!$R$5098:$AA$5098&lt;Sens!S$5098),--(Sens!$R$5098:$AA$5098&gt;=Sens!S$5098-tk_life),Sens!$R$5129:$AA$5129)/tk_life</f>
        <v>0.183212798365523</v>
      </c>
      <c r="T5131" s="38" t="n">
        <f aca="false">SUMPRODUCT(--(Sens!$R$5098:$AA$5098&lt;Sens!T$5098),--(Sens!$R$5098:$AA$5098&gt;=Sens!T$5098-tk_life),Sens!$R$5129:$AA$5129)/tk_life</f>
        <v>3.2619025816657</v>
      </c>
      <c r="U5131" s="38" t="n">
        <f aca="false">SUMPRODUCT(--(Sens!$R$5098:$AA$5098&lt;Sens!U$5098),--(Sens!$R$5098:$AA$5098&gt;=Sens!U$5098-tk_life),Sens!$R$5129:$AA$5129)/tk_life</f>
        <v>11.7348570548391</v>
      </c>
      <c r="V5131" s="38" t="n">
        <f aca="false">SUMPRODUCT(--(Sens!$R$5098:$AA$5098&lt;Sens!V$5098),--(Sens!$R$5098:$AA$5098&gt;=Sens!V$5098-tk_life),Sens!$R$5129:$AA$5129)/tk_life</f>
        <v>32.0781968981833</v>
      </c>
      <c r="W5131" s="38" t="n">
        <f aca="false">SUMPRODUCT(--(Sens!$R$5098:$AA$5098&lt;Sens!W$5098),--(Sens!$R$5098:$AA$5098&gt;=Sens!W$5098-tk_life),Sens!$R$5129:$AA$5129)/tk_life</f>
        <v>57.4989942223083</v>
      </c>
      <c r="X5131" s="38" t="n">
        <f aca="false">SUMPRODUCT(--(Sens!$R$5098:$AA$5098&lt;Sens!X$5098),--(Sens!$R$5098:$AA$5098&gt;=Sens!X$5098-tk_life),Sens!$R$5129:$AA$5129)/tk_life</f>
        <v>83.932309040725</v>
      </c>
      <c r="Y5131" s="38" t="n">
        <f aca="false">SUMPRODUCT(--(Sens!$R$5098:$AA$5098&lt;Sens!Y$5098),--(Sens!$R$5098:$AA$5098&gt;=Sens!Y$5098-tk_life),Sens!$R$5129:$AA$5129)/tk_life</f>
        <v>111.055205760776</v>
      </c>
      <c r="Z5131" s="38" t="n">
        <f aca="false">SUMPRODUCT(--(Sens!$R$5098:$AA$5098&lt;Sens!Z$5098),--(Sens!$R$5098:$AA$5098&gt;=Sens!Z$5098-tk_life),Sens!$R$5129:$AA$5129)/tk_life</f>
        <v>136.155420195893</v>
      </c>
      <c r="AA5131" s="38" t="n">
        <f aca="false">SUMPRODUCT(--(Sens!$R$5098:$AA$5098&lt;Sens!AA$5098),--(Sens!$R$5098:$AA$5098&gt;=Sens!AA$5098-tk_life),Sens!$R$5129:$AA$5129)/tk_life</f>
        <v>161.970932841136</v>
      </c>
    </row>
    <row r="5132" customFormat="false" ht="17.15" hidden="false" customHeight="false" outlineLevel="0" collapsed="false">
      <c r="A5132" s="0" t="s">
        <v>592</v>
      </c>
      <c r="B5132" s="0" t="s">
        <v>73</v>
      </c>
      <c r="C5132" s="38" t="n">
        <f aca="false">Sens!$S$5132</f>
        <v>0.0202511502553155</v>
      </c>
      <c r="D5132" s="38" t="n">
        <f aca="false">Sens!$T$5132</f>
        <v>0.360549480652134</v>
      </c>
      <c r="E5132" s="38" t="n">
        <f aca="false">Sens!$G$5132/2</f>
        <v>0.648547360125127</v>
      </c>
      <c r="F5132" s="38" t="n">
        <f aca="false">Sens!$G$5132/2</f>
        <v>0.648547360125127</v>
      </c>
      <c r="G5132" s="38" t="n">
        <f aca="false">Sens!$U$5132</f>
        <v>1.29709472025025</v>
      </c>
      <c r="H5132" s="38" t="n">
        <f aca="false">Sens!$V$5132</f>
        <v>3.21599529914753</v>
      </c>
      <c r="I5132" s="38" t="n">
        <f aca="false">Sens!$W$5132</f>
        <v>5.51832434914753</v>
      </c>
      <c r="J5132" s="38" t="n">
        <f aca="false">Sens!$X$5132</f>
        <v>7.82065339914753</v>
      </c>
      <c r="K5132" s="38" t="n">
        <f aca="false">Sens!$Y$5132</f>
        <v>10.1229824491475</v>
      </c>
      <c r="L5132" s="38" t="n">
        <f aca="false">Sens!$Z$5132</f>
        <v>12.4253114991475</v>
      </c>
      <c r="M5132" s="38" t="n">
        <f aca="false">Sens!$AA$5132</f>
        <v>14.7276405491475</v>
      </c>
      <c r="N5132" s="38" t="n">
        <f aca="false">Sens!$D$5132/2</f>
        <v>0.180274740326067</v>
      </c>
      <c r="O5132" s="38" t="n">
        <f aca="false">Sens!$D$5132/2</f>
        <v>0.180274740326067</v>
      </c>
      <c r="R5132" s="38" t="n">
        <f aca="false">SUMPRODUCT(--(Sens!$R$5098:$AA$5098&lt;Sens!R$5098),Sens!$R$5130:$AA$5130)/fac_life</f>
        <v>0</v>
      </c>
      <c r="S5132" s="38" t="n">
        <f aca="false">SUMPRODUCT(--(Sens!$R$5098:$AA$5098&lt;Sens!S$5098),Sens!$R$5130:$AA$5130)/fac_life</f>
        <v>0.0202511502553155</v>
      </c>
      <c r="T5132" s="38" t="n">
        <f aca="false">SUMPRODUCT(--(Sens!$R$5098:$AA$5098&lt;Sens!T$5098),Sens!$R$5130:$AA$5130)/fac_life</f>
        <v>0.360549480652134</v>
      </c>
      <c r="U5132" s="38" t="n">
        <f aca="false">SUMPRODUCT(--(Sens!$R$5098:$AA$5098&lt;Sens!U$5098),Sens!$R$5130:$AA$5130)/fac_life</f>
        <v>1.29709472025025</v>
      </c>
      <c r="V5132" s="38" t="n">
        <f aca="false">SUMPRODUCT(--(Sens!$R$5098:$AA$5098&lt;Sens!V$5098),Sens!$R$5130:$AA$5130)/fac_life</f>
        <v>3.21599529914753</v>
      </c>
      <c r="W5132" s="38" t="n">
        <f aca="false">SUMPRODUCT(--(Sens!$R$5098:$AA$5098&lt;Sens!W$5098),Sens!$R$5130:$AA$5130)/fac_life</f>
        <v>5.51832434914753</v>
      </c>
      <c r="X5132" s="38" t="n">
        <f aca="false">SUMPRODUCT(--(Sens!$R$5098:$AA$5098&lt;Sens!X$5098),Sens!$R$5130:$AA$5130)/fac_life</f>
        <v>7.82065339914753</v>
      </c>
      <c r="Y5132" s="38" t="n">
        <f aca="false">SUMPRODUCT(--(Sens!$R$5098:$AA$5098&lt;Sens!Y$5098),Sens!$R$5130:$AA$5130)/fac_life</f>
        <v>10.1229824491475</v>
      </c>
      <c r="Z5132" s="38" t="n">
        <f aca="false">SUMPRODUCT(--(Sens!$R$5098:$AA$5098&lt;Sens!Z$5098),Sens!$R$5130:$AA$5130)/fac_life</f>
        <v>12.4253114991475</v>
      </c>
      <c r="AA5132" s="38" t="n">
        <f aca="false">SUMPRODUCT(--(Sens!$R$5098:$AA$5098&lt;Sens!AA$5098),Sens!$R$5130:$AA$5130)/fac_life</f>
        <v>14.7276405491475</v>
      </c>
    </row>
    <row r="5133" customFormat="false" ht="17.15" hidden="false" customHeight="false" outlineLevel="0" collapsed="false">
      <c r="A5133" s="1" t="s">
        <v>593</v>
      </c>
      <c r="B5133" s="8" t="s">
        <v>73</v>
      </c>
      <c r="C5133" s="38" t="n">
        <f aca="false">Sens!$C$5131+Sens!$C$5132</f>
        <v>0.203463948620839</v>
      </c>
      <c r="D5133" s="38" t="n">
        <f aca="false">Sens!$D$5131+Sens!$D$5132</f>
        <v>3.62245206231783</v>
      </c>
      <c r="E5133" s="38" t="n">
        <f aca="false">Sens!$E$5131+Sens!$E$5132</f>
        <v>6.51597588754466</v>
      </c>
      <c r="F5133" s="38" t="n">
        <f aca="false">Sens!$F$5131+Sens!$F$5132</f>
        <v>6.51597588754466</v>
      </c>
      <c r="G5133" s="38" t="n">
        <f aca="false">Sens!$G$5131+Sens!$G$5132</f>
        <v>13.0319517750893</v>
      </c>
      <c r="H5133" s="38" t="n">
        <f aca="false">Sens!$H$5131+Sens!$H$5132</f>
        <v>35.2941921973308</v>
      </c>
      <c r="I5133" s="38" t="n">
        <f aca="false">Sens!$I$5131+Sens!$I$5132</f>
        <v>63.0173185714558</v>
      </c>
      <c r="J5133" s="38" t="n">
        <f aca="false">Sens!$J$5131+Sens!$J$5132</f>
        <v>91.7529624398725</v>
      </c>
      <c r="K5133" s="38" t="n">
        <f aca="false">Sens!$K$5131+Sens!$K$5132</f>
        <v>121.178188209924</v>
      </c>
      <c r="L5133" s="38" t="n">
        <f aca="false">Sens!$L$5131+Sens!$L$5132</f>
        <v>148.58073169504</v>
      </c>
      <c r="M5133" s="38" t="n">
        <f aca="false">Sens!$M$5131+Sens!$M$5132</f>
        <v>176.698573390283</v>
      </c>
      <c r="N5133" s="38" t="n">
        <f aca="false">Sens!$N$5131+Sens!$N$5132</f>
        <v>1.81122603115892</v>
      </c>
      <c r="O5133" s="38" t="n">
        <f aca="false">Sens!$O$5131+Sens!$O$5132</f>
        <v>1.81122603115892</v>
      </c>
      <c r="R5133" s="38" t="n">
        <f aca="false">Sens!$R$5131+Sens!$R$5132</f>
        <v>0</v>
      </c>
      <c r="S5133" s="38" t="n">
        <f aca="false">Sens!$S$5131+Sens!$S$5132</f>
        <v>0.203463948620839</v>
      </c>
      <c r="T5133" s="38" t="n">
        <f aca="false">Sens!$T$5131+Sens!$T$5132</f>
        <v>3.62245206231783</v>
      </c>
      <c r="U5133" s="38" t="n">
        <f aca="false">Sens!$U$5131+Sens!$U$5132</f>
        <v>13.0319517750893</v>
      </c>
      <c r="V5133" s="38" t="n">
        <f aca="false">Sens!$V$5131+Sens!$V$5132</f>
        <v>35.2941921973308</v>
      </c>
      <c r="W5133" s="38" t="n">
        <f aca="false">Sens!$W$5131+Sens!$W$5132</f>
        <v>63.0173185714558</v>
      </c>
      <c r="X5133" s="38" t="n">
        <f aca="false">Sens!$X$5131+Sens!$X$5132</f>
        <v>91.7529624398725</v>
      </c>
      <c r="Y5133" s="38" t="n">
        <f aca="false">Sens!$Y$5131+Sens!$Y$5132</f>
        <v>121.178188209924</v>
      </c>
      <c r="Z5133" s="38" t="n">
        <f aca="false">Sens!$Z$5131+Sens!$Z$5132</f>
        <v>148.58073169504</v>
      </c>
      <c r="AA5133" s="38" t="n">
        <f aca="false">Sens!$AA$5131+Sens!$AA$5132</f>
        <v>176.698573390283</v>
      </c>
    </row>
    <row r="5134" customFormat="false" ht="17.15" hidden="false" customHeight="false" outlineLevel="0" collapsed="false">
      <c r="A5134" s="0" t="s">
        <v>594</v>
      </c>
      <c r="B5134" s="0" t="s">
        <v>73</v>
      </c>
      <c r="C5134" s="38" t="n">
        <f aca="false">Sens!$S$5134</f>
        <v>26.578941154416</v>
      </c>
      <c r="D5134" s="38" t="n">
        <f aca="false">Sens!$T$5134</f>
        <v>92.5251207231008</v>
      </c>
      <c r="G5134" s="38" t="n">
        <f aca="false">Sens!$U$5134</f>
        <v>239.931219586022</v>
      </c>
      <c r="H5134" s="38" t="n">
        <f aca="false">Sens!$V$5134</f>
        <v>403.208392333442</v>
      </c>
      <c r="I5134" s="38" t="n">
        <f aca="false">Sens!$W$5134</f>
        <v>544.837543672486</v>
      </c>
      <c r="J5134" s="38" t="n">
        <f aca="false">Sens!$X$5134</f>
        <v>662.967819343113</v>
      </c>
      <c r="K5134" s="38" t="n">
        <f aca="false">Sens!$Y$5134</f>
        <v>756.90963744369</v>
      </c>
      <c r="L5134" s="38" t="n">
        <f aca="false">Sens!$Z$5134</f>
        <v>860.10628945915</v>
      </c>
      <c r="M5134" s="38" t="n">
        <f aca="false">Sens!$AA$5134</f>
        <v>995.283560834616</v>
      </c>
      <c r="R5134" s="38" t="n">
        <f aca="false">SUM(Sens!$R$5127:$R$5127)-SUM(Sens!$R$5133:$R$5133)</f>
        <v>1.50429979529945</v>
      </c>
      <c r="S5134" s="38" t="n">
        <f aca="false">SUM(Sens!$R$5127:$S$5127)-SUM(Sens!$R$5133:$S$5133)</f>
        <v>26.578941154416</v>
      </c>
      <c r="T5134" s="38" t="n">
        <f aca="false">SUM(Sens!$R$5127:$T$5127)-SUM(Sens!$R$5133:$T$5133)</f>
        <v>92.5251207231008</v>
      </c>
      <c r="U5134" s="38" t="n">
        <f aca="false">SUM(Sens!$R$5127:$U$5127)-SUM(Sens!$R$5133:$U$5133)</f>
        <v>239.931219586022</v>
      </c>
      <c r="V5134" s="38" t="n">
        <f aca="false">SUM(Sens!$R$5127:$V$5127)-SUM(Sens!$R$5133:$V$5133)</f>
        <v>403.208392333442</v>
      </c>
      <c r="W5134" s="38" t="n">
        <f aca="false">SUM(Sens!$R$5127:$W$5127)-SUM(Sens!$R$5133:$W$5133)</f>
        <v>544.837543672486</v>
      </c>
      <c r="X5134" s="38" t="n">
        <f aca="false">SUM(Sens!$R$5127:$X$5127)-SUM(Sens!$R$5133:$X$5133)</f>
        <v>662.967819343113</v>
      </c>
      <c r="Y5134" s="38" t="n">
        <f aca="false">SUM(Sens!$R$5127:$Y$5127)-SUM(Sens!$R$5133:$Y$5133)</f>
        <v>756.90963744369</v>
      </c>
      <c r="Z5134" s="38" t="n">
        <f aca="false">SUM(Sens!$R$5127:$Z$5127)-SUM(Sens!$R$5133:$Z$5133)</f>
        <v>860.10628945915</v>
      </c>
      <c r="AA5134" s="38" t="n">
        <f aca="false">SUM(Sens!$R$5127:$AA$5127)-SUM(Sens!$R$5133:$AA$5133)</f>
        <v>995.283560834616</v>
      </c>
    </row>
    <row r="5135" customFormat="false" ht="17.15" hidden="false" customHeight="false" outlineLevel="0" collapsed="false">
      <c r="A5135" s="1" t="s">
        <v>595</v>
      </c>
    </row>
    <row r="5136" customFormat="false" ht="17.15" hidden="false" customHeight="false" outlineLevel="0" collapsed="false">
      <c r="A5136" s="0" t="s">
        <v>596</v>
      </c>
      <c r="B5136" s="0" t="s">
        <v>73</v>
      </c>
      <c r="C5136" s="38" t="n">
        <f aca="false">Sens!$C$5118-ext_sh*Sens!$C$5120</f>
        <v>1.80694998843362</v>
      </c>
      <c r="D5136" s="38" t="n">
        <f aca="false">Sens!$D$5118-ext_sh*Sens!$D$5120</f>
        <v>6.77606245662607</v>
      </c>
      <c r="E5136" s="38" t="n">
        <f aca="false">Sens!$E$5118-ext_sh*Sens!$E$5120</f>
        <v>6.62548329092326</v>
      </c>
      <c r="F5136" s="38" t="n">
        <f aca="false">Sens!$F$5118-ext_sh*Sens!$F$5120</f>
        <v>11.7200577158706</v>
      </c>
      <c r="G5136" s="38" t="n">
        <f aca="false">Sens!$G$5118-ext_sh*Sens!$G$5120</f>
        <v>18.3455410067939</v>
      </c>
      <c r="H5136" s="38" t="n">
        <f aca="false">Sens!$H$5118-ext_sh*Sens!$H$5120</f>
        <v>47.5171727060453</v>
      </c>
      <c r="I5136" s="38" t="n">
        <f aca="false">Sens!$I$5118-ext_sh*Sens!$I$5120</f>
        <v>80.5539692643667</v>
      </c>
      <c r="J5136" s="38" t="n">
        <f aca="false">Sens!$J$5118-ext_sh*Sens!$J$5120</f>
        <v>113.759316834883</v>
      </c>
      <c r="K5136" s="38" t="n">
        <f aca="false">Sens!$K$5118-ext_sh*Sens!$K$5120</f>
        <v>147.020848076132</v>
      </c>
      <c r="L5136" s="38" t="n">
        <f aca="false">Sens!$L$5118-ext_sh*Sens!$L$5120</f>
        <v>180.307917349531</v>
      </c>
      <c r="M5136" s="38" t="n">
        <f aca="false">Sens!$M$5118-ext_sh*Sens!$M$5120</f>
        <v>213.608737871012</v>
      </c>
      <c r="N5136" s="38" t="n">
        <f aca="false">Sens!$N$5118-ext_sh*Sens!$N$5120</f>
        <v>2.37162185981912</v>
      </c>
      <c r="O5136" s="38" t="n">
        <f aca="false">Sens!$O$5118-ext_sh*Sens!$O$5120</f>
        <v>4.40444059680694</v>
      </c>
    </row>
    <row r="5137" customFormat="false" ht="17.15" hidden="false" customHeight="false" outlineLevel="0" collapsed="false">
      <c r="A5137" s="1" t="s">
        <v>597</v>
      </c>
      <c r="B5137" s="8" t="s">
        <v>73</v>
      </c>
      <c r="C5137" s="38" t="n">
        <f aca="false">Sens!$C$5136-ext_sh*Sens!$C$5133</f>
        <v>1.64417882953695</v>
      </c>
      <c r="D5137" s="38" t="n">
        <f aca="false">Sens!$D$5136-ext_sh*Sens!$D$5133</f>
        <v>3.8781008067718</v>
      </c>
      <c r="E5137" s="38" t="n">
        <f aca="false">Sens!$E$5136-ext_sh*Sens!$E$5133</f>
        <v>1.41270258088753</v>
      </c>
      <c r="F5137" s="38" t="n">
        <f aca="false">Sens!$F$5136-ext_sh*Sens!$F$5133</f>
        <v>6.50727700583486</v>
      </c>
      <c r="G5137" s="38" t="n">
        <f aca="false">Sens!$G$5136-ext_sh*Sens!$G$5133</f>
        <v>7.9199795867224</v>
      </c>
      <c r="H5137" s="38" t="n">
        <f aca="false">Sens!$H$5136-ext_sh*Sens!$H$5133</f>
        <v>19.2818189481807</v>
      </c>
      <c r="I5137" s="38" t="n">
        <f aca="false">Sens!$I$5136-ext_sh*Sens!$I$5133</f>
        <v>30.140114407202</v>
      </c>
      <c r="J5137" s="38" t="n">
        <f aca="false">Sens!$J$5136-ext_sh*Sens!$J$5133</f>
        <v>40.3569468829854</v>
      </c>
      <c r="K5137" s="38" t="n">
        <f aca="false">Sens!$K$5136-ext_sh*Sens!$K$5133</f>
        <v>50.0782975081929</v>
      </c>
      <c r="L5137" s="38" t="n">
        <f aca="false">Sens!$L$5136-ext_sh*Sens!$L$5133</f>
        <v>61.443331993499</v>
      </c>
      <c r="M5137" s="38" t="n">
        <f aca="false">Sens!$M$5136-ext_sh*Sens!$M$5133</f>
        <v>72.2498791587849</v>
      </c>
      <c r="N5137" s="38" t="n">
        <f aca="false">Sens!$N$5136-ext_sh*Sens!$N$5133</f>
        <v>0.92264103489199</v>
      </c>
      <c r="O5137" s="38" t="n">
        <f aca="false">Sens!$O$5136-ext_sh*Sens!$O$5133</f>
        <v>2.95545977187981</v>
      </c>
    </row>
    <row r="5138" customFormat="false" ht="17.15" hidden="false" customHeight="false" outlineLevel="0" collapsed="false">
      <c r="A5138" s="0" t="s">
        <v>598</v>
      </c>
      <c r="B5138" s="0" t="s">
        <v>52</v>
      </c>
      <c r="C5138" s="12" t="n">
        <f aca="false">Sens!$C$5137/Sens!$C$5118</f>
        <v>0.708390794789371</v>
      </c>
      <c r="D5138" s="12" t="n">
        <f aca="false">Sens!$D$5137/Sens!$D$5118</f>
        <v>0.445565630441968</v>
      </c>
      <c r="E5138" s="12" t="n">
        <f aca="false">Sens!$E$5137/Sens!$E$5118</f>
        <v>0.165998118402711</v>
      </c>
      <c r="F5138" s="12" t="n">
        <f aca="false">Sens!$F$5137/Sens!$F$5118</f>
        <v>0.434878595403858</v>
      </c>
      <c r="G5138" s="12" t="n">
        <f aca="false">Sens!$G$5137/Sens!$G$5118</f>
        <v>0.3373967615381</v>
      </c>
      <c r="H5138" s="12" t="n">
        <f aca="false">Sens!$H$5137/Sens!$H$5118</f>
        <v>0.320477578041224</v>
      </c>
      <c r="I5138" s="12" t="n">
        <f aca="false">Sens!$I$5137/Sens!$I$5118</f>
        <v>0.296936118226494</v>
      </c>
      <c r="J5138" s="12" t="n">
        <f aca="false">Sens!$J$5137/Sens!$J$5118</f>
        <v>0.282166278613001</v>
      </c>
      <c r="K5138" s="12" t="n">
        <f aca="false">Sens!$K$5137/Sens!$K$5118</f>
        <v>0.271267685694333</v>
      </c>
      <c r="L5138" s="12" t="n">
        <f aca="false">Sens!$L$5137/Sens!$L$5118</f>
        <v>0.27160960915653</v>
      </c>
      <c r="M5138" s="12" t="n">
        <f aca="false">Sens!$M$5137/Sens!$M$5118</f>
        <v>0.26974494804234</v>
      </c>
      <c r="N5138" s="12" t="n">
        <f aca="false">Sens!$N$5137/Sens!$N$5118</f>
        <v>0.302870734830849</v>
      </c>
      <c r="O5138" s="12" t="n">
        <f aca="false">Sens!$O$5137/Sens!$O$5118</f>
        <v>0.52240134346334</v>
      </c>
    </row>
    <row r="5139" customFormat="false" ht="17.15" hidden="false" customHeight="false" outlineLevel="0" collapsed="false">
      <c r="A5139" s="5" t="s">
        <v>599</v>
      </c>
      <c r="B5139" s="0" t="s">
        <v>73</v>
      </c>
      <c r="C5139" s="38" t="n">
        <f aca="false">rd2*(1-ext_sh)/ext_sh*Sens!$C$5101*he_open*Sens!$C$5102/1000</f>
        <v>0</v>
      </c>
      <c r="D5139" s="38" t="n">
        <f aca="false">rd2*(1-ext_sh)/ext_sh*Sens!$D$5101*he_open*Sens!$D$5102/1000</f>
        <v>0</v>
      </c>
      <c r="E5139" s="38" t="n">
        <f aca="false">rd2*(1-ext_sh)/ext_sh*Sens!$E$5101*he_open*Sens!$E$5102/1000</f>
        <v>0</v>
      </c>
      <c r="F5139" s="38" t="n">
        <f aca="false">rd2*(1-ext_sh)/ext_sh*(mw_open*he_open+Sens!$F$5116*Sens!$F$5113)*Sens!$F$5102/1000</f>
        <v>0</v>
      </c>
      <c r="G5139" s="38" t="n">
        <f aca="false">Sens!$E$5139+Sens!$F$5139</f>
        <v>0</v>
      </c>
      <c r="H5139" s="38" t="n">
        <f aca="false">rd2*(1-ext_sh)/ext_sh*(mw_open*he_open+Sens!$H$5116*Sens!$H$5113)*Sens!$H$5102/1000</f>
        <v>0</v>
      </c>
      <c r="I5139" s="38" t="n">
        <f aca="false">rd2*(1-ext_sh)/ext_sh*(mw_open*he_open+Sens!$I$5116*Sens!$I$5113)*Sens!$I$5102/1000</f>
        <v>0</v>
      </c>
      <c r="J5139" s="38" t="n">
        <f aca="false">rd2*(1-ext_sh)/ext_sh*(mw_open*he_open+Sens!$J$5116*Sens!$J$5113)*Sens!$J$5102/1000</f>
        <v>0</v>
      </c>
      <c r="K5139" s="38" t="n">
        <f aca="false">rd2*(1-ext_sh)/ext_sh*(mw_open*he_open+Sens!$K$5116*Sens!$K$5113)*Sens!$K$5102/1000</f>
        <v>0</v>
      </c>
      <c r="L5139" s="38" t="n">
        <f aca="false">rd2*(1-ext_sh)/ext_sh*(mw_open*he_open+Sens!$L$5116*Sens!$L$5113)*Sens!$L$5102/1000</f>
        <v>0</v>
      </c>
      <c r="M5139" s="38" t="n">
        <f aca="false">rd2*(1-ext_sh)/ext_sh*(mw_open*he_open+Sens!$M$5116*Sens!$M$5113)*Sens!$M$5102/1000</f>
        <v>0</v>
      </c>
      <c r="N5139" s="38" t="n">
        <f aca="false">rd2*(1-ext_sh)/ext_sh*Sens!$N$5101*he_open*Sens!$N$5102/1000</f>
        <v>0</v>
      </c>
      <c r="O5139" s="38" t="n">
        <f aca="false">rd2*(1-ext_sh)/ext_sh*Sens!$O$5101*he_open*Sens!$O$5102/1000</f>
        <v>0</v>
      </c>
      <c r="P5139" s="8" t="s">
        <v>600</v>
      </c>
    </row>
    <row r="5140" customFormat="false" ht="17.15" hidden="false" customHeight="false" outlineLevel="0" collapsed="false">
      <c r="A5140" s="5" t="s">
        <v>601</v>
      </c>
      <c r="B5140" s="0" t="s">
        <v>73</v>
      </c>
      <c r="C5140" s="38" t="n">
        <f aca="false">(1-ext_sh)*(Sens!$C$5120+Sens!$C$5133)-Sens!$C$5139</f>
        <v>0.169206631859174</v>
      </c>
      <c r="D5140" s="38" t="n">
        <f aca="false">(1-ext_sh)*(Sens!$D$5120+Sens!$D$5133)-Sens!$D$5139</f>
        <v>1.20641732046984</v>
      </c>
      <c r="E5140" s="38" t="n">
        <f aca="false">(1-ext_sh)*(Sens!$E$5120+Sens!$E$5133)-Sens!$E$5139</f>
        <v>1.77441259867062</v>
      </c>
      <c r="F5140" s="38" t="n">
        <f aca="false">(1-ext_sh)*(Sens!$F$5120+Sens!$F$5133)-Sens!$F$5139</f>
        <v>2.1140391597214</v>
      </c>
      <c r="G5140" s="38" t="n">
        <f aca="false">(1-ext_sh)*(Sens!$G$5120+Sens!$G$5133)-Sens!$G$5139</f>
        <v>3.88845175839202</v>
      </c>
      <c r="H5140" s="38" t="n">
        <f aca="false">(1-ext_sh)*(Sens!$H$5120+Sens!$H$5133)-Sens!$H$5139</f>
        <v>10.2210179503985</v>
      </c>
      <c r="I5140" s="38" t="n">
        <f aca="false">(1-ext_sh)*(Sens!$I$5120+Sens!$I$5133)-Sens!$I$5139</f>
        <v>17.8408961823075</v>
      </c>
      <c r="J5140" s="38" t="n">
        <f aca="false">(1-ext_sh)*(Sens!$J$5120+Sens!$J$5133)-Sens!$J$5139</f>
        <v>25.6671150670732</v>
      </c>
      <c r="K5140" s="38" t="n">
        <f aca="false">(1-ext_sh)*(Sens!$K$5120+Sens!$K$5133)-Sens!$K$5139</f>
        <v>33.6325293834986</v>
      </c>
      <c r="L5140" s="38" t="n">
        <f aca="false">(1-ext_sh)*(Sens!$L$5120+Sens!$L$5133)-Sens!$L$5139</f>
        <v>41.1939886299065</v>
      </c>
      <c r="M5140" s="38" t="n">
        <f aca="false">(1-ext_sh)*(Sens!$M$5120+Sens!$M$5133)-Sens!$M$5139</f>
        <v>48.8988205728617</v>
      </c>
      <c r="N5140" s="38" t="n">
        <f aca="false">(1-ext_sh)*(Sens!$N$5120+Sens!$N$5133)-Sens!$N$5139</f>
        <v>0.530919624033979</v>
      </c>
      <c r="O5140" s="38" t="n">
        <f aca="false">(1-ext_sh)*(Sens!$O$5120+Sens!$O$5133)-Sens!$O$5139</f>
        <v>0.675497696435861</v>
      </c>
    </row>
    <row r="5141" customFormat="false" ht="17.15" hidden="false" customHeight="false" outlineLevel="0" collapsed="false">
      <c r="A5141" s="0" t="s">
        <v>602</v>
      </c>
      <c r="B5141" s="0" t="s">
        <v>73</v>
      </c>
      <c r="C5141" s="38" t="n">
        <f aca="false">Q!$D$24</f>
        <v>39.834</v>
      </c>
      <c r="D5141" s="38" t="n">
        <f aca="false">Q!$E$24</f>
        <v>45.606</v>
      </c>
      <c r="E5141" s="38" t="n">
        <f aca="false">Q!$P$24</f>
        <v>30.782</v>
      </c>
      <c r="N5141" s="38" t="n">
        <f aca="false">Q!$N$24</f>
        <v>21.707</v>
      </c>
      <c r="O5141" s="38" t="n">
        <f aca="false">Q!$O$24</f>
        <v>23.899</v>
      </c>
    </row>
    <row r="5142" customFormat="false" ht="17.15" hidden="false" customHeight="false" outlineLevel="0" collapsed="false">
      <c r="A5142" s="0" t="s">
        <v>603</v>
      </c>
      <c r="B5142" s="0" t="s">
        <v>73</v>
      </c>
      <c r="C5142" s="38" t="n">
        <f aca="false">Sens!$C$5141-Sens!$C$5137</f>
        <v>38.1898211704631</v>
      </c>
      <c r="D5142" s="38" t="n">
        <f aca="false">Sens!$D$5141-Sens!$D$5137</f>
        <v>41.7278991932282</v>
      </c>
      <c r="E5142" s="38" t="n">
        <f aca="false">Sens!$E$5141-Sens!$E$5137</f>
        <v>29.3692974191125</v>
      </c>
      <c r="F5142" s="38" t="n">
        <f aca="false">Sens!$F$5122*Sens!$F$5143</f>
        <v>29.458060516894</v>
      </c>
      <c r="G5142" s="38" t="n">
        <f aca="false">Sens!$E$5142+Sens!$F$5142</f>
        <v>58.8273579360065</v>
      </c>
      <c r="H5142" s="38" t="n">
        <f aca="false">Sens!$H$5122*Sens!$H$5143</f>
        <v>67.8004040185081</v>
      </c>
      <c r="I5142" s="38" t="n">
        <f aca="false">Sens!$I$5122*Sens!$I$5143</f>
        <v>78.9527630302702</v>
      </c>
      <c r="J5142" s="38" t="n">
        <f aca="false">Sens!$J$5122*Sens!$J$5143</f>
        <v>88.6042681781841</v>
      </c>
      <c r="K5142" s="38" t="n">
        <f aca="false">Sens!$K$5122*Sens!$K$5143</f>
        <v>95.6926096324389</v>
      </c>
      <c r="L5142" s="38" t="n">
        <f aca="false">Sens!$L$5122*Sens!$L$5143</f>
        <v>103.348018403034</v>
      </c>
      <c r="M5142" s="38" t="n">
        <f aca="false">Sens!$M$5122*Sens!$M$5143</f>
        <v>111.615859875277</v>
      </c>
      <c r="N5142" s="38" t="n">
        <f aca="false">Sens!$N$5141-Sens!$N$5137</f>
        <v>20.784358965108</v>
      </c>
      <c r="O5142" s="38" t="n">
        <f aca="false">Sens!$O$5141-Sens!$O$5137</f>
        <v>20.9435402281202</v>
      </c>
      <c r="P5142" s="5" t="s">
        <v>604</v>
      </c>
    </row>
    <row r="5143" customFormat="false" ht="17.15" hidden="false" customHeight="false" outlineLevel="0" collapsed="false">
      <c r="A5143" s="0" t="s">
        <v>605</v>
      </c>
      <c r="B5143" s="0" t="s">
        <v>52</v>
      </c>
      <c r="C5143" s="12" t="n">
        <f aca="false">Sens!$C$5142/Sens!$C$5122</f>
        <v>0.362900395443635</v>
      </c>
      <c r="D5143" s="12" t="n">
        <f aca="false">Sens!$D$5142/Sens!$D$5122</f>
        <v>0.34767098474203</v>
      </c>
      <c r="E5143" s="12" t="n">
        <f aca="false">Sens!$E$5142/Sens!$E$5122</f>
        <v>0.411861655558416</v>
      </c>
      <c r="F5143" s="12" t="n">
        <f aca="false">(Sens!$O$5142+Sens!$E$5142)/(Sens!$O$5122+Sens!$E$5122)</f>
        <v>0.37480827803158</v>
      </c>
      <c r="G5143" s="12" t="n">
        <f aca="false">Sens!$G$5142/Sens!$G$5122</f>
        <v>0.392434440489471</v>
      </c>
      <c r="H5143" s="12" t="n">
        <f aca="false">Sens!$F$5143</f>
        <v>0.37480827803158</v>
      </c>
      <c r="I5143" s="12" t="n">
        <f aca="false">Sens!$F$5143</f>
        <v>0.37480827803158</v>
      </c>
      <c r="J5143" s="12" t="n">
        <f aca="false">Sens!$F$5143</f>
        <v>0.37480827803158</v>
      </c>
      <c r="K5143" s="12" t="n">
        <f aca="false">Sens!$F$5143</f>
        <v>0.37480827803158</v>
      </c>
      <c r="L5143" s="12" t="n">
        <f aca="false">Sens!$F$5143</f>
        <v>0.37480827803158</v>
      </c>
      <c r="M5143" s="12" t="n">
        <f aca="false">Sens!$F$5143</f>
        <v>0.37480827803158</v>
      </c>
      <c r="N5143" s="12" t="n">
        <f aca="false">Sens!$N$5142/Sens!$N$5122</f>
        <v>0.364039571356823</v>
      </c>
      <c r="O5143" s="12" t="n">
        <f aca="false">Sens!$O$5142/Sens!$O$5122</f>
        <v>0.332819892300086</v>
      </c>
      <c r="P5143" s="8" t="s">
        <v>606</v>
      </c>
    </row>
    <row r="5144" customFormat="false" ht="17.15" hidden="false" customHeight="false" outlineLevel="0" collapsed="false">
      <c r="A5144" s="0" t="s">
        <v>607</v>
      </c>
      <c r="B5144" s="0" t="s">
        <v>52</v>
      </c>
      <c r="D5144" s="12" t="n">
        <f aca="false">(Q!$E$31-ext_sh*Sens!$D$5133)/Sens!$D$5122</f>
        <v>0.154572973163571</v>
      </c>
    </row>
    <row r="5145" customFormat="false" ht="17.15" hidden="false" customHeight="false" outlineLevel="0" collapsed="false">
      <c r="A5145" s="0" t="s">
        <v>608</v>
      </c>
      <c r="B5145" s="0" t="s">
        <v>73</v>
      </c>
      <c r="C5145" s="38" t="n">
        <f aca="false">Q!$D$31</f>
        <v>13.32</v>
      </c>
      <c r="D5145" s="38" t="n">
        <f aca="false">Q!$E$31</f>
        <v>21.45</v>
      </c>
      <c r="E5145" s="38" t="n">
        <f aca="false">Q!$P$31</f>
        <v>15.353</v>
      </c>
      <c r="F5145" s="38" t="n">
        <f aca="false">ext_sh*Sens!$F$5133+Sens!$D$5144*Sens!$F$5122</f>
        <v>17.3614451462707</v>
      </c>
      <c r="G5145" s="38" t="n">
        <f aca="false">Sens!$E$5145+Sens!$F$5145</f>
        <v>32.7144451462707</v>
      </c>
      <c r="H5145" s="38" t="n">
        <f aca="false">ext_sh*Sens!$H$5133+Sens!$D$5144*Sens!$H$5122</f>
        <v>56.1966092719415</v>
      </c>
      <c r="I5145" s="38" t="n">
        <f aca="false">ext_sh*Sens!$I$5133+Sens!$D$5144*Sens!$I$5122</f>
        <v>82.9744039068297</v>
      </c>
      <c r="J5145" s="38" t="n">
        <f aca="false">ext_sh*Sens!$J$5133+Sens!$D$5144*Sens!$J$5122</f>
        <v>109.943252237669</v>
      </c>
      <c r="K5145" s="38" t="n">
        <f aca="false">ext_sh*Sens!$K$5133+Sens!$D$5144*Sens!$K$5122</f>
        <v>136.406703436571</v>
      </c>
      <c r="L5145" s="38" t="n">
        <f aca="false">ext_sh*Sens!$L$5133+Sens!$D$5144*Sens!$L$5122</f>
        <v>161.485870454155</v>
      </c>
      <c r="M5145" s="38" t="n">
        <f aca="false">ext_sh*Sens!$M$5133+Sens!$D$5144*Sens!$M$5122</f>
        <v>187.389846618199</v>
      </c>
      <c r="N5145" s="38" t="n">
        <f aca="false">Q!$N$31</f>
        <v>9.234</v>
      </c>
      <c r="O5145" s="38" t="n">
        <f aca="false">Q!$O$31</f>
        <v>12.216</v>
      </c>
    </row>
    <row r="5146" customFormat="false" ht="17.15" hidden="false" customHeight="false" outlineLevel="0" collapsed="false">
      <c r="A5146" s="1" t="s">
        <v>609</v>
      </c>
    </row>
    <row r="5147" customFormat="false" ht="17.15" hidden="false" customHeight="false" outlineLevel="0" collapsed="false">
      <c r="A5147" s="14" t="s">
        <v>610</v>
      </c>
      <c r="B5147" s="13" t="s">
        <v>52</v>
      </c>
      <c r="C5147" s="13"/>
      <c r="D5147" s="13"/>
      <c r="E5147" s="13"/>
      <c r="F5147" s="13"/>
      <c r="G5147" s="16" t="n">
        <f aca="false">Sens!$G$5137*(1-tax)/(ext_sh*(Sens!$D$5134+Sens!$G$5134)/2)</f>
        <v>0.0492184452944045</v>
      </c>
      <c r="H5147" s="16" t="n">
        <f aca="false">Sens!$H$5137*(1-tax)/(ext_sh*(Sens!$G$5134+Sens!$H$5134)/2)</f>
        <v>0.0619414246858107</v>
      </c>
      <c r="I5147" s="16" t="n">
        <f aca="false">Sens!$I$5137*(1-tax)/(ext_sh*(Sens!$H$5134+Sens!$I$5134)/2)</f>
        <v>0.0656831488051666</v>
      </c>
      <c r="J5147" s="16" t="n">
        <f aca="false">Sens!$J$5137*(1-tax)/(ext_sh*(Sens!$I$5134+Sens!$J$5134)/2)</f>
        <v>0.0690334849962116</v>
      </c>
      <c r="K5147" s="16" t="n">
        <f aca="false">Sens!$K$5137*(1-tax)/(ext_sh*(Sens!$J$5134+Sens!$K$5134)/2)</f>
        <v>0.0728680488295485</v>
      </c>
      <c r="L5147" s="16" t="n">
        <f aca="false">Sens!$L$5137*(1-tax)/(ext_sh*(Sens!$K$5134+Sens!$L$5134)/2)</f>
        <v>0.0785052878122331</v>
      </c>
      <c r="M5147" s="16" t="n">
        <f aca="false">Sens!$M$5137*(1-tax)/(ext_sh*(Sens!$L$5134+Sens!$M$5134)/2)</f>
        <v>0.0804526580722741</v>
      </c>
      <c r="N5147" s="13"/>
      <c r="O5147" s="13"/>
      <c r="P5147" s="8" t="s">
        <v>611</v>
      </c>
    </row>
    <row r="5148" customFormat="false" ht="17.15" hidden="false" customHeight="false" outlineLevel="0" collapsed="false">
      <c r="A5148" s="5" t="s">
        <v>612</v>
      </c>
      <c r="B5148" s="0" t="s">
        <v>57</v>
      </c>
      <c r="H5148" s="36" t="n">
        <f aca="false">Sens!$H$5118*1000/(mw_open*he_open+Sens!$H$5116*Sens!$H$5113)</f>
        <v>0.991949006767191</v>
      </c>
      <c r="I5148" s="36" t="n">
        <f aca="false">Sens!$I$5118*1000/(mw_open*he_open+Sens!$I$5116*Sens!$I$5113)</f>
        <v>0.991949006767191</v>
      </c>
      <c r="J5148" s="36" t="n">
        <f aca="false">Sens!$J$5118*1000/(mw_open*he_open+Sens!$J$5116*Sens!$J$5113)</f>
        <v>0.991949006767191</v>
      </c>
      <c r="K5148" s="36" t="n">
        <f aca="false">Sens!$K$5118*1000/(mw_open*he_open+Sens!$K$5116*Sens!$K$5113)</f>
        <v>0.991949006767191</v>
      </c>
      <c r="L5148" s="36" t="n">
        <f aca="false">Sens!$L$5118*1000/(mw_open*he_open+Sens!$L$5116*Sens!$L$5113)</f>
        <v>0.991949006767191</v>
      </c>
      <c r="M5148" s="36" t="n">
        <f aca="false">Sens!$M$5118*1000/(mw_open*he_open+Sens!$M$5116*Sens!$M$5113)</f>
        <v>0.991949006767192</v>
      </c>
    </row>
    <row r="5149" customFormat="false" ht="17.15" hidden="false" customHeight="false" outlineLevel="0" collapsed="false">
      <c r="A5149" s="5" t="s">
        <v>613</v>
      </c>
      <c r="B5149" s="0" t="s">
        <v>57</v>
      </c>
      <c r="H5149" s="36" t="n">
        <f aca="false">Sens!$H$5148*(Sens!$H$5118+wacc*ext_sh*(Sens!$G$5134+Sens!$H$5134)/2/(1-tax)-Sens!$H$5137)/Sens!$H$5118</f>
        <v>1.3149781212103</v>
      </c>
      <c r="I5149" s="36" t="n">
        <f aca="false">Sens!$I$5148*(Sens!$I$5118+wacc*ext_sh*(Sens!$H$5134+Sens!$I$5134)/2/(1-tax)-Sens!$I$5137)/Sens!$I$5118</f>
        <v>1.25742005569107</v>
      </c>
      <c r="J5149" s="36" t="n">
        <f aca="false">Sens!$J$5148*(Sens!$J$5118+wacc*ext_sh*(Sens!$I$5134+Sens!$J$5134)/2/(1-tax)-Sens!$J$5137)/Sens!$J$5118</f>
        <v>1.21838845868559</v>
      </c>
      <c r="K5149" s="36" t="n">
        <f aca="false">Sens!$K$5148*(Sens!$K$5118+wacc*ext_sh*(Sens!$J$5134+Sens!$K$5134)/2/(1-tax)-Sens!$K$5137)/Sens!$K$5118</f>
        <v>1.18402644209548</v>
      </c>
      <c r="L5149" s="36" t="n">
        <f aca="false">Sens!$L$5148*(Sens!$L$5118+wacc*ext_sh*(Sens!$K$5134+Sens!$L$5134)/2/(1-tax)-Sens!$L$5137)/Sens!$L$5118</f>
        <v>1.15111215322059</v>
      </c>
      <c r="M5149" s="36" t="n">
        <f aca="false">Sens!$M$5148*(Sens!$M$5118+wacc*ext_sh*(Sens!$L$5134+Sens!$M$5134)/2/(1-tax)-Sens!$M$5137)/Sens!$M$5118</f>
        <v>1.1397166845677</v>
      </c>
    </row>
    <row r="5150" customFormat="false" ht="17.15" hidden="false" customHeight="false" outlineLevel="0" collapsed="false">
      <c r="A5150" s="5" t="s">
        <v>614</v>
      </c>
      <c r="B5150" s="0" t="s">
        <v>52</v>
      </c>
      <c r="C5150" s="12" t="n">
        <f aca="false">Sens!$C$5119/tk_pq</f>
        <v>0.195316432429398</v>
      </c>
      <c r="D5150" s="12" t="n">
        <f aca="false">Sens!$D$5119/tk_pq</f>
        <v>0.195316432429398</v>
      </c>
      <c r="E5150" s="12" t="n">
        <f aca="false">Sens!$E$5119/tk_pq</f>
        <v>0.195316432429398</v>
      </c>
      <c r="F5150" s="12" t="n">
        <f aca="false">Sens!$F$5119/tk_pq</f>
        <v>0.202241827274866</v>
      </c>
      <c r="G5150" s="12" t="n">
        <f aca="false">Sens!$G$5119/tk_pq</f>
        <v>0.199675016194063</v>
      </c>
      <c r="H5150" s="12" t="n">
        <f aca="false">Sens!$H$5119/tk_pq</f>
        <v>0.212647947710325</v>
      </c>
      <c r="I5150" s="12" t="n">
        <f aca="false">Sens!$I$5119/tk_pq</f>
        <v>0.219285125475351</v>
      </c>
      <c r="J5150" s="12" t="n">
        <f aca="false">Sens!$J$5119/tk_pq</f>
        <v>0.222492493217189</v>
      </c>
      <c r="K5150" s="12" t="n">
        <f aca="false">Sens!$K$5119/tk_pq</f>
        <v>0.224371415939166</v>
      </c>
      <c r="L5150" s="12" t="n">
        <f aca="false">Sens!$L$5119/tk_pq</f>
        <v>0.225603749825993</v>
      </c>
      <c r="M5150" s="12" t="n">
        <f aca="false">Sens!$M$5119/tk_pq</f>
        <v>0.22647376274628</v>
      </c>
      <c r="N5150" s="12" t="n">
        <f aca="false">Sens!$N$5119/tk_pq</f>
        <v>0.195316432429398</v>
      </c>
      <c r="O5150" s="12" t="n">
        <f aca="false">Sens!$O$5119/tk_pq</f>
        <v>0.195316432429398</v>
      </c>
      <c r="P5150" s="5" t="s">
        <v>615</v>
      </c>
    </row>
    <row r="5153" customFormat="false" ht="17.15" hidden="false" customHeight="false" outlineLevel="0" collapsed="false">
      <c r="A5153" s="1" t="s">
        <v>642</v>
      </c>
    </row>
    <row r="5154" customFormat="false" ht="17.15" hidden="false" customHeight="false" outlineLevel="0" collapsed="false">
      <c r="A5154" s="0" t="s">
        <v>643</v>
      </c>
      <c r="B5154" s="0" t="s">
        <v>73</v>
      </c>
      <c r="C5154" s="38" t="n">
        <f aca="false">Sens!$C$5118</f>
        <v>2.32100535697364</v>
      </c>
      <c r="D5154" s="38" t="n">
        <f aca="false">Sens!$D$5118</f>
        <v>8.70377008865116</v>
      </c>
      <c r="E5154" s="38" t="n">
        <f aca="false">Sens!$E$5118</f>
        <v>8.51035297557002</v>
      </c>
      <c r="F5154" s="38" t="n">
        <f aca="false">Sens!$F$5118</f>
        <v>14.9634336447205</v>
      </c>
      <c r="G5154" s="38" t="n">
        <f aca="false">Sens!$G$5118</f>
        <v>23.4737866202905</v>
      </c>
      <c r="H5154" s="38" t="n">
        <f aca="false">Sens!$H$5118</f>
        <v>60.1658907497746</v>
      </c>
      <c r="I5154" s="38" t="n">
        <f aca="false">Sens!$I$5118</f>
        <v>101.503699136432</v>
      </c>
      <c r="J5154" s="38" t="n">
        <f aca="false">Sens!$J$5118</f>
        <v>143.025407151278</v>
      </c>
      <c r="K5154" s="38" t="n">
        <f aca="false">Sens!$K$5118</f>
        <v>184.608415042187</v>
      </c>
      <c r="L5154" s="38" t="n">
        <f aca="false">Sens!$L$5118</f>
        <v>226.219286513125</v>
      </c>
      <c r="M5154" s="38" t="n">
        <f aca="false">Sens!$M$5118</f>
        <v>267.845161450232</v>
      </c>
      <c r="N5154" s="38" t="n">
        <f aca="false">Sens!$N$5118</f>
        <v>3.04631953102791</v>
      </c>
      <c r="O5154" s="38" t="n">
        <f aca="false">Sens!$O$5118</f>
        <v>5.65745055762326</v>
      </c>
      <c r="P5154" s="8" t="s">
        <v>644</v>
      </c>
    </row>
    <row r="5155" customFormat="false" ht="17.15" hidden="false" customHeight="false" outlineLevel="0" collapsed="false">
      <c r="A5155" s="0" t="s">
        <v>645</v>
      </c>
      <c r="B5155" s="0" t="s">
        <v>73</v>
      </c>
      <c r="C5155" s="38" t="n">
        <f aca="false">Sens!$C$5122</f>
        <v>105.234994643026</v>
      </c>
      <c r="D5155" s="38" t="n">
        <f aca="false">Sens!$D$5122</f>
        <v>120.021229911349</v>
      </c>
      <c r="E5155" s="38" t="n">
        <f aca="false">Sens!$E$5122</f>
        <v>71.30864702443</v>
      </c>
      <c r="F5155" s="38" t="n">
        <f aca="false">Sens!$F$5122</f>
        <v>78.5950104186653</v>
      </c>
      <c r="G5155" s="38" t="n">
        <f aca="false">Sens!$G$5122</f>
        <v>149.903657443095</v>
      </c>
      <c r="H5155" s="38" t="n">
        <f aca="false">Sens!$H$5122</f>
        <v>180.893560768142</v>
      </c>
      <c r="I5155" s="38" t="n">
        <f aca="false">Sens!$I$5122</f>
        <v>210.64839721501</v>
      </c>
      <c r="J5155" s="38" t="n">
        <f aca="false">Sens!$J$5122</f>
        <v>236.398909446495</v>
      </c>
      <c r="K5155" s="38" t="n">
        <f aca="false">Sens!$K$5122</f>
        <v>255.310822202215</v>
      </c>
      <c r="L5155" s="38" t="n">
        <f aca="false">Sens!$L$5122</f>
        <v>275.735687978392</v>
      </c>
      <c r="M5155" s="38" t="n">
        <f aca="false">Sens!$M$5122</f>
        <v>297.794543016663</v>
      </c>
      <c r="N5155" s="38" t="n">
        <f aca="false">Sens!$N$5122</f>
        <v>57.0936804689721</v>
      </c>
      <c r="O5155" s="38" t="n">
        <f aca="false">Sens!$O$5122</f>
        <v>62.9275494423768</v>
      </c>
      <c r="P5155" s="8" t="s">
        <v>644</v>
      </c>
    </row>
    <row r="5156" customFormat="false" ht="17.15" hidden="false" customHeight="false" outlineLevel="0" collapsed="false">
      <c r="A5156" s="1" t="s">
        <v>476</v>
      </c>
      <c r="B5156" s="8" t="s">
        <v>73</v>
      </c>
      <c r="C5156" s="38" t="n">
        <f aca="false">Q!$D$7</f>
        <v>107.556</v>
      </c>
      <c r="D5156" s="38" t="n">
        <f aca="false">Q!$E$7</f>
        <v>128.725</v>
      </c>
      <c r="E5156" s="38" t="n">
        <f aca="false">Q!$P$7</f>
        <v>79.819</v>
      </c>
      <c r="F5156" s="38" t="n">
        <f aca="false">Sens!$F$5154+Sens!$F$5155</f>
        <v>93.5584440633857</v>
      </c>
      <c r="G5156" s="38" t="n">
        <f aca="false">Sens!$G$5154+Sens!$G$5155</f>
        <v>173.377444063386</v>
      </c>
      <c r="H5156" s="38" t="n">
        <f aca="false">Sens!$H$5154+Sens!$H$5155</f>
        <v>241.059451517916</v>
      </c>
      <c r="I5156" s="38" t="n">
        <f aca="false">Sens!$I$5154+Sens!$I$5155</f>
        <v>312.152096351442</v>
      </c>
      <c r="J5156" s="38" t="n">
        <f aca="false">Sens!$J$5154+Sens!$J$5155</f>
        <v>379.424316597773</v>
      </c>
      <c r="K5156" s="38" t="n">
        <f aca="false">Sens!$K$5154+Sens!$K$5155</f>
        <v>439.919237244402</v>
      </c>
      <c r="L5156" s="38" t="n">
        <f aca="false">Sens!$L$5154+Sens!$L$5155</f>
        <v>501.954974491517</v>
      </c>
      <c r="M5156" s="38" t="n">
        <f aca="false">Sens!$M$5154+Sens!$M$5155</f>
        <v>565.639704466895</v>
      </c>
      <c r="N5156" s="38" t="n">
        <f aca="false">Q!$N$7</f>
        <v>60.14</v>
      </c>
      <c r="O5156" s="38" t="n">
        <f aca="false">Q!$O$7</f>
        <v>68.585</v>
      </c>
      <c r="P5156" s="5" t="s">
        <v>646</v>
      </c>
    </row>
    <row r="5157" customFormat="false" ht="15" hidden="false" customHeight="false" outlineLevel="0" collapsed="false">
      <c r="A5157" s="3" t="s">
        <v>647</v>
      </c>
      <c r="B5157" s="8" t="s">
        <v>73</v>
      </c>
      <c r="C5157" s="38" t="n">
        <f aca="false">Q!$D$8</f>
        <v>637.959</v>
      </c>
      <c r="D5157" s="38" t="n">
        <f aca="false">Q!$E$8</f>
        <v>716.924</v>
      </c>
      <c r="E5157" s="38" t="n">
        <f aca="false">Q!$P$8</f>
        <v>382.125</v>
      </c>
      <c r="F5157" s="38" t="n">
        <f aca="false">Sens!$F$5091+Sens!$F$5156</f>
        <v>450.494873271816</v>
      </c>
      <c r="G5157" s="38" t="n">
        <f aca="false">Sens!$G$5091+Sens!$G$5156</f>
        <v>832.619873271816</v>
      </c>
      <c r="H5157" s="38" t="n">
        <f aca="false">Sens!$H$5091+Sens!$H$5156</f>
        <v>970.995189139617</v>
      </c>
      <c r="I5157" s="38" t="n">
        <f aca="false">Sens!$I$5091+Sens!$I$5156</f>
        <v>1110.44766604932</v>
      </c>
      <c r="J5157" s="38" t="n">
        <f aca="false">Sens!$J$5091+Sens!$J$5156</f>
        <v>1241.16113892356</v>
      </c>
      <c r="K5157" s="38" t="n">
        <f aca="false">Sens!$K$5091+Sens!$K$5156</f>
        <v>1357.47672934633</v>
      </c>
      <c r="L5157" s="38" t="n">
        <f aca="false">Sens!$L$5091+Sens!$L$5156</f>
        <v>1479.24006423468</v>
      </c>
      <c r="M5157" s="38" t="n">
        <f aca="false">Sens!$M$5091+Sens!$M$5156</f>
        <v>1606.8537230104</v>
      </c>
      <c r="N5157" s="38" t="n">
        <f aca="false">Q!$N$8</f>
        <v>323.369</v>
      </c>
      <c r="O5157" s="38" t="n">
        <f aca="false">Q!$O$8</f>
        <v>393.555</v>
      </c>
    </row>
    <row r="5158" customFormat="false" ht="17.15" hidden="false" customHeight="false" outlineLevel="0" collapsed="false">
      <c r="A5158" s="24" t="s">
        <v>655</v>
      </c>
      <c r="B5158" s="25" t="s">
        <v>73</v>
      </c>
      <c r="C5158" s="39" t="n">
        <f aca="false">Sens!$C$5091-(Sens!$C$5093+Sens!$C$5094)</f>
        <v>0</v>
      </c>
      <c r="D5158" s="39" t="n">
        <f aca="false">Sens!$D$5091-(Sens!$D$5093+Sens!$D$5094)</f>
        <v>0</v>
      </c>
      <c r="E5158" s="39" t="n">
        <f aca="false">Sens!$E$5091-(Sens!$E$5093+Sens!$E$5094)</f>
        <v>0</v>
      </c>
      <c r="F5158" s="39" t="n">
        <f aca="false">Sens!$F$5091-(Sens!$F$5093+Sens!$F$5094)</f>
        <v>0</v>
      </c>
      <c r="G5158" s="39" t="n">
        <f aca="false">Sens!$G$5091-(Sens!$G$5093+Sens!$G$5094)</f>
        <v>0</v>
      </c>
      <c r="H5158" s="39" t="n">
        <f aca="false">Sens!$H$5091-(Sens!$H$5093+Sens!$H$5094)</f>
        <v>0</v>
      </c>
      <c r="I5158" s="39" t="n">
        <f aca="false">Sens!$I$5091-(Sens!$I$5093+Sens!$I$5094)</f>
        <v>0</v>
      </c>
      <c r="J5158" s="39" t="n">
        <f aca="false">Sens!$J$5091-(Sens!$J$5093+Sens!$J$5094)</f>
        <v>0</v>
      </c>
      <c r="K5158" s="39" t="n">
        <f aca="false">Sens!$K$5091-(Sens!$K$5093+Sens!$K$5094)</f>
        <v>0</v>
      </c>
      <c r="L5158" s="39" t="n">
        <f aca="false">Sens!$L$5091-(Sens!$L$5093+Sens!$L$5094)</f>
        <v>0</v>
      </c>
      <c r="M5158" s="39" t="n">
        <f aca="false">Sens!$M$5091-(Sens!$M$5093+Sens!$M$5094)</f>
        <v>0</v>
      </c>
      <c r="N5158" s="39" t="n">
        <f aca="false">Sens!$N$5091-(Sens!$N$5093+Sens!$N$5094)</f>
        <v>0</v>
      </c>
      <c r="O5158" s="39" t="n">
        <f aca="false">Sens!$O$5091-(Sens!$O$5093+Sens!$O$5094)</f>
        <v>0</v>
      </c>
    </row>
    <row r="5159" customFormat="false" ht="17.15" hidden="false" customHeight="false" outlineLevel="0" collapsed="false">
      <c r="A5159" s="24" t="s">
        <v>656</v>
      </c>
      <c r="B5159" s="25" t="s">
        <v>73</v>
      </c>
      <c r="C5159" s="39" t="n">
        <f aca="false">Sens!$C$5154+Sens!$C$5155-Sens!$C$5156</f>
        <v>0</v>
      </c>
      <c r="D5159" s="39" t="n">
        <f aca="false">Sens!$D$5154+Sens!$D$5155-Sens!$D$5156</f>
        <v>0</v>
      </c>
      <c r="E5159" s="39" t="n">
        <f aca="false">Sens!$E$5154+Sens!$E$5155-Sens!$E$5156</f>
        <v>0</v>
      </c>
      <c r="F5159" s="39" t="n">
        <f aca="false">Sens!$F$5154+Sens!$F$5155-Sens!$F$5156</f>
        <v>0</v>
      </c>
      <c r="G5159" s="39" t="n">
        <f aca="false">Sens!$G$5154+Sens!$G$5155-Sens!$G$5156</f>
        <v>0</v>
      </c>
      <c r="H5159" s="39" t="n">
        <f aca="false">Sens!$H$5154+Sens!$H$5155-Sens!$H$5156</f>
        <v>0</v>
      </c>
      <c r="I5159" s="39" t="n">
        <f aca="false">Sens!$I$5154+Sens!$I$5155-Sens!$I$5156</f>
        <v>0</v>
      </c>
      <c r="J5159" s="39" t="n">
        <f aca="false">Sens!$J$5154+Sens!$J$5155-Sens!$J$5156</f>
        <v>0</v>
      </c>
      <c r="K5159" s="39" t="n">
        <f aca="false">Sens!$K$5154+Sens!$K$5155-Sens!$K$5156</f>
        <v>0</v>
      </c>
      <c r="L5159" s="39" t="n">
        <f aca="false">Sens!$L$5154+Sens!$L$5155-Sens!$L$5156</f>
        <v>0</v>
      </c>
      <c r="M5159" s="39" t="n">
        <f aca="false">Sens!$M$5154+Sens!$M$5155-Sens!$M$5156</f>
        <v>0</v>
      </c>
      <c r="N5159" s="39" t="n">
        <f aca="false">Sens!$N$5154+Sens!$N$5155-Sens!$N$5156</f>
        <v>0</v>
      </c>
      <c r="O5159" s="39" t="n">
        <f aca="false">Sens!$O$5154+Sens!$O$5155-Sens!$O$5156</f>
        <v>0</v>
      </c>
    </row>
    <row r="5160" customFormat="false" ht="17.15" hidden="false" customHeight="false" outlineLevel="0" collapsed="false">
      <c r="A5160" s="24" t="s">
        <v>657</v>
      </c>
      <c r="B5160" s="25" t="s">
        <v>73</v>
      </c>
      <c r="C5160" s="39" t="n">
        <f aca="false">Sens!$C$5093+Sens!$C$5094+Sens!$C$5156-Sens!$C$5157</f>
        <v>0</v>
      </c>
      <c r="D5160" s="39" t="n">
        <f aca="false">Sens!$D$5093+Sens!$D$5094+Sens!$D$5156-Sens!$D$5157</f>
        <v>0</v>
      </c>
      <c r="E5160" s="39" t="n">
        <f aca="false">Sens!$E$5093+Sens!$E$5094+Sens!$E$5156-Sens!$E$5157</f>
        <v>0</v>
      </c>
      <c r="F5160" s="39" t="n">
        <f aca="false">Sens!$F$5093+Sens!$F$5094+Sens!$F$5156-Sens!$F$5157</f>
        <v>0</v>
      </c>
      <c r="G5160" s="39" t="n">
        <f aca="false">Sens!$G$5093+Sens!$G$5094+Sens!$G$5156-Sens!$G$5157</f>
        <v>0</v>
      </c>
      <c r="H5160" s="39" t="n">
        <f aca="false">Sens!$H$5093+Sens!$H$5094+Sens!$H$5156-Sens!$H$5157</f>
        <v>0</v>
      </c>
      <c r="I5160" s="39" t="n">
        <f aca="false">Sens!$I$5093+Sens!$I$5094+Sens!$I$5156-Sens!$I$5157</f>
        <v>0</v>
      </c>
      <c r="J5160" s="39" t="n">
        <f aca="false">Sens!$J$5093+Sens!$J$5094+Sens!$J$5156-Sens!$J$5157</f>
        <v>0</v>
      </c>
      <c r="K5160" s="39" t="n">
        <f aca="false">Sens!$K$5093+Sens!$K$5094+Sens!$K$5156-Sens!$K$5157</f>
        <v>0</v>
      </c>
      <c r="L5160" s="39" t="n">
        <f aca="false">Sens!$L$5093+Sens!$L$5094+Sens!$L$5156-Sens!$L$5157</f>
        <v>0</v>
      </c>
      <c r="M5160" s="39" t="n">
        <f aca="false">Sens!$M$5093+Sens!$M$5094+Sens!$M$5156-Sens!$M$5157</f>
        <v>0</v>
      </c>
      <c r="N5160" s="39" t="n">
        <f aca="false">Sens!$N$5093+Sens!$N$5094+Sens!$N$5156-Sens!$N$5157</f>
        <v>0</v>
      </c>
      <c r="O5160" s="39" t="n">
        <f aca="false">Sens!$O$5093+Sens!$O$5094+Sens!$O$5156-Sens!$O$5157</f>
        <v>0</v>
      </c>
    </row>
    <row r="5161" customFormat="false" ht="15" hidden="false" customHeight="false" outlineLevel="0" collapsed="false">
      <c r="A5161" s="5" t="s">
        <v>651</v>
      </c>
      <c r="B5161" s="0" t="s">
        <v>52</v>
      </c>
      <c r="G5161" s="12" t="n">
        <f aca="false">Sens!$G$5157/Sens!$D$5157-1</f>
        <v>0.161378156222718</v>
      </c>
      <c r="H5161" s="12" t="n">
        <f aca="false">Sens!$H$5157/Sens!$G$5157-1</f>
        <v>0.166192665236357</v>
      </c>
      <c r="I5161" s="12" t="n">
        <f aca="false">Sens!$I$5157/Sens!$H$5157-1</f>
        <v>0.143618092519351</v>
      </c>
      <c r="J5161" s="12" t="n">
        <f aca="false">Sens!$J$5157/Sens!$I$5157-1</f>
        <v>0.117712411733268</v>
      </c>
      <c r="K5161" s="12" t="n">
        <f aca="false">Sens!$K$5157/Sens!$J$5157-1</f>
        <v>0.0937151404237868</v>
      </c>
      <c r="L5161" s="12" t="n">
        <f aca="false">Sens!$L$5157/Sens!$K$5157-1</f>
        <v>0.0896982852494186</v>
      </c>
      <c r="M5161" s="12" t="n">
        <f aca="false">Sens!$M$5157/Sens!$L$5157-1</f>
        <v>0.0862697420528154</v>
      </c>
    </row>
    <row r="5162" customFormat="false" ht="17.15" hidden="false" customHeight="false" outlineLevel="0" collapsed="false">
      <c r="A5162" s="0" t="s">
        <v>652</v>
      </c>
      <c r="B5162" s="0" t="s">
        <v>52</v>
      </c>
      <c r="C5162" s="12" t="n">
        <f aca="false">Sens!$C$5156/Sens!$C$5157</f>
        <v>0.168593906504964</v>
      </c>
      <c r="D5162" s="12" t="n">
        <f aca="false">Sens!$D$5156/Sens!$D$5157</f>
        <v>0.179551807444025</v>
      </c>
      <c r="E5162" s="12" t="n">
        <f aca="false">Sens!$E$5156/Sens!$E$5157</f>
        <v>0.208881910369643</v>
      </c>
      <c r="F5162" s="12" t="n">
        <f aca="false">Sens!$F$5156/Sens!$F$5157</f>
        <v>0.207679264769203</v>
      </c>
      <c r="G5162" s="12" t="n">
        <f aca="false">Sens!$G$5156/Sens!$G$5157</f>
        <v>0.208231210458731</v>
      </c>
      <c r="H5162" s="12" t="n">
        <f aca="false">Sens!$H$5156/Sens!$H$5157</f>
        <v>0.248260191414043</v>
      </c>
      <c r="I5162" s="12" t="n">
        <f aca="false">Sens!$I$5156/Sens!$I$5157</f>
        <v>0.28110473450946</v>
      </c>
      <c r="J5162" s="12" t="n">
        <f aca="false">Sens!$J$5156/Sens!$J$5157</f>
        <v>0.30570109287086</v>
      </c>
      <c r="K5162" s="12" t="n">
        <f aca="false">Sens!$K$5156/Sens!$K$5157</f>
        <v>0.324071291782835</v>
      </c>
      <c r="L5162" s="12" t="n">
        <f aca="false">Sens!$L$5156/Sens!$L$5157</f>
        <v>0.339333003903741</v>
      </c>
      <c r="M5162" s="12" t="n">
        <f aca="false">Sens!$M$5156/Sens!$M$5157</f>
        <v>0.3520169237354</v>
      </c>
      <c r="N5162" s="12" t="n">
        <f aca="false">Sens!$N$5156/Sens!$N$5157</f>
        <v>0.185979484737251</v>
      </c>
      <c r="O5162" s="12" t="n">
        <f aca="false">Sens!$O$5156/Sens!$O$5157</f>
        <v>0.174270432341096</v>
      </c>
    </row>
    <row r="5163" customFormat="false" ht="17.15" hidden="false" customHeight="false" outlineLevel="0" collapsed="false">
      <c r="A5163" s="0" t="s">
        <v>653</v>
      </c>
      <c r="B5163" s="0" t="s">
        <v>52</v>
      </c>
      <c r="C5163" s="12" t="n">
        <f aca="false">Sens!$C$5154/Sens!$C$5156</f>
        <v>0.0215795060896058</v>
      </c>
      <c r="D5163" s="12" t="n">
        <f aca="false">Sens!$D$5154/Sens!$D$5156</f>
        <v>0.0676152269462122</v>
      </c>
      <c r="E5163" s="12" t="n">
        <f aca="false">Sens!$E$5154/Sens!$E$5156</f>
        <v>0.106620641395783</v>
      </c>
      <c r="F5163" s="12" t="n">
        <f aca="false">Sens!$F$5154/Sens!$F$5156</f>
        <v>0.159936751776064</v>
      </c>
      <c r="G5163" s="12" t="n">
        <f aca="false">Sens!$G$5154/Sens!$G$5156</f>
        <v>0.135391237003751</v>
      </c>
      <c r="H5163" s="12" t="n">
        <f aca="false">Sens!$H$5154/Sens!$H$5156</f>
        <v>0.249589428545194</v>
      </c>
      <c r="I5163" s="12" t="n">
        <f aca="false">Sens!$I$5154/Sens!$I$5156</f>
        <v>0.325173850577483</v>
      </c>
      <c r="J5163" s="12" t="n">
        <f aca="false">Sens!$J$5154/Sens!$J$5156</f>
        <v>0.376953718817392</v>
      </c>
      <c r="K5163" s="12" t="n">
        <f aca="false">Sens!$K$5154/Sens!$K$5156</f>
        <v>0.419641605578676</v>
      </c>
      <c r="L5163" s="12" t="n">
        <f aca="false">Sens!$L$5154/Sens!$L$5156</f>
        <v>0.450676451094615</v>
      </c>
      <c r="M5163" s="12" t="n">
        <f aca="false">Sens!$M$5154/Sens!$M$5156</f>
        <v>0.473526096798086</v>
      </c>
      <c r="N5163" s="12" t="n">
        <f aca="false">Sens!$N$5154/Sens!$N$5156</f>
        <v>0.0506537999838362</v>
      </c>
      <c r="O5163" s="12" t="n">
        <f aca="false">Sens!$O$5154/Sens!$O$5156</f>
        <v>0.0824881615167056</v>
      </c>
    </row>
    <row r="5166" customFormat="false" ht="19.4" hidden="false" customHeight="false" outlineLevel="0" collapsed="false">
      <c r="A5166" s="31" t="s">
        <v>1155</v>
      </c>
    </row>
    <row r="5167" customFormat="false" ht="17.15" hidden="false" customHeight="false" outlineLevel="0" collapsed="false">
      <c r="A5167" s="6" t="s">
        <v>16</v>
      </c>
      <c r="B5167" s="6" t="s">
        <v>17</v>
      </c>
      <c r="C5167" s="20" t="s">
        <v>457</v>
      </c>
      <c r="D5167" s="20" t="s">
        <v>458</v>
      </c>
      <c r="E5167" s="20" t="s">
        <v>540</v>
      </c>
      <c r="F5167" s="20" t="s">
        <v>541</v>
      </c>
      <c r="G5167" s="20" t="s">
        <v>542</v>
      </c>
      <c r="H5167" s="20" t="s">
        <v>543</v>
      </c>
      <c r="I5167" s="20" t="s">
        <v>544</v>
      </c>
      <c r="J5167" s="20" t="s">
        <v>545</v>
      </c>
      <c r="K5167" s="20" t="s">
        <v>546</v>
      </c>
      <c r="L5167" s="20" t="s">
        <v>547</v>
      </c>
      <c r="M5167" s="20" t="s">
        <v>548</v>
      </c>
      <c r="N5167" s="20" t="s">
        <v>549</v>
      </c>
      <c r="O5167" s="20" t="s">
        <v>550</v>
      </c>
      <c r="P5167" s="6" t="s">
        <v>23</v>
      </c>
      <c r="R5167" s="20" t="n">
        <v>2023</v>
      </c>
      <c r="S5167" s="20" t="n">
        <v>2024</v>
      </c>
      <c r="T5167" s="20" t="n">
        <v>2025</v>
      </c>
      <c r="U5167" s="20" t="n">
        <v>2026</v>
      </c>
      <c r="V5167" s="20" t="n">
        <v>2027</v>
      </c>
      <c r="W5167" s="20" t="n">
        <v>2028</v>
      </c>
      <c r="X5167" s="20" t="n">
        <v>2029</v>
      </c>
      <c r="Y5167" s="20" t="n">
        <v>2030</v>
      </c>
      <c r="Z5167" s="20" t="n">
        <v>2031</v>
      </c>
      <c r="AA5167" s="20" t="n">
        <v>2032</v>
      </c>
    </row>
    <row r="5168" customFormat="false" ht="17.15" hidden="false" customHeight="false" outlineLevel="0" collapsed="false">
      <c r="A5168" s="1" t="s">
        <v>668</v>
      </c>
    </row>
    <row r="5169" customFormat="false" ht="15" hidden="false" customHeight="false" outlineLevel="0" collapsed="false">
      <c r="A5169" s="0" t="s">
        <v>479</v>
      </c>
      <c r="B5169" s="0" t="s">
        <v>73</v>
      </c>
      <c r="C5169" s="38" t="n">
        <f aca="false">Sens!$C$5079</f>
        <v>247.029</v>
      </c>
      <c r="D5169" s="38" t="n">
        <f aca="false">Sens!$D$5079</f>
        <v>269.287</v>
      </c>
      <c r="E5169" s="38" t="n">
        <f aca="false">Sens!$E$5079</f>
        <v>134.686</v>
      </c>
      <c r="F5169" s="38" t="n">
        <f aca="false">Sens!$F$5079</f>
        <v>160.728085930082</v>
      </c>
      <c r="G5169" s="38" t="n">
        <f aca="false">Sens!$G$5079</f>
        <v>295.414085930082</v>
      </c>
      <c r="H5169" s="38" t="n">
        <f aca="false">Sens!$H$5079</f>
        <v>320.828163943375</v>
      </c>
      <c r="I5169" s="38" t="n">
        <f aca="false">Sens!$I$5079</f>
        <v>344.575578072228</v>
      </c>
      <c r="J5169" s="38" t="n">
        <f aca="false">Sens!$J$5079</f>
        <v>365.942555779681</v>
      </c>
      <c r="K5169" s="38" t="n">
        <f aca="false">Sens!$K$5079</f>
        <v>384.239683568665</v>
      </c>
      <c r="L5169" s="38" t="n">
        <f aca="false">Sens!$L$5079</f>
        <v>403.451667747098</v>
      </c>
      <c r="M5169" s="38" t="n">
        <f aca="false">Sens!$M$5079</f>
        <v>423.624251134453</v>
      </c>
      <c r="N5169" s="38" t="n">
        <f aca="false">Sens!$N$5079</f>
        <v>118.892</v>
      </c>
      <c r="O5169" s="38" t="n">
        <f aca="false">Sens!$O$5079</f>
        <v>150.395</v>
      </c>
    </row>
    <row r="5170" customFormat="false" ht="15" hidden="false" customHeight="false" outlineLevel="0" collapsed="false">
      <c r="A5170" s="0" t="s">
        <v>480</v>
      </c>
      <c r="B5170" s="0" t="s">
        <v>73</v>
      </c>
      <c r="C5170" s="38" t="n">
        <f aca="false">Sens!$C$5081</f>
        <v>21.215</v>
      </c>
      <c r="D5170" s="38" t="n">
        <f aca="false">Sens!$D$5081</f>
        <v>22.561</v>
      </c>
      <c r="E5170" s="38" t="n">
        <f aca="false">Sens!$E$5081</f>
        <v>11.579</v>
      </c>
      <c r="F5170" s="38" t="n">
        <f aca="false">Sens!$F$5081</f>
        <v>12.0952613121125</v>
      </c>
      <c r="G5170" s="38" t="n">
        <f aca="false">Sens!$G$5081</f>
        <v>23.6742613121125</v>
      </c>
      <c r="H5170" s="38" t="n">
        <f aca="false">Sens!$H$5081</f>
        <v>24.8803243963206</v>
      </c>
      <c r="I5170" s="38" t="n">
        <f aca="false">Sens!$I$5081</f>
        <v>25.9741308664154</v>
      </c>
      <c r="J5170" s="38" t="n">
        <f aca="false">Sens!$J$5081</f>
        <v>26.9346894124267</v>
      </c>
      <c r="K5170" s="38" t="n">
        <f aca="false">Sens!$K$5081</f>
        <v>27.7427300947995</v>
      </c>
      <c r="L5170" s="38" t="n">
        <f aca="false">Sens!$L$5081</f>
        <v>28.5750119976435</v>
      </c>
      <c r="M5170" s="38" t="n">
        <f aca="false">Sens!$M$5081</f>
        <v>29.4322623575728</v>
      </c>
      <c r="N5170" s="38" t="n">
        <f aca="false">Sens!$N$5081</f>
        <v>11.128</v>
      </c>
      <c r="O5170" s="38" t="n">
        <f aca="false">Sens!$O$5081</f>
        <v>11.433</v>
      </c>
    </row>
    <row r="5171" customFormat="false" ht="15" hidden="false" customHeight="false" outlineLevel="0" collapsed="false">
      <c r="A5171" s="0" t="s">
        <v>481</v>
      </c>
      <c r="B5171" s="0" t="s">
        <v>73</v>
      </c>
      <c r="C5171" s="38" t="n">
        <f aca="false">Sens!$C$5083</f>
        <v>156.146</v>
      </c>
      <c r="D5171" s="38" t="n">
        <f aca="false">Sens!$D$5083</f>
        <v>172.162</v>
      </c>
      <c r="E5171" s="38" t="n">
        <f aca="false">Sens!$E$5083</f>
        <v>88.358</v>
      </c>
      <c r="F5171" s="38" t="n">
        <f aca="false">Sens!$F$5083</f>
        <v>103.62028337149</v>
      </c>
      <c r="G5171" s="38" t="n">
        <f aca="false">Sens!$G$5083</f>
        <v>191.97828337149</v>
      </c>
      <c r="H5171" s="38" t="n">
        <f aca="false">Sens!$H$5083</f>
        <v>212.128608444755</v>
      </c>
      <c r="I5171" s="38" t="n">
        <f aca="false">Sens!$I$5083</f>
        <v>231.92183134134</v>
      </c>
      <c r="J5171" s="38" t="n">
        <f aca="false">Sens!$J$5083</f>
        <v>250.859136487863</v>
      </c>
      <c r="K5171" s="38" t="n">
        <f aca="false">Sens!$K$5083</f>
        <v>268.419276042014</v>
      </c>
      <c r="L5171" s="38" t="n">
        <f aca="false">Sens!$L$5083</f>
        <v>287.208625364954</v>
      </c>
      <c r="M5171" s="38" t="n">
        <f aca="false">Sens!$M$5083</f>
        <v>307.313229140501</v>
      </c>
      <c r="N5171" s="38" t="n">
        <f aca="false">Sens!$N$5083</f>
        <v>76.86</v>
      </c>
      <c r="O5171" s="38" t="n">
        <f aca="false">Sens!$O$5083</f>
        <v>95.302</v>
      </c>
    </row>
    <row r="5172" customFormat="false" ht="15" hidden="false" customHeight="false" outlineLevel="0" collapsed="false">
      <c r="A5172" s="0" t="s">
        <v>482</v>
      </c>
      <c r="B5172" s="0" t="s">
        <v>73</v>
      </c>
      <c r="C5172" s="38" t="n">
        <f aca="false">Sens!$C$5085</f>
        <v>56.214</v>
      </c>
      <c r="D5172" s="38" t="n">
        <f aca="false">Sens!$D$5085</f>
        <v>68.635</v>
      </c>
      <c r="E5172" s="38" t="n">
        <f aca="false">Sens!$E$5085</f>
        <v>37.052</v>
      </c>
      <c r="F5172" s="38" t="n">
        <f aca="false">Sens!$F$5085</f>
        <v>48.1533381827382</v>
      </c>
      <c r="G5172" s="38" t="n">
        <f aca="false">Sens!$G$5085</f>
        <v>85.2053381827382</v>
      </c>
      <c r="H5172" s="38" t="n">
        <f aca="false">Sens!$H$5085</f>
        <v>102.29336185894</v>
      </c>
      <c r="I5172" s="38" t="n">
        <f aca="false">Sens!$I$5085</f>
        <v>119.379837585241</v>
      </c>
      <c r="J5172" s="38" t="n">
        <f aca="false">Sens!$J$5085</f>
        <v>135.319079048844</v>
      </c>
      <c r="K5172" s="38" t="n">
        <f aca="false">Sens!$K$5085</f>
        <v>148.850986953729</v>
      </c>
      <c r="L5172" s="38" t="n">
        <f aca="false">Sens!$L$5085</f>
        <v>163.736085649102</v>
      </c>
      <c r="M5172" s="38" t="n">
        <f aca="false">Sens!$M$5085</f>
        <v>180.109694214012</v>
      </c>
      <c r="N5172" s="38" t="n">
        <f aca="false">Sens!$N$5085</f>
        <v>29.615</v>
      </c>
      <c r="O5172" s="38" t="n">
        <f aca="false">Sens!$O$5085</f>
        <v>39.02</v>
      </c>
    </row>
    <row r="5173" customFormat="false" ht="15" hidden="false" customHeight="false" outlineLevel="0" collapsed="false">
      <c r="A5173" s="0" t="s">
        <v>483</v>
      </c>
      <c r="B5173" s="0" t="s">
        <v>73</v>
      </c>
      <c r="C5173" s="38" t="n">
        <f aca="false">Sens!$C$5087</f>
        <v>44.374</v>
      </c>
      <c r="D5173" s="38" t="n">
        <f aca="false">Sens!$D$5087</f>
        <v>49.619</v>
      </c>
      <c r="E5173" s="38" t="n">
        <f aca="false">Sens!$E$5087</f>
        <v>27.157</v>
      </c>
      <c r="F5173" s="38" t="n">
        <f aca="false">Sens!$F$5087</f>
        <v>28.9776360923374</v>
      </c>
      <c r="G5173" s="38" t="n">
        <f aca="false">Sens!$G$5087</f>
        <v>56.1346360923374</v>
      </c>
      <c r="H5173" s="38" t="n">
        <f aca="false">Sens!$H$5087</f>
        <v>62.4937078946075</v>
      </c>
      <c r="I5173" s="38" t="n">
        <f aca="false">Sens!$I$5087</f>
        <v>68.6715233062498</v>
      </c>
      <c r="J5173" s="38" t="n">
        <f aca="false">Sens!$J$5087</f>
        <v>74.4692882949818</v>
      </c>
      <c r="K5173" s="38" t="n">
        <f aca="false">Sens!$K$5087</f>
        <v>79.6821384756306</v>
      </c>
      <c r="L5173" s="38" t="n">
        <f aca="false">Sens!$L$5087</f>
        <v>85.2598881689247</v>
      </c>
      <c r="M5173" s="38" t="n">
        <f aca="false">Sens!$M$5087</f>
        <v>91.2280803407494</v>
      </c>
      <c r="N5173" s="38" t="n">
        <f aca="false">Sens!$N$5087</f>
        <v>23.923</v>
      </c>
      <c r="O5173" s="38" t="n">
        <f aca="false">Sens!$O$5087</f>
        <v>25.696</v>
      </c>
    </row>
    <row r="5174" customFormat="false" ht="15" hidden="false" customHeight="false" outlineLevel="0" collapsed="false">
      <c r="A5174" s="0" t="s">
        <v>484</v>
      </c>
      <c r="B5174" s="0" t="s">
        <v>73</v>
      </c>
      <c r="C5174" s="38" t="n">
        <f aca="false">Sens!$C$5089</f>
        <v>5.425</v>
      </c>
      <c r="D5174" s="38" t="n">
        <f aca="false">Sens!$D$5089</f>
        <v>5.935</v>
      </c>
      <c r="E5174" s="38" t="n">
        <f aca="false">Sens!$E$5089</f>
        <v>3.474</v>
      </c>
      <c r="F5174" s="38" t="n">
        <f aca="false">Sens!$F$5089</f>
        <v>3.36182431966931</v>
      </c>
      <c r="G5174" s="38" t="n">
        <f aca="false">Sens!$G$5089</f>
        <v>6.83582431966931</v>
      </c>
      <c r="H5174" s="38" t="n">
        <f aca="false">Sens!$H$5089</f>
        <v>7.31157108370141</v>
      </c>
      <c r="I5174" s="38" t="n">
        <f aca="false">Sens!$I$5089</f>
        <v>7.77266852639815</v>
      </c>
      <c r="J5174" s="38" t="n">
        <f aca="false">Sens!$J$5089</f>
        <v>8.2120733019884</v>
      </c>
      <c r="K5174" s="38" t="n">
        <f aca="false">Sens!$K$5089</f>
        <v>8.62267696708783</v>
      </c>
      <c r="L5174" s="38" t="n">
        <f aca="false">Sens!$L$5089</f>
        <v>9.05381081544222</v>
      </c>
      <c r="M5174" s="38" t="n">
        <f aca="false">Sens!$M$5089</f>
        <v>9.50650135621433</v>
      </c>
      <c r="N5174" s="38" t="n">
        <f aca="false">Sens!$N$5089</f>
        <v>2.811</v>
      </c>
      <c r="O5174" s="38" t="n">
        <f aca="false">Sens!$O$5089</f>
        <v>3.124</v>
      </c>
    </row>
    <row r="5175" customFormat="false" ht="17.15" hidden="false" customHeight="false" outlineLevel="0" collapsed="false">
      <c r="A5175" s="0" t="s">
        <v>669</v>
      </c>
      <c r="B5175" s="0" t="s">
        <v>73</v>
      </c>
      <c r="C5175" s="38" t="n">
        <f aca="false">Sens!$C$5156</f>
        <v>107.556</v>
      </c>
      <c r="D5175" s="38" t="n">
        <f aca="false">Sens!$D$5156</f>
        <v>128.725</v>
      </c>
      <c r="E5175" s="38" t="n">
        <f aca="false">Sens!$E$5156</f>
        <v>79.819</v>
      </c>
      <c r="F5175" s="38" t="n">
        <f aca="false">Sens!$F$5156</f>
        <v>93.5584440633857</v>
      </c>
      <c r="G5175" s="38" t="n">
        <f aca="false">Sens!$G$5156</f>
        <v>173.377444063386</v>
      </c>
      <c r="H5175" s="38" t="n">
        <f aca="false">Sens!$H$5156</f>
        <v>241.059451517916</v>
      </c>
      <c r="I5175" s="38" t="n">
        <f aca="false">Sens!$I$5156</f>
        <v>312.152096351442</v>
      </c>
      <c r="J5175" s="38" t="n">
        <f aca="false">Sens!$J$5156</f>
        <v>379.424316597773</v>
      </c>
      <c r="K5175" s="38" t="n">
        <f aca="false">Sens!$K$5156</f>
        <v>439.919237244402</v>
      </c>
      <c r="L5175" s="38" t="n">
        <f aca="false">Sens!$L$5156</f>
        <v>501.954974491517</v>
      </c>
      <c r="M5175" s="38" t="n">
        <f aca="false">Sens!$M$5156</f>
        <v>565.639704466895</v>
      </c>
      <c r="N5175" s="38" t="n">
        <f aca="false">Sens!$N$5156</f>
        <v>60.14</v>
      </c>
      <c r="O5175" s="38" t="n">
        <f aca="false">Sens!$O$5156</f>
        <v>68.585</v>
      </c>
    </row>
    <row r="5176" customFormat="false" ht="15" hidden="false" customHeight="false" outlineLevel="0" collapsed="false">
      <c r="A5176" s="1" t="s">
        <v>472</v>
      </c>
      <c r="B5176" s="8" t="s">
        <v>73</v>
      </c>
      <c r="C5176" s="38" t="n">
        <f aca="false">Sens!$C$5093</f>
        <v>387.497</v>
      </c>
      <c r="D5176" s="38" t="n">
        <f aca="false">Sens!$D$5093</f>
        <v>426.305</v>
      </c>
      <c r="E5176" s="38" t="n">
        <f aca="false">Sens!$E$5093</f>
        <v>220.32</v>
      </c>
      <c r="F5176" s="38" t="n">
        <f aca="false">Sens!$F$5093</f>
        <v>256.304015003807</v>
      </c>
      <c r="G5176" s="38" t="n">
        <f aca="false">Sens!$G$5093</f>
        <v>476.624015003807</v>
      </c>
      <c r="H5176" s="38" t="n">
        <f aca="false">Sens!$H$5093</f>
        <v>527.734391091543</v>
      </c>
      <c r="I5176" s="38" t="n">
        <f aca="false">Sens!$I$5093</f>
        <v>577.157693029577</v>
      </c>
      <c r="J5176" s="38" t="n">
        <f aca="false">Sens!$J$5093</f>
        <v>623.024923663827</v>
      </c>
      <c r="K5176" s="38" t="n">
        <f aca="false">Sens!$K$5093</f>
        <v>663.382568393781</v>
      </c>
      <c r="L5176" s="38" t="n">
        <f aca="false">Sens!$L$5093</f>
        <v>706.564873010432</v>
      </c>
      <c r="M5176" s="38" t="n">
        <f aca="false">Sens!$M$5093</f>
        <v>752.784687406019</v>
      </c>
      <c r="N5176" s="38" t="n">
        <f aca="false">Sens!$N$5093</f>
        <v>192.955</v>
      </c>
      <c r="O5176" s="38" t="n">
        <f aca="false">Sens!$O$5093</f>
        <v>233.35</v>
      </c>
    </row>
    <row r="5177" customFormat="false" ht="15" hidden="false" customHeight="false" outlineLevel="0" collapsed="false">
      <c r="A5177" s="1" t="s">
        <v>475</v>
      </c>
      <c r="B5177" s="8" t="s">
        <v>73</v>
      </c>
      <c r="C5177" s="38" t="n">
        <f aca="false">Sens!$C$5094</f>
        <v>142.906</v>
      </c>
      <c r="D5177" s="38" t="n">
        <f aca="false">Sens!$D$5094</f>
        <v>161.894</v>
      </c>
      <c r="E5177" s="38" t="n">
        <f aca="false">Sens!$E$5094</f>
        <v>81.986</v>
      </c>
      <c r="F5177" s="38" t="n">
        <f aca="false">Sens!$F$5094</f>
        <v>100.632414204623</v>
      </c>
      <c r="G5177" s="38" t="n">
        <f aca="false">Sens!$G$5094</f>
        <v>182.618414204623</v>
      </c>
      <c r="H5177" s="38" t="n">
        <f aca="false">Sens!$H$5094</f>
        <v>202.201346530158</v>
      </c>
      <c r="I5177" s="38" t="n">
        <f aca="false">Sens!$I$5094</f>
        <v>221.137876668296</v>
      </c>
      <c r="J5177" s="38" t="n">
        <f aca="false">Sens!$J$5094</f>
        <v>238.711898661958</v>
      </c>
      <c r="K5177" s="38" t="n">
        <f aca="false">Sens!$K$5094</f>
        <v>254.174923708144</v>
      </c>
      <c r="L5177" s="38" t="n">
        <f aca="false">Sens!$L$5094</f>
        <v>270.720216732733</v>
      </c>
      <c r="M5177" s="38" t="n">
        <f aca="false">Sens!$M$5094</f>
        <v>288.429331137484</v>
      </c>
      <c r="N5177" s="38" t="n">
        <f aca="false">Sens!$N$5094</f>
        <v>70.274</v>
      </c>
      <c r="O5177" s="38" t="n">
        <f aca="false">Sens!$O$5094</f>
        <v>91.62</v>
      </c>
    </row>
    <row r="5178" customFormat="false" ht="15" hidden="false" customHeight="false" outlineLevel="0" collapsed="false">
      <c r="A5178" s="1" t="s">
        <v>476</v>
      </c>
      <c r="B5178" s="8" t="s">
        <v>73</v>
      </c>
      <c r="C5178" s="38" t="n">
        <f aca="false">Sens!$C$5156</f>
        <v>107.556</v>
      </c>
      <c r="D5178" s="38" t="n">
        <f aca="false">Sens!$D$5156</f>
        <v>128.725</v>
      </c>
      <c r="E5178" s="38" t="n">
        <f aca="false">Sens!$E$5156</f>
        <v>79.819</v>
      </c>
      <c r="F5178" s="38" t="n">
        <f aca="false">Sens!$F$5156</f>
        <v>93.5584440633857</v>
      </c>
      <c r="G5178" s="38" t="n">
        <f aca="false">Sens!$G$5156</f>
        <v>173.377444063386</v>
      </c>
      <c r="H5178" s="38" t="n">
        <f aca="false">Sens!$H$5156</f>
        <v>241.059451517916</v>
      </c>
      <c r="I5178" s="38" t="n">
        <f aca="false">Sens!$I$5156</f>
        <v>312.152096351442</v>
      </c>
      <c r="J5178" s="38" t="n">
        <f aca="false">Sens!$J$5156</f>
        <v>379.424316597773</v>
      </c>
      <c r="K5178" s="38" t="n">
        <f aca="false">Sens!$K$5156</f>
        <v>439.919237244402</v>
      </c>
      <c r="L5178" s="38" t="n">
        <f aca="false">Sens!$L$5156</f>
        <v>501.954974491517</v>
      </c>
      <c r="M5178" s="38" t="n">
        <f aca="false">Sens!$M$5156</f>
        <v>565.639704466895</v>
      </c>
      <c r="N5178" s="38" t="n">
        <f aca="false">Sens!$N$5156</f>
        <v>60.14</v>
      </c>
      <c r="O5178" s="38" t="n">
        <f aca="false">Sens!$O$5156</f>
        <v>68.585</v>
      </c>
    </row>
    <row r="5179" customFormat="false" ht="17.15" hidden="false" customHeight="false" outlineLevel="0" collapsed="false">
      <c r="A5179" s="0" t="s">
        <v>643</v>
      </c>
      <c r="B5179" s="0" t="s">
        <v>73</v>
      </c>
      <c r="C5179" s="38" t="n">
        <f aca="false">Sens!$C$5154</f>
        <v>2.32100535697364</v>
      </c>
      <c r="D5179" s="38" t="n">
        <f aca="false">Sens!$D$5154</f>
        <v>8.70377008865116</v>
      </c>
      <c r="E5179" s="38" t="n">
        <f aca="false">Sens!$E$5154</f>
        <v>8.51035297557002</v>
      </c>
      <c r="F5179" s="38" t="n">
        <f aca="false">Sens!$F$5154</f>
        <v>14.9634336447205</v>
      </c>
      <c r="G5179" s="38" t="n">
        <f aca="false">Sens!$G$5154</f>
        <v>23.4737866202905</v>
      </c>
      <c r="H5179" s="38" t="n">
        <f aca="false">Sens!$H$5154</f>
        <v>60.1658907497746</v>
      </c>
      <c r="I5179" s="38" t="n">
        <f aca="false">Sens!$I$5154</f>
        <v>101.503699136432</v>
      </c>
      <c r="J5179" s="38" t="n">
        <f aca="false">Sens!$J$5154</f>
        <v>143.025407151278</v>
      </c>
      <c r="K5179" s="38" t="n">
        <f aca="false">Sens!$K$5154</f>
        <v>184.608415042187</v>
      </c>
      <c r="L5179" s="38" t="n">
        <f aca="false">Sens!$L$5154</f>
        <v>226.219286513125</v>
      </c>
      <c r="M5179" s="38" t="n">
        <f aca="false">Sens!$M$5154</f>
        <v>267.845161450232</v>
      </c>
      <c r="N5179" s="38" t="n">
        <f aca="false">Sens!$N$5154</f>
        <v>3.04631953102791</v>
      </c>
      <c r="O5179" s="38" t="n">
        <f aca="false">Sens!$O$5154</f>
        <v>5.65745055762326</v>
      </c>
    </row>
    <row r="5180" customFormat="false" ht="17.15" hidden="false" customHeight="false" outlineLevel="0" collapsed="false">
      <c r="A5180" s="0" t="s">
        <v>645</v>
      </c>
      <c r="B5180" s="0" t="s">
        <v>73</v>
      </c>
      <c r="C5180" s="38" t="n">
        <f aca="false">Sens!$C$5155</f>
        <v>105.234994643026</v>
      </c>
      <c r="D5180" s="38" t="n">
        <f aca="false">Sens!$D$5155</f>
        <v>120.021229911349</v>
      </c>
      <c r="E5180" s="38" t="n">
        <f aca="false">Sens!$E$5155</f>
        <v>71.30864702443</v>
      </c>
      <c r="F5180" s="38" t="n">
        <f aca="false">Sens!$F$5155</f>
        <v>78.5950104186653</v>
      </c>
      <c r="G5180" s="38" t="n">
        <f aca="false">Sens!$G$5155</f>
        <v>149.903657443095</v>
      </c>
      <c r="H5180" s="38" t="n">
        <f aca="false">Sens!$H$5155</f>
        <v>180.893560768142</v>
      </c>
      <c r="I5180" s="38" t="n">
        <f aca="false">Sens!$I$5155</f>
        <v>210.64839721501</v>
      </c>
      <c r="J5180" s="38" t="n">
        <f aca="false">Sens!$J$5155</f>
        <v>236.398909446495</v>
      </c>
      <c r="K5180" s="38" t="n">
        <f aca="false">Sens!$K$5155</f>
        <v>255.310822202215</v>
      </c>
      <c r="L5180" s="38" t="n">
        <f aca="false">Sens!$L$5155</f>
        <v>275.735687978392</v>
      </c>
      <c r="M5180" s="38" t="n">
        <f aca="false">Sens!$M$5155</f>
        <v>297.794543016663</v>
      </c>
      <c r="N5180" s="38" t="n">
        <f aca="false">Sens!$N$5155</f>
        <v>57.0936804689721</v>
      </c>
      <c r="O5180" s="38" t="n">
        <f aca="false">Sens!$O$5155</f>
        <v>62.9275494423768</v>
      </c>
    </row>
    <row r="5181" customFormat="false" ht="15" hidden="false" customHeight="false" outlineLevel="0" collapsed="false">
      <c r="A5181" s="3" t="s">
        <v>477</v>
      </c>
      <c r="B5181" s="8" t="s">
        <v>73</v>
      </c>
      <c r="C5181" s="38" t="n">
        <f aca="false">Sens!$C$5157</f>
        <v>637.959</v>
      </c>
      <c r="D5181" s="38" t="n">
        <f aca="false">Sens!$D$5157</f>
        <v>716.924</v>
      </c>
      <c r="E5181" s="38" t="n">
        <f aca="false">Sens!$E$5157</f>
        <v>382.125</v>
      </c>
      <c r="F5181" s="38" t="n">
        <f aca="false">Sens!$F$5157</f>
        <v>450.494873271816</v>
      </c>
      <c r="G5181" s="38" t="n">
        <f aca="false">Sens!$G$5157</f>
        <v>832.619873271816</v>
      </c>
      <c r="H5181" s="38" t="n">
        <f aca="false">Sens!$H$5157</f>
        <v>970.995189139617</v>
      </c>
      <c r="I5181" s="38" t="n">
        <f aca="false">Sens!$I$5157</f>
        <v>1110.44766604932</v>
      </c>
      <c r="J5181" s="38" t="n">
        <f aca="false">Sens!$J$5157</f>
        <v>1241.16113892356</v>
      </c>
      <c r="K5181" s="38" t="n">
        <f aca="false">Sens!$K$5157</f>
        <v>1357.47672934633</v>
      </c>
      <c r="L5181" s="38" t="n">
        <f aca="false">Sens!$L$5157</f>
        <v>1479.24006423468</v>
      </c>
      <c r="M5181" s="38" t="n">
        <f aca="false">Sens!$M$5157</f>
        <v>1606.8537230104</v>
      </c>
      <c r="N5181" s="38" t="n">
        <f aca="false">Sens!$N$5157</f>
        <v>323.369</v>
      </c>
      <c r="O5181" s="38" t="n">
        <f aca="false">Sens!$O$5157</f>
        <v>393.555</v>
      </c>
    </row>
    <row r="5182" customFormat="false" ht="17.15" hidden="false" customHeight="false" outlineLevel="0" collapsed="false">
      <c r="A5182" s="24" t="s">
        <v>655</v>
      </c>
      <c r="B5182" s="25" t="s">
        <v>73</v>
      </c>
      <c r="C5182" s="39" t="n">
        <f aca="false">Sens!$C$5169+Sens!$C$5170+Sens!$C$5171+Sens!$C$5172+Sens!$C$5173+Sens!$C$5174-(Sens!$C$5176+Sens!$C$5177)</f>
        <v>0</v>
      </c>
      <c r="D5182" s="39" t="n">
        <f aca="false">Sens!$D$5169+Sens!$D$5170+Sens!$D$5171+Sens!$D$5172+Sens!$D$5173+Sens!$D$5174-(Sens!$D$5176+Sens!$D$5177)</f>
        <v>0</v>
      </c>
      <c r="E5182" s="39" t="n">
        <f aca="false">Sens!$E$5169+Sens!$E$5170+Sens!$E$5171+Sens!$E$5172+Sens!$E$5173+Sens!$E$5174-(Sens!$E$5176+Sens!$E$5177)</f>
        <v>0</v>
      </c>
      <c r="F5182" s="39" t="n">
        <f aca="false">Sens!$F$5169+Sens!$F$5170+Sens!$F$5171+Sens!$F$5172+Sens!$F$5173+Sens!$F$5174-(Sens!$F$5176+Sens!$F$5177)</f>
        <v>0</v>
      </c>
      <c r="G5182" s="39" t="n">
        <f aca="false">Sens!$G$5169+Sens!$G$5170+Sens!$G$5171+Sens!$G$5172+Sens!$G$5173+Sens!$G$5174-(Sens!$G$5176+Sens!$G$5177)</f>
        <v>0</v>
      </c>
      <c r="H5182" s="39" t="n">
        <f aca="false">Sens!$H$5169+Sens!$H$5170+Sens!$H$5171+Sens!$H$5172+Sens!$H$5173+Sens!$H$5174-(Sens!$H$5176+Sens!$H$5177)</f>
        <v>0</v>
      </c>
      <c r="I5182" s="39" t="n">
        <f aca="false">Sens!$I$5169+Sens!$I$5170+Sens!$I$5171+Sens!$I$5172+Sens!$I$5173+Sens!$I$5174-(Sens!$I$5176+Sens!$I$5177)</f>
        <v>0</v>
      </c>
      <c r="J5182" s="39" t="n">
        <f aca="false">Sens!$J$5169+Sens!$J$5170+Sens!$J$5171+Sens!$J$5172+Sens!$J$5173+Sens!$J$5174-(Sens!$J$5176+Sens!$J$5177)</f>
        <v>0</v>
      </c>
      <c r="K5182" s="39" t="n">
        <f aca="false">Sens!$K$5169+Sens!$K$5170+Sens!$K$5171+Sens!$K$5172+Sens!$K$5173+Sens!$K$5174-(Sens!$K$5176+Sens!$K$5177)</f>
        <v>0</v>
      </c>
      <c r="L5182" s="39" t="n">
        <f aca="false">Sens!$L$5169+Sens!$L$5170+Sens!$L$5171+Sens!$L$5172+Sens!$L$5173+Sens!$L$5174-(Sens!$L$5176+Sens!$L$5177)</f>
        <v>0</v>
      </c>
      <c r="M5182" s="39" t="n">
        <f aca="false">Sens!$M$5169+Sens!$M$5170+Sens!$M$5171+Sens!$M$5172+Sens!$M$5173+Sens!$M$5174-(Sens!$M$5176+Sens!$M$5177)</f>
        <v>0</v>
      </c>
      <c r="N5182" s="39" t="n">
        <f aca="false">Sens!$N$5169+Sens!$N$5170+Sens!$N$5171+Sens!$N$5172+Sens!$N$5173+Sens!$N$5174-(Sens!$N$5176+Sens!$N$5177)</f>
        <v>0</v>
      </c>
      <c r="O5182" s="39" t="n">
        <f aca="false">Sens!$O$5169+Sens!$O$5170+Sens!$O$5171+Sens!$O$5172+Sens!$O$5173+Sens!$O$5174-(Sens!$O$5176+Sens!$O$5177)</f>
        <v>0</v>
      </c>
    </row>
    <row r="5183" customFormat="false" ht="17.15" hidden="false" customHeight="false" outlineLevel="0" collapsed="false">
      <c r="A5183" s="24" t="s">
        <v>656</v>
      </c>
      <c r="B5183" s="25" t="s">
        <v>73</v>
      </c>
      <c r="C5183" s="39" t="n">
        <f aca="false">Sens!$C$5179+Sens!$C$5180-Sens!$C$5178</f>
        <v>0</v>
      </c>
      <c r="D5183" s="39" t="n">
        <f aca="false">Sens!$D$5179+Sens!$D$5180-Sens!$D$5178</f>
        <v>0</v>
      </c>
      <c r="E5183" s="39" t="n">
        <f aca="false">Sens!$E$5179+Sens!$E$5180-Sens!$E$5178</f>
        <v>0</v>
      </c>
      <c r="F5183" s="39" t="n">
        <f aca="false">Sens!$F$5179+Sens!$F$5180-Sens!$F$5178</f>
        <v>0</v>
      </c>
      <c r="G5183" s="39" t="n">
        <f aca="false">Sens!$G$5179+Sens!$G$5180-Sens!$G$5178</f>
        <v>0</v>
      </c>
      <c r="H5183" s="39" t="n">
        <f aca="false">Sens!$H$5179+Sens!$H$5180-Sens!$H$5178</f>
        <v>0</v>
      </c>
      <c r="I5183" s="39" t="n">
        <f aca="false">Sens!$I$5179+Sens!$I$5180-Sens!$I$5178</f>
        <v>0</v>
      </c>
      <c r="J5183" s="39" t="n">
        <f aca="false">Sens!$J$5179+Sens!$J$5180-Sens!$J$5178</f>
        <v>0</v>
      </c>
      <c r="K5183" s="39" t="n">
        <f aca="false">Sens!$K$5179+Sens!$K$5180-Sens!$K$5178</f>
        <v>0</v>
      </c>
      <c r="L5183" s="39" t="n">
        <f aca="false">Sens!$L$5179+Sens!$L$5180-Sens!$L$5178</f>
        <v>0</v>
      </c>
      <c r="M5183" s="39" t="n">
        <f aca="false">Sens!$M$5179+Sens!$M$5180-Sens!$M$5178</f>
        <v>0</v>
      </c>
      <c r="N5183" s="39" t="n">
        <f aca="false">Sens!$N$5179+Sens!$N$5180-Sens!$N$5178</f>
        <v>0</v>
      </c>
      <c r="O5183" s="39" t="n">
        <f aca="false">Sens!$O$5179+Sens!$O$5180-Sens!$O$5178</f>
        <v>0</v>
      </c>
    </row>
    <row r="5184" customFormat="false" ht="17.15" hidden="false" customHeight="false" outlineLevel="0" collapsed="false">
      <c r="A5184" s="24" t="s">
        <v>710</v>
      </c>
      <c r="B5184" s="25" t="s">
        <v>73</v>
      </c>
      <c r="C5184" s="39" t="n">
        <f aca="false">Sens!$C$5169+Sens!$C$5170+Sens!$C$5171+Sens!$C$5172+Sens!$C$5173+Sens!$C$5174+Sens!$C$5175-Sens!$C$5181</f>
        <v>0</v>
      </c>
      <c r="D5184" s="39" t="n">
        <f aca="false">Sens!$D$5169+Sens!$D$5170+Sens!$D$5171+Sens!$D$5172+Sens!$D$5173+Sens!$D$5174+Sens!$D$5175-Sens!$D$5181</f>
        <v>0</v>
      </c>
      <c r="E5184" s="39" t="n">
        <f aca="false">Sens!$E$5169+Sens!$E$5170+Sens!$E$5171+Sens!$E$5172+Sens!$E$5173+Sens!$E$5174+Sens!$E$5175-Sens!$E$5181</f>
        <v>0</v>
      </c>
      <c r="F5184" s="39" t="n">
        <f aca="false">Sens!$F$5169+Sens!$F$5170+Sens!$F$5171+Sens!$F$5172+Sens!$F$5173+Sens!$F$5174+Sens!$F$5175-Sens!$F$5181</f>
        <v>0</v>
      </c>
      <c r="G5184" s="39" t="n">
        <f aca="false">Sens!$G$5169+Sens!$G$5170+Sens!$G$5171+Sens!$G$5172+Sens!$G$5173+Sens!$G$5174+Sens!$G$5175-Sens!$G$5181</f>
        <v>0</v>
      </c>
      <c r="H5184" s="39" t="n">
        <f aca="false">Sens!$H$5169+Sens!$H$5170+Sens!$H$5171+Sens!$H$5172+Sens!$H$5173+Sens!$H$5174+Sens!$H$5175-Sens!$H$5181</f>
        <v>0</v>
      </c>
      <c r="I5184" s="39" t="n">
        <f aca="false">Sens!$I$5169+Sens!$I$5170+Sens!$I$5171+Sens!$I$5172+Sens!$I$5173+Sens!$I$5174+Sens!$I$5175-Sens!$I$5181</f>
        <v>0</v>
      </c>
      <c r="J5184" s="39" t="n">
        <f aca="false">Sens!$J$5169+Sens!$J$5170+Sens!$J$5171+Sens!$J$5172+Sens!$J$5173+Sens!$J$5174+Sens!$J$5175-Sens!$J$5181</f>
        <v>0</v>
      </c>
      <c r="K5184" s="39" t="n">
        <f aca="false">Sens!$K$5169+Sens!$K$5170+Sens!$K$5171+Sens!$K$5172+Sens!$K$5173+Sens!$K$5174+Sens!$K$5175-Sens!$K$5181</f>
        <v>0</v>
      </c>
      <c r="L5184" s="39" t="n">
        <f aca="false">Sens!$L$5169+Sens!$L$5170+Sens!$L$5171+Sens!$L$5172+Sens!$L$5173+Sens!$L$5174+Sens!$L$5175-Sens!$L$5181</f>
        <v>0</v>
      </c>
      <c r="M5184" s="39" t="n">
        <f aca="false">Sens!$M$5169+Sens!$M$5170+Sens!$M$5171+Sens!$M$5172+Sens!$M$5173+Sens!$M$5174+Sens!$M$5175-Sens!$M$5181</f>
        <v>0</v>
      </c>
      <c r="N5184" s="39" t="n">
        <f aca="false">Sens!$N$5169+Sens!$N$5170+Sens!$N$5171+Sens!$N$5172+Sens!$N$5173+Sens!$N$5174+Sens!$N$5175-Sens!$N$5181</f>
        <v>0</v>
      </c>
      <c r="O5184" s="39" t="n">
        <f aca="false">Sens!$O$5169+Sens!$O$5170+Sens!$O$5171+Sens!$O$5172+Sens!$O$5173+Sens!$O$5174+Sens!$O$5175-Sens!$O$5181</f>
        <v>0</v>
      </c>
    </row>
    <row r="5185" customFormat="false" ht="17.15" hidden="false" customHeight="false" outlineLevel="0" collapsed="false">
      <c r="A5185" s="24" t="s">
        <v>657</v>
      </c>
      <c r="B5185" s="25" t="s">
        <v>73</v>
      </c>
      <c r="C5185" s="39" t="n">
        <f aca="false">Sens!$C$5176+Sens!$C$5177+Sens!$C$5178-Sens!$C$5181</f>
        <v>0</v>
      </c>
      <c r="D5185" s="39" t="n">
        <f aca="false">Sens!$D$5176+Sens!$D$5177+Sens!$D$5178-Sens!$D$5181</f>
        <v>0</v>
      </c>
      <c r="E5185" s="39" t="n">
        <f aca="false">Sens!$E$5176+Sens!$E$5177+Sens!$E$5178-Sens!$E$5181</f>
        <v>0</v>
      </c>
      <c r="F5185" s="39" t="n">
        <f aca="false">Sens!$F$5176+Sens!$F$5177+Sens!$F$5178-Sens!$F$5181</f>
        <v>0</v>
      </c>
      <c r="G5185" s="39" t="n">
        <f aca="false">Sens!$G$5176+Sens!$G$5177+Sens!$G$5178-Sens!$G$5181</f>
        <v>0</v>
      </c>
      <c r="H5185" s="39" t="n">
        <f aca="false">Sens!$H$5176+Sens!$H$5177+Sens!$H$5178-Sens!$H$5181</f>
        <v>0</v>
      </c>
      <c r="I5185" s="39" t="n">
        <f aca="false">Sens!$I$5176+Sens!$I$5177+Sens!$I$5178-Sens!$I$5181</f>
        <v>0</v>
      </c>
      <c r="J5185" s="39" t="n">
        <f aca="false">Sens!$J$5176+Sens!$J$5177+Sens!$J$5178-Sens!$J$5181</f>
        <v>0</v>
      </c>
      <c r="K5185" s="39" t="n">
        <f aca="false">Sens!$K$5176+Sens!$K$5177+Sens!$K$5178-Sens!$K$5181</f>
        <v>0</v>
      </c>
      <c r="L5185" s="39" t="n">
        <f aca="false">Sens!$L$5176+Sens!$L$5177+Sens!$L$5178-Sens!$L$5181</f>
        <v>0</v>
      </c>
      <c r="M5185" s="39" t="n">
        <f aca="false">Sens!$M$5176+Sens!$M$5177+Sens!$M$5178-Sens!$M$5181</f>
        <v>0</v>
      </c>
      <c r="N5185" s="39" t="n">
        <f aca="false">Sens!$N$5176+Sens!$N$5177+Sens!$N$5178-Sens!$N$5181</f>
        <v>0</v>
      </c>
      <c r="O5185" s="39" t="n">
        <f aca="false">Sens!$O$5176+Sens!$O$5177+Sens!$O$5178-Sens!$O$5181</f>
        <v>0</v>
      </c>
    </row>
    <row r="5186" customFormat="false" ht="17.15" hidden="false" customHeight="false" outlineLevel="0" collapsed="false">
      <c r="A5186" s="1" t="s">
        <v>671</v>
      </c>
    </row>
    <row r="5187" customFormat="false" ht="17.15" hidden="false" customHeight="false" outlineLevel="0" collapsed="false">
      <c r="A5187" s="0" t="s">
        <v>672</v>
      </c>
      <c r="B5187" s="0" t="s">
        <v>73</v>
      </c>
      <c r="C5187" s="38" t="n">
        <f aca="false">Sens!$C$5095*m_ad</f>
        <v>20.5341564414228</v>
      </c>
      <c r="D5187" s="38" t="n">
        <f aca="false">Sens!$D$5095*m_ad</f>
        <v>24.8720617299587</v>
      </c>
      <c r="E5187" s="38" t="n">
        <f aca="false">Sens!$E$5095*m_ad</f>
        <v>13.5017112462207</v>
      </c>
      <c r="F5187" s="38" t="n">
        <f aca="false">Sens!$F$5095*m_ad</f>
        <v>17.2886442824599</v>
      </c>
      <c r="G5187" s="38" t="n">
        <f aca="false">Sens!$G$5095*m_ad</f>
        <v>30.8011958765886</v>
      </c>
      <c r="H5187" s="38" t="n">
        <f aca="false">Sens!$H$5095*m_ad</f>
        <v>36.978409366026</v>
      </c>
      <c r="I5187" s="38" t="n">
        <f aca="false">Sens!$I$5095*m_ad</f>
        <v>43.155063281273</v>
      </c>
      <c r="J5187" s="38" t="n">
        <f aca="false">Sens!$J$5095*m_ad</f>
        <v>48.9169991988532</v>
      </c>
      <c r="K5187" s="38" t="n">
        <f aca="false">Sens!$K$5095*m_ad</f>
        <v>53.8086991187386</v>
      </c>
      <c r="L5187" s="38" t="n">
        <f aca="false">Sens!$L$5095*m_ad</f>
        <v>59.1895690306124</v>
      </c>
      <c r="M5187" s="38" t="n">
        <f aca="false">Sens!$M$5095*m_ad</f>
        <v>65.1085259336737</v>
      </c>
      <c r="N5187" s="38" t="n">
        <f aca="false">Sens!$N$5095*m_ad</f>
        <v>10.8543555706248</v>
      </c>
      <c r="O5187" s="38" t="n">
        <f aca="false">Sens!$O$5095*m_ad</f>
        <v>14.0094731821399</v>
      </c>
    </row>
    <row r="5188" customFormat="false" ht="17.15" hidden="false" customHeight="false" outlineLevel="0" collapsed="false">
      <c r="A5188" s="0" t="s">
        <v>673</v>
      </c>
      <c r="B5188" s="0" t="s">
        <v>73</v>
      </c>
      <c r="C5188" s="38" t="n">
        <f aca="false">Sens!$C$5093-Sens!$C$5095</f>
        <v>346.428687117154</v>
      </c>
      <c r="D5188" s="38" t="n">
        <f aca="false">Sens!$D$5093-Sens!$D$5095</f>
        <v>376.560876540083</v>
      </c>
      <c r="E5188" s="38" t="n">
        <f aca="false">Sens!$E$5093-Sens!$E$5095</f>
        <v>193.316577507559</v>
      </c>
      <c r="F5188" s="38" t="n">
        <f aca="false">Sens!$F$5093-Sens!$F$5095</f>
        <v>221.726726438887</v>
      </c>
      <c r="G5188" s="38" t="n">
        <f aca="false">Sens!$G$5093-Sens!$G$5095</f>
        <v>415.02162325063</v>
      </c>
      <c r="H5188" s="38" t="n">
        <f aca="false">Sens!$H$5093-Sens!$H$5095</f>
        <v>453.777572359491</v>
      </c>
      <c r="I5188" s="38" t="n">
        <f aca="false">Sens!$I$5093-Sens!$I$5095</f>
        <v>490.847566467031</v>
      </c>
      <c r="J5188" s="38" t="n">
        <f aca="false">Sens!$J$5093-Sens!$J$5095</f>
        <v>525.190925266121</v>
      </c>
      <c r="K5188" s="38" t="n">
        <f aca="false">Sens!$K$5093-Sens!$K$5095</f>
        <v>555.765170156304</v>
      </c>
      <c r="L5188" s="38" t="n">
        <f aca="false">Sens!$L$5093-Sens!$L$5095</f>
        <v>588.185734949207</v>
      </c>
      <c r="M5188" s="38" t="n">
        <f aca="false">Sens!$M$5093-Sens!$M$5095</f>
        <v>622.567635538672</v>
      </c>
      <c r="N5188" s="38" t="n">
        <f aca="false">Sens!$N$5093-Sens!$N$5095</f>
        <v>171.24628885875</v>
      </c>
      <c r="O5188" s="38" t="n">
        <f aca="false">Sens!$O$5093-Sens!$O$5095</f>
        <v>205.33105363572</v>
      </c>
    </row>
    <row r="5189" customFormat="false" ht="17.15" hidden="false" customHeight="false" outlineLevel="0" collapsed="false">
      <c r="A5189" s="0" t="s">
        <v>674</v>
      </c>
      <c r="B5189" s="0" t="s">
        <v>73</v>
      </c>
      <c r="C5189" s="38" t="n">
        <f aca="false">Sens!$C$5140*Sens!$C$5092</f>
        <v>0.123617442257179</v>
      </c>
      <c r="D5189" s="38" t="n">
        <f aca="false">Sens!$D$5140*Sens!$D$5092</f>
        <v>0.874366899302609</v>
      </c>
      <c r="E5189" s="38" t="n">
        <f aca="false">Sens!$E$5140*Sens!$E$5092</f>
        <v>1.29318830502574</v>
      </c>
      <c r="F5189" s="38" t="n">
        <f aca="false">Sens!$F$5140*Sens!$F$5092</f>
        <v>1.51802024162534</v>
      </c>
      <c r="G5189" s="38" t="n">
        <f aca="false">Sens!$G$5140*Sens!$G$5092</f>
        <v>2.81130189308167</v>
      </c>
      <c r="H5189" s="38" t="n">
        <f aca="false">Sens!$H$5140*Sens!$H$5092</f>
        <v>7.38966789318209</v>
      </c>
      <c r="I5189" s="38" t="n">
        <f aca="false">Sens!$I$5140*Sens!$I$5092</f>
        <v>12.8987443661473</v>
      </c>
      <c r="J5189" s="38" t="n">
        <f aca="false">Sens!$J$5140*Sens!$J$5092</f>
        <v>18.5570025453645</v>
      </c>
      <c r="K5189" s="38" t="n">
        <f aca="false">Sens!$K$5140*Sens!$K$5092</f>
        <v>24.3158972773405</v>
      </c>
      <c r="L5189" s="38" t="n">
        <f aca="false">Sens!$L$5140*Sens!$L$5092</f>
        <v>29.7827375558674</v>
      </c>
      <c r="M5189" s="38" t="n">
        <f aca="false">Sens!$M$5140*Sens!$M$5092</f>
        <v>35.3532344973194</v>
      </c>
      <c r="N5189" s="38" t="n">
        <f aca="false">Sens!$N$5140*Sens!$N$5092</f>
        <v>0.389180508437431</v>
      </c>
      <c r="O5189" s="38" t="n">
        <f aca="false">Sens!$O$5140*Sens!$O$5092</f>
        <v>0.485052120082802</v>
      </c>
    </row>
    <row r="5190" customFormat="false" ht="17.15" hidden="false" customHeight="false" outlineLevel="0" collapsed="false">
      <c r="A5190" s="0" t="s">
        <v>675</v>
      </c>
      <c r="B5190" s="0" t="s">
        <v>52</v>
      </c>
      <c r="C5190" s="28" t="n">
        <f aca="false">(Sens!$C$5191-Sens!$C$5187+Sens!$C$5189)/Sens!$C$5188</f>
        <v>0.0131526665379575</v>
      </c>
      <c r="D5190" s="28" t="n">
        <f aca="false">(Sens!$D$5191-Sens!$D$5187+Sens!$D$5189)/Sens!$D$5188</f>
        <v>0.0149280116962589</v>
      </c>
      <c r="E5190" s="28" t="n">
        <f aca="false">(Sens!$E$5191-Sens!$E$5187+Sens!$E$5189)/Sens!$E$5188</f>
        <v>0.0268030663774938</v>
      </c>
      <c r="F5190" s="28" t="n">
        <f aca="false">Sens!$O$5190+(Sens!$E$5190-Sens!$N$5190)</f>
        <v>0.0232379346966962</v>
      </c>
      <c r="G5190" s="28" t="n">
        <f aca="false">(Sens!$G$5191-Sens!$G$5187+Sens!$G$5189)/Sens!$G$5188</f>
        <v>0.0248738876928168</v>
      </c>
      <c r="H5190" s="28" t="n">
        <f aca="false">Sens!$G$5190+step_na</f>
        <v>0.0278738876928168</v>
      </c>
      <c r="I5190" s="28" t="n">
        <f aca="false">Sens!$H$5190+step_na</f>
        <v>0.0308738876928168</v>
      </c>
      <c r="J5190" s="28" t="n">
        <f aca="false">Sens!$I$5190+step_na</f>
        <v>0.0338738876928168</v>
      </c>
      <c r="K5190" s="28" t="n">
        <f aca="false">Sens!$J$5190+step_na</f>
        <v>0.0368738876928168</v>
      </c>
      <c r="L5190" s="28" t="n">
        <f aca="false">Sens!$K$5190</f>
        <v>0.0368738876928168</v>
      </c>
      <c r="M5190" s="28" t="n">
        <f aca="false">Sens!$L$5190</f>
        <v>0.0368738876928168</v>
      </c>
      <c r="N5190" s="28" t="n">
        <f aca="false">(Sens!$N$5191-Sens!$N$5187+Sens!$N$5189)/Sens!$N$5188</f>
        <v>0.0168927744775755</v>
      </c>
      <c r="O5190" s="28" t="n">
        <f aca="false">(Sens!$O$5191-Sens!$O$5187+Sens!$O$5189)/Sens!$O$5188</f>
        <v>0.0133276427967779</v>
      </c>
      <c r="P5190" s="8" t="s">
        <v>676</v>
      </c>
    </row>
    <row r="5191" customFormat="false" ht="17.15" hidden="false" customHeight="false" outlineLevel="0" collapsed="false">
      <c r="A5191" s="1" t="s">
        <v>677</v>
      </c>
      <c r="B5191" s="8" t="s">
        <v>73</v>
      </c>
      <c r="C5191" s="38" t="n">
        <f aca="false">Q!$D$22</f>
        <v>24.967</v>
      </c>
      <c r="D5191" s="38" t="n">
        <f aca="false">Q!$E$22</f>
        <v>29.619</v>
      </c>
      <c r="E5191" s="38" t="n">
        <f aca="false">Q!$P$22</f>
        <v>17.39</v>
      </c>
      <c r="F5191" s="38" t="n">
        <f aca="false">Sens!$F$5187+Sens!$F$5188*Sens!$F$5190-Sens!$F$5189</f>
        <v>20.9230952303336</v>
      </c>
      <c r="G5191" s="38" t="n">
        <f aca="false">Sens!$E$5191+Sens!$F$5191</f>
        <v>38.3130952303336</v>
      </c>
      <c r="H5191" s="38" t="n">
        <f aca="false">Sens!$H$5187+Sens!$H$5188*Sens!$H$5190-Sens!$H$5189</f>
        <v>42.2372865623114</v>
      </c>
      <c r="I5191" s="38" t="n">
        <f aca="false">Sens!$I$5187+Sens!$I$5188*Sens!$I$5190-Sens!$I$5189</f>
        <v>45.4106915565213</v>
      </c>
      <c r="J5191" s="38" t="n">
        <f aca="false">Sens!$J$5187+Sens!$J$5188*Sens!$J$5190-Sens!$J$5189</f>
        <v>48.1502550732398</v>
      </c>
      <c r="K5191" s="38" t="n">
        <f aca="false">Sens!$K$5187+Sens!$K$5188*Sens!$K$5190-Sens!$K$5189</f>
        <v>49.9860243093208</v>
      </c>
      <c r="L5191" s="38" t="n">
        <f aca="false">Sens!$L$5187+Sens!$L$5188*Sens!$L$5190-Sens!$L$5189</f>
        <v>51.095526207779</v>
      </c>
      <c r="M5191" s="38" t="n">
        <f aca="false">Sens!$M$5187+Sens!$M$5188*Sens!$M$5190-Sens!$M$5189</f>
        <v>52.7117805103898</v>
      </c>
      <c r="N5191" s="38" t="n">
        <f aca="false">Q!$N$22</f>
        <v>13.358</v>
      </c>
      <c r="O5191" s="38" t="n">
        <f aca="false">Q!$O$22</f>
        <v>16.261</v>
      </c>
    </row>
    <row r="5192" customFormat="false" ht="17.15" hidden="false" customHeight="false" outlineLevel="0" collapsed="false">
      <c r="A5192" s="0" t="s">
        <v>678</v>
      </c>
      <c r="B5192" s="0" t="s">
        <v>73</v>
      </c>
      <c r="C5192" s="38" t="n">
        <f aca="false">Sens!$C$5096*m_ad</f>
        <v>7.57284355857716</v>
      </c>
      <c r="D5192" s="38" t="n">
        <f aca="false">Sens!$D$5096*m_ad</f>
        <v>9.44543827004127</v>
      </c>
      <c r="E5192" s="38" t="n">
        <f aca="false">Sens!$E$5096*m_ad</f>
        <v>5.02428875377928</v>
      </c>
      <c r="F5192" s="38" t="n">
        <f aca="false">Sens!$F$5096*m_ad</f>
        <v>6.78802480890925</v>
      </c>
      <c r="G5192" s="38" t="n">
        <f aca="false">Sens!$G$5096*m_ad</f>
        <v>11.8014732147805</v>
      </c>
      <c r="H5192" s="38" t="n">
        <f aca="false">Sens!$H$5096*m_ad</f>
        <v>14.1682715634442</v>
      </c>
      <c r="I5192" s="38" t="n">
        <f aca="false">Sens!$I$5096*m_ad</f>
        <v>16.5348555113474</v>
      </c>
      <c r="J5192" s="38" t="n">
        <f aca="false">Sens!$J$5096*m_ad</f>
        <v>18.7425403255689</v>
      </c>
      <c r="K5192" s="38" t="n">
        <f aca="false">Sens!$K$5096*m_ad</f>
        <v>20.6167943581258</v>
      </c>
      <c r="L5192" s="38" t="n">
        <f aca="false">Sens!$L$5096*m_ad</f>
        <v>22.6784737939383</v>
      </c>
      <c r="M5192" s="38" t="n">
        <f aca="false">Sens!$M$5096*m_ad</f>
        <v>24.9463211733322</v>
      </c>
      <c r="N5192" s="38" t="n">
        <f aca="false">Sens!$N$5096*m_ad</f>
        <v>3.95314442937518</v>
      </c>
      <c r="O5192" s="38" t="n">
        <f aca="false">Sens!$O$5096*m_ad</f>
        <v>5.50052681786011</v>
      </c>
    </row>
    <row r="5193" customFormat="false" ht="17.15" hidden="false" customHeight="false" outlineLevel="0" collapsed="false">
      <c r="A5193" s="0" t="s">
        <v>679</v>
      </c>
      <c r="B5193" s="0" t="s">
        <v>73</v>
      </c>
      <c r="C5193" s="38" t="n">
        <f aca="false">Sens!$C$5094-Sens!$C$5096</f>
        <v>127.760312882846</v>
      </c>
      <c r="D5193" s="38" t="n">
        <f aca="false">Sens!$D$5094-Sens!$D$5096</f>
        <v>143.003123459917</v>
      </c>
      <c r="E5193" s="38" t="n">
        <f aca="false">Sens!$E$5094-Sens!$E$5096</f>
        <v>71.9374224924414</v>
      </c>
      <c r="F5193" s="38" t="n">
        <f aca="false">Sens!$F$5094-Sens!$F$5096</f>
        <v>87.0563645868046</v>
      </c>
      <c r="G5193" s="38" t="n">
        <f aca="false">Sens!$G$5094-Sens!$G$5096</f>
        <v>159.015467775062</v>
      </c>
      <c r="H5193" s="38" t="n">
        <f aca="false">Sens!$H$5094-Sens!$H$5096</f>
        <v>173.864803403269</v>
      </c>
      <c r="I5193" s="38" t="n">
        <f aca="false">Sens!$I$5094-Sens!$I$5096</f>
        <v>188.068165645601</v>
      </c>
      <c r="J5193" s="38" t="n">
        <f aca="false">Sens!$J$5094-Sens!$J$5096</f>
        <v>201.22681801082</v>
      </c>
      <c r="K5193" s="38" t="n">
        <f aca="false">Sens!$K$5094-Sens!$K$5096</f>
        <v>212.941334991893</v>
      </c>
      <c r="L5193" s="38" t="n">
        <f aca="false">Sens!$L$5094-Sens!$L$5096</f>
        <v>225.363269144856</v>
      </c>
      <c r="M5193" s="38" t="n">
        <f aca="false">Sens!$M$5094-Sens!$M$5096</f>
        <v>238.536688790819</v>
      </c>
      <c r="N5193" s="38" t="n">
        <f aca="false">Sens!$N$5094-Sens!$N$5096</f>
        <v>62.3677111412496</v>
      </c>
      <c r="O5193" s="38" t="n">
        <f aca="false">Sens!$O$5094-Sens!$O$5096</f>
        <v>80.6189463642798</v>
      </c>
    </row>
    <row r="5194" customFormat="false" ht="17.15" hidden="false" customHeight="false" outlineLevel="0" collapsed="false">
      <c r="A5194" s="0" t="s">
        <v>680</v>
      </c>
      <c r="B5194" s="0" t="s">
        <v>73</v>
      </c>
      <c r="C5194" s="38" t="n">
        <f aca="false">Sens!$C$5140*(1-Sens!$C$5092)</f>
        <v>0.0455891896019953</v>
      </c>
      <c r="D5194" s="38" t="n">
        <f aca="false">Sens!$D$5140*(1-Sens!$D$5092)</f>
        <v>0.332050421167231</v>
      </c>
      <c r="E5194" s="38" t="n">
        <f aca="false">Sens!$E$5140*(1-Sens!$E$5092)</f>
        <v>0.481224293644882</v>
      </c>
      <c r="F5194" s="38" t="n">
        <f aca="false">Sens!$F$5140*(1-Sens!$F$5092)</f>
        <v>0.596018918096053</v>
      </c>
      <c r="G5194" s="38" t="n">
        <f aca="false">Sens!$G$5140*(1-Sens!$G$5092)</f>
        <v>1.07714986531035</v>
      </c>
      <c r="H5194" s="38" t="n">
        <f aca="false">Sens!$H$5140*(1-Sens!$H$5092)</f>
        <v>2.83135005721638</v>
      </c>
      <c r="I5194" s="38" t="n">
        <f aca="false">Sens!$I$5140*(1-Sens!$I$5092)</f>
        <v>4.9421518161602</v>
      </c>
      <c r="J5194" s="38" t="n">
        <f aca="false">Sens!$J$5140*(1-Sens!$J$5092)</f>
        <v>7.11011252170866</v>
      </c>
      <c r="K5194" s="38" t="n">
        <f aca="false">Sens!$K$5140*(1-Sens!$K$5092)</f>
        <v>9.31663210615807</v>
      </c>
      <c r="L5194" s="38" t="n">
        <f aca="false">Sens!$L$5140*(1-Sens!$L$5092)</f>
        <v>11.411251074039</v>
      </c>
      <c r="M5194" s="38" t="n">
        <f aca="false">Sens!$M$5140*(1-Sens!$M$5092)</f>
        <v>13.5455860755423</v>
      </c>
      <c r="N5194" s="38" t="n">
        <f aca="false">Sens!$N$5140*(1-Sens!$N$5092)</f>
        <v>0.141739115596548</v>
      </c>
      <c r="O5194" s="38" t="n">
        <f aca="false">Sens!$O$5140*(1-Sens!$O$5092)</f>
        <v>0.190445576353059</v>
      </c>
    </row>
    <row r="5195" customFormat="false" ht="17.15" hidden="false" customHeight="false" outlineLevel="0" collapsed="false">
      <c r="A5195" s="0" t="s">
        <v>681</v>
      </c>
      <c r="B5195" s="0" t="s">
        <v>52</v>
      </c>
      <c r="C5195" s="28" t="n">
        <f aca="false">(Sens!$C$5196-Sens!$C$5192+Sens!$C$5194)/Sens!$C$5193</f>
        <v>-0.0292364215826579</v>
      </c>
      <c r="D5195" s="28" t="n">
        <f aca="false">(Sens!$D$5196-Sens!$D$5192+Sens!$D$5194)/Sens!$D$5193</f>
        <v>-0.0305125352740778</v>
      </c>
      <c r="E5195" s="28" t="n">
        <f aca="false">(Sens!$E$5196-Sens!$E$5192+Sens!$E$5194)/Sens!$E$5193</f>
        <v>-0.019490056934994</v>
      </c>
      <c r="F5195" s="28" t="n">
        <f aca="false">Sens!$O$5195+(Sens!$E$5195-Sens!$N$5195)</f>
        <v>-0.0367332293992226</v>
      </c>
      <c r="G5195" s="28" t="n">
        <f aca="false">(Sens!$G$5196-Sens!$G$5192+Sens!$G$5194)/Sens!$G$5193</f>
        <v>-0.0288599526442178</v>
      </c>
      <c r="H5195" s="28" t="n">
        <f aca="false">Sens!$G$5195+step_in</f>
        <v>-0.0288599526442178</v>
      </c>
      <c r="I5195" s="28" t="n">
        <f aca="false">Sens!$H$5195+step_in</f>
        <v>-0.0288599526442178</v>
      </c>
      <c r="J5195" s="28" t="n">
        <f aca="false">Sens!$I$5195+step_in</f>
        <v>-0.0288599526442178</v>
      </c>
      <c r="K5195" s="28" t="n">
        <f aca="false">Sens!$J$5195+step_in</f>
        <v>-0.0288599526442178</v>
      </c>
      <c r="L5195" s="28" t="n">
        <f aca="false">Sens!$K$5195</f>
        <v>-0.0288599526442178</v>
      </c>
      <c r="M5195" s="28" t="n">
        <f aca="false">Sens!$L$5195</f>
        <v>-0.0288599526442178</v>
      </c>
      <c r="N5195" s="28" t="n">
        <f aca="false">(Sens!$N$5196-Sens!$N$5192+Sens!$N$5194)/Sens!$N$5193</f>
        <v>-0.02085061789158</v>
      </c>
      <c r="O5195" s="28" t="n">
        <f aca="false">(Sens!$O$5196-Sens!$O$5192+Sens!$O$5194)/Sens!$O$5193</f>
        <v>-0.0380937903558086</v>
      </c>
      <c r="P5195" s="8" t="s">
        <v>676</v>
      </c>
    </row>
    <row r="5196" customFormat="false" ht="17.15" hidden="false" customHeight="false" outlineLevel="0" collapsed="false">
      <c r="A5196" s="1" t="s">
        <v>682</v>
      </c>
      <c r="B5196" s="8" t="s">
        <v>73</v>
      </c>
      <c r="C5196" s="38" t="n">
        <f aca="false">Q!$D$23</f>
        <v>3.792</v>
      </c>
      <c r="D5196" s="38" t="n">
        <f aca="false">Q!$E$23</f>
        <v>4.75</v>
      </c>
      <c r="E5196" s="38" t="n">
        <f aca="false">Q!$P$23</f>
        <v>3.141</v>
      </c>
      <c r="F5196" s="38" t="n">
        <f aca="false">Sens!$F$5192+Sens!$F$5193*Sens!$F$5195-Sens!$F$5194</f>
        <v>2.99414447978375</v>
      </c>
      <c r="G5196" s="38" t="n">
        <f aca="false">Sens!$E$5196+Sens!$F$5196</f>
        <v>6.13514447978375</v>
      </c>
      <c r="H5196" s="38" t="n">
        <f aca="false">Sens!$H$5192+Sens!$H$5193*Sens!$H$5195-Sens!$H$5194</f>
        <v>6.31919151351322</v>
      </c>
      <c r="I5196" s="38" t="n">
        <f aca="false">Sens!$I$5192+Sens!$I$5193*Sens!$I$5195-Sens!$I$5194</f>
        <v>6.16506534077027</v>
      </c>
      <c r="J5196" s="38" t="n">
        <f aca="false">Sens!$J$5192+Sens!$J$5193*Sens!$J$5195-Sens!$J$5194</f>
        <v>5.8250313653213</v>
      </c>
      <c r="K5196" s="38" t="n">
        <f aca="false">Sens!$K$5192+Sens!$K$5193*Sens!$K$5195-Sens!$K$5194</f>
        <v>5.15468540810514</v>
      </c>
      <c r="L5196" s="38" t="n">
        <f aca="false">Sens!$L$5192+Sens!$L$5193*Sens!$L$5195-Sens!$L$5194</f>
        <v>4.76324944463266</v>
      </c>
      <c r="M5196" s="38" t="n">
        <f aca="false">Sens!$M$5192+Sens!$M$5193*Sens!$M$5195-Sens!$M$5194</f>
        <v>4.51657755537829</v>
      </c>
      <c r="N5196" s="38" t="n">
        <f aca="false">Q!$N$23</f>
        <v>2.511</v>
      </c>
      <c r="O5196" s="38" t="n">
        <f aca="false">Q!$O$23</f>
        <v>2.239</v>
      </c>
    </row>
    <row r="5197" customFormat="false" ht="17.15" hidden="false" customHeight="false" outlineLevel="0" collapsed="false">
      <c r="A5197" s="0" t="s">
        <v>683</v>
      </c>
      <c r="B5197" s="0" t="s">
        <v>73</v>
      </c>
      <c r="C5197" s="38" t="n">
        <f aca="false">Sens!$C$5137</f>
        <v>1.64417882953695</v>
      </c>
      <c r="D5197" s="38" t="n">
        <f aca="false">Sens!$D$5137</f>
        <v>3.8781008067718</v>
      </c>
      <c r="E5197" s="38" t="n">
        <f aca="false">Sens!$E$5137</f>
        <v>1.41270258088753</v>
      </c>
      <c r="F5197" s="38" t="n">
        <f aca="false">Sens!$F$5137</f>
        <v>6.50727700583486</v>
      </c>
      <c r="G5197" s="38" t="n">
        <f aca="false">Sens!$G$5137</f>
        <v>7.9199795867224</v>
      </c>
      <c r="H5197" s="38" t="n">
        <f aca="false">Sens!$H$5137</f>
        <v>19.2818189481807</v>
      </c>
      <c r="I5197" s="38" t="n">
        <f aca="false">Sens!$I$5137</f>
        <v>30.140114407202</v>
      </c>
      <c r="J5197" s="38" t="n">
        <f aca="false">Sens!$J$5137</f>
        <v>40.3569468829854</v>
      </c>
      <c r="K5197" s="38" t="n">
        <f aca="false">Sens!$K$5137</f>
        <v>50.0782975081929</v>
      </c>
      <c r="L5197" s="38" t="n">
        <f aca="false">Sens!$L$5137</f>
        <v>61.443331993499</v>
      </c>
      <c r="M5197" s="38" t="n">
        <f aca="false">Sens!$M$5137</f>
        <v>72.2498791587849</v>
      </c>
      <c r="N5197" s="38" t="n">
        <f aca="false">Sens!$N$5137</f>
        <v>0.92264103489199</v>
      </c>
      <c r="O5197" s="38" t="n">
        <f aca="false">Sens!$O$5137</f>
        <v>2.95545977187981</v>
      </c>
    </row>
    <row r="5198" customFormat="false" ht="17.15" hidden="false" customHeight="false" outlineLevel="0" collapsed="false">
      <c r="A5198" s="0" t="s">
        <v>603</v>
      </c>
      <c r="B5198" s="0" t="s">
        <v>73</v>
      </c>
      <c r="C5198" s="38" t="n">
        <f aca="false">Sens!$C$5142</f>
        <v>38.1898211704631</v>
      </c>
      <c r="D5198" s="38" t="n">
        <f aca="false">Sens!$D$5142</f>
        <v>41.7278991932282</v>
      </c>
      <c r="E5198" s="38" t="n">
        <f aca="false">Sens!$E$5142</f>
        <v>29.3692974191125</v>
      </c>
      <c r="F5198" s="38" t="n">
        <f aca="false">Sens!$F$5142</f>
        <v>29.458060516894</v>
      </c>
      <c r="G5198" s="38" t="n">
        <f aca="false">Sens!$G$5142</f>
        <v>58.8273579360065</v>
      </c>
      <c r="H5198" s="38" t="n">
        <f aca="false">Sens!$H$5142</f>
        <v>67.8004040185081</v>
      </c>
      <c r="I5198" s="38" t="n">
        <f aca="false">Sens!$I$5142</f>
        <v>78.9527630302702</v>
      </c>
      <c r="J5198" s="38" t="n">
        <f aca="false">Sens!$J$5142</f>
        <v>88.6042681781841</v>
      </c>
      <c r="K5198" s="38" t="n">
        <f aca="false">Sens!$K$5142</f>
        <v>95.6926096324389</v>
      </c>
      <c r="L5198" s="38" t="n">
        <f aca="false">Sens!$L$5142</f>
        <v>103.348018403034</v>
      </c>
      <c r="M5198" s="38" t="n">
        <f aca="false">Sens!$M$5142</f>
        <v>111.615859875277</v>
      </c>
      <c r="N5198" s="38" t="n">
        <f aca="false">Sens!$N$5142</f>
        <v>20.784358965108</v>
      </c>
      <c r="O5198" s="38" t="n">
        <f aca="false">Sens!$O$5142</f>
        <v>20.9435402281202</v>
      </c>
    </row>
    <row r="5199" customFormat="false" ht="17.15" hidden="false" customHeight="false" outlineLevel="0" collapsed="false">
      <c r="A5199" s="1" t="s">
        <v>684</v>
      </c>
      <c r="B5199" s="8" t="s">
        <v>73</v>
      </c>
      <c r="C5199" s="38" t="n">
        <f aca="false">Q!$D$24</f>
        <v>39.834</v>
      </c>
      <c r="D5199" s="38" t="n">
        <f aca="false">Q!$E$24</f>
        <v>45.606</v>
      </c>
      <c r="E5199" s="38" t="n">
        <f aca="false">Q!$P$24</f>
        <v>30.782</v>
      </c>
      <c r="F5199" s="38" t="n">
        <f aca="false">Sens!$F$5197+Sens!$F$5198</f>
        <v>35.9653375227289</v>
      </c>
      <c r="G5199" s="38" t="n">
        <f aca="false">Sens!$G$5197+Sens!$G$5198</f>
        <v>66.7473375227289</v>
      </c>
      <c r="H5199" s="38" t="n">
        <f aca="false">Sens!$H$5197+Sens!$H$5198</f>
        <v>87.0822229666888</v>
      </c>
      <c r="I5199" s="38" t="n">
        <f aca="false">Sens!$I$5197+Sens!$I$5198</f>
        <v>109.092877437472</v>
      </c>
      <c r="J5199" s="38" t="n">
        <f aca="false">Sens!$J$5197+Sens!$J$5198</f>
        <v>128.96121506117</v>
      </c>
      <c r="K5199" s="38" t="n">
        <f aca="false">Sens!$K$5197+Sens!$K$5198</f>
        <v>145.770907140632</v>
      </c>
      <c r="L5199" s="38" t="n">
        <f aca="false">Sens!$L$5197+Sens!$L$5198</f>
        <v>164.791350396533</v>
      </c>
      <c r="M5199" s="38" t="n">
        <f aca="false">Sens!$M$5197+Sens!$M$5198</f>
        <v>183.865739034062</v>
      </c>
      <c r="N5199" s="38" t="n">
        <f aca="false">Q!$N$24</f>
        <v>21.707</v>
      </c>
      <c r="O5199" s="38" t="n">
        <f aca="false">Q!$O$24</f>
        <v>23.899</v>
      </c>
    </row>
    <row r="5200" customFormat="false" ht="17.15" hidden="false" customHeight="false" outlineLevel="0" collapsed="false">
      <c r="A5200" s="5" t="s">
        <v>685</v>
      </c>
      <c r="B5200" s="0" t="s">
        <v>73</v>
      </c>
      <c r="C5200" s="38" t="n">
        <f aca="false">Q!$D$26</f>
        <v>0</v>
      </c>
      <c r="D5200" s="38" t="n">
        <f aca="false">Q!$E$26</f>
        <v>0</v>
      </c>
      <c r="E5200" s="38" t="n">
        <f aca="false">Q!$P$26</f>
        <v>0</v>
      </c>
      <c r="F5200" s="41" t="n">
        <v>0</v>
      </c>
      <c r="G5200" s="38" t="n">
        <f aca="false">Sens!$E$5200+Sens!$F$5200</f>
        <v>0</v>
      </c>
      <c r="H5200" s="41" t="n">
        <v>0</v>
      </c>
      <c r="I5200" s="41" t="n">
        <v>0</v>
      </c>
      <c r="J5200" s="41" t="n">
        <v>0</v>
      </c>
      <c r="K5200" s="41" t="n">
        <v>0</v>
      </c>
      <c r="L5200" s="41" t="n">
        <v>0</v>
      </c>
      <c r="M5200" s="41" t="n">
        <v>0</v>
      </c>
      <c r="N5200" s="38" t="n">
        <f aca="false">Q!$N$26</f>
        <v>0</v>
      </c>
      <c r="O5200" s="38" t="n">
        <f aca="false">Q!$O$26</f>
        <v>0</v>
      </c>
    </row>
    <row r="5201" customFormat="false" ht="15" hidden="false" customHeight="false" outlineLevel="0" collapsed="false">
      <c r="A5201" s="3" t="s">
        <v>494</v>
      </c>
      <c r="B5201" s="8" t="s">
        <v>73</v>
      </c>
      <c r="C5201" s="38" t="n">
        <f aca="false">Q!$D$25</f>
        <v>68.593</v>
      </c>
      <c r="D5201" s="38" t="n">
        <f aca="false">Q!$E$25</f>
        <v>79.975</v>
      </c>
      <c r="E5201" s="38" t="n">
        <f aca="false">Q!$P$25</f>
        <v>51.313</v>
      </c>
      <c r="F5201" s="38" t="n">
        <f aca="false">Sens!$F$5191+Sens!$F$5196+Sens!$F$5199+Sens!$F$5200</f>
        <v>59.8825772328462</v>
      </c>
      <c r="G5201" s="38" t="n">
        <f aca="false">Sens!$G$5191+Sens!$G$5196+Sens!$G$5199+Sens!$G$5200</f>
        <v>111.195577232846</v>
      </c>
      <c r="H5201" s="38" t="n">
        <f aca="false">Sens!$H$5191+Sens!$H$5196+Sens!$H$5199+Sens!$H$5200</f>
        <v>135.638701042513</v>
      </c>
      <c r="I5201" s="38" t="n">
        <f aca="false">Sens!$I$5191+Sens!$I$5196+Sens!$I$5199+Sens!$I$5200</f>
        <v>160.668634334764</v>
      </c>
      <c r="J5201" s="38" t="n">
        <f aca="false">Sens!$J$5191+Sens!$J$5196+Sens!$J$5199+Sens!$J$5200</f>
        <v>182.936501499731</v>
      </c>
      <c r="K5201" s="38" t="n">
        <f aca="false">Sens!$K$5191+Sens!$K$5196+Sens!$K$5199+Sens!$K$5200</f>
        <v>200.911616858058</v>
      </c>
      <c r="L5201" s="38" t="n">
        <f aca="false">Sens!$L$5191+Sens!$L$5196+Sens!$L$5199+Sens!$L$5200</f>
        <v>220.650126048945</v>
      </c>
      <c r="M5201" s="38" t="n">
        <f aca="false">Sens!$M$5191+Sens!$M$5196+Sens!$M$5199+Sens!$M$5200</f>
        <v>241.09409709983</v>
      </c>
      <c r="N5201" s="38" t="n">
        <f aca="false">Q!$N$25</f>
        <v>37.576</v>
      </c>
      <c r="O5201" s="38" t="n">
        <f aca="false">Q!$O$25</f>
        <v>42.399</v>
      </c>
    </row>
    <row r="5202" customFormat="false" ht="17.15" hidden="false" customHeight="false" outlineLevel="0" collapsed="false">
      <c r="A5202" s="24" t="s">
        <v>711</v>
      </c>
      <c r="B5202" s="25" t="s">
        <v>73</v>
      </c>
      <c r="C5202" s="39" t="n">
        <f aca="false">Sens!$C$5191+Sens!$C$5196+Sens!$C$5199+Sens!$C$5200-Sens!$C$5201</f>
        <v>0</v>
      </c>
      <c r="D5202" s="39" t="n">
        <f aca="false">Sens!$D$5191+Sens!$D$5196+Sens!$D$5199+Sens!$D$5200-Sens!$D$5201</f>
        <v>0</v>
      </c>
      <c r="E5202" s="39" t="n">
        <f aca="false">Sens!$E$5191+Sens!$E$5196+Sens!$E$5199+Sens!$E$5200-Sens!$E$5201</f>
        <v>0</v>
      </c>
      <c r="F5202" s="39" t="n">
        <f aca="false">Sens!$F$5191+Sens!$F$5196+Sens!$F$5199+Sens!$F$5200-Sens!$F$5201</f>
        <v>0</v>
      </c>
      <c r="G5202" s="39" t="n">
        <f aca="false">Sens!$G$5191+Sens!$G$5196+Sens!$G$5199+Sens!$G$5200-Sens!$G$5201</f>
        <v>0</v>
      </c>
      <c r="H5202" s="39" t="n">
        <f aca="false">Sens!$H$5191+Sens!$H$5196+Sens!$H$5199+Sens!$H$5200-Sens!$H$5201</f>
        <v>0</v>
      </c>
      <c r="I5202" s="39" t="n">
        <f aca="false">Sens!$I$5191+Sens!$I$5196+Sens!$I$5199+Sens!$I$5200-Sens!$I$5201</f>
        <v>0</v>
      </c>
      <c r="J5202" s="39" t="n">
        <f aca="false">Sens!$J$5191+Sens!$J$5196+Sens!$J$5199+Sens!$J$5200-Sens!$J$5201</f>
        <v>0</v>
      </c>
      <c r="K5202" s="39" t="n">
        <f aca="false">Sens!$K$5191+Sens!$K$5196+Sens!$K$5199+Sens!$K$5200-Sens!$K$5201</f>
        <v>0</v>
      </c>
      <c r="L5202" s="39" t="n">
        <f aca="false">Sens!$L$5191+Sens!$L$5196+Sens!$L$5199+Sens!$L$5200-Sens!$L$5201</f>
        <v>0</v>
      </c>
      <c r="M5202" s="39" t="n">
        <f aca="false">Sens!$M$5191+Sens!$M$5196+Sens!$M$5199+Sens!$M$5200-Sens!$M$5201</f>
        <v>0</v>
      </c>
      <c r="N5202" s="39" t="n">
        <f aca="false">Sens!$N$5191+Sens!$N$5196+Sens!$N$5199+Sens!$N$5200-Sens!$N$5201</f>
        <v>0</v>
      </c>
      <c r="O5202" s="39" t="n">
        <f aca="false">Sens!$O$5191+Sens!$O$5196+Sens!$O$5199+Sens!$O$5200-Sens!$O$5201</f>
        <v>0</v>
      </c>
    </row>
    <row r="5203" customFormat="false" ht="17.15" hidden="false" customHeight="false" outlineLevel="0" collapsed="false">
      <c r="A5203" s="0" t="s">
        <v>687</v>
      </c>
      <c r="B5203" s="0" t="s">
        <v>52</v>
      </c>
      <c r="C5203" s="12" t="n">
        <f aca="false">Sens!$C$5191/Sens!$C$5176</f>
        <v>0.0644314665661928</v>
      </c>
      <c r="D5203" s="12" t="n">
        <f aca="false">Sens!$D$5191/Sens!$D$5176</f>
        <v>0.0694784250712518</v>
      </c>
      <c r="E5203" s="12" t="n">
        <f aca="false">Sens!$E$5191/Sens!$E$5176</f>
        <v>0.0789306463326071</v>
      </c>
      <c r="F5203" s="12" t="n">
        <f aca="false">Sens!$F$5191/Sens!$F$5176</f>
        <v>0.0816338957078875</v>
      </c>
      <c r="G5203" s="12" t="n">
        <f aca="false">Sens!$G$5191/Sens!$G$5176</f>
        <v>0.080384315570057</v>
      </c>
      <c r="H5203" s="12" t="n">
        <f aca="false">Sens!$H$5191/Sens!$H$5176</f>
        <v>0.080035122355679</v>
      </c>
      <c r="I5203" s="12" t="n">
        <f aca="false">Sens!$I$5191/Sens!$I$5176</f>
        <v>0.0786798687862144</v>
      </c>
      <c r="J5203" s="12" t="n">
        <f aca="false">Sens!$J$5191/Sens!$J$5176</f>
        <v>0.0772846370095153</v>
      </c>
      <c r="K5203" s="12" t="n">
        <f aca="false">Sens!$K$5191/Sens!$K$5176</f>
        <v>0.0753502227686655</v>
      </c>
      <c r="L5203" s="12" t="n">
        <f aca="false">Sens!$L$5191/Sens!$L$5176</f>
        <v>0.0723154067793922</v>
      </c>
      <c r="M5203" s="12" t="n">
        <f aca="false">Sens!$M$5191/Sens!$M$5176</f>
        <v>0.070022386735876</v>
      </c>
      <c r="N5203" s="12" t="n">
        <f aca="false">Sens!$N$5191/Sens!$N$5176</f>
        <v>0.069228576611127</v>
      </c>
      <c r="O5203" s="12" t="n">
        <f aca="false">Sens!$O$5191/Sens!$O$5176</f>
        <v>0.069685022498393</v>
      </c>
    </row>
    <row r="5204" customFormat="false" ht="17.15" hidden="false" customHeight="false" outlineLevel="0" collapsed="false">
      <c r="A5204" s="0" t="s">
        <v>688</v>
      </c>
      <c r="B5204" s="0" t="s">
        <v>52</v>
      </c>
      <c r="C5204" s="12" t="n">
        <f aca="false">Sens!$C$5196/Sens!$C$5177</f>
        <v>0.026534925055631</v>
      </c>
      <c r="D5204" s="12" t="n">
        <f aca="false">Sens!$D$5196/Sens!$D$5177</f>
        <v>0.0293401855535103</v>
      </c>
      <c r="E5204" s="12" t="n">
        <f aca="false">Sens!$E$5196/Sens!$E$5177</f>
        <v>0.03831141902276</v>
      </c>
      <c r="F5204" s="12" t="n">
        <f aca="false">Sens!$F$5196/Sens!$F$5177</f>
        <v>0.0297532808235678</v>
      </c>
      <c r="G5204" s="12" t="n">
        <f aca="false">Sens!$G$5196/Sens!$G$5177</f>
        <v>0.0335954317997163</v>
      </c>
      <c r="H5204" s="12" t="n">
        <f aca="false">Sens!$H$5196/Sens!$H$5177</f>
        <v>0.0312519754292078</v>
      </c>
      <c r="I5204" s="12" t="n">
        <f aca="false">Sens!$I$5196/Sens!$I$5177</f>
        <v>0.0278788303191397</v>
      </c>
      <c r="J5204" s="12" t="n">
        <f aca="false">Sens!$J$5196/Sens!$J$5177</f>
        <v>0.0244019313573061</v>
      </c>
      <c r="K5204" s="12" t="n">
        <f aca="false">Sens!$K$5196/Sens!$K$5177</f>
        <v>0.020280070641524</v>
      </c>
      <c r="L5204" s="12" t="n">
        <f aca="false">Sens!$L$5196/Sens!$L$5177</f>
        <v>0.0175947312030086</v>
      </c>
      <c r="M5204" s="12" t="n">
        <f aca="false">Sens!$M$5196/Sens!$M$5177</f>
        <v>0.0156592172424565</v>
      </c>
      <c r="N5204" s="12" t="n">
        <f aca="false">Sens!$N$5196/Sens!$N$5177</f>
        <v>0.0357315650169337</v>
      </c>
      <c r="O5204" s="12" t="n">
        <f aca="false">Sens!$O$5196/Sens!$O$5177</f>
        <v>0.0244378956559703</v>
      </c>
    </row>
    <row r="5205" customFormat="false" ht="17.15" hidden="false" customHeight="false" outlineLevel="0" collapsed="false">
      <c r="A5205" s="13" t="s">
        <v>689</v>
      </c>
      <c r="B5205" s="13" t="s">
        <v>52</v>
      </c>
      <c r="C5205" s="16" t="n">
        <f aca="false">Sens!$C$5199/Sens!$C$5178</f>
        <v>0.370355907620217</v>
      </c>
      <c r="D5205" s="16" t="n">
        <f aca="false">Sens!$D$5199/Sens!$D$5178</f>
        <v>0.35429015342785</v>
      </c>
      <c r="E5205" s="16" t="n">
        <f aca="false">Sens!$E$5199/Sens!$E$5178</f>
        <v>0.385647527531039</v>
      </c>
      <c r="F5205" s="16" t="n">
        <f aca="false">Sens!$F$5199/Sens!$F$5178</f>
        <v>0.384415729470259</v>
      </c>
      <c r="G5205" s="16" t="n">
        <f aca="false">Sens!$G$5199/Sens!$G$5178</f>
        <v>0.38498282105443</v>
      </c>
      <c r="H5205" s="16" t="n">
        <f aca="false">Sens!$H$5199/Sens!$H$5178</f>
        <v>0.361247909668527</v>
      </c>
      <c r="I5205" s="16" t="n">
        <f aca="false">Sens!$I$5199/Sens!$I$5178</f>
        <v>0.349486287974975</v>
      </c>
      <c r="J5205" s="16" t="n">
        <f aca="false">Sens!$J$5199/Sens!$J$5178</f>
        <v>0.339886531832068</v>
      </c>
      <c r="K5205" s="16" t="n">
        <f aca="false">Sens!$K$5199/Sens!$K$5178</f>
        <v>0.33135833762061</v>
      </c>
      <c r="L5205" s="16" t="n">
        <f aca="false">Sens!$L$5199/Sens!$L$5178</f>
        <v>0.328299068185284</v>
      </c>
      <c r="M5205" s="16" t="n">
        <f aca="false">Sens!$M$5199/Sens!$M$5178</f>
        <v>0.325058049465166</v>
      </c>
      <c r="N5205" s="16" t="n">
        <f aca="false">Sens!$N$5199/Sens!$N$5178</f>
        <v>0.360941137346192</v>
      </c>
      <c r="O5205" s="16" t="n">
        <f aca="false">Sens!$O$5199/Sens!$O$5178</f>
        <v>0.348458117664212</v>
      </c>
    </row>
    <row r="5206" customFormat="false" ht="17.15" hidden="false" customHeight="false" outlineLevel="0" collapsed="false">
      <c r="A5206" s="0" t="s">
        <v>690</v>
      </c>
      <c r="B5206" s="0" t="s">
        <v>52</v>
      </c>
      <c r="C5206" s="12" t="n">
        <f aca="false">Sens!$C$5197/Sens!$C$5179</f>
        <v>0.708390794789371</v>
      </c>
      <c r="D5206" s="12" t="n">
        <f aca="false">Sens!$D$5197/Sens!$D$5179</f>
        <v>0.445565630441968</v>
      </c>
      <c r="E5206" s="12" t="n">
        <f aca="false">Sens!$E$5197/Sens!$E$5179</f>
        <v>0.165998118402711</v>
      </c>
      <c r="F5206" s="12" t="n">
        <f aca="false">Sens!$F$5197/Sens!$F$5179</f>
        <v>0.434878595403858</v>
      </c>
      <c r="G5206" s="12" t="n">
        <f aca="false">Sens!$G$5197/Sens!$G$5179</f>
        <v>0.3373967615381</v>
      </c>
      <c r="H5206" s="12" t="n">
        <f aca="false">Sens!$H$5197/Sens!$H$5179</f>
        <v>0.320477578041224</v>
      </c>
      <c r="I5206" s="12" t="n">
        <f aca="false">Sens!$I$5197/Sens!$I$5179</f>
        <v>0.296936118226494</v>
      </c>
      <c r="J5206" s="12" t="n">
        <f aca="false">Sens!$J$5197/Sens!$J$5179</f>
        <v>0.282166278613001</v>
      </c>
      <c r="K5206" s="12" t="n">
        <f aca="false">Sens!$K$5197/Sens!$K$5179</f>
        <v>0.271267685694333</v>
      </c>
      <c r="L5206" s="12" t="n">
        <f aca="false">Sens!$L$5197/Sens!$L$5179</f>
        <v>0.27160960915653</v>
      </c>
      <c r="M5206" s="12" t="n">
        <f aca="false">Sens!$M$5197/Sens!$M$5179</f>
        <v>0.26974494804234</v>
      </c>
      <c r="N5206" s="12" t="n">
        <f aca="false">Sens!$N$5197/Sens!$N$5179</f>
        <v>0.302870734830849</v>
      </c>
      <c r="O5206" s="12" t="n">
        <f aca="false">Sens!$O$5197/Sens!$O$5179</f>
        <v>0.52240134346334</v>
      </c>
    </row>
    <row r="5207" customFormat="false" ht="15" hidden="false" customHeight="false" outlineLevel="0" collapsed="false">
      <c r="A5207" s="5" t="s">
        <v>691</v>
      </c>
      <c r="B5207" s="0" t="s">
        <v>52</v>
      </c>
      <c r="C5207" s="12" t="n">
        <f aca="false">Sens!$C$5201/Sens!$C$5181</f>
        <v>0.107519448742004</v>
      </c>
      <c r="D5207" s="12" t="n">
        <f aca="false">Sens!$D$5201/Sens!$D$5181</f>
        <v>0.111552967957552</v>
      </c>
      <c r="E5207" s="12" t="n">
        <f aca="false">Sens!$E$5201/Sens!$E$5181</f>
        <v>0.13428328426562</v>
      </c>
      <c r="F5207" s="12" t="n">
        <f aca="false">Sens!$F$5201/Sens!$F$5181</f>
        <v>0.132926212451512</v>
      </c>
      <c r="G5207" s="12" t="n">
        <f aca="false">Sens!$G$5201/Sens!$G$5181</f>
        <v>0.133549030959228</v>
      </c>
      <c r="H5207" s="12" t="n">
        <f aca="false">Sens!$H$5201/Sens!$H$5181</f>
        <v>0.139690394514416</v>
      </c>
      <c r="I5207" s="12" t="n">
        <f aca="false">Sens!$I$5201/Sens!$I$5181</f>
        <v>0.144688164284573</v>
      </c>
      <c r="J5207" s="12" t="n">
        <f aca="false">Sens!$J$5201/Sens!$J$5181</f>
        <v>0.147391419021054</v>
      </c>
      <c r="K5207" s="12" t="n">
        <f aca="false">Sens!$K$5201/Sens!$K$5181</f>
        <v>0.148003728177944</v>
      </c>
      <c r="L5207" s="12" t="n">
        <f aca="false">Sens!$L$5201/Sens!$L$5181</f>
        <v>0.149164514525979</v>
      </c>
      <c r="M5207" s="12" t="n">
        <f aca="false">Sens!$M$5201/Sens!$M$5181</f>
        <v>0.150041098108262</v>
      </c>
      <c r="N5207" s="12" t="n">
        <f aca="false">Sens!$N$5201/Sens!$N$5181</f>
        <v>0.116201614873411</v>
      </c>
      <c r="O5207" s="12" t="n">
        <f aca="false">Sens!$O$5201/Sens!$O$5181</f>
        <v>0.107733353660861</v>
      </c>
    </row>
    <row r="5208" customFormat="false" ht="17.15" hidden="false" customHeight="false" outlineLevel="0" collapsed="false">
      <c r="A5208" s="1" t="s">
        <v>692</v>
      </c>
    </row>
    <row r="5209" customFormat="false" ht="17.15" hidden="false" customHeight="false" outlineLevel="0" collapsed="false">
      <c r="A5209" s="5" t="s">
        <v>693</v>
      </c>
      <c r="B5209" s="0" t="s">
        <v>52</v>
      </c>
      <c r="D5209" s="28" t="n">
        <f aca="false">(Q!$E$29+Q!$E$30-(1-ext_sh)*Sens!$D$5133)/Sens!$D$5091</f>
        <v>0.0334674312393194</v>
      </c>
    </row>
    <row r="5210" customFormat="false" ht="17.15" hidden="false" customHeight="false" outlineLevel="0" collapsed="false">
      <c r="A5210" s="0" t="s">
        <v>498</v>
      </c>
      <c r="B5210" s="0" t="s">
        <v>73</v>
      </c>
      <c r="C5210" s="38" t="n">
        <f aca="false">Q!$D$29</f>
        <v>14.285</v>
      </c>
      <c r="D5210" s="38" t="n">
        <f aca="false">Q!$E$29</f>
        <v>15.503</v>
      </c>
      <c r="E5210" s="38" t="n">
        <f aca="false">Q!$P$29</f>
        <v>8.78</v>
      </c>
      <c r="F5210" s="38" t="n">
        <f aca="false">(Sens!$D$5209*Sens!$F$5091+(1-ext_sh)*Sens!$F$5133)*Sens!$F$5092</f>
        <v>9.51361751569285</v>
      </c>
      <c r="G5210" s="38" t="n">
        <f aca="false">Sens!$E$5210+Sens!$F$5210</f>
        <v>18.2936175156929</v>
      </c>
      <c r="H5210" s="38" t="n">
        <f aca="false">(Sens!$D$5209*Sens!$H$5091+(1-ext_sh)*Sens!$H$5133)*Sens!$H$5092</f>
        <v>22.7653661801943</v>
      </c>
      <c r="I5210" s="38" t="n">
        <f aca="false">(Sens!$D$5209*Sens!$I$5091+(1-ext_sh)*Sens!$I$5133)*Sens!$I$5092</f>
        <v>28.4281317305062</v>
      </c>
      <c r="J5210" s="38" t="n">
        <f aca="false">(Sens!$D$5209*Sens!$J$5091+(1-ext_sh)*Sens!$J$5133)*Sens!$J$5092</f>
        <v>34.1182922009732</v>
      </c>
      <c r="K5210" s="38" t="n">
        <f aca="false">(Sens!$D$5209*Sens!$K$5091+(1-ext_sh)*Sens!$K$5133)*Sens!$K$5092</f>
        <v>39.7237727987046</v>
      </c>
      <c r="L5210" s="38" t="n">
        <f aca="false">(Sens!$D$5209*Sens!$L$5091+(1-ext_sh)*Sens!$L$5133)*Sens!$L$5092</f>
        <v>45.1313127180263</v>
      </c>
      <c r="M5210" s="38" t="n">
        <f aca="false">(Sens!$D$5209*Sens!$M$5091+(1-ext_sh)*Sens!$M$5133)*Sens!$M$5092</f>
        <v>50.743940615442</v>
      </c>
      <c r="N5210" s="38" t="n">
        <f aca="false">Q!$N$29</f>
        <v>7.272</v>
      </c>
      <c r="O5210" s="38" t="n">
        <f aca="false">Q!$O$29</f>
        <v>8.231</v>
      </c>
    </row>
    <row r="5211" customFormat="false" ht="17.15" hidden="false" customHeight="false" outlineLevel="0" collapsed="false">
      <c r="A5211" s="0" t="s">
        <v>500</v>
      </c>
      <c r="B5211" s="0" t="s">
        <v>73</v>
      </c>
      <c r="C5211" s="38" t="n">
        <f aca="false">Q!$D$30</f>
        <v>4.462</v>
      </c>
      <c r="D5211" s="38" t="n">
        <f aca="false">Q!$E$30</f>
        <v>4.907</v>
      </c>
      <c r="E5211" s="38" t="n">
        <f aca="false">Q!$P$30</f>
        <v>2.57</v>
      </c>
      <c r="F5211" s="38" t="n">
        <f aca="false">(Sens!$D$5209*Sens!$F$5091+(1-ext_sh)*Sens!$F$5133)*(1-Sens!$F$5092)</f>
        <v>3.7353230631574</v>
      </c>
      <c r="G5211" s="38" t="n">
        <f aca="false">Sens!$E$5211+Sens!$F$5211</f>
        <v>6.3053230631574</v>
      </c>
      <c r="H5211" s="38" t="n">
        <f aca="false">(Sens!$D$5209*Sens!$H$5091+(1-ext_sh)*Sens!$H$5133)*(1-Sens!$H$5092)</f>
        <v>8.72254636724805</v>
      </c>
      <c r="I5211" s="38" t="n">
        <f aca="false">(Sens!$D$5209*Sens!$I$5091+(1-ext_sh)*Sens!$I$5133)*(1-Sens!$I$5092)</f>
        <v>10.8922340713019</v>
      </c>
      <c r="J5211" s="38" t="n">
        <f aca="false">(Sens!$D$5209*Sens!$J$5091+(1-ext_sh)*Sens!$J$5133)*(1-Sens!$J$5092)</f>
        <v>13.0724181345791</v>
      </c>
      <c r="K5211" s="38" t="n">
        <f aca="false">(Sens!$D$5209*Sens!$K$5091+(1-ext_sh)*Sens!$K$5133)*(1-Sens!$K$5092)</f>
        <v>15.2201571183236</v>
      </c>
      <c r="L5211" s="38" t="n">
        <f aca="false">(Sens!$D$5209*Sens!$L$5091+(1-ext_sh)*Sens!$L$5133)*(1-Sens!$L$5092)</f>
        <v>17.2920551631732</v>
      </c>
      <c r="M5211" s="38" t="n">
        <f aca="false">(Sens!$D$5209*Sens!$M$5091+(1-ext_sh)*Sens!$M$5133)*(1-Sens!$M$5092)</f>
        <v>19.4425326336348</v>
      </c>
      <c r="N5211" s="38" t="n">
        <f aca="false">Q!$N$30</f>
        <v>2.316</v>
      </c>
      <c r="O5211" s="38" t="n">
        <f aca="false">Q!$O$30</f>
        <v>2.591</v>
      </c>
    </row>
    <row r="5212" customFormat="false" ht="17.15" hidden="false" customHeight="false" outlineLevel="0" collapsed="false">
      <c r="A5212" s="0" t="s">
        <v>501</v>
      </c>
      <c r="B5212" s="0" t="s">
        <v>73</v>
      </c>
      <c r="C5212" s="38" t="n">
        <f aca="false">Sens!$C$5145</f>
        <v>13.32</v>
      </c>
      <c r="D5212" s="38" t="n">
        <f aca="false">Sens!$D$5145</f>
        <v>21.45</v>
      </c>
      <c r="E5212" s="38" t="n">
        <f aca="false">Sens!$E$5145</f>
        <v>15.353</v>
      </c>
      <c r="F5212" s="38" t="n">
        <f aca="false">Sens!$F$5145</f>
        <v>17.3614451462707</v>
      </c>
      <c r="G5212" s="38" t="n">
        <f aca="false">Sens!$G$5145</f>
        <v>32.7144451462707</v>
      </c>
      <c r="H5212" s="38" t="n">
        <f aca="false">Sens!$H$5145</f>
        <v>56.1966092719415</v>
      </c>
      <c r="I5212" s="38" t="n">
        <f aca="false">Sens!$I$5145</f>
        <v>82.9744039068297</v>
      </c>
      <c r="J5212" s="38" t="n">
        <f aca="false">Sens!$J$5145</f>
        <v>109.943252237669</v>
      </c>
      <c r="K5212" s="38" t="n">
        <f aca="false">Sens!$K$5145</f>
        <v>136.406703436571</v>
      </c>
      <c r="L5212" s="38" t="n">
        <f aca="false">Sens!$L$5145</f>
        <v>161.485870454155</v>
      </c>
      <c r="M5212" s="38" t="n">
        <f aca="false">Sens!$M$5145</f>
        <v>187.389846618199</v>
      </c>
      <c r="N5212" s="38" t="n">
        <f aca="false">Sens!$N$5145</f>
        <v>9.234</v>
      </c>
      <c r="O5212" s="38" t="n">
        <f aca="false">Sens!$O$5145</f>
        <v>12.216</v>
      </c>
    </row>
    <row r="5213" customFormat="false" ht="17.15" hidden="false" customHeight="false" outlineLevel="0" collapsed="false">
      <c r="A5213" s="5" t="s">
        <v>694</v>
      </c>
      <c r="B5213" s="0" t="s">
        <v>73</v>
      </c>
      <c r="C5213" s="38" t="n">
        <f aca="false">Sens!$C$5210+Sens!$C$5211+Sens!$C$5212</f>
        <v>32.067</v>
      </c>
      <c r="D5213" s="38" t="n">
        <f aca="false">Sens!$D$5210+Sens!$D$5211+Sens!$D$5212</f>
        <v>41.86</v>
      </c>
      <c r="E5213" s="38" t="n">
        <f aca="false">Sens!$E$5210+Sens!$E$5211+Sens!$E$5212</f>
        <v>26.703</v>
      </c>
      <c r="F5213" s="38" t="n">
        <f aca="false">Sens!$F$5210+Sens!$F$5211+Sens!$F$5212</f>
        <v>30.6103857251209</v>
      </c>
      <c r="G5213" s="38" t="n">
        <f aca="false">Sens!$G$5210+Sens!$G$5211+Sens!$G$5212</f>
        <v>57.3133857251209</v>
      </c>
      <c r="H5213" s="38" t="n">
        <f aca="false">Sens!$H$5210+Sens!$H$5211+Sens!$H$5212</f>
        <v>87.6845218193838</v>
      </c>
      <c r="I5213" s="38" t="n">
        <f aca="false">Sens!$I$5210+Sens!$I$5211+Sens!$I$5212</f>
        <v>122.294769708638</v>
      </c>
      <c r="J5213" s="38" t="n">
        <f aca="false">Sens!$J$5210+Sens!$J$5211+Sens!$J$5212</f>
        <v>157.133962573221</v>
      </c>
      <c r="K5213" s="38" t="n">
        <f aca="false">Sens!$K$5210+Sens!$K$5211+Sens!$K$5212</f>
        <v>191.350633353599</v>
      </c>
      <c r="L5213" s="38" t="n">
        <f aca="false">Sens!$L$5210+Sens!$L$5211+Sens!$L$5212</f>
        <v>223.909238335354</v>
      </c>
      <c r="M5213" s="38" t="n">
        <f aca="false">Sens!$M$5210+Sens!$M$5211+Sens!$M$5212</f>
        <v>257.576319867276</v>
      </c>
      <c r="N5213" s="38" t="n">
        <f aca="false">Sens!$N$5210+Sens!$N$5211+Sens!$N$5212</f>
        <v>18.822</v>
      </c>
      <c r="O5213" s="38" t="n">
        <f aca="false">Sens!$O$5210+Sens!$O$5211+Sens!$O$5212</f>
        <v>23.038</v>
      </c>
    </row>
    <row r="5214" customFormat="false" ht="17.15" hidden="false" customHeight="false" outlineLevel="0" collapsed="false">
      <c r="A5214" s="0" t="s">
        <v>695</v>
      </c>
      <c r="B5214" s="0" t="s">
        <v>73</v>
      </c>
      <c r="C5214" s="38" t="n">
        <f aca="false">Sens!$C$5187+Sens!$C$5192</f>
        <v>28.107</v>
      </c>
      <c r="D5214" s="38" t="n">
        <f aca="false">Sens!$D$5187+Sens!$D$5192</f>
        <v>34.3175</v>
      </c>
      <c r="E5214" s="38" t="n">
        <f aca="false">Sens!$E$5187+Sens!$E$5192</f>
        <v>18.526</v>
      </c>
      <c r="F5214" s="38" t="n">
        <f aca="false">Sens!$F$5187+Sens!$F$5192</f>
        <v>24.0766690913691</v>
      </c>
      <c r="G5214" s="38" t="n">
        <f aca="false">Sens!$G$5187+Sens!$G$5192</f>
        <v>42.6026690913691</v>
      </c>
      <c r="H5214" s="38" t="n">
        <f aca="false">Sens!$H$5187+Sens!$H$5192</f>
        <v>51.1466809294702</v>
      </c>
      <c r="I5214" s="38" t="n">
        <f aca="false">Sens!$I$5187+Sens!$I$5192</f>
        <v>59.6899187926205</v>
      </c>
      <c r="J5214" s="38" t="n">
        <f aca="false">Sens!$J$5187+Sens!$J$5192</f>
        <v>67.6595395244221</v>
      </c>
      <c r="K5214" s="38" t="n">
        <f aca="false">Sens!$K$5187+Sens!$K$5192</f>
        <v>74.4254934768643</v>
      </c>
      <c r="L5214" s="38" t="n">
        <f aca="false">Sens!$L$5187+Sens!$L$5192</f>
        <v>81.8680428245508</v>
      </c>
      <c r="M5214" s="38" t="n">
        <f aca="false">Sens!$M$5187+Sens!$M$5192</f>
        <v>90.0548471070059</v>
      </c>
      <c r="N5214" s="38" t="n">
        <f aca="false">Sens!$N$5187+Sens!$N$5192</f>
        <v>14.8075</v>
      </c>
      <c r="O5214" s="38" t="n">
        <f aca="false">Sens!$O$5187+Sens!$O$5192</f>
        <v>19.51</v>
      </c>
    </row>
    <row r="5215" customFormat="false" ht="17.15" hidden="false" customHeight="false" outlineLevel="0" collapsed="false">
      <c r="A5215" s="0" t="s">
        <v>696</v>
      </c>
      <c r="B5215" s="0" t="s">
        <v>73</v>
      </c>
      <c r="C5215" s="38" t="n">
        <f aca="false">Sens!$C$5191+Sens!$C$5196+Sens!$C$5210+Sens!$C$5211-Sens!$C$5214</f>
        <v>19.399</v>
      </c>
      <c r="D5215" s="38" t="n">
        <f aca="false">Sens!$D$5191+Sens!$D$5196+Sens!$D$5210+Sens!$D$5211-Sens!$D$5214</f>
        <v>20.4615</v>
      </c>
      <c r="E5215" s="38" t="n">
        <f aca="false">Sens!$E$5191+Sens!$E$5196+Sens!$E$5210+Sens!$E$5211-Sens!$E$5214</f>
        <v>13.355</v>
      </c>
      <c r="F5215" s="38" t="n">
        <f aca="false">Sens!$F$5191+Sens!$F$5196+Sens!$F$5210+Sens!$F$5211-Sens!$F$5214</f>
        <v>13.0895111975985</v>
      </c>
      <c r="G5215" s="38" t="n">
        <f aca="false">Sens!$G$5191+Sens!$G$5196+Sens!$G$5210+Sens!$G$5211-Sens!$G$5214</f>
        <v>26.4445111975985</v>
      </c>
      <c r="H5215" s="38" t="n">
        <f aca="false">Sens!$H$5191+Sens!$H$5196+Sens!$H$5210+Sens!$H$5211-Sens!$H$5214</f>
        <v>28.8977096937968</v>
      </c>
      <c r="I5215" s="38" t="n">
        <f aca="false">Sens!$I$5191+Sens!$I$5196+Sens!$I$5210+Sens!$I$5211-Sens!$I$5214</f>
        <v>31.2062039064791</v>
      </c>
      <c r="J5215" s="38" t="n">
        <f aca="false">Sens!$J$5191+Sens!$J$5196+Sens!$J$5210+Sens!$J$5211-Sens!$J$5214</f>
        <v>33.5064572496913</v>
      </c>
      <c r="K5215" s="38" t="n">
        <f aca="false">Sens!$K$5191+Sens!$K$5196+Sens!$K$5210+Sens!$K$5211-Sens!$K$5214</f>
        <v>35.6591461575899</v>
      </c>
      <c r="L5215" s="38" t="n">
        <f aca="false">Sens!$L$5191+Sens!$L$5196+Sens!$L$5210+Sens!$L$5211-Sens!$L$5214</f>
        <v>36.4141007090604</v>
      </c>
      <c r="M5215" s="38" t="n">
        <f aca="false">Sens!$M$5191+Sens!$M$5196+Sens!$M$5210+Sens!$M$5211-Sens!$M$5214</f>
        <v>37.359984207839</v>
      </c>
      <c r="N5215" s="38" t="n">
        <f aca="false">Sens!$N$5191+Sens!$N$5196+Sens!$N$5210+Sens!$N$5211-Sens!$N$5214</f>
        <v>10.6495</v>
      </c>
      <c r="O5215" s="38" t="n">
        <f aca="false">Sens!$O$5191+Sens!$O$5196+Sens!$O$5210+Sens!$O$5211-Sens!$O$5214</f>
        <v>9.81200000000001</v>
      </c>
    </row>
    <row r="5216" customFormat="false" ht="17.15" hidden="false" customHeight="false" outlineLevel="0" collapsed="false">
      <c r="A5216" s="0" t="s">
        <v>697</v>
      </c>
      <c r="B5216" s="0" t="s">
        <v>73</v>
      </c>
      <c r="C5216" s="38" t="n">
        <f aca="false">Sens!$C$5198+Sens!$C$5212-ext_sh*Sens!$C$5133</f>
        <v>51.3470500115664</v>
      </c>
      <c r="D5216" s="38" t="n">
        <f aca="false">Sens!$D$5198+Sens!$D$5212-ext_sh*Sens!$D$5133</f>
        <v>60.2799375433739</v>
      </c>
      <c r="E5216" s="38" t="n">
        <f aca="false">Sens!$E$5198+Sens!$E$5212-ext_sh*Sens!$E$5133</f>
        <v>39.5095167090767</v>
      </c>
      <c r="F5216" s="38" t="n">
        <f aca="false">Sens!$F$5198+Sens!$F$5212-ext_sh*Sens!$F$5133</f>
        <v>41.606724953129</v>
      </c>
      <c r="G5216" s="38" t="n">
        <f aca="false">Sens!$G$5198+Sens!$G$5212-ext_sh*Sens!$G$5133</f>
        <v>81.1162416622057</v>
      </c>
      <c r="H5216" s="38" t="n">
        <f aca="false">Sens!$H$5198+Sens!$H$5212-ext_sh*Sens!$H$5133</f>
        <v>95.7616595325849</v>
      </c>
      <c r="I5216" s="38" t="n">
        <f aca="false">Sens!$I$5198+Sens!$I$5212-ext_sh*Sens!$I$5133</f>
        <v>111.513312079935</v>
      </c>
      <c r="J5216" s="38" t="n">
        <f aca="false">Sens!$J$5198+Sens!$J$5212-ext_sh*Sens!$J$5133</f>
        <v>125.145150463955</v>
      </c>
      <c r="K5216" s="38" t="n">
        <f aca="false">Sens!$K$5198+Sens!$K$5212-ext_sh*Sens!$K$5133</f>
        <v>135.156762501071</v>
      </c>
      <c r="L5216" s="38" t="n">
        <f aca="false">Sens!$L$5198+Sens!$L$5212-ext_sh*Sens!$L$5133</f>
        <v>145.969303501157</v>
      </c>
      <c r="M5216" s="38" t="n">
        <f aca="false">Sens!$M$5198+Sens!$M$5212-ext_sh*Sens!$M$5133</f>
        <v>157.646847781249</v>
      </c>
      <c r="N5216" s="38" t="n">
        <f aca="false">Sens!$N$5198+Sens!$N$5212-ext_sh*Sens!$N$5133</f>
        <v>28.5693781401809</v>
      </c>
      <c r="O5216" s="38" t="n">
        <f aca="false">Sens!$O$5198+Sens!$O$5212-ext_sh*Sens!$O$5133</f>
        <v>31.7105594031931</v>
      </c>
    </row>
    <row r="5217" customFormat="false" ht="17.15" hidden="false" customHeight="false" outlineLevel="0" collapsed="false">
      <c r="A5217" s="0" t="s">
        <v>698</v>
      </c>
      <c r="B5217" s="0" t="s">
        <v>73</v>
      </c>
      <c r="C5217" s="38" t="n">
        <f aca="false">Sens!$C$5136</f>
        <v>1.80694998843362</v>
      </c>
      <c r="D5217" s="38" t="n">
        <f aca="false">Sens!$D$5136</f>
        <v>6.77606245662607</v>
      </c>
      <c r="E5217" s="38" t="n">
        <f aca="false">Sens!$E$5136</f>
        <v>6.62548329092326</v>
      </c>
      <c r="F5217" s="38" t="n">
        <f aca="false">Sens!$F$5136</f>
        <v>11.7200577158706</v>
      </c>
      <c r="G5217" s="38" t="n">
        <f aca="false">Sens!$G$5136</f>
        <v>18.3455410067939</v>
      </c>
      <c r="H5217" s="38" t="n">
        <f aca="false">Sens!$H$5136</f>
        <v>47.5171727060453</v>
      </c>
      <c r="I5217" s="38" t="n">
        <f aca="false">Sens!$I$5136</f>
        <v>80.5539692643667</v>
      </c>
      <c r="J5217" s="38" t="n">
        <f aca="false">Sens!$J$5136</f>
        <v>113.759316834883</v>
      </c>
      <c r="K5217" s="38" t="n">
        <f aca="false">Sens!$K$5136</f>
        <v>147.020848076132</v>
      </c>
      <c r="L5217" s="38" t="n">
        <f aca="false">Sens!$L$5136</f>
        <v>180.307917349531</v>
      </c>
      <c r="M5217" s="38" t="n">
        <f aca="false">Sens!$M$5136</f>
        <v>213.608737871012</v>
      </c>
      <c r="N5217" s="38" t="n">
        <f aca="false">Sens!$N$5136</f>
        <v>2.37162185981912</v>
      </c>
      <c r="O5217" s="38" t="n">
        <f aca="false">Sens!$O$5136</f>
        <v>4.40444059680694</v>
      </c>
    </row>
    <row r="5218" customFormat="false" ht="17.15" hidden="false" customHeight="false" outlineLevel="0" collapsed="false">
      <c r="A5218" s="0" t="s">
        <v>699</v>
      </c>
      <c r="B5218" s="0" t="s">
        <v>73</v>
      </c>
      <c r="C5218" s="38" t="n">
        <f aca="false">Sens!$C$5201+Sens!$C$5213</f>
        <v>100.66</v>
      </c>
      <c r="D5218" s="38" t="n">
        <f aca="false">Sens!$D$5201+Sens!$D$5213</f>
        <v>121.835</v>
      </c>
      <c r="E5218" s="38" t="n">
        <f aca="false">Sens!$E$5201+Sens!$E$5213</f>
        <v>78.016</v>
      </c>
      <c r="F5218" s="38" t="n">
        <f aca="false">Sens!$F$5201+Sens!$F$5213</f>
        <v>90.4929629579672</v>
      </c>
      <c r="G5218" s="38" t="n">
        <f aca="false">Sens!$G$5201+Sens!$G$5213</f>
        <v>168.508962957967</v>
      </c>
      <c r="H5218" s="38" t="n">
        <f aca="false">Sens!$H$5201+Sens!$H$5213</f>
        <v>223.323222861897</v>
      </c>
      <c r="I5218" s="38" t="n">
        <f aca="false">Sens!$I$5201+Sens!$I$5213</f>
        <v>282.963404043402</v>
      </c>
      <c r="J5218" s="38" t="n">
        <f aca="false">Sens!$J$5201+Sens!$J$5213</f>
        <v>340.070464072952</v>
      </c>
      <c r="K5218" s="38" t="n">
        <f aca="false">Sens!$K$5201+Sens!$K$5213</f>
        <v>392.262250211657</v>
      </c>
      <c r="L5218" s="38" t="n">
        <f aca="false">Sens!$L$5201+Sens!$L$5213</f>
        <v>444.559364384299</v>
      </c>
      <c r="M5218" s="38" t="n">
        <f aca="false">Sens!$M$5201+Sens!$M$5213</f>
        <v>498.670416967106</v>
      </c>
      <c r="N5218" s="38" t="n">
        <f aca="false">Sens!$N$5201+Sens!$N$5213</f>
        <v>56.398</v>
      </c>
      <c r="O5218" s="38" t="n">
        <f aca="false">Sens!$O$5201+Sens!$O$5213</f>
        <v>65.437</v>
      </c>
    </row>
    <row r="5219" customFormat="false" ht="17.15" hidden="false" customHeight="false" outlineLevel="0" collapsed="false">
      <c r="A5219" s="1" t="s">
        <v>700</v>
      </c>
    </row>
    <row r="5220" customFormat="false" ht="15" hidden="false" customHeight="false" outlineLevel="0" collapsed="false">
      <c r="A5220" s="5" t="s">
        <v>504</v>
      </c>
      <c r="B5220" s="0" t="s">
        <v>73</v>
      </c>
      <c r="C5220" s="38" t="n">
        <f aca="false">Q!$D$34</f>
        <v>2.406</v>
      </c>
      <c r="D5220" s="38" t="n">
        <f aca="false">Q!$E$34</f>
        <v>2.274</v>
      </c>
      <c r="E5220" s="38" t="n">
        <f aca="false">Q!$P$34</f>
        <v>2.114</v>
      </c>
      <c r="F5220" s="38" t="n">
        <f aca="false">Sens!$F$5256</f>
        <v>3.24888964316061</v>
      </c>
      <c r="G5220" s="38" t="n">
        <f aca="false">Sens!$E$5220+Sens!$F$5220</f>
        <v>5.36288964316061</v>
      </c>
      <c r="H5220" s="38" t="n">
        <f aca="false">Sens!$H$5256</f>
        <v>7.42354178632123</v>
      </c>
      <c r="I5220" s="38" t="n">
        <f aca="false">Sens!$I$5256</f>
        <v>7.51827597635917</v>
      </c>
      <c r="J5220" s="38" t="n">
        <f aca="false">Sens!$J$5256</f>
        <v>7.76994062068418</v>
      </c>
      <c r="K5220" s="38" t="n">
        <f aca="false">Sens!$K$5256</f>
        <v>7.76994062068418</v>
      </c>
      <c r="L5220" s="38" t="n">
        <f aca="false">Sens!$L$5256</f>
        <v>7.76994062068418</v>
      </c>
      <c r="M5220" s="38" t="n">
        <f aca="false">Sens!$M$5256</f>
        <v>7.76994062068418</v>
      </c>
      <c r="N5220" s="38" t="n">
        <f aca="false">Q!$N$34</f>
        <v>1.057</v>
      </c>
      <c r="O5220" s="38" t="n">
        <f aca="false">Q!$O$34</f>
        <v>1.217</v>
      </c>
    </row>
    <row r="5221" customFormat="false" ht="15" hidden="false" customHeight="false" outlineLevel="0" collapsed="false">
      <c r="A5221" s="5" t="s">
        <v>701</v>
      </c>
      <c r="B5221" s="0" t="s">
        <v>73</v>
      </c>
      <c r="F5221" s="38" t="n">
        <f aca="false">Sens!$F$5257</f>
        <v>2.59</v>
      </c>
      <c r="H5221" s="38" t="n">
        <f aca="false">Sens!$H$5257</f>
        <v>4.00971603121774</v>
      </c>
      <c r="I5221" s="38" t="n">
        <f aca="false">Sens!$I$5257</f>
        <v>2.10589651022864</v>
      </c>
      <c r="J5221" s="38" t="n">
        <f aca="false">Sens!$J$5257</f>
        <v>2.10589651022864</v>
      </c>
      <c r="K5221" s="38" t="n">
        <f aca="false">Sens!$K$5257</f>
        <v>3.77985822695893</v>
      </c>
      <c r="L5221" s="38" t="n">
        <f aca="false">Sens!$L$5257</f>
        <v>7.24081936505971</v>
      </c>
      <c r="M5221" s="38" t="n">
        <f aca="false">Sens!$M$5257</f>
        <v>11.205150593419</v>
      </c>
    </row>
    <row r="5222" customFormat="false" ht="17.15" hidden="false" customHeight="false" outlineLevel="0" collapsed="false">
      <c r="A5222" s="5" t="s">
        <v>702</v>
      </c>
      <c r="B5222" s="0" t="s">
        <v>73</v>
      </c>
      <c r="C5222" s="38" t="n">
        <f aca="false">Q!$D$39</f>
        <v>2.427</v>
      </c>
      <c r="D5222" s="38" t="n">
        <f aca="false">Q!$E$39</f>
        <v>19.61</v>
      </c>
      <c r="E5222" s="38" t="n">
        <f aca="false">Q!$P$39</f>
        <v>71.492</v>
      </c>
      <c r="F5222" s="41" t="n">
        <v>0</v>
      </c>
      <c r="G5222" s="38" t="n">
        <f aca="false">Sens!$E$5222+Sens!$F$5222</f>
        <v>71.492</v>
      </c>
      <c r="H5222" s="41" t="n">
        <v>0</v>
      </c>
      <c r="I5222" s="41" t="n">
        <v>0</v>
      </c>
      <c r="J5222" s="41" t="n">
        <v>0</v>
      </c>
      <c r="K5222" s="41" t="n">
        <v>0</v>
      </c>
      <c r="L5222" s="41" t="n">
        <v>0</v>
      </c>
      <c r="M5222" s="41" t="n">
        <v>0</v>
      </c>
      <c r="N5222" s="38" t="n">
        <f aca="false">Q!$N$39</f>
        <v>6.017</v>
      </c>
      <c r="O5222" s="38" t="n">
        <f aca="false">Q!$O$39</f>
        <v>13.593</v>
      </c>
      <c r="P5222" s="5" t="s">
        <v>703</v>
      </c>
    </row>
    <row r="5223" customFormat="false" ht="15" hidden="false" customHeight="false" outlineLevel="0" collapsed="false">
      <c r="A5223" s="5" t="s">
        <v>507</v>
      </c>
      <c r="B5223" s="0" t="s">
        <v>73</v>
      </c>
      <c r="C5223" s="38" t="n">
        <f aca="false">Q!$D$36</f>
        <v>68.614</v>
      </c>
      <c r="D5223" s="38" t="n">
        <f aca="false">Q!$E$36</f>
        <v>97.311</v>
      </c>
      <c r="E5223" s="38" t="n">
        <f aca="false">Q!$P$36</f>
        <v>120.691</v>
      </c>
      <c r="F5223" s="38" t="n">
        <f aca="false">Sens!$F$5201-Sens!$F$5220+Sens!$F$5221+Sens!$F$5222</f>
        <v>59.2236875896856</v>
      </c>
      <c r="G5223" s="38" t="n">
        <f aca="false">Sens!$E$5223+Sens!$F$5223</f>
        <v>179.914687589686</v>
      </c>
      <c r="H5223" s="38" t="n">
        <f aca="false">Sens!$H$5201-Sens!$H$5220+Sens!$H$5221+Sens!$H$5222</f>
        <v>132.22487528741</v>
      </c>
      <c r="I5223" s="38" t="n">
        <f aca="false">Sens!$I$5201-Sens!$I$5220+Sens!$I$5221+Sens!$I$5222</f>
        <v>155.256254868633</v>
      </c>
      <c r="J5223" s="38" t="n">
        <f aca="false">Sens!$J$5201-Sens!$J$5220+Sens!$J$5221+Sens!$J$5222</f>
        <v>177.272457389275</v>
      </c>
      <c r="K5223" s="38" t="n">
        <f aca="false">Sens!$K$5201-Sens!$K$5220+Sens!$K$5221+Sens!$K$5222</f>
        <v>196.921534464333</v>
      </c>
      <c r="L5223" s="38" t="n">
        <f aca="false">Sens!$L$5201-Sens!$L$5220+Sens!$L$5221+Sens!$L$5222</f>
        <v>220.12100479332</v>
      </c>
      <c r="M5223" s="38" t="n">
        <f aca="false">Sens!$M$5201-Sens!$M$5220+Sens!$M$5221+Sens!$M$5222</f>
        <v>244.529307072564</v>
      </c>
      <c r="N5223" s="38" t="n">
        <f aca="false">Q!$N$36</f>
        <v>42.536</v>
      </c>
      <c r="O5223" s="38" t="n">
        <f aca="false">Q!$O$36</f>
        <v>54.775</v>
      </c>
    </row>
    <row r="5224" customFormat="false" ht="15" hidden="false" customHeight="false" outlineLevel="0" collapsed="false">
      <c r="A5224" s="5" t="s">
        <v>508</v>
      </c>
      <c r="B5224" s="0" t="s">
        <v>73</v>
      </c>
      <c r="C5224" s="38" t="n">
        <f aca="false">Q!$D$37</f>
        <v>9.265</v>
      </c>
      <c r="D5224" s="38" t="n">
        <f aca="false">Q!$E$37</f>
        <v>19.087</v>
      </c>
      <c r="E5224" s="38" t="n">
        <f aca="false">Q!$P$37</f>
        <v>27.759</v>
      </c>
      <c r="F5224" s="38" t="n">
        <f aca="false">Sens!$F$5223*tax</f>
        <v>10.2803157750071</v>
      </c>
      <c r="G5224" s="38" t="n">
        <f aca="false">Sens!$E$5224+Sens!$F$5224</f>
        <v>38.0393157750071</v>
      </c>
      <c r="H5224" s="38" t="n">
        <f aca="false">Sens!$H$5223*tax</f>
        <v>22.9521923842892</v>
      </c>
      <c r="I5224" s="38" t="n">
        <f aca="false">Sens!$I$5223*tax</f>
        <v>26.9500835063251</v>
      </c>
      <c r="J5224" s="38" t="n">
        <f aca="false">Sens!$J$5223*tax</f>
        <v>30.7717555988633</v>
      </c>
      <c r="K5224" s="38" t="n">
        <f aca="false">Sens!$K$5223*tax</f>
        <v>34.1825313414772</v>
      </c>
      <c r="L5224" s="38" t="n">
        <f aca="false">Sens!$L$5223*tax</f>
        <v>38.209600416393</v>
      </c>
      <c r="M5224" s="38" t="n">
        <f aca="false">Sens!$M$5223*tax</f>
        <v>42.4465040131586</v>
      </c>
      <c r="N5224" s="38" t="n">
        <f aca="false">Q!$N$37</f>
        <v>7.231</v>
      </c>
      <c r="O5224" s="38" t="n">
        <f aca="false">Q!$O$37</f>
        <v>11.856</v>
      </c>
    </row>
    <row r="5225" customFormat="false" ht="15" hidden="false" customHeight="false" outlineLevel="0" collapsed="false">
      <c r="A5225" s="3" t="s">
        <v>509</v>
      </c>
      <c r="B5225" s="8" t="s">
        <v>73</v>
      </c>
      <c r="C5225" s="38" t="n">
        <f aca="false">Q!$D$38</f>
        <v>59.248</v>
      </c>
      <c r="D5225" s="38" t="n">
        <f aca="false">Q!$E$38</f>
        <v>77.67</v>
      </c>
      <c r="E5225" s="38" t="n">
        <f aca="false">Q!$P$38</f>
        <v>92.902</v>
      </c>
      <c r="F5225" s="38" t="n">
        <f aca="false">Sens!$F$5223-Sens!$F$5224</f>
        <v>48.9433718146785</v>
      </c>
      <c r="G5225" s="38" t="n">
        <f aca="false">Sens!$E$5225+Sens!$F$5225</f>
        <v>141.845371814679</v>
      </c>
      <c r="H5225" s="38" t="n">
        <f aca="false">Sens!$H$5223-Sens!$H$5224</f>
        <v>109.272682903121</v>
      </c>
      <c r="I5225" s="38" t="n">
        <f aca="false">Sens!$I$5223-Sens!$I$5224</f>
        <v>128.306171362308</v>
      </c>
      <c r="J5225" s="38" t="n">
        <f aca="false">Sens!$J$5223-Sens!$J$5224</f>
        <v>146.500701790412</v>
      </c>
      <c r="K5225" s="38" t="n">
        <f aca="false">Sens!$K$5223-Sens!$K$5224</f>
        <v>162.739003122855</v>
      </c>
      <c r="L5225" s="38" t="n">
        <f aca="false">Sens!$L$5223-Sens!$L$5224</f>
        <v>181.911404376927</v>
      </c>
      <c r="M5225" s="38" t="n">
        <f aca="false">Sens!$M$5223-Sens!$M$5224</f>
        <v>202.082803059406</v>
      </c>
      <c r="N5225" s="38" t="n">
        <f aca="false">Q!$N$38</f>
        <v>35.291</v>
      </c>
      <c r="O5225" s="38" t="n">
        <f aca="false">Q!$O$38</f>
        <v>42.379</v>
      </c>
    </row>
    <row r="5226" customFormat="false" ht="17.15" hidden="false" customHeight="false" outlineLevel="0" collapsed="false">
      <c r="A5226" s="5" t="s">
        <v>512</v>
      </c>
      <c r="B5226" s="5" t="s">
        <v>33</v>
      </c>
      <c r="C5226" s="22" t="n">
        <f aca="false">Q!$D$41</f>
        <v>10.721</v>
      </c>
      <c r="D5226" s="22" t="n">
        <f aca="false">Q!$E$41</f>
        <v>10.827</v>
      </c>
      <c r="E5226" s="22" t="n">
        <f aca="false">(Q!$L$41+Q!$M$41)/2</f>
        <v>10.8885</v>
      </c>
      <c r="F5226" s="22" t="n">
        <f aca="false">Sens!$G$5226</f>
        <v>10.924806</v>
      </c>
      <c r="G5226" s="22" t="n">
        <f aca="false">Q!$M$41*(1+sh_g*0.25)</f>
        <v>10.924806</v>
      </c>
      <c r="H5226" s="22" t="n">
        <f aca="false">Sens!$G$5226*(1+sh_g)</f>
        <v>11.012204448</v>
      </c>
      <c r="I5226" s="22" t="n">
        <f aca="false">Sens!$H$5226*(1+sh_g)</f>
        <v>11.100302083584</v>
      </c>
      <c r="J5226" s="22" t="n">
        <f aca="false">Sens!$I$5226*(1+sh_g)</f>
        <v>11.1891045002527</v>
      </c>
      <c r="K5226" s="22" t="n">
        <f aca="false">Sens!$J$5226*(1+sh_g)</f>
        <v>11.2786173362547</v>
      </c>
      <c r="L5226" s="22" t="n">
        <f aca="false">Sens!$K$5226*(1+sh_g)</f>
        <v>11.3688462749447</v>
      </c>
      <c r="M5226" s="22" t="n">
        <f aca="false">Sens!$L$5226*(1+sh_g)</f>
        <v>11.4597970451443</v>
      </c>
      <c r="P5226" s="5" t="s">
        <v>704</v>
      </c>
    </row>
    <row r="5227" customFormat="false" ht="17.15" hidden="false" customHeight="false" outlineLevel="0" collapsed="false">
      <c r="A5227" s="42" t="s">
        <v>705</v>
      </c>
      <c r="B5227" s="13" t="s">
        <v>27</v>
      </c>
      <c r="C5227" s="43" t="n">
        <f aca="false">Sens!$C$5225/Sens!$C$5226</f>
        <v>5.52635015390355</v>
      </c>
      <c r="D5227" s="43" t="n">
        <f aca="false">Sens!$D$5225/Sens!$D$5226</f>
        <v>7.1737323358271</v>
      </c>
      <c r="E5227" s="43" t="n">
        <f aca="false">Sens!$E$5225/Sens!$E$5226</f>
        <v>8.53212104513937</v>
      </c>
      <c r="F5227" s="13"/>
      <c r="G5227" s="43" t="n">
        <f aca="false">Sens!$G$5225/Sens!$G$5226</f>
        <v>12.9837886196495</v>
      </c>
      <c r="H5227" s="43" t="n">
        <f aca="false">Sens!$H$5225/Sens!$H$5226</f>
        <v>9.92287088558062</v>
      </c>
      <c r="I5227" s="43" t="n">
        <f aca="false">Sens!$I$5225/Sens!$I$5226</f>
        <v>11.5587999674403</v>
      </c>
      <c r="J5227" s="43" t="n">
        <f aca="false">Sens!$J$5225/Sens!$J$5226</f>
        <v>13.0931569892035</v>
      </c>
      <c r="K5227" s="43" t="n">
        <f aca="false">Sens!$K$5225/Sens!$K$5226</f>
        <v>14.4289852444711</v>
      </c>
      <c r="L5227" s="43" t="n">
        <f aca="false">Sens!$L$5225/Sens!$L$5226</f>
        <v>16.0008676322621</v>
      </c>
      <c r="M5227" s="43" t="n">
        <f aca="false">Sens!$M$5225/Sens!$M$5226</f>
        <v>17.6340647450673</v>
      </c>
      <c r="N5227" s="13"/>
      <c r="O5227" s="13"/>
    </row>
    <row r="5228" customFormat="false" ht="17.15" hidden="false" customHeight="false" outlineLevel="0" collapsed="false">
      <c r="A5228" s="0" t="s">
        <v>706</v>
      </c>
      <c r="B5228" s="0" t="s">
        <v>27</v>
      </c>
      <c r="C5228" s="30" t="n">
        <f aca="false">(Sens!$C$5225-Sens!$C$5222*(1-tax))/Sens!$C$5226</f>
        <v>5.33926775917445</v>
      </c>
      <c r="D5228" s="30" t="n">
        <f aca="false">(Sens!$D$5225-Sens!$D$5222*(1-tax))/Sens!$D$5226</f>
        <v>5.67691812755503</v>
      </c>
      <c r="E5228" s="30" t="n">
        <f aca="false">(Sens!$E$5225-Sens!$E$5222*(1-tax))/Sens!$E$5226</f>
        <v>3.10602057006846</v>
      </c>
      <c r="G5228" s="30" t="n">
        <f aca="false">(Sens!$G$5225-Sens!$G$5222*(1-tax))/Sens!$G$5226</f>
        <v>7.57572050175252</v>
      </c>
      <c r="H5228" s="30" t="n">
        <f aca="false">(Sens!$H$5225-Sens!$H$5222*(1-tax))/Sens!$H$5226</f>
        <v>9.92287088558062</v>
      </c>
      <c r="I5228" s="30" t="n">
        <f aca="false">(Sens!$I$5225-Sens!$I$5222*(1-tax))/Sens!$I$5226</f>
        <v>11.5587999674403</v>
      </c>
      <c r="J5228" s="30" t="n">
        <f aca="false">(Sens!$J$5225-Sens!$J$5222*(1-tax))/Sens!$J$5226</f>
        <v>13.0931569892035</v>
      </c>
      <c r="K5228" s="30" t="n">
        <f aca="false">(Sens!$K$5225-Sens!$K$5222*(1-tax))/Sens!$K$5226</f>
        <v>14.4289852444711</v>
      </c>
      <c r="L5228" s="30" t="n">
        <f aca="false">(Sens!$L$5225-Sens!$L$5222*(1-tax))/Sens!$L$5226</f>
        <v>16.0008676322621</v>
      </c>
      <c r="M5228" s="30" t="n">
        <f aca="false">(Sens!$M$5225-Sens!$M$5222*(1-tax))/Sens!$M$5226</f>
        <v>17.6340647450673</v>
      </c>
      <c r="P5228" s="5" t="s">
        <v>707</v>
      </c>
    </row>
    <row r="5229" customFormat="false" ht="17.15" hidden="false" customHeight="false" outlineLevel="0" collapsed="false">
      <c r="A5229" s="0" t="s">
        <v>708</v>
      </c>
      <c r="B5229" s="0" t="s">
        <v>52</v>
      </c>
      <c r="H5229" s="12" t="n">
        <f aca="false">Sens!$H$5227/Sens!$G$5227-1</f>
        <v>-0.23574919645846</v>
      </c>
      <c r="I5229" s="12" t="n">
        <f aca="false">Sens!$I$5227/Sens!$H$5227-1</f>
        <v>0.164864493423664</v>
      </c>
      <c r="J5229" s="12" t="n">
        <f aca="false">Sens!$J$5227/Sens!$I$5227-1</f>
        <v>0.132743626162345</v>
      </c>
      <c r="K5229" s="12" t="n">
        <f aca="false">Sens!$K$5227/Sens!$J$5227-1</f>
        <v>0.102024917013454</v>
      </c>
      <c r="L5229" s="12" t="n">
        <f aca="false">Sens!$L$5227/Sens!$K$5227-1</f>
        <v>0.108939219297719</v>
      </c>
      <c r="M5229" s="12" t="n">
        <f aca="false">Sens!$M$5227/Sens!$L$5227-1</f>
        <v>0.102069284637555</v>
      </c>
    </row>
    <row r="5232" customFormat="false" ht="19.4" hidden="false" customHeight="false" outlineLevel="0" collapsed="false">
      <c r="A5232" s="31" t="s">
        <v>1156</v>
      </c>
    </row>
    <row r="5233" customFormat="false" ht="17.15" hidden="false" customHeight="false" outlineLevel="0" collapsed="false">
      <c r="A5233" s="6" t="s">
        <v>16</v>
      </c>
      <c r="B5233" s="6" t="s">
        <v>17</v>
      </c>
      <c r="C5233" s="20" t="s">
        <v>457</v>
      </c>
      <c r="D5233" s="20" t="s">
        <v>458</v>
      </c>
      <c r="E5233" s="20" t="s">
        <v>540</v>
      </c>
      <c r="F5233" s="20" t="s">
        <v>541</v>
      </c>
      <c r="G5233" s="20" t="s">
        <v>542</v>
      </c>
      <c r="H5233" s="20" t="s">
        <v>543</v>
      </c>
      <c r="I5233" s="20" t="s">
        <v>544</v>
      </c>
      <c r="J5233" s="20" t="s">
        <v>545</v>
      </c>
      <c r="K5233" s="20" t="s">
        <v>546</v>
      </c>
      <c r="L5233" s="20" t="s">
        <v>547</v>
      </c>
      <c r="M5233" s="20" t="s">
        <v>548</v>
      </c>
      <c r="N5233" s="20" t="s">
        <v>549</v>
      </c>
      <c r="O5233" s="20" t="s">
        <v>550</v>
      </c>
      <c r="P5233" s="6" t="s">
        <v>23</v>
      </c>
      <c r="R5233" s="20" t="n">
        <v>2023</v>
      </c>
      <c r="S5233" s="20" t="n">
        <v>2024</v>
      </c>
      <c r="T5233" s="20" t="n">
        <v>2025</v>
      </c>
      <c r="U5233" s="20" t="n">
        <v>2026</v>
      </c>
      <c r="V5233" s="20" t="n">
        <v>2027</v>
      </c>
      <c r="W5233" s="20" t="n">
        <v>2028</v>
      </c>
      <c r="X5233" s="20" t="n">
        <v>2029</v>
      </c>
      <c r="Y5233" s="20" t="n">
        <v>2030</v>
      </c>
      <c r="Z5233" s="20" t="n">
        <v>2031</v>
      </c>
      <c r="AA5233" s="20" t="n">
        <v>2032</v>
      </c>
    </row>
    <row r="5234" customFormat="false" ht="15" hidden="false" customHeight="false" outlineLevel="0" collapsed="false">
      <c r="A5234" s="5" t="s">
        <v>509</v>
      </c>
      <c r="B5234" s="0" t="s">
        <v>73</v>
      </c>
      <c r="C5234" s="38" t="n">
        <f aca="false">Sens!$C$5225</f>
        <v>59.248</v>
      </c>
      <c r="D5234" s="38" t="n">
        <f aca="false">Sens!$D$5225</f>
        <v>77.67</v>
      </c>
      <c r="E5234" s="38" t="n">
        <f aca="false">Sens!$E$5225</f>
        <v>92.902</v>
      </c>
      <c r="F5234" s="38" t="n">
        <f aca="false">Sens!$F$5225</f>
        <v>48.9433718146785</v>
      </c>
      <c r="G5234" s="38" t="n">
        <f aca="false">Sens!$G$5225</f>
        <v>141.845371814679</v>
      </c>
      <c r="H5234" s="38" t="n">
        <f aca="false">Sens!$H$5225</f>
        <v>109.272682903121</v>
      </c>
      <c r="I5234" s="38" t="n">
        <f aca="false">Sens!$I$5225</f>
        <v>128.306171362308</v>
      </c>
      <c r="J5234" s="38" t="n">
        <f aca="false">Sens!$J$5225</f>
        <v>146.500701790412</v>
      </c>
      <c r="K5234" s="38" t="n">
        <f aca="false">Sens!$K$5225</f>
        <v>162.739003122855</v>
      </c>
      <c r="L5234" s="38" t="n">
        <f aca="false">Sens!$L$5225</f>
        <v>181.911404376927</v>
      </c>
      <c r="M5234" s="38" t="n">
        <f aca="false">Sens!$M$5225</f>
        <v>202.082803059406</v>
      </c>
    </row>
    <row r="5235" customFormat="false" ht="17.15" hidden="false" customHeight="false" outlineLevel="0" collapsed="false">
      <c r="A5235" s="5" t="s">
        <v>730</v>
      </c>
      <c r="B5235" s="0" t="s">
        <v>73</v>
      </c>
      <c r="C5235" s="38" t="n">
        <f aca="false">Sens!$C$5213</f>
        <v>32.067</v>
      </c>
      <c r="D5235" s="38" t="n">
        <f aca="false">Sens!$D$5213</f>
        <v>41.86</v>
      </c>
      <c r="E5235" s="38" t="n">
        <f aca="false">Sens!$E$5213</f>
        <v>26.703</v>
      </c>
      <c r="F5235" s="38" t="n">
        <f aca="false">Sens!$F$5213</f>
        <v>30.6103857251209</v>
      </c>
      <c r="G5235" s="38" t="n">
        <f aca="false">Sens!$G$5213</f>
        <v>57.3133857251209</v>
      </c>
      <c r="H5235" s="38" t="n">
        <f aca="false">Sens!$H$5213</f>
        <v>87.6845218193838</v>
      </c>
      <c r="I5235" s="38" t="n">
        <f aca="false">Sens!$I$5213</f>
        <v>122.294769708638</v>
      </c>
      <c r="J5235" s="38" t="n">
        <f aca="false">Sens!$J$5213</f>
        <v>157.133962573221</v>
      </c>
      <c r="K5235" s="38" t="n">
        <f aca="false">Sens!$K$5213</f>
        <v>191.350633353599</v>
      </c>
      <c r="L5235" s="38" t="n">
        <f aca="false">Sens!$L$5213</f>
        <v>223.909238335354</v>
      </c>
      <c r="M5235" s="38" t="n">
        <f aca="false">Sens!$M$5213</f>
        <v>257.576319867276</v>
      </c>
    </row>
    <row r="5236" customFormat="false" ht="15" hidden="false" customHeight="false" outlineLevel="0" collapsed="false">
      <c r="A5236" s="5" t="s">
        <v>731</v>
      </c>
      <c r="B5236" s="0" t="s">
        <v>73</v>
      </c>
      <c r="C5236" s="38" t="n">
        <f aca="false">Q!$D$48</f>
        <v>22.011</v>
      </c>
      <c r="D5236" s="38" t="n">
        <f aca="false">Q!$E$48</f>
        <v>19.467</v>
      </c>
      <c r="E5236" s="38" t="n">
        <f aca="false">Q!$P$48</f>
        <v>10.07</v>
      </c>
      <c r="F5236" s="38" t="n">
        <f aca="false">sbc_r*Sens!$F$5157</f>
        <v>11.2170714500462</v>
      </c>
      <c r="G5236" s="38" t="n">
        <f aca="false">Sens!$E$5236+Sens!$F$5236</f>
        <v>21.2870714500462</v>
      </c>
      <c r="H5236" s="38" t="n">
        <f aca="false">sbc_r*Sens!$H$5157</f>
        <v>24.1772394325528</v>
      </c>
      <c r="I5236" s="38" t="n">
        <f aca="false">sbc_r*Sens!$I$5157</f>
        <v>27.6495284422397</v>
      </c>
      <c r="J5236" s="38" t="n">
        <f aca="false">sbc_r*Sens!$J$5157</f>
        <v>30.9042211184633</v>
      </c>
      <c r="K5236" s="38" t="n">
        <f aca="false">sbc_r*Sens!$K$5157</f>
        <v>33.8004145402678</v>
      </c>
      <c r="L5236" s="38" t="n">
        <f aca="false">sbc_r*Sens!$L$5157</f>
        <v>36.8322537652494</v>
      </c>
      <c r="M5236" s="38" t="n">
        <f aca="false">sbc_r*Sens!$M$5157</f>
        <v>40.0097627968013</v>
      </c>
    </row>
    <row r="5237" customFormat="false" ht="17.15" hidden="false" customHeight="false" outlineLevel="0" collapsed="false">
      <c r="A5237" s="5" t="s">
        <v>732</v>
      </c>
      <c r="B5237" s="0" t="s">
        <v>73</v>
      </c>
      <c r="C5237" s="38" t="n">
        <f aca="false">Q!$D$44-Sens!$C$5234-Sens!$C$5235-Sens!$C$5236</f>
        <v>2.551</v>
      </c>
      <c r="D5237" s="38" t="n">
        <f aca="false">Q!$E$44-Sens!$D$5234-Sens!$D$5235-Sens!$D$5236</f>
        <v>0.51700000000001</v>
      </c>
      <c r="E5237" s="38" t="n">
        <f aca="false">Q!$P$44-Sens!$E$5234-Sens!$E$5235-Sens!$E$5236</f>
        <v>-58.256</v>
      </c>
      <c r="F5237" s="38" t="n">
        <f aca="false">wc_2h26+oth_r*Sens!$F$5157</f>
        <v>7.34599241893378</v>
      </c>
      <c r="G5237" s="38" t="n">
        <f aca="false">Sens!$E$5237+Sens!$F$5237</f>
        <v>-50.9100075810662</v>
      </c>
      <c r="H5237" s="38" t="n">
        <f aca="false">oth_r*Sens!$H$5157</f>
        <v>11.6369707537667</v>
      </c>
      <c r="I5237" s="38" t="n">
        <f aca="false">oth_r*Sens!$I$5157</f>
        <v>13.3082502961262</v>
      </c>
      <c r="J5237" s="38" t="n">
        <f aca="false">oth_r*Sens!$J$5157</f>
        <v>14.8747965344332</v>
      </c>
      <c r="K5237" s="38" t="n">
        <f aca="false">oth_r*Sens!$K$5157</f>
        <v>16.2687901804328</v>
      </c>
      <c r="L5237" s="38" t="n">
        <f aca="false">oth_r*Sens!$L$5157</f>
        <v>17.7280727627002</v>
      </c>
      <c r="M5237" s="38" t="n">
        <f aca="false">oth_r*Sens!$M$5157</f>
        <v>19.2574690270319</v>
      </c>
      <c r="P5237" s="8" t="s">
        <v>733</v>
      </c>
    </row>
    <row r="5238" customFormat="false" ht="15" hidden="false" customHeight="false" outlineLevel="0" collapsed="false">
      <c r="A5238" s="3" t="s">
        <v>515</v>
      </c>
      <c r="B5238" s="8" t="s">
        <v>73</v>
      </c>
      <c r="C5238" s="38" t="n">
        <f aca="false">Q!$D$44</f>
        <v>115.877</v>
      </c>
      <c r="D5238" s="38" t="n">
        <f aca="false">Q!$E$44</f>
        <v>139.514</v>
      </c>
      <c r="E5238" s="38" t="n">
        <f aca="false">Q!$P$44</f>
        <v>71.419</v>
      </c>
      <c r="F5238" s="38" t="n">
        <f aca="false">Sens!$F$5234+Sens!$F$5235+Sens!$F$5236+Sens!$F$5237</f>
        <v>98.1168214087795</v>
      </c>
      <c r="G5238" s="38" t="n">
        <f aca="false">Sens!$E$5238+Sens!$F$5238</f>
        <v>169.535821408779</v>
      </c>
      <c r="H5238" s="38" t="n">
        <f aca="false">Sens!$H$5234+Sens!$H$5235+Sens!$H$5236+Sens!$H$5237</f>
        <v>232.771414908824</v>
      </c>
      <c r="I5238" s="38" t="n">
        <f aca="false">Sens!$I$5234+Sens!$I$5235+Sens!$I$5236+Sens!$I$5237</f>
        <v>291.558719809312</v>
      </c>
      <c r="J5238" s="38" t="n">
        <f aca="false">Sens!$J$5234+Sens!$J$5235+Sens!$J$5236+Sens!$J$5237</f>
        <v>349.413682016529</v>
      </c>
      <c r="K5238" s="38" t="n">
        <f aca="false">Sens!$K$5234+Sens!$K$5235+Sens!$K$5236+Sens!$K$5237</f>
        <v>404.158841197156</v>
      </c>
      <c r="L5238" s="38" t="n">
        <f aca="false">Sens!$L$5234+Sens!$L$5235+Sens!$L$5236+Sens!$L$5237</f>
        <v>460.380969240231</v>
      </c>
      <c r="M5238" s="38" t="n">
        <f aca="false">Sens!$M$5234+Sens!$M$5235+Sens!$M$5236+Sens!$M$5237</f>
        <v>518.926354750515</v>
      </c>
    </row>
    <row r="5239" customFormat="false" ht="17.15" hidden="false" customHeight="false" outlineLevel="0" collapsed="false">
      <c r="A5239" s="5" t="s">
        <v>734</v>
      </c>
      <c r="B5239" s="0" t="s">
        <v>73</v>
      </c>
      <c r="C5239" s="38" t="n">
        <f aca="false">Sens!$C$5127</f>
        <v>25.2781053077374</v>
      </c>
      <c r="D5239" s="38" t="n">
        <f aca="false">Sens!$D$5127</f>
        <v>69.5686316310026</v>
      </c>
      <c r="E5239" s="38" t="n">
        <f aca="false">Sens!$E$5127</f>
        <v>64.1899206485108</v>
      </c>
      <c r="F5239" s="38" t="n">
        <f aca="false">Sens!$F$5127</f>
        <v>96.2481299895</v>
      </c>
      <c r="G5239" s="38" t="n">
        <f aca="false">Sens!$G$5127</f>
        <v>160.438050638011</v>
      </c>
      <c r="H5239" s="38" t="n">
        <f aca="false">Sens!$H$5127</f>
        <v>198.57136494475</v>
      </c>
      <c r="I5239" s="38" t="n">
        <f aca="false">Sens!$I$5127</f>
        <v>204.6464699105</v>
      </c>
      <c r="J5239" s="38" t="n">
        <f aca="false">Sens!$J$5127</f>
        <v>209.8832381105</v>
      </c>
      <c r="K5239" s="38" t="n">
        <f aca="false">Sens!$K$5127</f>
        <v>215.1200063105</v>
      </c>
      <c r="L5239" s="38" t="n">
        <f aca="false">Sens!$L$5127</f>
        <v>251.7773837105</v>
      </c>
      <c r="M5239" s="38" t="n">
        <f aca="false">Sens!$M$5127</f>
        <v>311.87584476575</v>
      </c>
    </row>
    <row r="5240" customFormat="false" ht="17.15" hidden="false" customHeight="false" outlineLevel="0" collapsed="false">
      <c r="A5240" s="5" t="s">
        <v>735</v>
      </c>
      <c r="B5240" s="0" t="s">
        <v>73</v>
      </c>
      <c r="C5240" s="38" t="n">
        <f aca="false">cx_awso*Sens!$C$5155</f>
        <v>21.0469989286053</v>
      </c>
      <c r="D5240" s="38" t="n">
        <f aca="false">cx_awso*Sens!$D$5155</f>
        <v>24.0042459822698</v>
      </c>
      <c r="E5240" s="38" t="n">
        <f aca="false">cx_awso*Sens!$E$5155</f>
        <v>14.261729404886</v>
      </c>
      <c r="F5240" s="38" t="n">
        <f aca="false">cx_awso*Sens!$F$5155</f>
        <v>15.7190020837331</v>
      </c>
      <c r="G5240" s="38" t="n">
        <f aca="false">Sens!$E$5240+Sens!$F$5240</f>
        <v>29.9807314886191</v>
      </c>
      <c r="H5240" s="38" t="n">
        <f aca="false">cx_awso*Sens!$H$5155</f>
        <v>36.1787121536283</v>
      </c>
      <c r="I5240" s="38" t="n">
        <f aca="false">cx_awso*Sens!$I$5155</f>
        <v>42.1296794430021</v>
      </c>
      <c r="J5240" s="38" t="n">
        <f aca="false">cx_awso*Sens!$J$5155</f>
        <v>47.279781889299</v>
      </c>
      <c r="K5240" s="38" t="n">
        <f aca="false">cx_awso*Sens!$K$5155</f>
        <v>51.0621644404429</v>
      </c>
      <c r="L5240" s="38" t="n">
        <f aca="false">cx_awso*Sens!$L$5155</f>
        <v>55.1471375956783</v>
      </c>
      <c r="M5240" s="38" t="n">
        <f aca="false">cx_awso*Sens!$M$5155</f>
        <v>59.5589086033326</v>
      </c>
    </row>
    <row r="5241" customFormat="false" ht="17.15" hidden="false" customHeight="false" outlineLevel="0" collapsed="false">
      <c r="A5241" s="5" t="s">
        <v>736</v>
      </c>
      <c r="B5241" s="0" t="s">
        <v>73</v>
      </c>
      <c r="C5241" s="38" t="n">
        <f aca="false">Q!$D$46-Sens!$C$5239-Sens!$C$5240</f>
        <v>31.3328957636573</v>
      </c>
      <c r="D5241" s="38" t="n">
        <f aca="false">Q!$E$46-Sens!$D$5239-Sens!$D$5240</f>
        <v>34.7471223867276</v>
      </c>
      <c r="E5241" s="38" t="n">
        <f aca="false">Q!$P$46-Sens!$E$5239-Sens!$E$5240</f>
        <v>17.8583499466032</v>
      </c>
      <c r="F5241" s="38" t="n">
        <f aca="false">cx_rt*Sens!$F$5091</f>
        <v>21.0855744229195</v>
      </c>
      <c r="G5241" s="38" t="n">
        <f aca="false">Sens!$E$5241+Sens!$F$5241</f>
        <v>38.9439243695228</v>
      </c>
      <c r="H5241" s="38" t="n">
        <f aca="false">cx_rt*Sens!$H$5091</f>
        <v>43.1200434029767</v>
      </c>
      <c r="I5241" s="38" t="n">
        <f aca="false">cx_rt*Sens!$I$5091</f>
        <v>47.1583152318763</v>
      </c>
      <c r="J5241" s="38" t="n">
        <f aca="false">cx_rt*Sens!$J$5091</f>
        <v>50.9060281137911</v>
      </c>
      <c r="K5241" s="38" t="n">
        <f aca="false">cx_rt*Sens!$K$5091</f>
        <v>54.2035645673053</v>
      </c>
      <c r="L5241" s="38" t="n">
        <f aca="false">cx_rt*Sens!$L$5091</f>
        <v>57.7318979121519</v>
      </c>
      <c r="M5241" s="38" t="n">
        <f aca="false">cx_rt*Sens!$M$5091</f>
        <v>61.5084196557756</v>
      </c>
    </row>
    <row r="5242" customFormat="false" ht="15" hidden="false" customHeight="false" outlineLevel="0" collapsed="false">
      <c r="A5242" s="3" t="s">
        <v>737</v>
      </c>
      <c r="B5242" s="8" t="s">
        <v>73</v>
      </c>
      <c r="C5242" s="38" t="n">
        <f aca="false">Q!$D$46</f>
        <v>77.658</v>
      </c>
      <c r="D5242" s="38" t="n">
        <f aca="false">Q!$E$46</f>
        <v>128.32</v>
      </c>
      <c r="E5242" s="38" t="n">
        <f aca="false">Q!$P$46</f>
        <v>96.31</v>
      </c>
      <c r="F5242" s="38" t="n">
        <f aca="false">Sens!$F$5239+Sens!$F$5240+Sens!$F$5241</f>
        <v>133.052706496153</v>
      </c>
      <c r="G5242" s="38" t="n">
        <f aca="false">Sens!$E$5242+Sens!$F$5242</f>
        <v>229.362706496153</v>
      </c>
      <c r="H5242" s="38" t="n">
        <f aca="false">Sens!$H$5239+Sens!$H$5240+Sens!$H$5241</f>
        <v>277.870120501355</v>
      </c>
      <c r="I5242" s="38" t="n">
        <f aca="false">Sens!$I$5239+Sens!$I$5240+Sens!$I$5241</f>
        <v>293.934464585378</v>
      </c>
      <c r="J5242" s="38" t="n">
        <f aca="false">Sens!$J$5239+Sens!$J$5240+Sens!$J$5241</f>
        <v>308.06904811359</v>
      </c>
      <c r="K5242" s="38" t="n">
        <f aca="false">Sens!$K$5239+Sens!$K$5240+Sens!$K$5241</f>
        <v>320.385735318248</v>
      </c>
      <c r="L5242" s="38" t="n">
        <f aca="false">Sens!$L$5239+Sens!$L$5240+Sens!$L$5241</f>
        <v>364.65641921833</v>
      </c>
      <c r="M5242" s="38" t="n">
        <f aca="false">Sens!$M$5239+Sens!$M$5240+Sens!$M$5241</f>
        <v>432.943173024858</v>
      </c>
    </row>
    <row r="5243" customFormat="false" ht="17.15" hidden="false" customHeight="false" outlineLevel="0" collapsed="false">
      <c r="A5243" s="5" t="s">
        <v>523</v>
      </c>
      <c r="B5243" s="0" t="s">
        <v>73</v>
      </c>
      <c r="C5243" s="38" t="n">
        <f aca="false">Q!$D$50</f>
        <v>2.043</v>
      </c>
      <c r="D5243" s="38" t="n">
        <f aca="false">Q!$E$50</f>
        <v>1.557</v>
      </c>
      <c r="E5243" s="38" t="n">
        <f aca="false">lease_pr/2</f>
        <v>0.8</v>
      </c>
      <c r="F5243" s="38" t="n">
        <f aca="false">lease_pr/2</f>
        <v>0.8</v>
      </c>
      <c r="G5243" s="38" t="n">
        <f aca="false">Sens!$E$5243+Sens!$F$5243</f>
        <v>1.6</v>
      </c>
      <c r="H5243" s="38" t="n">
        <f aca="false">lease_pr</f>
        <v>1.6</v>
      </c>
      <c r="I5243" s="38" t="n">
        <f aca="false">lease_pr</f>
        <v>1.6</v>
      </c>
      <c r="J5243" s="38" t="n">
        <f aca="false">lease_pr</f>
        <v>1.6</v>
      </c>
      <c r="K5243" s="38" t="n">
        <f aca="false">lease_pr</f>
        <v>1.6</v>
      </c>
      <c r="L5243" s="38" t="n">
        <f aca="false">lease_pr</f>
        <v>1.6</v>
      </c>
      <c r="M5243" s="38" t="n">
        <f aca="false">lease_pr</f>
        <v>1.6</v>
      </c>
      <c r="P5243" s="8" t="s">
        <v>738</v>
      </c>
    </row>
    <row r="5244" customFormat="false" ht="15" hidden="false" customHeight="false" outlineLevel="0" collapsed="false">
      <c r="A5244" s="46" t="s">
        <v>739</v>
      </c>
      <c r="B5244" s="13" t="s">
        <v>73</v>
      </c>
      <c r="C5244" s="47" t="n">
        <f aca="false">Sens!$C$5238-Sens!$C$5242-Sens!$C$5243</f>
        <v>36.176</v>
      </c>
      <c r="D5244" s="47" t="n">
        <f aca="false">Sens!$D$5238-Sens!$D$5242-Sens!$D$5243</f>
        <v>9.63700000000002</v>
      </c>
      <c r="E5244" s="47" t="n">
        <f aca="false">Sens!$E$5238-Sens!$E$5242-Sens!$E$5243</f>
        <v>-25.691</v>
      </c>
      <c r="F5244" s="47" t="n">
        <f aca="false">Sens!$F$5238-Sens!$F$5242-Sens!$F$5243</f>
        <v>-35.7358850873731</v>
      </c>
      <c r="G5244" s="47" t="n">
        <f aca="false">Sens!$G$5238-Sens!$G$5242-Sens!$G$5243</f>
        <v>-61.4268850873731</v>
      </c>
      <c r="H5244" s="47" t="n">
        <f aca="false">Sens!$H$5238-Sens!$H$5242-Sens!$H$5243</f>
        <v>-46.6987055925312</v>
      </c>
      <c r="I5244" s="47" t="n">
        <f aca="false">Sens!$I$5238-Sens!$I$5242-Sens!$I$5243</f>
        <v>-3.97574477606648</v>
      </c>
      <c r="J5244" s="47" t="n">
        <f aca="false">Sens!$J$5238-Sens!$J$5242-Sens!$J$5243</f>
        <v>39.7446339029391</v>
      </c>
      <c r="K5244" s="47" t="n">
        <f aca="false">Sens!$K$5238-Sens!$K$5242-Sens!$K$5243</f>
        <v>82.1731058789073</v>
      </c>
      <c r="L5244" s="47" t="n">
        <f aca="false">Sens!$L$5238-Sens!$L$5242-Sens!$L$5243</f>
        <v>94.1245500219009</v>
      </c>
      <c r="M5244" s="47" t="n">
        <f aca="false">Sens!$M$5238-Sens!$M$5242-Sens!$M$5243</f>
        <v>84.3831817256571</v>
      </c>
      <c r="N5244" s="13"/>
      <c r="O5244" s="13"/>
    </row>
    <row r="5245" customFormat="false" ht="17.15" hidden="false" customHeight="false" outlineLevel="0" collapsed="false">
      <c r="A5245" s="5" t="s">
        <v>740</v>
      </c>
      <c r="B5245" s="0" t="s">
        <v>73</v>
      </c>
      <c r="C5245" s="38" t="n">
        <f aca="false">dps*Sens!$C$5226</f>
        <v>0</v>
      </c>
      <c r="D5245" s="38" t="n">
        <f aca="false">dps*Sens!$D$5226</f>
        <v>0</v>
      </c>
      <c r="E5245" s="38" t="n">
        <f aca="false">dps*Sens!$E$5226</f>
        <v>0</v>
      </c>
      <c r="F5245" s="38" t="n">
        <f aca="false">0</f>
        <v>0</v>
      </c>
      <c r="G5245" s="38" t="n">
        <f aca="false">dps*Sens!$G$5226</f>
        <v>0</v>
      </c>
      <c r="H5245" s="38" t="n">
        <f aca="false">dps*Sens!$H$5226</f>
        <v>0</v>
      </c>
      <c r="I5245" s="38" t="n">
        <f aca="false">dps*Sens!$I$5226</f>
        <v>0</v>
      </c>
      <c r="J5245" s="38" t="n">
        <f aca="false">dps*Sens!$J$5226</f>
        <v>0</v>
      </c>
      <c r="K5245" s="38" t="n">
        <f aca="false">dps*Sens!$K$5226</f>
        <v>0</v>
      </c>
      <c r="L5245" s="38" t="n">
        <f aca="false">dps*Sens!$L$5226</f>
        <v>0</v>
      </c>
      <c r="M5245" s="38" t="n">
        <f aca="false">dps*Sens!$M$5226</f>
        <v>0</v>
      </c>
      <c r="P5245" s="8" t="s">
        <v>741</v>
      </c>
    </row>
    <row r="5246" customFormat="false" ht="17.15" hidden="false" customHeight="false" outlineLevel="0" collapsed="false">
      <c r="A5246" s="5" t="s">
        <v>742</v>
      </c>
      <c r="B5246" s="0" t="s">
        <v>73</v>
      </c>
      <c r="C5246" s="38" t="n">
        <f aca="false">0</f>
        <v>0</v>
      </c>
      <c r="D5246" s="38" t="n">
        <f aca="false">0</f>
        <v>0</v>
      </c>
      <c r="E5246" s="38" t="n">
        <f aca="false">0</f>
        <v>0</v>
      </c>
      <c r="F5246" s="38" t="n">
        <f aca="false">0</f>
        <v>0</v>
      </c>
      <c r="G5246" s="38" t="n">
        <f aca="false">0</f>
        <v>0</v>
      </c>
      <c r="H5246" s="38" t="n">
        <f aca="false">0</f>
        <v>0</v>
      </c>
      <c r="I5246" s="38" t="n">
        <f aca="false">0</f>
        <v>0</v>
      </c>
      <c r="J5246" s="38" t="n">
        <f aca="false">0</f>
        <v>0</v>
      </c>
      <c r="K5246" s="38" t="n">
        <f aca="false">0</f>
        <v>0</v>
      </c>
      <c r="L5246" s="38" t="n">
        <f aca="false">0</f>
        <v>0</v>
      </c>
      <c r="M5246" s="38" t="n">
        <f aca="false">0</f>
        <v>0</v>
      </c>
      <c r="P5246" s="8" t="s">
        <v>743</v>
      </c>
    </row>
    <row r="5247" customFormat="false" ht="15" hidden="false" customHeight="false" outlineLevel="0" collapsed="false">
      <c r="A5247" s="3" t="s">
        <v>744</v>
      </c>
      <c r="B5247" s="8" t="s">
        <v>73</v>
      </c>
      <c r="C5247" s="38" t="n">
        <f aca="false">Sens!$C$5244-Sens!$C$5245</f>
        <v>36.176</v>
      </c>
      <c r="D5247" s="38" t="n">
        <f aca="false">Sens!$D$5244-Sens!$D$5245</f>
        <v>9.63700000000002</v>
      </c>
      <c r="E5247" s="38" t="n">
        <f aca="false">Sens!$E$5244-Sens!$E$5245</f>
        <v>-25.691</v>
      </c>
      <c r="F5247" s="38" t="n">
        <f aca="false">Sens!$F$5244-Sens!$F$5245</f>
        <v>-35.7358850873731</v>
      </c>
      <c r="G5247" s="38" t="n">
        <f aca="false">Sens!$G$5244-Sens!$G$5245</f>
        <v>-61.4268850873731</v>
      </c>
      <c r="H5247" s="38" t="n">
        <f aca="false">Sens!$H$5244-Sens!$H$5245</f>
        <v>-46.6987055925312</v>
      </c>
      <c r="I5247" s="38" t="n">
        <f aca="false">Sens!$I$5244-Sens!$I$5245</f>
        <v>-3.97574477606648</v>
      </c>
      <c r="J5247" s="38" t="n">
        <f aca="false">Sens!$J$5244-Sens!$J$5245</f>
        <v>39.7446339029391</v>
      </c>
      <c r="K5247" s="38" t="n">
        <f aca="false">Sens!$K$5244-Sens!$K$5245</f>
        <v>82.1731058789073</v>
      </c>
      <c r="L5247" s="38" t="n">
        <f aca="false">Sens!$L$5244-Sens!$L$5245</f>
        <v>94.1245500219009</v>
      </c>
      <c r="M5247" s="38" t="n">
        <f aca="false">Sens!$M$5244-Sens!$M$5245</f>
        <v>84.3831817256571</v>
      </c>
    </row>
    <row r="5248" customFormat="false" ht="17.15" hidden="false" customHeight="false" outlineLevel="0" collapsed="false">
      <c r="A5248" s="5" t="s">
        <v>745</v>
      </c>
      <c r="B5248" s="0" t="s">
        <v>73</v>
      </c>
      <c r="E5248" s="38" t="n">
        <f aca="false">Q!$P$53</f>
        <v>39.767</v>
      </c>
      <c r="F5248" s="38" t="n">
        <f aca="false">inv_2h26</f>
        <v>21.3</v>
      </c>
      <c r="G5248" s="38" t="n">
        <f aca="false">Sens!$E$5248+Sens!$F$5248</f>
        <v>61.067</v>
      </c>
      <c r="H5248" s="41" t="n">
        <v>0</v>
      </c>
      <c r="I5248" s="41" t="n">
        <v>0</v>
      </c>
      <c r="J5248" s="41" t="n">
        <v>0</v>
      </c>
      <c r="K5248" s="41" t="n">
        <v>0</v>
      </c>
      <c r="L5248" s="41" t="n">
        <v>0</v>
      </c>
      <c r="M5248" s="41" t="n">
        <v>0</v>
      </c>
    </row>
    <row r="5249" customFormat="false" ht="17.15" hidden="false" customHeight="false" outlineLevel="0" collapsed="false">
      <c r="A5249" s="5" t="s">
        <v>746</v>
      </c>
      <c r="B5249" s="0" t="s">
        <v>73</v>
      </c>
      <c r="F5249" s="38" t="n">
        <f aca="false">iss_2h26</f>
        <v>29.25</v>
      </c>
      <c r="G5249" s="38" t="n">
        <f aca="false">Sens!$F$5249</f>
        <v>29.25</v>
      </c>
      <c r="H5249" s="41" t="n">
        <v>0</v>
      </c>
      <c r="I5249" s="41" t="n">
        <v>0</v>
      </c>
      <c r="J5249" s="41" t="n">
        <v>0</v>
      </c>
      <c r="K5249" s="41" t="n">
        <v>0</v>
      </c>
      <c r="L5249" s="41" t="n">
        <v>0</v>
      </c>
      <c r="M5249" s="41" t="n">
        <v>0</v>
      </c>
    </row>
    <row r="5250" customFormat="false" ht="17.15" hidden="false" customHeight="false" outlineLevel="0" collapsed="false">
      <c r="A5250" s="5" t="s">
        <v>747</v>
      </c>
      <c r="B5250" s="0" t="s">
        <v>73</v>
      </c>
      <c r="F5250" s="38" t="n">
        <f aca="false">cash_q2</f>
        <v>122.988</v>
      </c>
      <c r="G5250" s="38" t="n">
        <f aca="false">cash_q2</f>
        <v>122.988</v>
      </c>
      <c r="H5250" s="38" t="n">
        <f aca="false">Sens!$G$5253</f>
        <v>95.2021149126269</v>
      </c>
      <c r="I5250" s="38" t="n">
        <f aca="false">Sens!$H$5253</f>
        <v>50</v>
      </c>
      <c r="J5250" s="38" t="n">
        <f aca="false">Sens!$I$5253</f>
        <v>50</v>
      </c>
      <c r="K5250" s="38" t="n">
        <f aca="false">Sens!$J$5253</f>
        <v>89.7446339029391</v>
      </c>
      <c r="L5250" s="38" t="n">
        <f aca="false">Sens!$K$5253</f>
        <v>171.917739781846</v>
      </c>
      <c r="M5250" s="38" t="n">
        <f aca="false">Sens!$L$5253</f>
        <v>266.042289803747</v>
      </c>
    </row>
    <row r="5251" customFormat="false" ht="15" hidden="false" customHeight="false" outlineLevel="0" collapsed="false">
      <c r="A5251" s="5" t="s">
        <v>748</v>
      </c>
      <c r="B5251" s="0" t="s">
        <v>73</v>
      </c>
      <c r="F5251" s="38" t="n">
        <f aca="false">Sens!$F$5250+Sens!$F$5247-Sens!$F$5246-Sens!$F$5248+Sens!$F$5249</f>
        <v>95.2021149126269</v>
      </c>
      <c r="H5251" s="38" t="n">
        <f aca="false">Sens!$H$5250+Sens!$H$5247-Sens!$H$5246-Sens!$H$5248+Sens!$H$5249</f>
        <v>48.5034093200957</v>
      </c>
      <c r="I5251" s="38" t="n">
        <f aca="false">Sens!$I$5250+Sens!$I$5247-Sens!$I$5246-Sens!$I$5248+Sens!$I$5249</f>
        <v>46.0242552239335</v>
      </c>
      <c r="J5251" s="38" t="n">
        <f aca="false">Sens!$J$5250+Sens!$J$5247-Sens!$J$5246-Sens!$J$5248+Sens!$J$5249</f>
        <v>89.7446339029391</v>
      </c>
      <c r="K5251" s="38" t="n">
        <f aca="false">Sens!$K$5250+Sens!$K$5247-Sens!$K$5246-Sens!$K$5248+Sens!$K$5249</f>
        <v>171.917739781846</v>
      </c>
      <c r="L5251" s="38" t="n">
        <f aca="false">Sens!$L$5250+Sens!$L$5247-Sens!$L$5246-Sens!$L$5248+Sens!$L$5249</f>
        <v>266.042289803747</v>
      </c>
      <c r="M5251" s="38" t="n">
        <f aca="false">Sens!$M$5250+Sens!$M$5247-Sens!$M$5246-Sens!$M$5248+Sens!$M$5249</f>
        <v>350.425471529404</v>
      </c>
    </row>
    <row r="5252" customFormat="false" ht="17.15" hidden="false" customHeight="false" outlineLevel="0" collapsed="false">
      <c r="A5252" s="5" t="s">
        <v>749</v>
      </c>
      <c r="B5252" s="0" t="s">
        <v>73</v>
      </c>
      <c r="F5252" s="38" t="n">
        <f aca="false">MAX(0,min_cash-Sens!$F$5251)</f>
        <v>0</v>
      </c>
      <c r="G5252" s="38" t="n">
        <f aca="false">Sens!$F$5252</f>
        <v>0</v>
      </c>
      <c r="H5252" s="38" t="n">
        <f aca="false">MAX(0,min_cash-Sens!$H$5251)</f>
        <v>1.49659067990431</v>
      </c>
      <c r="I5252" s="38" t="n">
        <f aca="false">MAX(0,min_cash-Sens!$I$5251)</f>
        <v>3.97574477606648</v>
      </c>
      <c r="J5252" s="38" t="n">
        <f aca="false">MAX(0,min_cash-Sens!$J$5251)</f>
        <v>0</v>
      </c>
      <c r="K5252" s="38" t="n">
        <f aca="false">MAX(0,min_cash-Sens!$K$5251)</f>
        <v>0</v>
      </c>
      <c r="L5252" s="38" t="n">
        <f aca="false">MAX(0,min_cash-Sens!$L$5251)</f>
        <v>0</v>
      </c>
      <c r="M5252" s="38" t="n">
        <f aca="false">MAX(0,min_cash-Sens!$M$5251)</f>
        <v>0</v>
      </c>
      <c r="P5252" s="5" t="s">
        <v>750</v>
      </c>
    </row>
    <row r="5253" customFormat="false" ht="15" hidden="false" customHeight="false" outlineLevel="0" collapsed="false">
      <c r="A5253" s="5" t="s">
        <v>751</v>
      </c>
      <c r="B5253" s="0" t="s">
        <v>73</v>
      </c>
      <c r="D5253" s="38" t="n">
        <f aca="false">Q!$E$61</f>
        <v>123.029</v>
      </c>
      <c r="E5253" s="38" t="n">
        <f aca="false">Q!$M$61</f>
        <v>122.988</v>
      </c>
      <c r="F5253" s="38" t="n">
        <f aca="false">Sens!$F$5251+Sens!$F$5252</f>
        <v>95.2021149126269</v>
      </c>
      <c r="G5253" s="38" t="n">
        <f aca="false">Sens!$F$5253</f>
        <v>95.2021149126269</v>
      </c>
      <c r="H5253" s="38" t="n">
        <f aca="false">Sens!$H$5251+Sens!$H$5252</f>
        <v>50</v>
      </c>
      <c r="I5253" s="38" t="n">
        <f aca="false">Sens!$I$5251+Sens!$I$5252</f>
        <v>50</v>
      </c>
      <c r="J5253" s="38" t="n">
        <f aca="false">Sens!$J$5251+Sens!$J$5252</f>
        <v>89.7446339029391</v>
      </c>
      <c r="K5253" s="38" t="n">
        <f aca="false">Sens!$K$5251+Sens!$K$5252</f>
        <v>171.917739781846</v>
      </c>
      <c r="L5253" s="38" t="n">
        <f aca="false">Sens!$L$5251+Sens!$L$5252</f>
        <v>266.042289803747</v>
      </c>
      <c r="M5253" s="38" t="n">
        <f aca="false">Sens!$M$5251+Sens!$M$5252</f>
        <v>350.425471529404</v>
      </c>
    </row>
    <row r="5254" customFormat="false" ht="15" hidden="false" customHeight="false" outlineLevel="0" collapsed="false">
      <c r="A5254" s="5" t="s">
        <v>752</v>
      </c>
      <c r="B5254" s="0" t="s">
        <v>73</v>
      </c>
      <c r="D5254" s="38" t="n">
        <f aca="false">Q!$E$62</f>
        <v>68.836</v>
      </c>
      <c r="E5254" s="38" t="n">
        <f aca="false">Q!$M$62</f>
        <v>132.995</v>
      </c>
      <c r="F5254" s="38" t="n">
        <f aca="false">debt_q2+Sens!$F$5249+Sens!$F$5252</f>
        <v>162.245</v>
      </c>
      <c r="G5254" s="38" t="n">
        <f aca="false">Sens!$F$5254</f>
        <v>162.245</v>
      </c>
      <c r="H5254" s="38" t="n">
        <f aca="false">Sens!$G$5254+Sens!$H$5252</f>
        <v>163.741590679904</v>
      </c>
      <c r="I5254" s="38" t="n">
        <f aca="false">Sens!$H$5254+Sens!$I$5252</f>
        <v>167.717335455971</v>
      </c>
      <c r="J5254" s="38" t="n">
        <f aca="false">Sens!$I$5254+Sens!$J$5252</f>
        <v>167.717335455971</v>
      </c>
      <c r="K5254" s="38" t="n">
        <f aca="false">Sens!$J$5254+Sens!$K$5252</f>
        <v>167.717335455971</v>
      </c>
      <c r="L5254" s="38" t="n">
        <f aca="false">Sens!$K$5254+Sens!$L$5252</f>
        <v>167.717335455971</v>
      </c>
      <c r="M5254" s="38" t="n">
        <f aca="false">Sens!$L$5254+Sens!$M$5252</f>
        <v>167.717335455971</v>
      </c>
    </row>
    <row r="5255" customFormat="false" ht="15" hidden="false" customHeight="false" outlineLevel="0" collapsed="false">
      <c r="A5255" s="5" t="s">
        <v>753</v>
      </c>
      <c r="B5255" s="0" t="s">
        <v>73</v>
      </c>
      <c r="D5255" s="38" t="n">
        <f aca="false">Sens!$D$5254-Sens!$D$5253</f>
        <v>-54.193</v>
      </c>
      <c r="E5255" s="38" t="n">
        <f aca="false">Sens!$E$5254-Sens!$E$5253</f>
        <v>10.007</v>
      </c>
      <c r="F5255" s="38" t="n">
        <f aca="false">Sens!$F$5254-Sens!$F$5253</f>
        <v>67.0428850873731</v>
      </c>
      <c r="G5255" s="38" t="n">
        <f aca="false">Sens!$G$5254-Sens!$G$5253</f>
        <v>67.0428850873731</v>
      </c>
      <c r="H5255" s="38" t="n">
        <f aca="false">Sens!$H$5254-Sens!$H$5253</f>
        <v>113.741590679904</v>
      </c>
      <c r="I5255" s="38" t="n">
        <f aca="false">Sens!$I$5254-Sens!$I$5253</f>
        <v>117.717335455971</v>
      </c>
      <c r="J5255" s="38" t="n">
        <f aca="false">Sens!$J$5254-Sens!$J$5253</f>
        <v>77.9727015530317</v>
      </c>
      <c r="K5255" s="38" t="n">
        <f aca="false">Sens!$K$5254-Sens!$K$5253</f>
        <v>-4.20040432587558</v>
      </c>
      <c r="L5255" s="38" t="n">
        <f aca="false">Sens!$L$5254-Sens!$L$5253</f>
        <v>-98.3249543477765</v>
      </c>
      <c r="M5255" s="38" t="n">
        <f aca="false">Sens!$M$5254-Sens!$M$5253</f>
        <v>-182.708136073434</v>
      </c>
    </row>
    <row r="5256" customFormat="false" ht="17.15" hidden="false" customHeight="false" outlineLevel="0" collapsed="false">
      <c r="A5256" s="5" t="s">
        <v>754</v>
      </c>
      <c r="B5256" s="0" t="s">
        <v>73</v>
      </c>
      <c r="F5256" s="38" t="n">
        <f aca="false">debt_q2*kd_book*0.5+iss_2h26*kd_new*0.25</f>
        <v>3.24888964316061</v>
      </c>
      <c r="H5256" s="38" t="n">
        <f aca="false">debt_q2*kd_book+(Sens!$G$5254-debt_q2)*kd_new</f>
        <v>7.42354178632123</v>
      </c>
      <c r="I5256" s="38" t="n">
        <f aca="false">debt_q2*kd_book+(Sens!$H$5254-debt_q2)*kd_new</f>
        <v>7.51827597635917</v>
      </c>
      <c r="J5256" s="38" t="n">
        <f aca="false">debt_q2*kd_book+(Sens!$I$5254-debt_q2)*kd_new</f>
        <v>7.76994062068418</v>
      </c>
      <c r="K5256" s="38" t="n">
        <f aca="false">debt_q2*kd_book+(Sens!$J$5254-debt_q2)*kd_new</f>
        <v>7.76994062068418</v>
      </c>
      <c r="L5256" s="38" t="n">
        <f aca="false">debt_q2*kd_book+(Sens!$K$5254-debt_q2)*kd_new</f>
        <v>7.76994062068418</v>
      </c>
      <c r="M5256" s="38" t="n">
        <f aca="false">debt_q2*kd_book+(Sens!$L$5254-debt_q2)*kd_new</f>
        <v>7.76994062068418</v>
      </c>
    </row>
    <row r="5257" customFormat="false" ht="17.15" hidden="false" customHeight="false" outlineLevel="0" collapsed="false">
      <c r="A5257" s="5" t="s">
        <v>755</v>
      </c>
      <c r="B5257" s="0" t="s">
        <v>73</v>
      </c>
      <c r="F5257" s="38" t="n">
        <f aca="false">cash_q2*y_cash*0.5</f>
        <v>2.59</v>
      </c>
      <c r="H5257" s="38" t="n">
        <f aca="false">Sens!$G$5253*y_cash</f>
        <v>4.00971603121774</v>
      </c>
      <c r="I5257" s="38" t="n">
        <f aca="false">Sens!$H$5253*y_cash</f>
        <v>2.10589651022864</v>
      </c>
      <c r="J5257" s="38" t="n">
        <f aca="false">Sens!$I$5253*y_cash</f>
        <v>2.10589651022864</v>
      </c>
      <c r="K5257" s="38" t="n">
        <f aca="false">Sens!$J$5253*y_cash</f>
        <v>3.77985822695893</v>
      </c>
      <c r="L5257" s="38" t="n">
        <f aca="false">Sens!$K$5253*y_cash</f>
        <v>7.24081936505971</v>
      </c>
      <c r="M5257" s="38" t="n">
        <f aca="false">Sens!$L$5253*y_cash</f>
        <v>11.205150593419</v>
      </c>
    </row>
    <row r="5258" customFormat="false" ht="17.15" hidden="false" customHeight="false" outlineLevel="0" collapsed="false">
      <c r="A5258" s="46" t="s">
        <v>756</v>
      </c>
      <c r="B5258" s="13" t="s">
        <v>73</v>
      </c>
      <c r="C5258" s="13"/>
      <c r="D5258" s="13"/>
      <c r="E5258" s="13"/>
      <c r="F5258" s="13"/>
      <c r="G5258" s="47" t="n">
        <f aca="false">SUM(Sens!$G$5247:$K$5247)</f>
        <v>9.81640432587554</v>
      </c>
      <c r="H5258" s="13"/>
      <c r="I5258" s="13"/>
      <c r="J5258" s="13"/>
      <c r="K5258" s="13"/>
      <c r="L5258" s="13"/>
      <c r="M5258" s="13"/>
      <c r="N5258" s="13"/>
      <c r="O5258" s="13"/>
    </row>
    <row r="5259" customFormat="false" ht="17.15" hidden="false" customHeight="false" outlineLevel="0" collapsed="false">
      <c r="A5259" s="0" t="s">
        <v>723</v>
      </c>
      <c r="B5259" s="0" t="s">
        <v>73</v>
      </c>
      <c r="G5259" s="38" t="n">
        <f aca="false">SUM(Sens!$G$5252:$K$5252)</f>
        <v>5.47233545597079</v>
      </c>
    </row>
    <row r="5262" customFormat="false" ht="19.4" hidden="false" customHeight="false" outlineLevel="0" collapsed="false">
      <c r="A5262" s="31" t="s">
        <v>1157</v>
      </c>
    </row>
    <row r="5263" customFormat="false" ht="17.15" hidden="false" customHeight="false" outlineLevel="0" collapsed="false">
      <c r="A5263" s="6" t="s">
        <v>16</v>
      </c>
      <c r="B5263" s="6" t="s">
        <v>17</v>
      </c>
      <c r="C5263" s="20" t="s">
        <v>457</v>
      </c>
      <c r="D5263" s="20" t="s">
        <v>458</v>
      </c>
      <c r="E5263" s="20" t="s">
        <v>540</v>
      </c>
      <c r="F5263" s="20" t="s">
        <v>541</v>
      </c>
      <c r="G5263" s="20" t="s">
        <v>542</v>
      </c>
      <c r="H5263" s="20" t="s">
        <v>543</v>
      </c>
      <c r="I5263" s="20" t="s">
        <v>544</v>
      </c>
      <c r="J5263" s="20" t="s">
        <v>545</v>
      </c>
      <c r="K5263" s="20" t="s">
        <v>546</v>
      </c>
      <c r="L5263" s="20" t="s">
        <v>547</v>
      </c>
      <c r="M5263" s="20" t="s">
        <v>548</v>
      </c>
      <c r="N5263" s="20" t="s">
        <v>549</v>
      </c>
      <c r="O5263" s="20" t="s">
        <v>550</v>
      </c>
      <c r="P5263" s="6" t="s">
        <v>23</v>
      </c>
      <c r="R5263" s="20" t="n">
        <v>2023</v>
      </c>
      <c r="S5263" s="20" t="n">
        <v>2024</v>
      </c>
      <c r="T5263" s="20" t="n">
        <v>2025</v>
      </c>
      <c r="U5263" s="20" t="n">
        <v>2026</v>
      </c>
      <c r="V5263" s="20" t="n">
        <v>2027</v>
      </c>
      <c r="W5263" s="20" t="n">
        <v>2028</v>
      </c>
      <c r="X5263" s="20" t="n">
        <v>2029</v>
      </c>
      <c r="Y5263" s="20" t="n">
        <v>2030</v>
      </c>
      <c r="Z5263" s="20" t="n">
        <v>2031</v>
      </c>
      <c r="AA5263" s="20" t="n">
        <v>2032</v>
      </c>
    </row>
    <row r="5264" customFormat="false" ht="17.15" hidden="false" customHeight="false" outlineLevel="0" collapsed="false">
      <c r="A5264" s="1" t="s">
        <v>851</v>
      </c>
    </row>
    <row r="5265" customFormat="false" ht="17.15" hidden="false" customHeight="false" outlineLevel="0" collapsed="false">
      <c r="A5265" s="0" t="s">
        <v>852</v>
      </c>
      <c r="B5265" s="0" t="s">
        <v>73</v>
      </c>
      <c r="H5265" s="38" t="n">
        <f aca="false">Sens!$H$5201*(1-tax)</f>
        <v>112.093921330558</v>
      </c>
      <c r="I5265" s="38" t="n">
        <f aca="false">Sens!$I$5201*(1-tax)</f>
        <v>132.779045500917</v>
      </c>
      <c r="J5265" s="38" t="n">
        <f aca="false">Sens!$J$5201*(1-tax)</f>
        <v>151.181555485193</v>
      </c>
      <c r="K5265" s="38" t="n">
        <f aca="false">Sens!$K$5201*(1-tax)</f>
        <v>166.036468953087</v>
      </c>
      <c r="L5265" s="38" t="n">
        <f aca="false">Sens!$L$5201*(1-tax)</f>
        <v>182.348678369869</v>
      </c>
      <c r="M5265" s="38" t="n">
        <f aca="false">Sens!$M$5201*(1-tax)</f>
        <v>199.243892383632</v>
      </c>
    </row>
    <row r="5266" customFormat="false" ht="15" hidden="false" customHeight="false" outlineLevel="0" collapsed="false">
      <c r="A5266" s="5" t="s">
        <v>853</v>
      </c>
      <c r="B5266" s="0" t="s">
        <v>73</v>
      </c>
      <c r="H5266" s="38" t="n">
        <f aca="false">Sens!$H$5213</f>
        <v>87.6845218193838</v>
      </c>
      <c r="I5266" s="38" t="n">
        <f aca="false">Sens!$I$5213</f>
        <v>122.294769708638</v>
      </c>
      <c r="J5266" s="38" t="n">
        <f aca="false">Sens!$J$5213</f>
        <v>157.133962573221</v>
      </c>
      <c r="K5266" s="38" t="n">
        <f aca="false">Sens!$K$5213</f>
        <v>191.350633353599</v>
      </c>
      <c r="L5266" s="38" t="n">
        <f aca="false">Sens!$L$5213</f>
        <v>223.909238335354</v>
      </c>
      <c r="M5266" s="38" t="n">
        <f aca="false">Sens!$M$5213</f>
        <v>257.576319867276</v>
      </c>
    </row>
    <row r="5267" customFormat="false" ht="15" hidden="false" customHeight="false" outlineLevel="0" collapsed="false">
      <c r="A5267" s="5" t="s">
        <v>854</v>
      </c>
      <c r="B5267" s="0" t="s">
        <v>73</v>
      </c>
      <c r="H5267" s="38" t="n">
        <f aca="false">Sens!$H$5242</f>
        <v>277.870120501355</v>
      </c>
      <c r="I5267" s="38" t="n">
        <f aca="false">Sens!$I$5242</f>
        <v>293.934464585378</v>
      </c>
      <c r="J5267" s="38" t="n">
        <f aca="false">Sens!$J$5242</f>
        <v>308.06904811359</v>
      </c>
      <c r="K5267" s="38" t="n">
        <f aca="false">Sens!$K$5242</f>
        <v>320.385735318248</v>
      </c>
      <c r="L5267" s="38" t="n">
        <f aca="false">Sens!$L$5242</f>
        <v>364.65641921833</v>
      </c>
      <c r="M5267" s="38" t="n">
        <f aca="false">Sens!$M$5242</f>
        <v>432.943173024858</v>
      </c>
    </row>
    <row r="5268" customFormat="false" ht="15" hidden="false" customHeight="false" outlineLevel="0" collapsed="false">
      <c r="A5268" s="5" t="s">
        <v>855</v>
      </c>
      <c r="B5268" s="0" t="s">
        <v>73</v>
      </c>
      <c r="H5268" s="38" t="n">
        <f aca="false">Sens!$H$5243</f>
        <v>1.6</v>
      </c>
      <c r="I5268" s="38" t="n">
        <f aca="false">Sens!$I$5243</f>
        <v>1.6</v>
      </c>
      <c r="J5268" s="38" t="n">
        <f aca="false">Sens!$J$5243</f>
        <v>1.6</v>
      </c>
      <c r="K5268" s="38" t="n">
        <f aca="false">Sens!$K$5243</f>
        <v>1.6</v>
      </c>
      <c r="L5268" s="38" t="n">
        <f aca="false">Sens!$L$5243</f>
        <v>1.6</v>
      </c>
      <c r="M5268" s="38" t="n">
        <f aca="false">Sens!$M$5243</f>
        <v>1.6</v>
      </c>
    </row>
    <row r="5269" customFormat="false" ht="15" hidden="false" customHeight="false" outlineLevel="0" collapsed="false">
      <c r="A5269" s="5" t="s">
        <v>856</v>
      </c>
      <c r="B5269" s="0" t="s">
        <v>73</v>
      </c>
      <c r="H5269" s="38" t="n">
        <f aca="false">Sens!$H$5237</f>
        <v>11.6369707537667</v>
      </c>
      <c r="I5269" s="38" t="n">
        <f aca="false">Sens!$I$5237</f>
        <v>13.3082502961262</v>
      </c>
      <c r="J5269" s="38" t="n">
        <f aca="false">Sens!$J$5237</f>
        <v>14.8747965344332</v>
      </c>
      <c r="K5269" s="38" t="n">
        <f aca="false">Sens!$K$5237</f>
        <v>16.2687901804328</v>
      </c>
      <c r="L5269" s="38" t="n">
        <f aca="false">Sens!$L$5237</f>
        <v>17.7280727627002</v>
      </c>
      <c r="M5269" s="38" t="n">
        <f aca="false">Sens!$M$5237</f>
        <v>19.2574690270319</v>
      </c>
    </row>
    <row r="5270" customFormat="false" ht="17.15" hidden="false" customHeight="false" outlineLevel="0" collapsed="false">
      <c r="A5270" s="1" t="s">
        <v>857</v>
      </c>
      <c r="B5270" s="8" t="s">
        <v>73</v>
      </c>
      <c r="H5270" s="38" t="n">
        <f aca="false">Sens!$H$5265+Sens!$H$5266-Sens!$H$5267-Sens!$H$5268+Sens!$H$5269</f>
        <v>-68.0547065976468</v>
      </c>
      <c r="I5270" s="38" t="n">
        <f aca="false">Sens!$I$5265+Sens!$I$5266-Sens!$I$5267-Sens!$I$5268+Sens!$I$5269</f>
        <v>-27.1523990796972</v>
      </c>
      <c r="J5270" s="38" t="n">
        <f aca="false">Sens!$J$5265+Sens!$J$5266-Sens!$J$5267-Sens!$J$5268+Sens!$J$5269</f>
        <v>13.5212664792573</v>
      </c>
      <c r="K5270" s="38" t="n">
        <f aca="false">Sens!$K$5265+Sens!$K$5266-Sens!$K$5267-Sens!$K$5268+Sens!$K$5269</f>
        <v>51.6701571688709</v>
      </c>
      <c r="L5270" s="38" t="n">
        <f aca="false">Sens!$L$5265+Sens!$L$5266-Sens!$L$5267-Sens!$L$5268+Sens!$L$5269</f>
        <v>57.7295702495933</v>
      </c>
      <c r="M5270" s="38" t="n">
        <f aca="false">Sens!$M$5265+Sens!$M$5266-Sens!$M$5267-Sens!$M$5268+Sens!$M$5269</f>
        <v>41.534508253082</v>
      </c>
    </row>
    <row r="5271" customFormat="false" ht="15" hidden="false" customHeight="false" outlineLevel="0" collapsed="false">
      <c r="A5271" s="5" t="s">
        <v>858</v>
      </c>
      <c r="B5271" s="0" t="s">
        <v>57</v>
      </c>
      <c r="H5271" s="51" t="n">
        <f aca="false">1/(1+wacc)^(2027-2026-0.5)</f>
        <v>0.942858177653364</v>
      </c>
      <c r="I5271" s="51" t="n">
        <f aca="false">1/(1+wacc)^(2028-2026-0.5)</f>
        <v>0.838183517758688</v>
      </c>
      <c r="J5271" s="51" t="n">
        <f aca="false">1/(1+wacc)^(2029-2026-0.5)</f>
        <v>0.745129677074952</v>
      </c>
      <c r="K5271" s="51" t="n">
        <f aca="false">1/(1+wacc)^(2030-2026-0.5)</f>
        <v>0.662406530186232</v>
      </c>
      <c r="L5271" s="51" t="n">
        <f aca="false">1/(1+wacc)^(2031-2026-0.5)</f>
        <v>0.588867179409399</v>
      </c>
      <c r="M5271" s="51" t="n">
        <f aca="false">1/(1+wacc)^(2032-2026-0.5)</f>
        <v>0.52349205387225</v>
      </c>
    </row>
    <row r="5272" customFormat="false" ht="15" hidden="false" customHeight="false" outlineLevel="0" collapsed="false">
      <c r="A5272" s="5" t="s">
        <v>859</v>
      </c>
      <c r="B5272" s="0" t="s">
        <v>73</v>
      </c>
      <c r="H5272" s="38" t="n">
        <f aca="false">Sens!$H$5270*Sens!$H$5271</f>
        <v>-64.1659366433916</v>
      </c>
      <c r="I5272" s="38" t="n">
        <f aca="false">Sens!$I$5270*Sens!$I$5271</f>
        <v>-22.7586933762084</v>
      </c>
      <c r="J5272" s="38" t="n">
        <f aca="false">Sens!$J$5270*Sens!$J$5271</f>
        <v>10.0750969253334</v>
      </c>
      <c r="K5272" s="38" t="n">
        <f aca="false">Sens!$K$5270*Sens!$K$5271</f>
        <v>34.226649524409</v>
      </c>
      <c r="L5272" s="38" t="n">
        <f aca="false">Sens!$L$5270*Sens!$L$5271</f>
        <v>33.9950492013948</v>
      </c>
      <c r="M5272" s="38" t="n">
        <f aca="false">Sens!$M$5270*Sens!$M$5271</f>
        <v>21.7429850319798</v>
      </c>
    </row>
    <row r="5273" customFormat="false" ht="15" hidden="false" customHeight="false" outlineLevel="0" collapsed="false">
      <c r="A5273" s="5" t="s">
        <v>860</v>
      </c>
      <c r="B5273" s="0" t="s">
        <v>73</v>
      </c>
      <c r="C5273" s="38" t="n">
        <f aca="false">SUM(Sens!$H$5272:$M$5272)</f>
        <v>13.115150663517</v>
      </c>
    </row>
    <row r="5274" customFormat="false" ht="17.15" hidden="false" customHeight="false" outlineLevel="0" collapsed="false">
      <c r="A5274" s="5" t="s">
        <v>861</v>
      </c>
      <c r="B5274" s="0" t="s">
        <v>73</v>
      </c>
      <c r="C5274" s="38" t="n">
        <f aca="false">Sens!$M$5265*(1+tg_hi)*(1-tg_hi/ronic)/(wacc-tg_hi)</f>
        <v>1659.26562024858</v>
      </c>
    </row>
    <row r="5275" customFormat="false" ht="15" hidden="false" customHeight="false" outlineLevel="0" collapsed="false">
      <c r="A5275" s="5" t="s">
        <v>862</v>
      </c>
      <c r="B5275" s="0" t="s">
        <v>73</v>
      </c>
      <c r="C5275" s="38" t="n">
        <f aca="false">Sens!$C$5274/(1+wacc)^6</f>
        <v>818.978273873848</v>
      </c>
    </row>
    <row r="5276" customFormat="false" ht="17.15" hidden="false" customHeight="false" outlineLevel="0" collapsed="false">
      <c r="A5276" s="5" t="s">
        <v>863</v>
      </c>
      <c r="B5276" s="0" t="s">
        <v>73</v>
      </c>
      <c r="C5276" s="38" t="n">
        <f aca="false">Sens!$C$5273+Sens!$C$5275</f>
        <v>832.093424537365</v>
      </c>
    </row>
    <row r="5277" customFormat="false" ht="17.15" hidden="false" customHeight="false" outlineLevel="0" collapsed="false">
      <c r="A5277" s="5" t="s">
        <v>864</v>
      </c>
      <c r="B5277" s="0" t="s">
        <v>52</v>
      </c>
      <c r="C5277" s="12" t="n">
        <f aca="false">Sens!$C$5275/Sens!$C$5276</f>
        <v>0.984238367619827</v>
      </c>
    </row>
    <row r="5278" customFormat="false" ht="17.15" hidden="false" customHeight="false" outlineLevel="0" collapsed="false">
      <c r="A5278" s="5" t="s">
        <v>865</v>
      </c>
      <c r="B5278" s="0" t="s">
        <v>73</v>
      </c>
      <c r="C5278" s="38" t="n">
        <f aca="false">Sens!$G$5255</f>
        <v>67.0428850873731</v>
      </c>
    </row>
    <row r="5279" customFormat="false" ht="17.15" hidden="false" customHeight="false" outlineLevel="0" collapsed="false">
      <c r="A5279" s="5" t="s">
        <v>866</v>
      </c>
      <c r="B5279" s="0" t="s">
        <v>73</v>
      </c>
      <c r="C5279" s="38" t="n">
        <f aca="false">(ant_val*ant_sh+oai_val*oai_sh)*(1-liq_disc)</f>
        <v>178.944</v>
      </c>
    </row>
    <row r="5280" customFormat="false" ht="15" hidden="false" customHeight="false" outlineLevel="0" collapsed="false">
      <c r="A5280" s="5" t="s">
        <v>867</v>
      </c>
      <c r="B5280" s="0" t="s">
        <v>73</v>
      </c>
      <c r="C5280" s="38" t="n">
        <f aca="false">Sens!$C$5276-Sens!$C$5278+Sens!$C$5279</f>
        <v>943.994539449992</v>
      </c>
    </row>
    <row r="5281" customFormat="false" ht="17.15" hidden="false" customHeight="false" outlineLevel="0" collapsed="false">
      <c r="A5281" s="5" t="s">
        <v>868</v>
      </c>
      <c r="B5281" s="0" t="s">
        <v>27</v>
      </c>
      <c r="C5281" s="30" t="n">
        <f aca="false">Sens!$C$5280/sh_val</f>
        <v>85.5818374209467</v>
      </c>
    </row>
    <row r="5282" customFormat="false" ht="17.15" hidden="false" customHeight="false" outlineLevel="0" collapsed="false">
      <c r="A5282" s="1" t="s">
        <v>869</v>
      </c>
      <c r="B5282" s="8" t="s">
        <v>27</v>
      </c>
      <c r="C5282" s="30" t="n">
        <f aca="false">Sens!$C$5281*(1+ke)^tp_yf</f>
        <v>94.5204256199676</v>
      </c>
    </row>
    <row r="5283" customFormat="false" ht="17.15" hidden="false" customHeight="false" outlineLevel="0" collapsed="false">
      <c r="A5283" s="3" t="s">
        <v>870</v>
      </c>
    </row>
    <row r="5284" customFormat="false" ht="17.15" hidden="false" customHeight="false" outlineLevel="0" collapsed="false">
      <c r="A5284" s="5" t="s">
        <v>871</v>
      </c>
      <c r="B5284" s="0" t="s">
        <v>73</v>
      </c>
      <c r="C5284" s="38" t="n">
        <f aca="false">0.25*Sens!$H$5214+0.75*Sens!$I$5214</f>
        <v>57.5541093268329</v>
      </c>
    </row>
    <row r="5285" customFormat="false" ht="15" hidden="false" customHeight="false" outlineLevel="0" collapsed="false">
      <c r="A5285" s="5" t="s">
        <v>872</v>
      </c>
      <c r="B5285" s="0" t="s">
        <v>57</v>
      </c>
      <c r="C5285" s="30" t="n">
        <f aca="false">m_ads*m_x</f>
        <v>9.11</v>
      </c>
    </row>
    <row r="5286" customFormat="false" ht="17.15" hidden="false" customHeight="false" outlineLevel="0" collapsed="false">
      <c r="A5286" s="5" t="s">
        <v>873</v>
      </c>
      <c r="B5286" s="0" t="s">
        <v>73</v>
      </c>
      <c r="C5286" s="38" t="n">
        <f aca="false">Sens!$C$5284*Sens!$C$5285</f>
        <v>524.317935967448</v>
      </c>
    </row>
    <row r="5287" customFormat="false" ht="17.15" hidden="false" customHeight="false" outlineLevel="0" collapsed="false">
      <c r="A5287" s="5" t="s">
        <v>874</v>
      </c>
      <c r="B5287" s="0" t="s">
        <v>73</v>
      </c>
      <c r="C5287" s="38" t="n">
        <f aca="false">0.25*Sens!$H$5215+0.75*Sens!$I$5215</f>
        <v>30.6290803533085</v>
      </c>
    </row>
    <row r="5288" customFormat="false" ht="15" hidden="false" customHeight="false" outlineLevel="0" collapsed="false">
      <c r="A5288" s="5" t="s">
        <v>875</v>
      </c>
      <c r="B5288" s="0" t="s">
        <v>57</v>
      </c>
      <c r="C5288" s="30" t="n">
        <f aca="false">m_retail*m_x</f>
        <v>17.72</v>
      </c>
    </row>
    <row r="5289" customFormat="false" ht="17.15" hidden="false" customHeight="false" outlineLevel="0" collapsed="false">
      <c r="A5289" s="5" t="s">
        <v>876</v>
      </c>
      <c r="B5289" s="0" t="s">
        <v>73</v>
      </c>
      <c r="C5289" s="38" t="n">
        <f aca="false">Sens!$C$5287*Sens!$C$5288</f>
        <v>542.747303860627</v>
      </c>
    </row>
    <row r="5290" customFormat="false" ht="17.15" hidden="false" customHeight="false" outlineLevel="0" collapsed="false">
      <c r="A5290" s="0" t="s">
        <v>877</v>
      </c>
      <c r="B5290" s="0" t="s">
        <v>73</v>
      </c>
      <c r="C5290" s="38" t="n">
        <f aca="false">0.25*Sens!$H$5216+0.75*Sens!$I$5216</f>
        <v>107.575398943098</v>
      </c>
    </row>
    <row r="5291" customFormat="false" ht="17.15" hidden="false" customHeight="false" outlineLevel="0" collapsed="false">
      <c r="A5291" s="0" t="s">
        <v>878</v>
      </c>
      <c r="B5291" s="0" t="s">
        <v>57</v>
      </c>
      <c r="C5291" s="30" t="n">
        <f aca="false">m_cloud*m_x</f>
        <v>13.82</v>
      </c>
    </row>
    <row r="5292" customFormat="false" ht="17.15" hidden="false" customHeight="false" outlineLevel="0" collapsed="false">
      <c r="A5292" s="0" t="s">
        <v>879</v>
      </c>
      <c r="B5292" s="0" t="s">
        <v>73</v>
      </c>
      <c r="C5292" s="38" t="n">
        <f aca="false">Sens!$C$5290*Sens!$C$5291</f>
        <v>1486.69201339361</v>
      </c>
    </row>
    <row r="5293" customFormat="false" ht="17.15" hidden="false" customHeight="false" outlineLevel="0" collapsed="false">
      <c r="A5293" s="0" t="s">
        <v>880</v>
      </c>
      <c r="B5293" s="0" t="s">
        <v>73</v>
      </c>
      <c r="C5293" s="38" t="n">
        <f aca="false">0.25*Sens!$H$5217+0.75*Sens!$I$5217</f>
        <v>72.2947701247864</v>
      </c>
    </row>
    <row r="5294" customFormat="false" ht="17.15" hidden="false" customHeight="false" outlineLevel="0" collapsed="false">
      <c r="A5294" s="0" t="s">
        <v>881</v>
      </c>
      <c r="B5294" s="0" t="s">
        <v>57</v>
      </c>
      <c r="C5294" s="30" t="n">
        <f aca="false">m_ai</f>
        <v>6</v>
      </c>
    </row>
    <row r="5295" customFormat="false" ht="17.15" hidden="false" customHeight="false" outlineLevel="0" collapsed="false">
      <c r="A5295" s="0" t="s">
        <v>882</v>
      </c>
      <c r="B5295" s="0" t="s">
        <v>73</v>
      </c>
      <c r="C5295" s="38" t="n">
        <f aca="false">Sens!$C$5293*Sens!$C$5294</f>
        <v>433.768620748718</v>
      </c>
    </row>
    <row r="5296" customFormat="false" ht="17.15" hidden="false" customHeight="false" outlineLevel="0" collapsed="false">
      <c r="A5296" s="5" t="s">
        <v>883</v>
      </c>
      <c r="B5296" s="0" t="s">
        <v>73</v>
      </c>
      <c r="C5296" s="38" t="n">
        <f aca="false">Sens!$C$5286+Sens!$C$5289+Sens!$C$5292+Sens!$C$5295</f>
        <v>2987.5258739704</v>
      </c>
    </row>
    <row r="5297" customFormat="false" ht="17.15" hidden="false" customHeight="false" outlineLevel="0" collapsed="false">
      <c r="A5297" s="5" t="s">
        <v>884</v>
      </c>
      <c r="B5297" s="0" t="s">
        <v>73</v>
      </c>
      <c r="C5297" s="38" t="n">
        <f aca="false">Sens!$H$5255</f>
        <v>113.741590679904</v>
      </c>
    </row>
    <row r="5298" customFormat="false" ht="15" hidden="false" customHeight="false" outlineLevel="0" collapsed="false">
      <c r="A5298" s="5" t="s">
        <v>885</v>
      </c>
      <c r="B5298" s="0" t="s">
        <v>73</v>
      </c>
      <c r="C5298" s="38" t="n">
        <f aca="false">Sens!$C$5296-Sens!$C$5297+Sens!$C$5279</f>
        <v>3052.7282832905</v>
      </c>
    </row>
    <row r="5299" customFormat="false" ht="15" hidden="false" customHeight="false" outlineLevel="0" collapsed="false">
      <c r="A5299" s="3" t="s">
        <v>886</v>
      </c>
      <c r="B5299" s="8" t="s">
        <v>27</v>
      </c>
      <c r="C5299" s="30" t="n">
        <f aca="false">Sens!$C$5298/sh_val</f>
        <v>276.758058137828</v>
      </c>
    </row>
    <row r="5300" customFormat="false" ht="17.15" hidden="false" customHeight="false" outlineLevel="0" collapsed="false">
      <c r="A5300" s="46" t="s">
        <v>887</v>
      </c>
      <c r="B5300" s="13" t="s">
        <v>27</v>
      </c>
      <c r="C5300" s="43" t="n">
        <f aca="false">w_dcf*Sens!$C$5282+(1-w_dcf)*Sens!$C$5299</f>
        <v>185.639241878898</v>
      </c>
      <c r="D5300" s="13"/>
      <c r="E5300" s="13"/>
      <c r="F5300" s="13"/>
      <c r="G5300" s="13"/>
      <c r="H5300" s="13"/>
      <c r="I5300" s="13"/>
      <c r="J5300" s="13"/>
      <c r="K5300" s="13"/>
      <c r="L5300" s="13"/>
      <c r="M5300" s="13"/>
      <c r="N5300" s="13"/>
      <c r="O5300" s="13"/>
    </row>
    <row r="5301" customFormat="false" ht="17.15" hidden="false" customHeight="false" outlineLevel="0" collapsed="false">
      <c r="A5301" s="5" t="s">
        <v>888</v>
      </c>
      <c r="B5301" s="0" t="s">
        <v>27</v>
      </c>
      <c r="C5301" s="30" t="n">
        <f aca="false">0.45*Sens!$C$5282+0.55*Sens!$C$5299</f>
        <v>194.751123504791</v>
      </c>
    </row>
    <row r="5304" customFormat="false" ht="19.4" hidden="false" customHeight="false" outlineLevel="0" collapsed="false">
      <c r="A5304" s="31" t="s">
        <v>1158</v>
      </c>
    </row>
    <row r="5305" customFormat="false" ht="17.15" hidden="false" customHeight="false" outlineLevel="0" collapsed="false">
      <c r="A5305" s="6" t="s">
        <v>16</v>
      </c>
      <c r="B5305" s="6" t="s">
        <v>17</v>
      </c>
      <c r="C5305" s="20" t="s">
        <v>457</v>
      </c>
      <c r="D5305" s="20" t="s">
        <v>458</v>
      </c>
      <c r="E5305" s="20" t="s">
        <v>540</v>
      </c>
      <c r="F5305" s="20" t="s">
        <v>541</v>
      </c>
      <c r="G5305" s="20" t="s">
        <v>542</v>
      </c>
      <c r="H5305" s="20" t="s">
        <v>543</v>
      </c>
      <c r="I5305" s="20" t="s">
        <v>544</v>
      </c>
      <c r="J5305" s="20" t="s">
        <v>545</v>
      </c>
      <c r="K5305" s="20" t="s">
        <v>546</v>
      </c>
      <c r="L5305" s="20" t="s">
        <v>547</v>
      </c>
      <c r="M5305" s="20" t="s">
        <v>548</v>
      </c>
      <c r="N5305" s="20" t="s">
        <v>549</v>
      </c>
      <c r="O5305" s="20" t="s">
        <v>550</v>
      </c>
      <c r="P5305" s="6" t="s">
        <v>23</v>
      </c>
      <c r="R5305" s="20" t="n">
        <v>2023</v>
      </c>
      <c r="S5305" s="20" t="n">
        <v>2024</v>
      </c>
      <c r="T5305" s="20" t="n">
        <v>2025</v>
      </c>
      <c r="U5305" s="20" t="n">
        <v>2026</v>
      </c>
      <c r="V5305" s="20" t="n">
        <v>2027</v>
      </c>
      <c r="W5305" s="20" t="n">
        <v>2028</v>
      </c>
      <c r="X5305" s="20" t="n">
        <v>2029</v>
      </c>
      <c r="Y5305" s="20" t="n">
        <v>2030</v>
      </c>
      <c r="Z5305" s="20" t="n">
        <v>2031</v>
      </c>
      <c r="AA5305" s="20" t="n">
        <v>2032</v>
      </c>
    </row>
    <row r="5306" customFormat="false" ht="17.15" hidden="false" customHeight="false" outlineLevel="0" collapsed="false">
      <c r="A5306" s="1" t="s">
        <v>620</v>
      </c>
    </row>
    <row r="5307" customFormat="false" ht="17.15" hidden="false" customHeight="false" outlineLevel="0" collapsed="false">
      <c r="A5307" s="0" t="s">
        <v>479</v>
      </c>
      <c r="B5307" s="0" t="s">
        <v>73</v>
      </c>
      <c r="C5307" s="38" t="n">
        <f aca="false">Q!$D$10</f>
        <v>247.029</v>
      </c>
      <c r="D5307" s="38" t="n">
        <f aca="false">Q!$E$10</f>
        <v>269.287</v>
      </c>
      <c r="E5307" s="38" t="n">
        <f aca="false">Q!$P$10</f>
        <v>134.686</v>
      </c>
      <c r="F5307" s="38" t="n">
        <f aca="false">Sens!$O$5307*(1+Sens!$F$5308)-pd_amt*Q!$O$10/(Q!$O$10+Q!$O$12)</f>
        <v>160.728085930082</v>
      </c>
      <c r="G5307" s="38" t="n">
        <f aca="false">Sens!$E$5307+Sens!$F$5307</f>
        <v>295.414085930082</v>
      </c>
      <c r="H5307" s="38" t="n">
        <f aca="false">Sens!$G$5307*(1+Sens!$H$5308)</f>
        <v>320.828163943375</v>
      </c>
      <c r="I5307" s="38" t="n">
        <f aca="false">Sens!$H$5307*(1+Sens!$I$5308)</f>
        <v>344.575578072228</v>
      </c>
      <c r="J5307" s="38" t="n">
        <f aca="false">Sens!$I$5307*(1+Sens!$J$5308)</f>
        <v>365.942555779681</v>
      </c>
      <c r="K5307" s="38" t="n">
        <f aca="false">Sens!$J$5307*(1+Sens!$K$5308)</f>
        <v>384.239683568665</v>
      </c>
      <c r="L5307" s="38" t="n">
        <f aca="false">Sens!$K$5307*(1+Sens!$L$5308)</f>
        <v>403.451667747098</v>
      </c>
      <c r="M5307" s="38" t="n">
        <f aca="false">Sens!$L$5307*(1+Sens!$M$5308)</f>
        <v>423.624251134453</v>
      </c>
      <c r="N5307" s="38" t="n">
        <f aca="false">Q!$N$10</f>
        <v>118.892</v>
      </c>
      <c r="O5307" s="38" t="n">
        <f aca="false">Q!$O$10</f>
        <v>150.395</v>
      </c>
      <c r="P5307" s="8" t="s">
        <v>621</v>
      </c>
    </row>
    <row r="5308" customFormat="false" ht="17.15" hidden="false" customHeight="false" outlineLevel="0" collapsed="false">
      <c r="A5308" s="0" t="s">
        <v>622</v>
      </c>
      <c r="B5308" s="0" t="s">
        <v>52</v>
      </c>
      <c r="E5308" s="12" t="n">
        <f aca="false">Sens!$E$5307/Sens!$N$5307-1</f>
        <v>0.132843252699929</v>
      </c>
      <c r="F5308" s="12" t="n">
        <f aca="false">Sens!$O$5307/(Q!$F$10+Q!$G$10)-1</f>
        <v>0.0980382135842941</v>
      </c>
      <c r="G5308" s="12" t="n">
        <f aca="false">Sens!$G$5307/Sens!$D$5307-1</f>
        <v>0.0970231980380869</v>
      </c>
      <c r="H5308" s="12" t="n">
        <f aca="false">Sens!$F$5308+(g_os-Sens!$F$5308)*1/4</f>
        <v>0.0860286601882206</v>
      </c>
      <c r="I5308" s="12" t="n">
        <f aca="false">Sens!$F$5308+(g_os-Sens!$F$5308)*2/4</f>
        <v>0.074019106792147</v>
      </c>
      <c r="J5308" s="12" t="n">
        <f aca="false">Sens!$F$5308+(g_os-Sens!$F$5308)*3/4</f>
        <v>0.0620095533960735</v>
      </c>
      <c r="K5308" s="12" t="n">
        <f aca="false">Sens!$F$5308+(g_os-Sens!$F$5308)*4/4</f>
        <v>0.05</v>
      </c>
      <c r="L5308" s="12" t="n">
        <f aca="false">g_os</f>
        <v>0.05</v>
      </c>
      <c r="M5308" s="12" t="n">
        <f aca="false">g_os</f>
        <v>0.05</v>
      </c>
      <c r="P5308" s="8" t="s">
        <v>623</v>
      </c>
    </row>
    <row r="5309" customFormat="false" ht="17.15" hidden="false" customHeight="false" outlineLevel="0" collapsed="false">
      <c r="A5309" s="0" t="s">
        <v>480</v>
      </c>
      <c r="B5309" s="0" t="s">
        <v>73</v>
      </c>
      <c r="C5309" s="38" t="n">
        <f aca="false">Q!$D$11</f>
        <v>21.215</v>
      </c>
      <c r="D5309" s="38" t="n">
        <f aca="false">Q!$E$11</f>
        <v>22.561</v>
      </c>
      <c r="E5309" s="38" t="n">
        <f aca="false">Q!$P$11</f>
        <v>11.579</v>
      </c>
      <c r="F5309" s="38" t="n">
        <f aca="false">Sens!$O$5309*(1+Sens!$F$5310)</f>
        <v>12.0952613121125</v>
      </c>
      <c r="G5309" s="38" t="n">
        <f aca="false">Sens!$E$5309+Sens!$F$5309</f>
        <v>23.6742613121125</v>
      </c>
      <c r="H5309" s="38" t="n">
        <f aca="false">Sens!$G$5309*(1+Sens!$H$5310)</f>
        <v>24.8803243963206</v>
      </c>
      <c r="I5309" s="38" t="n">
        <f aca="false">Sens!$H$5309*(1+Sens!$I$5310)</f>
        <v>25.9741308664154</v>
      </c>
      <c r="J5309" s="38" t="n">
        <f aca="false">Sens!$I$5309*(1+Sens!$J$5310)</f>
        <v>26.9346894124267</v>
      </c>
      <c r="K5309" s="38" t="n">
        <f aca="false">Sens!$J$5309*(1+Sens!$K$5310)</f>
        <v>27.7427300947995</v>
      </c>
      <c r="L5309" s="38" t="n">
        <f aca="false">Sens!$K$5309*(1+Sens!$L$5310)</f>
        <v>28.5750119976435</v>
      </c>
      <c r="M5309" s="38" t="n">
        <f aca="false">Sens!$L$5309*(1+Sens!$M$5310)</f>
        <v>29.4322623575728</v>
      </c>
      <c r="N5309" s="38" t="n">
        <f aca="false">Q!$N$11</f>
        <v>11.128</v>
      </c>
      <c r="O5309" s="38" t="n">
        <f aca="false">Q!$O$11</f>
        <v>11.433</v>
      </c>
      <c r="P5309" s="8" t="s">
        <v>621</v>
      </c>
    </row>
    <row r="5310" customFormat="false" ht="17.15" hidden="false" customHeight="false" outlineLevel="0" collapsed="false">
      <c r="A5310" s="0" t="s">
        <v>624</v>
      </c>
      <c r="B5310" s="0" t="s">
        <v>52</v>
      </c>
      <c r="E5310" s="12" t="n">
        <f aca="false">Sens!$E$5309/Sens!$N$5309-1</f>
        <v>0.0405283968368082</v>
      </c>
      <c r="F5310" s="12" t="n">
        <f aca="false">Sens!$O$5309/(Q!$F$11+Q!$G$11)-1</f>
        <v>0.0579254187100955</v>
      </c>
      <c r="G5310" s="12" t="n">
        <f aca="false">Sens!$G$5309/Sens!$D$5309-1</f>
        <v>0.0493445021103904</v>
      </c>
      <c r="H5310" s="12" t="n">
        <f aca="false">Sens!$F$5310+(g_ps-Sens!$F$5310)*1/4</f>
        <v>0.0509440640325716</v>
      </c>
      <c r="I5310" s="12" t="n">
        <f aca="false">Sens!$F$5310+(g_ps-Sens!$F$5310)*2/4</f>
        <v>0.0439627093550477</v>
      </c>
      <c r="J5310" s="12" t="n">
        <f aca="false">Sens!$F$5310+(g_ps-Sens!$F$5310)*3/4</f>
        <v>0.0369813546775239</v>
      </c>
      <c r="K5310" s="12" t="n">
        <f aca="false">Sens!$F$5310+(g_ps-Sens!$F$5310)*4/4</f>
        <v>0.03</v>
      </c>
      <c r="L5310" s="12" t="n">
        <f aca="false">g_ps</f>
        <v>0.03</v>
      </c>
      <c r="M5310" s="12" t="n">
        <f aca="false">g_ps</f>
        <v>0.03</v>
      </c>
      <c r="P5310" s="8" t="s">
        <v>625</v>
      </c>
    </row>
    <row r="5311" customFormat="false" ht="17.15" hidden="false" customHeight="false" outlineLevel="0" collapsed="false">
      <c r="A5311" s="0" t="s">
        <v>481</v>
      </c>
      <c r="B5311" s="0" t="s">
        <v>73</v>
      </c>
      <c r="C5311" s="38" t="n">
        <f aca="false">Q!$D$12</f>
        <v>156.146</v>
      </c>
      <c r="D5311" s="38" t="n">
        <f aca="false">Q!$E$12</f>
        <v>172.162</v>
      </c>
      <c r="E5311" s="38" t="n">
        <f aca="false">Q!$P$12</f>
        <v>88.358</v>
      </c>
      <c r="F5311" s="38" t="n">
        <f aca="false">Sens!$O$5311*(1+Sens!$F$5312)-pd_amt*Q!$O$12/(Q!$O$10+Q!$O$12)</f>
        <v>103.62028337149</v>
      </c>
      <c r="G5311" s="38" t="n">
        <f aca="false">Sens!$E$5311+Sens!$F$5311</f>
        <v>191.97828337149</v>
      </c>
      <c r="H5311" s="38" t="n">
        <f aca="false">Sens!$G$5311*(1+Sens!$H$5312)</f>
        <v>212.128608444755</v>
      </c>
      <c r="I5311" s="38" t="n">
        <f aca="false">Sens!$H$5311*(1+Sens!$I$5312)</f>
        <v>231.92183134134</v>
      </c>
      <c r="J5311" s="38" t="n">
        <f aca="false">Sens!$I$5311*(1+Sens!$J$5312)</f>
        <v>250.859136487863</v>
      </c>
      <c r="K5311" s="38" t="n">
        <f aca="false">Sens!$J$5311*(1+Sens!$K$5312)</f>
        <v>268.419276042014</v>
      </c>
      <c r="L5311" s="38" t="n">
        <f aca="false">Sens!$K$5311*(1+Sens!$L$5312)</f>
        <v>287.208625364954</v>
      </c>
      <c r="M5311" s="38" t="n">
        <f aca="false">Sens!$L$5311*(1+Sens!$M$5312)</f>
        <v>307.313229140501</v>
      </c>
      <c r="N5311" s="38" t="n">
        <f aca="false">Q!$N$12</f>
        <v>76.86</v>
      </c>
      <c r="O5311" s="38" t="n">
        <f aca="false">Q!$O$12</f>
        <v>95.302</v>
      </c>
      <c r="P5311" s="8" t="s">
        <v>621</v>
      </c>
    </row>
    <row r="5312" customFormat="false" ht="17.15" hidden="false" customHeight="false" outlineLevel="0" collapsed="false">
      <c r="A5312" s="0" t="s">
        <v>626</v>
      </c>
      <c r="B5312" s="0" t="s">
        <v>52</v>
      </c>
      <c r="E5312" s="12" t="n">
        <f aca="false">Sens!$E$5311/Sens!$N$5311-1</f>
        <v>0.1495966692688</v>
      </c>
      <c r="F5312" s="12" t="n">
        <f aca="false">Sens!$O$5311/(Q!$F$12+Q!$G$12)-1</f>
        <v>0.11661530890813</v>
      </c>
      <c r="G5312" s="12" t="n">
        <f aca="false">Sens!$G$5311/Sens!$D$5311-1</f>
        <v>0.115102539303041</v>
      </c>
      <c r="H5312" s="12" t="n">
        <f aca="false">Sens!$F$5312+(g_sp-Sens!$F$5312)*1/4</f>
        <v>0.104961481681098</v>
      </c>
      <c r="I5312" s="12" t="n">
        <f aca="false">Sens!$F$5312+(g_sp-Sens!$F$5312)*2/4</f>
        <v>0.0933076544540651</v>
      </c>
      <c r="J5312" s="12" t="n">
        <f aca="false">Sens!$F$5312+(g_sp-Sens!$F$5312)*3/4</f>
        <v>0.0816538272270325</v>
      </c>
      <c r="K5312" s="12" t="n">
        <f aca="false">Sens!$F$5312+(g_sp-Sens!$F$5312)*4/4</f>
        <v>0.07</v>
      </c>
      <c r="L5312" s="12" t="n">
        <f aca="false">g_sp</f>
        <v>0.07</v>
      </c>
      <c r="M5312" s="12" t="n">
        <f aca="false">g_sp</f>
        <v>0.07</v>
      </c>
      <c r="P5312" s="8" t="s">
        <v>627</v>
      </c>
    </row>
    <row r="5313" customFormat="false" ht="17.15" hidden="false" customHeight="false" outlineLevel="0" collapsed="false">
      <c r="A5313" s="0" t="s">
        <v>482</v>
      </c>
      <c r="B5313" s="0" t="s">
        <v>73</v>
      </c>
      <c r="C5313" s="38" t="n">
        <f aca="false">Q!$D$13</f>
        <v>56.214</v>
      </c>
      <c r="D5313" s="38" t="n">
        <f aca="false">Q!$E$13</f>
        <v>68.635</v>
      </c>
      <c r="E5313" s="38" t="n">
        <f aca="false">Q!$P$13</f>
        <v>37.052</v>
      </c>
      <c r="F5313" s="38" t="n">
        <f aca="false">Sens!$O$5313*(1+Sens!$F$5314)</f>
        <v>48.1533381827382</v>
      </c>
      <c r="G5313" s="38" t="n">
        <f aca="false">Sens!$E$5313+Sens!$F$5313</f>
        <v>85.2053381827382</v>
      </c>
      <c r="H5313" s="38" t="n">
        <f aca="false">Sens!$G$5313*(1+Sens!$H$5314)</f>
        <v>102.29336185894</v>
      </c>
      <c r="I5313" s="38" t="n">
        <f aca="false">Sens!$H$5313*(1+Sens!$I$5314)</f>
        <v>119.379837585241</v>
      </c>
      <c r="J5313" s="38" t="n">
        <f aca="false">Sens!$I$5313*(1+Sens!$J$5314)</f>
        <v>135.319079048844</v>
      </c>
      <c r="K5313" s="38" t="n">
        <f aca="false">Sens!$J$5313*(1+Sens!$K$5314)</f>
        <v>148.850986953729</v>
      </c>
      <c r="L5313" s="38" t="n">
        <f aca="false">Sens!$K$5313*(1+Sens!$L$5314)</f>
        <v>163.736085649102</v>
      </c>
      <c r="M5313" s="38" t="n">
        <f aca="false">Sens!$L$5313*(1+Sens!$M$5314)</f>
        <v>180.109694214012</v>
      </c>
      <c r="N5313" s="38" t="n">
        <f aca="false">Q!$N$13</f>
        <v>29.615</v>
      </c>
      <c r="O5313" s="38" t="n">
        <f aca="false">Q!$O$13</f>
        <v>39.02</v>
      </c>
      <c r="P5313" s="8" t="s">
        <v>621</v>
      </c>
    </row>
    <row r="5314" customFormat="false" ht="17.15" hidden="false" customHeight="false" outlineLevel="0" collapsed="false">
      <c r="A5314" s="0" t="s">
        <v>628</v>
      </c>
      <c r="B5314" s="0" t="s">
        <v>52</v>
      </c>
      <c r="E5314" s="12" t="n">
        <f aca="false">Sens!$E$5313/Sens!$N$5313-1</f>
        <v>0.25112274185379</v>
      </c>
      <c r="F5314" s="12" t="n">
        <f aca="false">Sens!$O$5313/(Q!$F$13+Q!$G$13)-1</f>
        <v>0.234068123596572</v>
      </c>
      <c r="G5314" s="12" t="n">
        <f aca="false">Sens!$G$5313/Sens!$D$5313-1</f>
        <v>0.241426942270536</v>
      </c>
      <c r="H5314" s="12" t="n">
        <f aca="false">Sens!$F$5314+(g_ad-Sens!$F$5314)*1/4</f>
        <v>0.200551092697429</v>
      </c>
      <c r="I5314" s="12" t="n">
        <f aca="false">Sens!$F$5314+(g_ad-Sens!$F$5314)*2/4</f>
        <v>0.167034061798286</v>
      </c>
      <c r="J5314" s="12" t="n">
        <f aca="false">Sens!$F$5314+(g_ad-Sens!$F$5314)*3/4</f>
        <v>0.133517030899143</v>
      </c>
      <c r="K5314" s="12" t="n">
        <f aca="false">Sens!$F$5314+(g_ad-Sens!$F$5314)*4/4</f>
        <v>0.1</v>
      </c>
      <c r="L5314" s="12" t="n">
        <f aca="false">g_ad</f>
        <v>0.1</v>
      </c>
      <c r="M5314" s="12" t="n">
        <f aca="false">g_ad</f>
        <v>0.1</v>
      </c>
      <c r="P5314" s="8" t="s">
        <v>629</v>
      </c>
    </row>
    <row r="5315" customFormat="false" ht="17.15" hidden="false" customHeight="false" outlineLevel="0" collapsed="false">
      <c r="A5315" s="0" t="s">
        <v>483</v>
      </c>
      <c r="B5315" s="0" t="s">
        <v>73</v>
      </c>
      <c r="C5315" s="38" t="n">
        <f aca="false">Q!$D$14</f>
        <v>44.374</v>
      </c>
      <c r="D5315" s="38" t="n">
        <f aca="false">Q!$E$14</f>
        <v>49.619</v>
      </c>
      <c r="E5315" s="38" t="n">
        <f aca="false">Q!$P$14</f>
        <v>27.157</v>
      </c>
      <c r="F5315" s="38" t="n">
        <f aca="false">Sens!$O$5315*(1+Sens!$F$5316)</f>
        <v>28.9776360923374</v>
      </c>
      <c r="G5315" s="38" t="n">
        <f aca="false">Sens!$E$5315+Sens!$F$5315</f>
        <v>56.1346360923374</v>
      </c>
      <c r="H5315" s="38" t="n">
        <f aca="false">Sens!$G$5315*(1+Sens!$H$5316)</f>
        <v>62.4937078946075</v>
      </c>
      <c r="I5315" s="38" t="n">
        <f aca="false">Sens!$H$5315*(1+Sens!$I$5316)</f>
        <v>68.6715233062498</v>
      </c>
      <c r="J5315" s="38" t="n">
        <f aca="false">Sens!$I$5315*(1+Sens!$J$5316)</f>
        <v>74.4692882949818</v>
      </c>
      <c r="K5315" s="38" t="n">
        <f aca="false">Sens!$J$5315*(1+Sens!$K$5316)</f>
        <v>79.6821384756306</v>
      </c>
      <c r="L5315" s="38" t="n">
        <f aca="false">Sens!$K$5315*(1+Sens!$L$5316)</f>
        <v>85.2598881689247</v>
      </c>
      <c r="M5315" s="38" t="n">
        <f aca="false">Sens!$L$5315*(1+Sens!$M$5316)</f>
        <v>91.2280803407494</v>
      </c>
      <c r="N5315" s="38" t="n">
        <f aca="false">Q!$N$14</f>
        <v>23.923</v>
      </c>
      <c r="O5315" s="38" t="n">
        <f aca="false">Q!$O$14</f>
        <v>25.696</v>
      </c>
      <c r="P5315" s="8" t="s">
        <v>621</v>
      </c>
    </row>
    <row r="5316" customFormat="false" ht="17.15" hidden="false" customHeight="false" outlineLevel="0" collapsed="false">
      <c r="A5316" s="0" t="s">
        <v>630</v>
      </c>
      <c r="B5316" s="0" t="s">
        <v>52</v>
      </c>
      <c r="E5316" s="12" t="n">
        <f aca="false">Sens!$E$5315/Sens!$N$5315-1</f>
        <v>0.135183714417088</v>
      </c>
      <c r="F5316" s="12" t="n">
        <f aca="false">Sens!$O$5315/(Q!$F$14+Q!$G$14)-1</f>
        <v>0.127709997366804</v>
      </c>
      <c r="G5316" s="12" t="n">
        <f aca="false">Sens!$G$5315/Sens!$D$5315-1</f>
        <v>0.131313329416905</v>
      </c>
      <c r="H5316" s="12" t="n">
        <f aca="false">Sens!$F$5316+(g_sub-Sens!$F$5316)*1/4</f>
        <v>0.113282498025103</v>
      </c>
      <c r="I5316" s="12" t="n">
        <f aca="false">Sens!$F$5316+(g_sub-Sens!$F$5316)*2/4</f>
        <v>0.0988549986834021</v>
      </c>
      <c r="J5316" s="12" t="n">
        <f aca="false">Sens!$F$5316+(g_sub-Sens!$F$5316)*3/4</f>
        <v>0.084427499341701</v>
      </c>
      <c r="K5316" s="12" t="n">
        <f aca="false">Sens!$F$5316+(g_sub-Sens!$F$5316)*4/4</f>
        <v>0.07</v>
      </c>
      <c r="L5316" s="12" t="n">
        <f aca="false">g_sub</f>
        <v>0.07</v>
      </c>
      <c r="M5316" s="12" t="n">
        <f aca="false">g_sub</f>
        <v>0.07</v>
      </c>
      <c r="P5316" s="8" t="s">
        <v>631</v>
      </c>
    </row>
    <row r="5317" customFormat="false" ht="17.15" hidden="false" customHeight="false" outlineLevel="0" collapsed="false">
      <c r="A5317" s="0" t="s">
        <v>484</v>
      </c>
      <c r="B5317" s="0" t="s">
        <v>73</v>
      </c>
      <c r="C5317" s="38" t="n">
        <f aca="false">Q!$D$15</f>
        <v>5.425</v>
      </c>
      <c r="D5317" s="38" t="n">
        <f aca="false">Q!$E$15</f>
        <v>5.935</v>
      </c>
      <c r="E5317" s="38" t="n">
        <f aca="false">Q!$P$15</f>
        <v>3.474</v>
      </c>
      <c r="F5317" s="38" t="n">
        <f aca="false">Sens!$O$5317*(1+Sens!$F$5318)</f>
        <v>3.36182431966931</v>
      </c>
      <c r="G5317" s="38" t="n">
        <f aca="false">Sens!$E$5317+Sens!$F$5317</f>
        <v>6.83582431966931</v>
      </c>
      <c r="H5317" s="38" t="n">
        <f aca="false">Sens!$G$5317*(1+Sens!$H$5318)</f>
        <v>7.31157108370141</v>
      </c>
      <c r="I5317" s="38" t="n">
        <f aca="false">Sens!$H$5317*(1+Sens!$I$5318)</f>
        <v>7.77266852639815</v>
      </c>
      <c r="J5317" s="38" t="n">
        <f aca="false">Sens!$I$5317*(1+Sens!$J$5318)</f>
        <v>8.2120733019884</v>
      </c>
      <c r="K5317" s="38" t="n">
        <f aca="false">Sens!$J$5317*(1+Sens!$K$5318)</f>
        <v>8.62267696708783</v>
      </c>
      <c r="L5317" s="38" t="n">
        <f aca="false">Sens!$K$5317*(1+Sens!$L$5318)</f>
        <v>9.05381081544222</v>
      </c>
      <c r="M5317" s="38" t="n">
        <f aca="false">Sens!$L$5317*(1+Sens!$M$5318)</f>
        <v>9.50650135621433</v>
      </c>
      <c r="N5317" s="38" t="n">
        <f aca="false">Q!$N$15</f>
        <v>2.811</v>
      </c>
      <c r="O5317" s="38" t="n">
        <f aca="false">Q!$O$15</f>
        <v>3.124</v>
      </c>
      <c r="P5317" s="8" t="s">
        <v>621</v>
      </c>
    </row>
    <row r="5318" customFormat="false" ht="17.15" hidden="false" customHeight="false" outlineLevel="0" collapsed="false">
      <c r="A5318" s="0" t="s">
        <v>632</v>
      </c>
      <c r="B5318" s="0" t="s">
        <v>52</v>
      </c>
      <c r="E5318" s="12" t="n">
        <f aca="false">Sens!$E$5317/Sens!$N$5317-1</f>
        <v>0.235859124866596</v>
      </c>
      <c r="F5318" s="12" t="n">
        <f aca="false">Sens!$O$5317/(Q!$F$15+Q!$G$15)-1</f>
        <v>0.0761281433000345</v>
      </c>
      <c r="G5318" s="12" t="n">
        <f aca="false">Sens!$G$5317/Sens!$D$5317-1</f>
        <v>0.151781688234087</v>
      </c>
      <c r="H5318" s="12" t="n">
        <f aca="false">Sens!$F$5318+(g_ot-Sens!$F$5318)*1/4</f>
        <v>0.0695961074750259</v>
      </c>
      <c r="I5318" s="12" t="n">
        <f aca="false">Sens!$F$5318+(g_ot-Sens!$F$5318)*2/4</f>
        <v>0.0630640716500172</v>
      </c>
      <c r="J5318" s="12" t="n">
        <f aca="false">Sens!$F$5318+(g_ot-Sens!$F$5318)*3/4</f>
        <v>0.0565320358250086</v>
      </c>
      <c r="K5318" s="12" t="n">
        <f aca="false">Sens!$F$5318+(g_ot-Sens!$F$5318)*4/4</f>
        <v>0.05</v>
      </c>
      <c r="L5318" s="12" t="n">
        <f aca="false">g_ot</f>
        <v>0.05</v>
      </c>
      <c r="M5318" s="12" t="n">
        <f aca="false">g_ot</f>
        <v>0.05</v>
      </c>
      <c r="P5318" s="8" t="s">
        <v>633</v>
      </c>
    </row>
    <row r="5319" customFormat="false" ht="17.15" hidden="false" customHeight="false" outlineLevel="0" collapsed="false">
      <c r="A5319" s="3" t="s">
        <v>634</v>
      </c>
      <c r="B5319" s="8" t="s">
        <v>73</v>
      </c>
      <c r="C5319" s="38" t="n">
        <f aca="false">Sens!$C$5307+Sens!$C$5309+Sens!$C$5311+Sens!$C$5313+Sens!$C$5315+Sens!$C$5317</f>
        <v>530.403</v>
      </c>
      <c r="D5319" s="38" t="n">
        <f aca="false">Sens!$D$5307+Sens!$D$5309+Sens!$D$5311+Sens!$D$5313+Sens!$D$5315+Sens!$D$5317</f>
        <v>588.199</v>
      </c>
      <c r="E5319" s="38" t="n">
        <f aca="false">Sens!$E$5307+Sens!$E$5309+Sens!$E$5311+Sens!$E$5313+Sens!$E$5315+Sens!$E$5317</f>
        <v>302.306</v>
      </c>
      <c r="F5319" s="38" t="n">
        <f aca="false">Sens!$F$5307+Sens!$F$5309+Sens!$F$5311+Sens!$F$5313+Sens!$F$5315+Sens!$F$5317</f>
        <v>356.93642920843</v>
      </c>
      <c r="G5319" s="38" t="n">
        <f aca="false">Sens!$G$5307+Sens!$G$5309+Sens!$G$5311+Sens!$G$5313+Sens!$G$5315+Sens!$G$5317</f>
        <v>659.24242920843</v>
      </c>
      <c r="H5319" s="38" t="n">
        <f aca="false">Sens!$H$5307+Sens!$H$5309+Sens!$H$5311+Sens!$H$5313+Sens!$H$5315+Sens!$H$5317</f>
        <v>729.935737621701</v>
      </c>
      <c r="I5319" s="38" t="n">
        <f aca="false">Sens!$I$5307+Sens!$I$5309+Sens!$I$5311+Sens!$I$5313+Sens!$I$5315+Sens!$I$5317</f>
        <v>798.295569697873</v>
      </c>
      <c r="J5319" s="38" t="n">
        <f aca="false">Sens!$J$5307+Sens!$J$5309+Sens!$J$5311+Sens!$J$5313+Sens!$J$5315+Sens!$J$5317</f>
        <v>861.736822325785</v>
      </c>
      <c r="K5319" s="38" t="n">
        <f aca="false">Sens!$K$5307+Sens!$K$5309+Sens!$K$5311+Sens!$K$5313+Sens!$K$5315+Sens!$K$5317</f>
        <v>917.557492101925</v>
      </c>
      <c r="L5319" s="38" t="n">
        <f aca="false">Sens!$L$5307+Sens!$L$5309+Sens!$L$5311+Sens!$L$5313+Sens!$L$5315+Sens!$L$5317</f>
        <v>977.285089743165</v>
      </c>
      <c r="M5319" s="38" t="n">
        <f aca="false">Sens!$M$5307+Sens!$M$5309+Sens!$M$5311+Sens!$M$5313+Sens!$M$5315+Sens!$M$5317</f>
        <v>1041.2140185435</v>
      </c>
      <c r="N5319" s="38" t="n">
        <f aca="false">Sens!$N$5307+Sens!$N$5309+Sens!$N$5311+Sens!$N$5313+Sens!$N$5315+Sens!$N$5317</f>
        <v>263.229</v>
      </c>
      <c r="O5319" s="38" t="n">
        <f aca="false">Sens!$O$5307+Sens!$O$5309+Sens!$O$5311+Sens!$O$5313+Sens!$O$5315+Sens!$O$5317</f>
        <v>324.97</v>
      </c>
    </row>
    <row r="5320" customFormat="false" ht="17.15" hidden="false" customHeight="false" outlineLevel="0" collapsed="false">
      <c r="A5320" s="5" t="s">
        <v>635</v>
      </c>
      <c r="B5320" s="0" t="s">
        <v>52</v>
      </c>
      <c r="C5320" s="12" t="n">
        <f aca="false">Q!$D$5/(Q!$D$5+Q!$D$6)</f>
        <v>0.730570905519011</v>
      </c>
      <c r="D5320" s="12" t="n">
        <f aca="false">Q!$E$5/(Q!$E$5+Q!$E$6)</f>
        <v>0.724763217890544</v>
      </c>
      <c r="E5320" s="12" t="n">
        <f aca="false">Q!$P$5/(Q!$P$5+Q!$P$6)</f>
        <v>0.728797972914861</v>
      </c>
      <c r="F5320" s="12" t="n">
        <f aca="false">Sens!$O$5320</f>
        <v>0.718066283041511</v>
      </c>
      <c r="G5320" s="12" t="n">
        <f aca="false">Sens!$G$5321/Sens!$G$5319</f>
        <v>0.722987468473627</v>
      </c>
      <c r="H5320" s="12" t="n">
        <f aca="false">Sens!$G$5320</f>
        <v>0.722987468473627</v>
      </c>
      <c r="I5320" s="12" t="n">
        <f aca="false">Sens!$G$5320</f>
        <v>0.722987468473627</v>
      </c>
      <c r="J5320" s="12" t="n">
        <f aca="false">Sens!$G$5320</f>
        <v>0.722987468473627</v>
      </c>
      <c r="K5320" s="12" t="n">
        <f aca="false">Sens!$G$5320</f>
        <v>0.722987468473627</v>
      </c>
      <c r="L5320" s="12" t="n">
        <f aca="false">Sens!$G$5320</f>
        <v>0.722987468473627</v>
      </c>
      <c r="M5320" s="12" t="n">
        <f aca="false">Sens!$G$5320</f>
        <v>0.722987468473627</v>
      </c>
      <c r="N5320" s="12" t="n">
        <f aca="false">Q!$N$5/(Q!$N$5+Q!$N$6)</f>
        <v>0.733030935041352</v>
      </c>
      <c r="O5320" s="12" t="n">
        <f aca="false">Q!$O$5/(Q!$O$5+Q!$O$6)</f>
        <v>0.718066283041511</v>
      </c>
      <c r="P5320" s="8" t="s">
        <v>636</v>
      </c>
    </row>
    <row r="5321" customFormat="false" ht="17.15" hidden="false" customHeight="false" outlineLevel="0" collapsed="false">
      <c r="A5321" s="1" t="s">
        <v>472</v>
      </c>
      <c r="B5321" s="8" t="s">
        <v>73</v>
      </c>
      <c r="C5321" s="38" t="n">
        <f aca="false">Q!$D$5</f>
        <v>387.497</v>
      </c>
      <c r="D5321" s="38" t="n">
        <f aca="false">Q!$E$5</f>
        <v>426.305</v>
      </c>
      <c r="E5321" s="38" t="n">
        <f aca="false">Q!$P$5</f>
        <v>220.32</v>
      </c>
      <c r="F5321" s="38" t="n">
        <f aca="false">Sens!$F$5319*Sens!$F$5320</f>
        <v>256.304015003807</v>
      </c>
      <c r="G5321" s="38" t="n">
        <f aca="false">Sens!$E$5321+Sens!$F$5321</f>
        <v>476.624015003807</v>
      </c>
      <c r="H5321" s="38" t="n">
        <f aca="false">Sens!$H$5319*Sens!$H$5320</f>
        <v>527.734391091543</v>
      </c>
      <c r="I5321" s="38" t="n">
        <f aca="false">Sens!$I$5319*Sens!$I$5320</f>
        <v>577.157693029577</v>
      </c>
      <c r="J5321" s="38" t="n">
        <f aca="false">Sens!$J$5319*Sens!$J$5320</f>
        <v>623.024923663827</v>
      </c>
      <c r="K5321" s="38" t="n">
        <f aca="false">Sens!$K$5319*Sens!$K$5320</f>
        <v>663.382568393781</v>
      </c>
      <c r="L5321" s="38" t="n">
        <f aca="false">Sens!$L$5319*Sens!$L$5320</f>
        <v>706.564873010432</v>
      </c>
      <c r="M5321" s="38" t="n">
        <f aca="false">Sens!$M$5319*Sens!$M$5320</f>
        <v>752.784687406019</v>
      </c>
      <c r="N5321" s="38" t="n">
        <f aca="false">Q!$N$5</f>
        <v>192.955</v>
      </c>
      <c r="O5321" s="38" t="n">
        <f aca="false">Q!$O$5</f>
        <v>233.35</v>
      </c>
      <c r="P5321" s="5" t="s">
        <v>637</v>
      </c>
    </row>
    <row r="5322" customFormat="false" ht="17.15" hidden="false" customHeight="false" outlineLevel="0" collapsed="false">
      <c r="A5322" s="1" t="s">
        <v>475</v>
      </c>
      <c r="B5322" s="8" t="s">
        <v>73</v>
      </c>
      <c r="C5322" s="38" t="n">
        <f aca="false">Q!$D$6</f>
        <v>142.906</v>
      </c>
      <c r="D5322" s="38" t="n">
        <f aca="false">Q!$E$6</f>
        <v>161.894</v>
      </c>
      <c r="E5322" s="38" t="n">
        <f aca="false">Q!$P$6</f>
        <v>81.986</v>
      </c>
      <c r="F5322" s="38" t="n">
        <f aca="false">Sens!$F$5319*(1-Sens!$F$5320)</f>
        <v>100.632414204623</v>
      </c>
      <c r="G5322" s="38" t="n">
        <f aca="false">Sens!$E$5322+Sens!$F$5322</f>
        <v>182.618414204623</v>
      </c>
      <c r="H5322" s="38" t="n">
        <f aca="false">Sens!$H$5319*(1-Sens!$H$5320)</f>
        <v>202.201346530158</v>
      </c>
      <c r="I5322" s="38" t="n">
        <f aca="false">Sens!$I$5319*(1-Sens!$I$5320)</f>
        <v>221.137876668296</v>
      </c>
      <c r="J5322" s="38" t="n">
        <f aca="false">Sens!$J$5319*(1-Sens!$J$5320)</f>
        <v>238.711898661958</v>
      </c>
      <c r="K5322" s="38" t="n">
        <f aca="false">Sens!$K$5319*(1-Sens!$K$5320)</f>
        <v>254.174923708144</v>
      </c>
      <c r="L5322" s="38" t="n">
        <f aca="false">Sens!$L$5319*(1-Sens!$L$5320)</f>
        <v>270.720216732733</v>
      </c>
      <c r="M5322" s="38" t="n">
        <f aca="false">Sens!$M$5319*(1-Sens!$M$5320)</f>
        <v>288.429331137484</v>
      </c>
      <c r="N5322" s="38" t="n">
        <f aca="false">Q!$N$6</f>
        <v>70.274</v>
      </c>
      <c r="O5322" s="38" t="n">
        <f aca="false">Q!$O$6</f>
        <v>91.62</v>
      </c>
      <c r="P5322" s="5" t="s">
        <v>638</v>
      </c>
    </row>
    <row r="5323" customFormat="false" ht="17.15" hidden="false" customHeight="false" outlineLevel="0" collapsed="false">
      <c r="A5323" s="5" t="s">
        <v>639</v>
      </c>
      <c r="B5323" s="0" t="s">
        <v>73</v>
      </c>
      <c r="C5323" s="38" t="n">
        <f aca="false">Sens!$C$5313*Sens!$C$5320</f>
        <v>41.0683128828457</v>
      </c>
      <c r="D5323" s="38" t="n">
        <f aca="false">Sens!$D$5313*Sens!$D$5320</f>
        <v>49.7441234599175</v>
      </c>
      <c r="E5323" s="38" t="n">
        <f aca="false">Sens!$E$5313*Sens!$E$5320</f>
        <v>27.0034224924414</v>
      </c>
      <c r="F5323" s="38" t="n">
        <f aca="false">Sens!$F$5313*Sens!$F$5320</f>
        <v>34.5772885649197</v>
      </c>
      <c r="G5323" s="38" t="n">
        <f aca="false">Sens!$G$5313*Sens!$G$5320</f>
        <v>61.6023917531772</v>
      </c>
      <c r="H5323" s="38" t="n">
        <f aca="false">Sens!$H$5313*Sens!$H$5320</f>
        <v>73.9568187320519</v>
      </c>
      <c r="I5323" s="38" t="n">
        <f aca="false">Sens!$I$5313*Sens!$I$5320</f>
        <v>86.3101265625461</v>
      </c>
      <c r="J5323" s="38" t="n">
        <f aca="false">Sens!$J$5313*Sens!$J$5320</f>
        <v>97.8339983977065</v>
      </c>
      <c r="K5323" s="38" t="n">
        <f aca="false">Sens!$K$5313*Sens!$K$5320</f>
        <v>107.617398237477</v>
      </c>
      <c r="L5323" s="38" t="n">
        <f aca="false">Sens!$L$5313*Sens!$L$5320</f>
        <v>118.379138061225</v>
      </c>
      <c r="M5323" s="38" t="n">
        <f aca="false">Sens!$M$5313*Sens!$M$5320</f>
        <v>130.217051867347</v>
      </c>
      <c r="N5323" s="38" t="n">
        <f aca="false">Sens!$N$5313*Sens!$N$5320</f>
        <v>21.7087111412496</v>
      </c>
      <c r="O5323" s="38" t="n">
        <f aca="false">Sens!$O$5313*Sens!$O$5320</f>
        <v>28.0189463642798</v>
      </c>
      <c r="P5323" s="5" t="s">
        <v>640</v>
      </c>
    </row>
    <row r="5324" customFormat="false" ht="15" hidden="false" customHeight="false" outlineLevel="0" collapsed="false">
      <c r="A5324" s="5" t="s">
        <v>641</v>
      </c>
      <c r="B5324" s="0" t="s">
        <v>73</v>
      </c>
      <c r="C5324" s="38" t="n">
        <f aca="false">Sens!$C$5313-Sens!$C$5323</f>
        <v>15.1456871171543</v>
      </c>
      <c r="D5324" s="38" t="n">
        <f aca="false">Sens!$D$5313-Sens!$D$5323</f>
        <v>18.8908765400825</v>
      </c>
      <c r="E5324" s="38" t="n">
        <f aca="false">Sens!$E$5313-Sens!$E$5323</f>
        <v>10.0485775075586</v>
      </c>
      <c r="F5324" s="38" t="n">
        <f aca="false">Sens!$F$5313-Sens!$F$5323</f>
        <v>13.5760496178185</v>
      </c>
      <c r="G5324" s="38" t="n">
        <f aca="false">Sens!$G$5313-Sens!$G$5323</f>
        <v>23.6029464295611</v>
      </c>
      <c r="H5324" s="38" t="n">
        <f aca="false">Sens!$H$5313-Sens!$H$5323</f>
        <v>28.3365431268884</v>
      </c>
      <c r="I5324" s="38" t="n">
        <f aca="false">Sens!$I$5313-Sens!$I$5323</f>
        <v>33.0697110226949</v>
      </c>
      <c r="J5324" s="38" t="n">
        <f aca="false">Sens!$J$5313-Sens!$J$5323</f>
        <v>37.4850806511378</v>
      </c>
      <c r="K5324" s="38" t="n">
        <f aca="false">Sens!$K$5313-Sens!$K$5323</f>
        <v>41.2335887162515</v>
      </c>
      <c r="L5324" s="38" t="n">
        <f aca="false">Sens!$L$5313-Sens!$L$5323</f>
        <v>45.3569475878767</v>
      </c>
      <c r="M5324" s="38" t="n">
        <f aca="false">Sens!$M$5313-Sens!$M$5323</f>
        <v>49.8926423466644</v>
      </c>
      <c r="N5324" s="38" t="n">
        <f aca="false">Sens!$N$5313-Sens!$N$5323</f>
        <v>7.90628885875037</v>
      </c>
      <c r="O5324" s="38" t="n">
        <f aca="false">Sens!$O$5313-Sens!$O$5323</f>
        <v>11.0010536357202</v>
      </c>
    </row>
    <row r="5325" customFormat="false" ht="19.4" hidden="false" customHeight="false" outlineLevel="0" collapsed="false">
      <c r="A5325" s="31" t="s">
        <v>1159</v>
      </c>
    </row>
    <row r="5326" customFormat="false" ht="17.15" hidden="false" customHeight="false" outlineLevel="0" collapsed="false">
      <c r="A5326" s="6" t="s">
        <v>16</v>
      </c>
      <c r="B5326" s="6" t="s">
        <v>17</v>
      </c>
      <c r="C5326" s="20" t="s">
        <v>457</v>
      </c>
      <c r="D5326" s="20" t="s">
        <v>458</v>
      </c>
      <c r="E5326" s="20" t="s">
        <v>540</v>
      </c>
      <c r="F5326" s="20" t="s">
        <v>541</v>
      </c>
      <c r="G5326" s="20" t="s">
        <v>542</v>
      </c>
      <c r="H5326" s="20" t="s">
        <v>543</v>
      </c>
      <c r="I5326" s="20" t="s">
        <v>544</v>
      </c>
      <c r="J5326" s="20" t="s">
        <v>545</v>
      </c>
      <c r="K5326" s="20" t="s">
        <v>546</v>
      </c>
      <c r="L5326" s="20" t="s">
        <v>547</v>
      </c>
      <c r="M5326" s="20" t="s">
        <v>548</v>
      </c>
      <c r="N5326" s="20" t="s">
        <v>549</v>
      </c>
      <c r="O5326" s="20" t="s">
        <v>550</v>
      </c>
      <c r="P5326" s="6" t="s">
        <v>23</v>
      </c>
      <c r="R5326" s="20" t="n">
        <v>2023</v>
      </c>
      <c r="S5326" s="20" t="n">
        <v>2024</v>
      </c>
      <c r="T5326" s="20" t="n">
        <v>2025</v>
      </c>
      <c r="U5326" s="20" t="n">
        <v>2026</v>
      </c>
      <c r="V5326" s="20" t="n">
        <v>2027</v>
      </c>
      <c r="W5326" s="20" t="n">
        <v>2028</v>
      </c>
      <c r="X5326" s="20" t="n">
        <v>2029</v>
      </c>
      <c r="Y5326" s="20" t="n">
        <v>2030</v>
      </c>
      <c r="Z5326" s="20" t="n">
        <v>2031</v>
      </c>
      <c r="AA5326" s="20" t="n">
        <v>2032</v>
      </c>
    </row>
    <row r="5327" customFormat="false" ht="17.15" hidden="false" customHeight="false" outlineLevel="0" collapsed="false">
      <c r="A5327" s="1" t="s">
        <v>551</v>
      </c>
    </row>
    <row r="5328" customFormat="false" ht="17.15" hidden="false" customHeight="false" outlineLevel="0" collapsed="false">
      <c r="A5328" s="14" t="s">
        <v>552</v>
      </c>
      <c r="B5328" s="13" t="s">
        <v>108</v>
      </c>
      <c r="C5328" s="32" t="n">
        <f aca="false">mw_ye24</f>
        <v>360</v>
      </c>
      <c r="D5328" s="32" t="n">
        <f aca="false">mw_ye25</f>
        <v>1440</v>
      </c>
      <c r="E5328" s="32" t="n">
        <f aca="false">mw_open</f>
        <v>2080</v>
      </c>
      <c r="F5328" s="32" t="n">
        <f aca="false">Sens!$E$5328+pace_B*0.5</f>
        <v>3897.15</v>
      </c>
      <c r="G5328" s="32" t="n">
        <f aca="false">Sens!$F$5328</f>
        <v>3897.15</v>
      </c>
      <c r="H5328" s="32" t="n">
        <f aca="false">Sens!$G$5328+pace_B</f>
        <v>7531.45</v>
      </c>
      <c r="I5328" s="32" t="n">
        <f aca="false">Sens!$H$5328+pace_B</f>
        <v>11165.75</v>
      </c>
      <c r="J5328" s="32" t="n">
        <f aca="false">Sens!$I$5328+pace_B</f>
        <v>14800.05</v>
      </c>
      <c r="K5328" s="32" t="n">
        <f aca="false">Sens!$J$5328+pace_B</f>
        <v>18434.35</v>
      </c>
      <c r="L5328" s="32" t="n">
        <f aca="false">Sens!$K$5328+pace_B</f>
        <v>22068.65</v>
      </c>
      <c r="M5328" s="32" t="n">
        <f aca="false">Sens!$L$5328+pace_B</f>
        <v>25702.95</v>
      </c>
      <c r="N5328" s="32" t="n">
        <f aca="false">(mw_ye24+mw_ye25)/2</f>
        <v>900</v>
      </c>
      <c r="O5328" s="32" t="n">
        <f aca="false">mw_ye25</f>
        <v>1440</v>
      </c>
      <c r="P5328" s="5" t="s">
        <v>553</v>
      </c>
    </row>
    <row r="5329" customFormat="false" ht="17.15" hidden="false" customHeight="false" outlineLevel="0" collapsed="false">
      <c r="A5329" s="5" t="s">
        <v>554</v>
      </c>
      <c r="B5329" s="0" t="s">
        <v>108</v>
      </c>
      <c r="C5329" s="33" t="n">
        <f aca="false">(mw_ye23+mw_ye24)/2</f>
        <v>240</v>
      </c>
      <c r="D5329" s="33" t="n">
        <f aca="false">(Sens!$C$5328+Sens!$D$5328)/2</f>
        <v>900</v>
      </c>
      <c r="E5329" s="33" t="n">
        <f aca="false">(Sens!$D$5328+Sens!$E$5328)/2</f>
        <v>1760</v>
      </c>
      <c r="F5329" s="33" t="n">
        <f aca="false">(Sens!$E$5328+Sens!$F$5328)/2</f>
        <v>2988.575</v>
      </c>
      <c r="G5329" s="33" t="n">
        <f aca="false">(Sens!$E$5329+Sens!$F$5329)/2</f>
        <v>2374.2875</v>
      </c>
      <c r="H5329" s="33" t="n">
        <f aca="false">(Sens!$G$5328+Sens!$H$5328)/2</f>
        <v>5714.3</v>
      </c>
      <c r="I5329" s="33" t="n">
        <f aca="false">(Sens!$H$5328+Sens!$I$5328)/2</f>
        <v>9348.6</v>
      </c>
      <c r="J5329" s="33" t="n">
        <f aca="false">(Sens!$I$5328+Sens!$J$5328)/2</f>
        <v>12982.9</v>
      </c>
      <c r="K5329" s="33" t="n">
        <f aca="false">(Sens!$J$5328+Sens!$K$5328)/2</f>
        <v>16617.2</v>
      </c>
      <c r="L5329" s="33" t="n">
        <f aca="false">(Sens!$K$5328+Sens!$L$5328)/2</f>
        <v>20251.5</v>
      </c>
      <c r="M5329" s="33" t="n">
        <f aca="false">(Sens!$L$5328+Sens!$M$5328)/2</f>
        <v>23885.8</v>
      </c>
      <c r="N5329" s="33" t="n">
        <f aca="false">(Sens!$C$5328+Sens!$N$5328)/2</f>
        <v>630</v>
      </c>
      <c r="O5329" s="33" t="n">
        <f aca="false">(Sens!$N$5328+Sens!$O$5328)/2</f>
        <v>1170</v>
      </c>
    </row>
    <row r="5330" customFormat="false" ht="15" hidden="false" customHeight="false" outlineLevel="0" collapsed="false">
      <c r="A5330" s="5" t="s">
        <v>555</v>
      </c>
      <c r="B5330" s="5" t="s">
        <v>102</v>
      </c>
      <c r="C5330" s="34" t="n">
        <v>1</v>
      </c>
      <c r="D5330" s="34" t="n">
        <v>1</v>
      </c>
      <c r="E5330" s="34" t="n">
        <v>0.5</v>
      </c>
      <c r="F5330" s="34" t="n">
        <v>0.5</v>
      </c>
      <c r="G5330" s="34" t="n">
        <v>1</v>
      </c>
      <c r="H5330" s="34" t="n">
        <v>1</v>
      </c>
      <c r="I5330" s="34" t="n">
        <v>1</v>
      </c>
      <c r="J5330" s="34" t="n">
        <v>1</v>
      </c>
      <c r="K5330" s="34" t="n">
        <v>1</v>
      </c>
      <c r="L5330" s="34" t="n">
        <v>1</v>
      </c>
      <c r="M5330" s="34" t="n">
        <v>1</v>
      </c>
      <c r="N5330" s="34" t="n">
        <v>0.5</v>
      </c>
      <c r="O5330" s="34" t="n">
        <v>0.5</v>
      </c>
    </row>
    <row r="5331" customFormat="false" ht="17.15" hidden="false" customHeight="false" outlineLevel="0" collapsed="false">
      <c r="A5331" s="5" t="s">
        <v>556</v>
      </c>
      <c r="B5331" s="0" t="s">
        <v>108</v>
      </c>
      <c r="C5331" s="33" t="n">
        <f aca="false">Sens!$C$5328-mw_ye23</f>
        <v>240</v>
      </c>
      <c r="D5331" s="33" t="n">
        <f aca="false">Sens!$D$5328-Sens!$C$5328</f>
        <v>1080</v>
      </c>
      <c r="E5331" s="33" t="n">
        <f aca="false">Sens!$E$5328-Sens!$D$5328</f>
        <v>640</v>
      </c>
      <c r="F5331" s="33" t="n">
        <f aca="false">Sens!$F$5328-Sens!$E$5328</f>
        <v>1817.15</v>
      </c>
      <c r="G5331" s="33" t="n">
        <f aca="false">Sens!$E$5331+Sens!$F$5331</f>
        <v>2457.15</v>
      </c>
      <c r="H5331" s="33" t="n">
        <f aca="false">Sens!$H$5328-Sens!$G$5328</f>
        <v>3634.3</v>
      </c>
      <c r="I5331" s="33" t="n">
        <f aca="false">Sens!$I$5328-Sens!$H$5328</f>
        <v>3634.3</v>
      </c>
      <c r="J5331" s="33" t="n">
        <f aca="false">Sens!$J$5328-Sens!$I$5328</f>
        <v>3634.3</v>
      </c>
      <c r="K5331" s="33" t="n">
        <f aca="false">Sens!$K$5328-Sens!$J$5328</f>
        <v>3634.3</v>
      </c>
      <c r="L5331" s="33" t="n">
        <f aca="false">Sens!$L$5328-Sens!$K$5328</f>
        <v>3634.3</v>
      </c>
      <c r="M5331" s="33" t="n">
        <f aca="false">Sens!$M$5328-Sens!$L$5328</f>
        <v>3634.3</v>
      </c>
      <c r="N5331" s="33" t="n">
        <f aca="false">Sens!$N$5328-Sens!$C$5328</f>
        <v>540</v>
      </c>
      <c r="O5331" s="33" t="n">
        <f aca="false">Sens!$O$5328-Sens!$N$5328</f>
        <v>540</v>
      </c>
    </row>
    <row r="5332" customFormat="false" ht="17.15" hidden="false" customHeight="false" outlineLevel="0" collapsed="false">
      <c r="A5332" s="5" t="s">
        <v>557</v>
      </c>
      <c r="B5332" s="0" t="s">
        <v>108</v>
      </c>
      <c r="C5332" s="33" t="n">
        <f aca="false">Sens!$C$5331/ext_sh</f>
        <v>300</v>
      </c>
      <c r="D5332" s="33" t="n">
        <f aca="false">Sens!$D$5331/ext_sh</f>
        <v>1350</v>
      </c>
      <c r="E5332" s="33" t="n">
        <f aca="false">Sens!$E$5331/ext_sh</f>
        <v>800</v>
      </c>
      <c r="F5332" s="33" t="n">
        <f aca="false">Sens!$F$5331/ext_sh</f>
        <v>2271.4375</v>
      </c>
      <c r="G5332" s="33" t="n">
        <f aca="false">Sens!$G$5331/ext_sh</f>
        <v>3071.4375</v>
      </c>
      <c r="H5332" s="33" t="n">
        <f aca="false">Sens!$H$5331/ext_sh</f>
        <v>4542.875</v>
      </c>
      <c r="I5332" s="33" t="n">
        <f aca="false">Sens!$I$5331/ext_sh</f>
        <v>4542.875</v>
      </c>
      <c r="J5332" s="33" t="n">
        <f aca="false">Sens!$J$5331/ext_sh</f>
        <v>4542.875</v>
      </c>
      <c r="K5332" s="33" t="n">
        <f aca="false">Sens!$K$5331/ext_sh</f>
        <v>4542.875</v>
      </c>
      <c r="L5332" s="33" t="n">
        <f aca="false">Sens!$L$5331/ext_sh</f>
        <v>4542.875</v>
      </c>
      <c r="M5332" s="33" t="n">
        <f aca="false">Sens!$M$5331/ext_sh</f>
        <v>4542.875</v>
      </c>
      <c r="N5332" s="33" t="n">
        <f aca="false">Sens!$N$5331/ext_sh</f>
        <v>675</v>
      </c>
      <c r="O5332" s="33" t="n">
        <f aca="false">Sens!$O$5331/ext_sh</f>
        <v>675</v>
      </c>
      <c r="P5332" s="8" t="s">
        <v>558</v>
      </c>
      <c r="R5332" s="33" t="n">
        <f aca="false">mw_ye23/ext_sh</f>
        <v>150</v>
      </c>
      <c r="S5332" s="33" t="n">
        <f aca="false">Sens!$C$5332</f>
        <v>300</v>
      </c>
      <c r="T5332" s="33" t="n">
        <f aca="false">Sens!$D$5332</f>
        <v>1350</v>
      </c>
      <c r="U5332" s="33" t="n">
        <f aca="false">Sens!$G$5332</f>
        <v>3071.4375</v>
      </c>
      <c r="V5332" s="33" t="n">
        <f aca="false">Sens!$H$5332</f>
        <v>4542.875</v>
      </c>
      <c r="W5332" s="33" t="n">
        <f aca="false">Sens!$I$5332</f>
        <v>4542.875</v>
      </c>
      <c r="X5332" s="33" t="n">
        <f aca="false">Sens!$J$5332</f>
        <v>4542.875</v>
      </c>
      <c r="Y5332" s="33" t="n">
        <f aca="false">Sens!$K$5332</f>
        <v>4542.875</v>
      </c>
      <c r="Z5332" s="33" t="n">
        <f aca="false">Sens!$L$5332</f>
        <v>4542.875</v>
      </c>
      <c r="AA5332" s="33" t="n">
        <f aca="false">Sens!$M$5332</f>
        <v>4542.875</v>
      </c>
    </row>
    <row r="5333" customFormat="false" ht="17.15" hidden="false" customHeight="false" outlineLevel="0" collapsed="false">
      <c r="A5333" s="1" t="s">
        <v>559</v>
      </c>
    </row>
    <row r="5334" customFormat="false" ht="17.15" hidden="false" customHeight="false" outlineLevel="0" collapsed="false">
      <c r="A5334" s="0" t="s">
        <v>560</v>
      </c>
      <c r="B5334" s="0" t="s">
        <v>52</v>
      </c>
      <c r="F5334" s="35" t="n">
        <f aca="false">na_vr26</f>
        <v>0</v>
      </c>
      <c r="G5334" s="35" t="n">
        <f aca="false">na_vr26</f>
        <v>0</v>
      </c>
      <c r="H5334" s="35" t="n">
        <f aca="false">na_vr27</f>
        <v>0.5</v>
      </c>
      <c r="I5334" s="35" t="n">
        <f aca="false">na_vr28</f>
        <v>1</v>
      </c>
      <c r="J5334" s="35" t="n">
        <f aca="false">na_vr28</f>
        <v>1</v>
      </c>
      <c r="K5334" s="35" t="n">
        <f aca="false">na_vr28</f>
        <v>1</v>
      </c>
      <c r="L5334" s="35" t="n">
        <f aca="false">na_vr28</f>
        <v>1</v>
      </c>
      <c r="M5334" s="35" t="n">
        <f aca="false">na_vr28</f>
        <v>1</v>
      </c>
    </row>
    <row r="5335" customFormat="false" ht="17.15" hidden="false" customHeight="false" outlineLevel="0" collapsed="false">
      <c r="A5335" s="5" t="s">
        <v>561</v>
      </c>
      <c r="B5335" s="0" t="s">
        <v>151</v>
      </c>
      <c r="F5335" s="36" t="n">
        <f aca="false">cust_sh*tk_he_gb300*cf_chip+(1-cust_sh)*((1-Sens!$F$5334)*tk_he_gb300+Sens!$F$5334*tk_he_vr200)</f>
        <v>10.8864110021101</v>
      </c>
      <c r="G5335" s="36" t="n">
        <f aca="false">cust_sh*tk_he_gb300*cf_chip+(1-cust_sh)*((1-Sens!$G$5334)*tk_he_gb300+Sens!$G$5334*tk_he_vr200)</f>
        <v>10.8864110021101</v>
      </c>
      <c r="H5335" s="36" t="n">
        <f aca="false">cust_sh*tk_he_gb300*cf_chip+(1-cust_sh)*((1-Sens!$H$5334)*tk_he_gb300+Sens!$H$5334*tk_he_vr200)</f>
        <v>11.2211760027286</v>
      </c>
      <c r="I5335" s="36" t="n">
        <f aca="false">cust_sh*tk_he_gb300*cf_chip+(1-cust_sh)*((1-Sens!$I$5334)*tk_he_gb300+Sens!$I$5334*tk_he_vr200)</f>
        <v>11.5559410033471</v>
      </c>
      <c r="J5335" s="36" t="n">
        <f aca="false">cust_sh*tk_he_gb300*cf_chip+(1-cust_sh)*((1-Sens!$J$5334)*tk_he_gb300+Sens!$J$5334*tk_he_vr200)</f>
        <v>11.5559410033471</v>
      </c>
      <c r="K5335" s="36" t="n">
        <f aca="false">cust_sh*tk_he_gb300*cf_chip+(1-cust_sh)*((1-Sens!$K$5334)*tk_he_gb300+Sens!$K$5334*tk_he_vr200)</f>
        <v>11.5559410033471</v>
      </c>
      <c r="L5335" s="36" t="n">
        <f aca="false">cust_sh*tk_he_gb300*cf_chip+(1-cust_sh)*((1-Sens!$L$5334)*tk_he_gb300+Sens!$L$5334*tk_he_vr200)</f>
        <v>11.5559410033471</v>
      </c>
      <c r="M5335" s="36" t="n">
        <f aca="false">cust_sh*tk_he_gb300*cf_chip+(1-cust_sh)*((1-Sens!$M$5334)*tk_he_gb300+Sens!$M$5334*tk_he_vr200)</f>
        <v>11.5559410033471</v>
      </c>
    </row>
    <row r="5336" customFormat="false" ht="17.15" hidden="false" customHeight="false" outlineLevel="0" collapsed="false">
      <c r="A5336" s="5" t="s">
        <v>562</v>
      </c>
      <c r="B5336" s="0" t="s">
        <v>151</v>
      </c>
      <c r="F5336" s="36" t="n">
        <f aca="false">cust_sh*tk_ox_gb300+(1-cust_sh)*((1-Sens!$F$5334)*tk_ox_gb300+Sens!$F$5334*tk_ox_vr200)</f>
        <v>1.98263481314457</v>
      </c>
      <c r="G5336" s="36" t="n">
        <f aca="false">cust_sh*tk_ox_gb300+(1-cust_sh)*((1-Sens!$G$5334)*tk_ox_gb300+Sens!$G$5334*tk_ox_vr200)</f>
        <v>1.98263481314457</v>
      </c>
      <c r="H5336" s="36" t="n">
        <f aca="false">cust_sh*tk_ox_gb300+(1-cust_sh)*((1-Sens!$H$5334)*tk_ox_gb300+Sens!$H$5334*tk_ox_vr200)</f>
        <v>2.01034999693694</v>
      </c>
      <c r="I5336" s="36" t="n">
        <f aca="false">cust_sh*tk_ox_gb300+(1-cust_sh)*((1-Sens!$I$5334)*tk_ox_gb300+Sens!$I$5334*tk_ox_vr200)</f>
        <v>2.0380651807293</v>
      </c>
      <c r="J5336" s="36" t="n">
        <f aca="false">cust_sh*tk_ox_gb300+(1-cust_sh)*((1-Sens!$J$5334)*tk_ox_gb300+Sens!$J$5334*tk_ox_vr200)</f>
        <v>2.0380651807293</v>
      </c>
      <c r="K5336" s="36" t="n">
        <f aca="false">cust_sh*tk_ox_gb300+(1-cust_sh)*((1-Sens!$K$5334)*tk_ox_gb300+Sens!$K$5334*tk_ox_vr200)</f>
        <v>2.0380651807293</v>
      </c>
      <c r="L5336" s="36" t="n">
        <f aca="false">cust_sh*tk_ox_gb300+(1-cust_sh)*((1-Sens!$L$5334)*tk_ox_gb300+Sens!$L$5334*tk_ox_vr200)</f>
        <v>2.0380651807293</v>
      </c>
      <c r="M5336" s="36" t="n">
        <f aca="false">cust_sh*tk_ox_gb300+(1-cust_sh)*((1-Sens!$M$5334)*tk_ox_gb300+Sens!$M$5334*tk_ox_vr200)</f>
        <v>2.0380651807293</v>
      </c>
    </row>
    <row r="5337" customFormat="false" ht="17.15" hidden="false" customHeight="false" outlineLevel="0" collapsed="false">
      <c r="A5337" s="5" t="s">
        <v>563</v>
      </c>
      <c r="B5337" s="0" t="s">
        <v>170</v>
      </c>
      <c r="F5337" s="36" t="n">
        <f aca="false">cust_sh*tk_cx_gb300*cf_cx+(1-cust_sh)*((1-Sens!$F$5334)*tk_cx_gb300+Sens!$F$5334*tk_cx_vr200)</f>
        <v>32.237224</v>
      </c>
      <c r="G5337" s="36" t="n">
        <f aca="false">cust_sh*tk_cx_gb300*cf_cx+(1-cust_sh)*((1-Sens!$G$5334)*tk_cx_gb300+Sens!$G$5334*tk_cx_vr200)</f>
        <v>32.237224</v>
      </c>
      <c r="H5337" s="36" t="n">
        <f aca="false">cust_sh*tk_cx_gb300*cf_cx+(1-cust_sh)*((1-Sens!$H$5334)*tk_cx_gb300+Sens!$H$5334*tk_cx_vr200)</f>
        <v>33.574506</v>
      </c>
      <c r="I5337" s="36" t="n">
        <f aca="false">cust_sh*tk_cx_gb300*cf_cx+(1-cust_sh)*((1-Sens!$I$5334)*tk_cx_gb300+Sens!$I$5334*tk_cx_vr200)</f>
        <v>34.911788</v>
      </c>
      <c r="J5337" s="36" t="n">
        <f aca="false">cust_sh*tk_cx_gb300*cf_cx+(1-cust_sh)*((1-Sens!$J$5334)*tk_cx_gb300+Sens!$J$5334*tk_cx_vr200)</f>
        <v>34.911788</v>
      </c>
      <c r="K5337" s="36" t="n">
        <f aca="false">cust_sh*tk_cx_gb300*cf_cx+(1-cust_sh)*((1-Sens!$K$5334)*tk_cx_gb300+Sens!$K$5334*tk_cx_vr200)</f>
        <v>34.911788</v>
      </c>
      <c r="L5337" s="36" t="n">
        <f aca="false">cust_sh*tk_cx_gb300*cf_cx+(1-cust_sh)*((1-Sens!$L$5334)*tk_cx_gb300+Sens!$L$5334*tk_cx_vr200)</f>
        <v>34.911788</v>
      </c>
      <c r="M5337" s="36" t="n">
        <f aca="false">cust_sh*tk_cx_gb300*cf_cx+(1-cust_sh)*((1-Sens!$M$5334)*tk_cx_gb300+Sens!$M$5334*tk_cx_vr200)</f>
        <v>34.911788</v>
      </c>
    </row>
    <row r="5338" customFormat="false" ht="17.15" hidden="false" customHeight="false" outlineLevel="0" collapsed="false">
      <c r="A5338" s="5" t="s">
        <v>564</v>
      </c>
      <c r="B5338" s="0" t="s">
        <v>108</v>
      </c>
      <c r="F5338" s="33" t="n">
        <f aca="false">Sens!$F$5328-mw_open</f>
        <v>1817.15</v>
      </c>
      <c r="G5338" s="33" t="n">
        <f aca="false">Sens!$F$5338</f>
        <v>1817.15</v>
      </c>
      <c r="H5338" s="33" t="n">
        <f aca="false">Sens!$H$5328-mw_open</f>
        <v>5451.45</v>
      </c>
      <c r="I5338" s="33" t="n">
        <f aca="false">Sens!$I$5328-mw_open</f>
        <v>9085.75</v>
      </c>
      <c r="J5338" s="33" t="n">
        <f aca="false">Sens!$J$5328-mw_open</f>
        <v>12720.05</v>
      </c>
      <c r="K5338" s="33" t="n">
        <f aca="false">Sens!$K$5328-mw_open</f>
        <v>16354.35</v>
      </c>
      <c r="L5338" s="33" t="n">
        <f aca="false">Sens!$L$5328-mw_open</f>
        <v>19988.65</v>
      </c>
      <c r="M5338" s="33" t="n">
        <f aca="false">Sens!$M$5328-mw_open</f>
        <v>23622.95</v>
      </c>
    </row>
    <row r="5339" customFormat="false" ht="17.15" hidden="false" customHeight="false" outlineLevel="0" collapsed="false">
      <c r="A5339" s="0" t="s">
        <v>565</v>
      </c>
      <c r="B5339" s="0" t="s">
        <v>566</v>
      </c>
      <c r="F5339" s="33" t="n">
        <f aca="false">Sens!$F$5331*Sens!$F$5335</f>
        <v>19782.2417524844</v>
      </c>
      <c r="G5339" s="33" t="n">
        <f aca="false">Sens!$F$5339</f>
        <v>19782.2417524844</v>
      </c>
      <c r="H5339" s="33" t="n">
        <f aca="false">Sens!$G$5339+Sens!$H$5331*Sens!$H$5335</f>
        <v>60563.3616992009</v>
      </c>
      <c r="I5339" s="33" t="n">
        <f aca="false">Sens!$H$5339+Sens!$I$5331*Sens!$I$5335</f>
        <v>102561.118087665</v>
      </c>
      <c r="J5339" s="33" t="n">
        <f aca="false">Sens!$I$5339+Sens!$J$5331*Sens!$J$5335</f>
        <v>144558.87447613</v>
      </c>
      <c r="K5339" s="33" t="n">
        <f aca="false">Sens!$J$5339+Sens!$K$5331*Sens!$K$5335</f>
        <v>186556.630864594</v>
      </c>
      <c r="L5339" s="33" t="n">
        <f aca="false">Sens!$K$5339+Sens!$L$5331*Sens!$L$5335</f>
        <v>228554.387253058</v>
      </c>
      <c r="M5339" s="33" t="n">
        <f aca="false">Sens!$L$5339+Sens!$M$5331*Sens!$M$5335</f>
        <v>270552.143641523</v>
      </c>
    </row>
    <row r="5340" customFormat="false" ht="17.15" hidden="false" customHeight="false" outlineLevel="0" collapsed="false">
      <c r="A5340" s="0" t="s">
        <v>567</v>
      </c>
      <c r="B5340" s="0" t="s">
        <v>566</v>
      </c>
      <c r="F5340" s="33" t="n">
        <f aca="false">Sens!$F$5331*Sens!$F$5336</f>
        <v>3602.74485070566</v>
      </c>
      <c r="G5340" s="33" t="n">
        <f aca="false">Sens!$F$5340</f>
        <v>3602.74485070566</v>
      </c>
      <c r="H5340" s="33" t="n">
        <f aca="false">Sens!$G$5340+Sens!$H$5331*Sens!$H$5336</f>
        <v>10908.9598445736</v>
      </c>
      <c r="I5340" s="33" t="n">
        <f aca="false">Sens!$H$5340+Sens!$I$5331*Sens!$I$5336</f>
        <v>18315.9001308981</v>
      </c>
      <c r="J5340" s="33" t="n">
        <f aca="false">Sens!$I$5340+Sens!$J$5331*Sens!$J$5336</f>
        <v>25722.8404172225</v>
      </c>
      <c r="K5340" s="33" t="n">
        <f aca="false">Sens!$J$5340+Sens!$K$5331*Sens!$K$5336</f>
        <v>33129.780703547</v>
      </c>
      <c r="L5340" s="33" t="n">
        <f aca="false">Sens!$K$5340+Sens!$L$5331*Sens!$L$5336</f>
        <v>40536.7209898715</v>
      </c>
      <c r="M5340" s="33" t="n">
        <f aca="false">Sens!$L$5340+Sens!$M$5331*Sens!$M$5336</f>
        <v>47943.661276196</v>
      </c>
    </row>
    <row r="5341" customFormat="false" ht="17.15" hidden="false" customHeight="false" outlineLevel="0" collapsed="false">
      <c r="A5341" s="5" t="s">
        <v>568</v>
      </c>
      <c r="B5341" s="0" t="s">
        <v>151</v>
      </c>
      <c r="F5341" s="36" t="n">
        <f aca="false">IF(Sens!$F$5338&gt;0,Sens!$F$5339/Sens!$F$5338,Sens!$F$5335)</f>
        <v>10.8864110021101</v>
      </c>
      <c r="G5341" s="36" t="n">
        <f aca="false">IF(Sens!$G$5338&gt;0,Sens!$G$5339/Sens!$G$5338,Sens!$G$5335)</f>
        <v>10.8864110021101</v>
      </c>
      <c r="H5341" s="36" t="n">
        <f aca="false">IF(Sens!$H$5338&gt;0,Sens!$H$5339/Sens!$H$5338,Sens!$H$5335)</f>
        <v>11.1095876691891</v>
      </c>
      <c r="I5341" s="36" t="n">
        <f aca="false">IF(Sens!$I$5338&gt;0,Sens!$I$5339/Sens!$I$5338,Sens!$I$5335)</f>
        <v>11.2881290028523</v>
      </c>
      <c r="J5341" s="36" t="n">
        <f aca="false">IF(Sens!$J$5338&gt;0,Sens!$J$5339/Sens!$J$5338,Sens!$J$5335)</f>
        <v>11.3646467172794</v>
      </c>
      <c r="K5341" s="36" t="n">
        <f aca="false">IF(Sens!$K$5338&gt;0,Sens!$K$5339/Sens!$K$5338,Sens!$K$5335)</f>
        <v>11.4071565586278</v>
      </c>
      <c r="L5341" s="36" t="n">
        <f aca="false">IF(Sens!$L$5338&gt;0,Sens!$L$5339/Sens!$L$5338,Sens!$L$5335)</f>
        <v>11.4342082758495</v>
      </c>
      <c r="M5341" s="36" t="n">
        <f aca="false">IF(Sens!$M$5338&gt;0,Sens!$M$5339/Sens!$M$5338,Sens!$M$5335)</f>
        <v>11.4529363877722</v>
      </c>
    </row>
    <row r="5342" customFormat="false" ht="17.15" hidden="false" customHeight="false" outlineLevel="0" collapsed="false">
      <c r="A5342" s="5" t="s">
        <v>569</v>
      </c>
      <c r="B5342" s="0" t="s">
        <v>151</v>
      </c>
      <c r="F5342" s="36" t="n">
        <f aca="false">IF(Sens!$F$5338&gt;0,Sens!$F$5340/Sens!$F$5338,Sens!$F$5336)</f>
        <v>1.98263481314457</v>
      </c>
      <c r="G5342" s="36" t="n">
        <f aca="false">IF(Sens!$G$5338&gt;0,Sens!$G$5340/Sens!$G$5338,Sens!$G$5336)</f>
        <v>1.98263481314457</v>
      </c>
      <c r="H5342" s="36" t="n">
        <f aca="false">IF(Sens!$H$5338&gt;0,Sens!$H$5340/Sens!$H$5338,Sens!$H$5336)</f>
        <v>2.00111160233948</v>
      </c>
      <c r="I5342" s="36" t="n">
        <f aca="false">IF(Sens!$I$5338&gt;0,Sens!$I$5340/Sens!$I$5338,Sens!$I$5336)</f>
        <v>2.01589303369541</v>
      </c>
      <c r="J5342" s="36" t="n">
        <f aca="false">IF(Sens!$J$5338&gt;0,Sens!$J$5340/Sens!$J$5338,Sens!$J$5336)</f>
        <v>2.02222793284795</v>
      </c>
      <c r="K5342" s="36" t="n">
        <f aca="false">IF(Sens!$K$5338&gt;0,Sens!$K$5340/Sens!$K$5338,Sens!$K$5336)</f>
        <v>2.02574732126603</v>
      </c>
      <c r="L5342" s="36" t="n">
        <f aca="false">IF(Sens!$L$5338&gt;0,Sens!$L$5340/Sens!$L$5338,Sens!$L$5336)</f>
        <v>2.02798693207753</v>
      </c>
      <c r="M5342" s="36" t="n">
        <f aca="false">IF(Sens!$M$5338&gt;0,Sens!$M$5340/Sens!$M$5338,Sens!$M$5336)</f>
        <v>2.02953743187011</v>
      </c>
    </row>
    <row r="5343" customFormat="false" ht="17.15" hidden="false" customHeight="false" outlineLevel="0" collapsed="false">
      <c r="A5343" s="14" t="s">
        <v>570</v>
      </c>
      <c r="B5343" s="13" t="s">
        <v>151</v>
      </c>
      <c r="C5343" s="13"/>
      <c r="D5343" s="13"/>
      <c r="E5343" s="13"/>
      <c r="F5343" s="37" t="n">
        <f aca="false">Sens!$F$5341*k_B</f>
        <v>10.7987645808025</v>
      </c>
      <c r="G5343" s="37" t="n">
        <f aca="false">Sens!$G$5341*k_B</f>
        <v>10.7987645808025</v>
      </c>
      <c r="H5343" s="37" t="n">
        <f aca="false">Sens!$H$5341*k_B</f>
        <v>11.0201444540452</v>
      </c>
      <c r="I5343" s="37" t="n">
        <f aca="false">Sens!$I$5341*k_B</f>
        <v>11.1972483526393</v>
      </c>
      <c r="J5343" s="37" t="n">
        <f aca="false">Sens!$J$5341*k_B</f>
        <v>11.2731500234653</v>
      </c>
      <c r="K5343" s="37" t="n">
        <f aca="false">Sens!$K$5341*k_B</f>
        <v>11.3153176183687</v>
      </c>
      <c r="L5343" s="37" t="n">
        <f aca="false">Sens!$L$5341*k_B</f>
        <v>11.3421515423981</v>
      </c>
      <c r="M5343" s="37" t="n">
        <f aca="false">Sens!$M$5341*k_B</f>
        <v>11.3607288744184</v>
      </c>
      <c r="N5343" s="13"/>
      <c r="O5343" s="13"/>
      <c r="P5343" s="5" t="s">
        <v>571</v>
      </c>
    </row>
    <row r="5344" customFormat="false" ht="17.15" hidden="false" customHeight="false" outlineLevel="0" collapsed="false">
      <c r="A5344" s="5" t="s">
        <v>572</v>
      </c>
      <c r="B5344" s="0" t="s">
        <v>108</v>
      </c>
      <c r="F5344" s="33" t="n">
        <f aca="false">Sens!$F$5338/2</f>
        <v>908.575</v>
      </c>
      <c r="H5344" s="33" t="n">
        <f aca="false">(Sens!$G$5338+Sens!$H$5338)/2</f>
        <v>3634.3</v>
      </c>
      <c r="I5344" s="33" t="n">
        <f aca="false">(Sens!$H$5338+Sens!$I$5338)/2</f>
        <v>7268.6</v>
      </c>
      <c r="J5344" s="33" t="n">
        <f aca="false">(Sens!$I$5338+Sens!$J$5338)/2</f>
        <v>10902.9</v>
      </c>
      <c r="K5344" s="33" t="n">
        <f aca="false">(Sens!$J$5338+Sens!$K$5338)/2</f>
        <v>14537.2</v>
      </c>
      <c r="L5344" s="33" t="n">
        <f aca="false">(Sens!$K$5338+Sens!$L$5338)/2</f>
        <v>18171.5</v>
      </c>
      <c r="M5344" s="33" t="n">
        <f aca="false">(Sens!$L$5338+Sens!$M$5338)/2</f>
        <v>21805.8</v>
      </c>
    </row>
    <row r="5345" customFormat="false" ht="17.15" hidden="false" customHeight="false" outlineLevel="0" collapsed="false">
      <c r="A5345" s="1" t="s">
        <v>573</v>
      </c>
    </row>
    <row r="5346" customFormat="false" ht="17.15" hidden="false" customHeight="false" outlineLevel="0" collapsed="false">
      <c r="A5346" s="1" t="s">
        <v>574</v>
      </c>
      <c r="B5346" s="8" t="s">
        <v>73</v>
      </c>
      <c r="C5346" s="38" t="n">
        <f aca="false">Sens!$C$5329*rpm_open*Sens!$C$5330/1000</f>
        <v>2.32100535697364</v>
      </c>
      <c r="D5346" s="38" t="n">
        <f aca="false">Sens!$D$5329*rpm_open*Sens!$D$5330/1000</f>
        <v>8.70377008865116</v>
      </c>
      <c r="E5346" s="38" t="n">
        <f aca="false">Sens!$E$5329*rpm_open*Sens!$E$5330/1000</f>
        <v>8.51035297557002</v>
      </c>
      <c r="F5346" s="38" t="n">
        <f aca="false">(mw_open*rpm_open+Sens!$F$5344*Sens!$F$5343)*Sens!$F$5330/1000</f>
        <v>14.9634336447205</v>
      </c>
      <c r="G5346" s="38" t="n">
        <f aca="false">Sens!$E$5346+Sens!$F$5346</f>
        <v>23.4737866202905</v>
      </c>
      <c r="H5346" s="38" t="n">
        <f aca="false">(mw_open*rpm_open+Sens!$H$5344*Sens!$H$5343)/1000</f>
        <v>60.1658907497746</v>
      </c>
      <c r="I5346" s="38" t="n">
        <f aca="false">(mw_open*rpm_open+Sens!$I$5344*Sens!$I$5343)/1000</f>
        <v>101.503699136432</v>
      </c>
      <c r="J5346" s="38" t="n">
        <f aca="false">(mw_open*rpm_open+Sens!$J$5344*Sens!$J$5343)/1000</f>
        <v>143.025407151278</v>
      </c>
      <c r="K5346" s="38" t="n">
        <f aca="false">(mw_open*rpm_open+Sens!$K$5344*Sens!$K$5343)/1000</f>
        <v>184.608415042187</v>
      </c>
      <c r="L5346" s="38" t="n">
        <f aca="false">(mw_open*rpm_open+Sens!$L$5344*Sens!$L$5343)/1000</f>
        <v>226.219286513125</v>
      </c>
      <c r="M5346" s="38" t="n">
        <f aca="false">(mw_open*rpm_open+Sens!$M$5344*Sens!$M$5343)/1000</f>
        <v>267.845161450232</v>
      </c>
      <c r="N5346" s="38" t="n">
        <f aca="false">Sens!$N$5329*rpm_open*Sens!$N$5330/1000</f>
        <v>3.04631953102791</v>
      </c>
      <c r="O5346" s="38" t="n">
        <f aca="false">Sens!$O$5329*rpm_open*Sens!$O$5330/1000</f>
        <v>5.65745055762326</v>
      </c>
      <c r="P5346" s="5" t="s">
        <v>575</v>
      </c>
    </row>
    <row r="5347" customFormat="false" ht="17.15" hidden="false" customHeight="false" outlineLevel="0" collapsed="false">
      <c r="A5347" s="5" t="s">
        <v>576</v>
      </c>
      <c r="B5347" s="0" t="s">
        <v>151</v>
      </c>
      <c r="C5347" s="36" t="n">
        <f aca="false">Sens!$C$5346*1000/(Sens!$C$5329*Sens!$C$5330)</f>
        <v>9.67085565405685</v>
      </c>
      <c r="D5347" s="36" t="n">
        <f aca="false">Sens!$D$5346*1000/(Sens!$D$5329*Sens!$D$5330)</f>
        <v>9.67085565405685</v>
      </c>
      <c r="E5347" s="36" t="n">
        <f aca="false">Sens!$E$5346*1000/(Sens!$E$5329*Sens!$E$5330)</f>
        <v>9.67085565405685</v>
      </c>
      <c r="F5347" s="36" t="n">
        <f aca="false">Sens!$F$5346*1000/(Sens!$F$5329*Sens!$F$5330)</f>
        <v>10.0137581588017</v>
      </c>
      <c r="G5347" s="36" t="n">
        <f aca="false">Sens!$G$5346*1000/(Sens!$G$5329*Sens!$G$5330)</f>
        <v>9.88666562928478</v>
      </c>
      <c r="H5347" s="36" t="n">
        <f aca="false">Sens!$H$5346*1000/(Sens!$H$5329*Sens!$H$5330)</f>
        <v>10.5290045586992</v>
      </c>
      <c r="I5347" s="36" t="n">
        <f aca="false">Sens!$I$5346*1000/(Sens!$I$5329*Sens!$I$5330)</f>
        <v>10.8576363451674</v>
      </c>
      <c r="J5347" s="36" t="n">
        <f aca="false">Sens!$J$5346*1000/(Sens!$J$5329*Sens!$J$5330)</f>
        <v>11.0164452588619</v>
      </c>
      <c r="K5347" s="36" t="n">
        <f aca="false">Sens!$K$5346*1000/(Sens!$K$5329*Sens!$K$5330)</f>
        <v>11.1094778327388</v>
      </c>
      <c r="L5347" s="36" t="n">
        <f aca="false">Sens!$L$5346*1000/(Sens!$L$5329*Sens!$L$5330)</f>
        <v>11.1704953466718</v>
      </c>
      <c r="M5347" s="36" t="n">
        <f aca="false">Sens!$M$5346*1000/(Sens!$M$5329*Sens!$M$5330)</f>
        <v>11.2135729785158</v>
      </c>
      <c r="N5347" s="36" t="n">
        <f aca="false">Sens!$N$5346*1000/(Sens!$N$5329*Sens!$N$5330)</f>
        <v>9.67085565405685</v>
      </c>
      <c r="O5347" s="36" t="n">
        <f aca="false">Sens!$O$5346*1000/(Sens!$O$5329*Sens!$O$5330)</f>
        <v>9.67085565405685</v>
      </c>
    </row>
    <row r="5348" customFormat="false" ht="17.15" hidden="false" customHeight="false" outlineLevel="0" collapsed="false">
      <c r="A5348" s="0" t="s">
        <v>577</v>
      </c>
      <c r="B5348" s="0" t="s">
        <v>73</v>
      </c>
      <c r="C5348" s="38" t="n">
        <f aca="false">Sens!$C$5329/ext_sh*(ox_open+rent_mw)*Sens!$C$5330/1000</f>
        <v>0.642569210675032</v>
      </c>
      <c r="D5348" s="38" t="n">
        <f aca="false">Sens!$D$5329/ext_sh*(ox_open+rent_mw)*Sens!$D$5330/1000</f>
        <v>2.40963454003137</v>
      </c>
      <c r="E5348" s="38" t="n">
        <f aca="false">Sens!$E$5329/ext_sh*(ox_open+rent_mw)*Sens!$E$5330/1000</f>
        <v>2.35608710580845</v>
      </c>
      <c r="F5348" s="38" t="n">
        <f aca="false">((mw_open*ox_open+Sens!$F$5344*Sens!$F$5342)/ext_sh+Sens!$F$5329/ext_sh*rent_mw)*Sens!$F$5330/1000</f>
        <v>4.05421991106232</v>
      </c>
      <c r="G5348" s="38" t="n">
        <f aca="false">Sens!$E$5348+Sens!$F$5348</f>
        <v>6.41030701687077</v>
      </c>
      <c r="H5348" s="38" t="n">
        <f aca="false">((mw_open*ox_open+Sens!$H$5344*Sens!$H$5342)/ext_sh+Sens!$H$5329/ext_sh*rent_mw)*Sens!$H$5330/1000</f>
        <v>15.8108975546616</v>
      </c>
      <c r="I5348" s="38" t="n">
        <f aca="false">((mw_open*ox_open+Sens!$I$5344*Sens!$I$5342)/ext_sh+Sens!$I$5329/ext_sh*rent_mw)*Sens!$I$5330/1000</f>
        <v>26.1871623400817</v>
      </c>
      <c r="J5348" s="38" t="n">
        <f aca="false">((mw_open*ox_open+Sens!$J$5344*Sens!$J$5342)/ext_sh+Sens!$J$5329/ext_sh*rent_mw)*Sens!$J$5330/1000</f>
        <v>36.5826128954935</v>
      </c>
      <c r="K5348" s="38" t="n">
        <f aca="false">((mw_open*ox_open+Sens!$K$5344*Sens!$K$5342)/ext_sh+Sens!$K$5329/ext_sh*rent_mw)*Sens!$K$5330/1000</f>
        <v>46.9844587075692</v>
      </c>
      <c r="L5348" s="38" t="n">
        <f aca="false">((mw_open*ox_open+Sens!$L$5344*Sens!$L$5342)/ext_sh+Sens!$L$5329/ext_sh*rent_mw)*Sens!$L$5330/1000</f>
        <v>57.3892114544922</v>
      </c>
      <c r="M5348" s="38" t="n">
        <f aca="false">((mw_open*ox_open+Sens!$M$5344*Sens!$M$5342)/ext_sh+Sens!$M$5329/ext_sh*rent_mw)*Sens!$M$5330/1000</f>
        <v>67.7955294740252</v>
      </c>
      <c r="N5348" s="38" t="n">
        <f aca="false">Sens!$N$5329/ext_sh*(ox_open+rent_mw)*Sens!$N$5330/1000</f>
        <v>0.84337208901098</v>
      </c>
      <c r="O5348" s="38" t="n">
        <f aca="false">Sens!$O$5329/ext_sh*(ox_open+rent_mw)*Sens!$O$5330/1000</f>
        <v>1.56626245102039</v>
      </c>
    </row>
    <row r="5349" customFormat="false" ht="17.15" hidden="false" customHeight="false" outlineLevel="0" collapsed="false">
      <c r="A5349" s="0" t="s">
        <v>578</v>
      </c>
      <c r="B5349" s="0" t="s">
        <v>73</v>
      </c>
      <c r="C5349" s="38" t="n">
        <f aca="false">Q!$D$7</f>
        <v>107.556</v>
      </c>
      <c r="D5349" s="38" t="n">
        <f aca="false">Q!$E$7</f>
        <v>128.725</v>
      </c>
      <c r="E5349" s="38" t="n">
        <f aca="false">Q!$P$7</f>
        <v>79.819</v>
      </c>
      <c r="N5349" s="38" t="n">
        <f aca="false">Q!$N$7</f>
        <v>60.14</v>
      </c>
      <c r="O5349" s="38" t="n">
        <f aca="false">Q!$O$7</f>
        <v>68.585</v>
      </c>
    </row>
    <row r="5350" customFormat="false" ht="17.15" hidden="false" customHeight="false" outlineLevel="0" collapsed="false">
      <c r="A5350" s="1" t="s">
        <v>579</v>
      </c>
      <c r="B5350" s="8" t="s">
        <v>73</v>
      </c>
      <c r="C5350" s="38" t="n">
        <f aca="false">Sens!$C$5349-Sens!$C$5346</f>
        <v>105.234994643026</v>
      </c>
      <c r="D5350" s="38" t="n">
        <f aca="false">Sens!$D$5349-Sens!$D$5346</f>
        <v>120.021229911349</v>
      </c>
      <c r="E5350" s="38" t="n">
        <f aca="false">Sens!$E$5349-Sens!$E$5346</f>
        <v>71.30864702443</v>
      </c>
      <c r="F5350" s="38" t="n">
        <f aca="false">Sens!$O$5350*(1+Sens!$F$5351)</f>
        <v>78.5950104186653</v>
      </c>
      <c r="G5350" s="38" t="n">
        <f aca="false">Sens!$E$5350+Sens!$F$5350</f>
        <v>149.903657443095</v>
      </c>
      <c r="H5350" s="38" t="n">
        <f aca="false">Sens!$G$5350*(1+Sens!$H$5351)</f>
        <v>180.893560768142</v>
      </c>
      <c r="I5350" s="38" t="n">
        <f aca="false">Sens!$H$5350*(1+Sens!$I$5351)</f>
        <v>210.64839721501</v>
      </c>
      <c r="J5350" s="38" t="n">
        <f aca="false">Sens!$I$5350*(1+Sens!$J$5351)</f>
        <v>236.398909446495</v>
      </c>
      <c r="K5350" s="38" t="n">
        <f aca="false">Sens!$J$5350*(1+Sens!$K$5351)</f>
        <v>255.310822202215</v>
      </c>
      <c r="L5350" s="38" t="n">
        <f aca="false">Sens!$K$5350*(1+Sens!$L$5351)</f>
        <v>275.735687978392</v>
      </c>
      <c r="M5350" s="38" t="n">
        <f aca="false">Sens!$L$5350*(1+Sens!$M$5351)</f>
        <v>297.794543016663</v>
      </c>
      <c r="N5350" s="38" t="n">
        <f aca="false">Sens!$N$5349-Sens!$N$5346</f>
        <v>57.0936804689721</v>
      </c>
      <c r="O5350" s="38" t="n">
        <f aca="false">Sens!$O$5349-Sens!$O$5346</f>
        <v>62.9275494423768</v>
      </c>
      <c r="P5350" s="5" t="s">
        <v>580</v>
      </c>
    </row>
    <row r="5351" customFormat="false" ht="17.15" hidden="false" customHeight="false" outlineLevel="0" collapsed="false">
      <c r="A5351" s="0" t="s">
        <v>581</v>
      </c>
      <c r="B5351" s="0" t="s">
        <v>52</v>
      </c>
      <c r="E5351" s="12" t="n">
        <f aca="false">Sens!$E$5350/Sens!$N$5350-1</f>
        <v>0.248976181579029</v>
      </c>
      <c r="F5351" s="12" t="n">
        <f aca="false">Sens!$E$5351</f>
        <v>0.248976181579029</v>
      </c>
      <c r="G5351" s="12" t="n">
        <f aca="false">Sens!$G$5350/Sens!$D$5350-1</f>
        <v>0.248976181579029</v>
      </c>
      <c r="H5351" s="12" t="n">
        <f aca="false">Sens!$E$5351+(g_awso_lt-Sens!$E$5351)*1/4</f>
        <v>0.206732136184272</v>
      </c>
      <c r="I5351" s="12" t="n">
        <f aca="false">Sens!$E$5351+(g_awso_lt-Sens!$E$5351)*2/4</f>
        <v>0.164488090789515</v>
      </c>
      <c r="J5351" s="12" t="n">
        <f aca="false">Sens!$E$5351+(g_awso_lt-Sens!$E$5351)*3/4</f>
        <v>0.122244045394757</v>
      </c>
      <c r="K5351" s="12" t="n">
        <f aca="false">Sens!$E$5351+(g_awso_lt-Sens!$E$5351)*4/4</f>
        <v>0.08</v>
      </c>
      <c r="L5351" s="12" t="n">
        <f aca="false">g_awso_lt</f>
        <v>0.08</v>
      </c>
      <c r="M5351" s="12" t="n">
        <f aca="false">g_awso_lt</f>
        <v>0.08</v>
      </c>
      <c r="P5351" s="8" t="s">
        <v>582</v>
      </c>
    </row>
    <row r="5352" customFormat="false" ht="17.15" hidden="false" customHeight="false" outlineLevel="0" collapsed="false">
      <c r="A5352" s="1" t="s">
        <v>583</v>
      </c>
    </row>
    <row r="5353" customFormat="false" ht="17.15" hidden="false" customHeight="false" outlineLevel="0" collapsed="false">
      <c r="A5353" s="0" t="s">
        <v>584</v>
      </c>
      <c r="B5353" s="0" t="s">
        <v>73</v>
      </c>
      <c r="F5353" s="38" t="n">
        <f aca="false">cx_rt*Sens!$F$5319+cx_awso*Sens!$F$5350</f>
        <v>36.8045765066526</v>
      </c>
    </row>
    <row r="5354" customFormat="false" ht="17.15" hidden="false" customHeight="false" outlineLevel="0" collapsed="false">
      <c r="A5354" s="0" t="s">
        <v>585</v>
      </c>
      <c r="B5354" s="0" t="s">
        <v>52</v>
      </c>
      <c r="C5354" s="12" t="n">
        <f aca="false">tk_cx_h100/(tk_cx_h100+tk_fac*(1-colo_sh))</f>
        <v>0.730756458006641</v>
      </c>
      <c r="D5354" s="12" t="n">
        <f aca="false">tk_cx_h100/(tk_cx_h100+tk_fac*(1-colo_sh))</f>
        <v>0.730756458006641</v>
      </c>
      <c r="E5354" s="12" t="n">
        <f aca="false">Sens!$F$5354</f>
        <v>0.760792334328868</v>
      </c>
      <c r="F5354" s="12" t="n">
        <f aca="false">Sens!$F$5337/(Sens!$F$5337+tk_fac*(1-colo_sh))</f>
        <v>0.760792334328868</v>
      </c>
      <c r="G5354" s="12" t="n">
        <f aca="false">Sens!$G$5337/(Sens!$G$5337+tk_fac*(1-colo_sh))</f>
        <v>0.760792334328868</v>
      </c>
      <c r="H5354" s="12" t="n">
        <f aca="false">Sens!$H$5337/(Sens!$H$5337+tk_fac*(1-colo_sh))</f>
        <v>0.768110668862996</v>
      </c>
      <c r="I5354" s="12" t="n">
        <f aca="false">Sens!$I$5337/(Sens!$I$5337+tk_fac*(1-colo_sh))</f>
        <v>0.77499450139483</v>
      </c>
      <c r="J5354" s="12" t="n">
        <f aca="false">Sens!$J$5337/(Sens!$J$5337+tk_fac*(1-colo_sh))</f>
        <v>0.77499450139483</v>
      </c>
      <c r="K5354" s="12" t="n">
        <f aca="false">Sens!$K$5337/(Sens!$K$5337+tk_fac*(1-colo_sh))</f>
        <v>0.77499450139483</v>
      </c>
      <c r="L5354" s="12" t="n">
        <f aca="false">Sens!$L$5337/(Sens!$L$5337+tk_fac*(1-colo_sh))</f>
        <v>0.77499450139483</v>
      </c>
      <c r="M5354" s="12" t="n">
        <f aca="false">Sens!$M$5337/(Sens!$M$5337+tk_fac*(1-colo_sh))</f>
        <v>0.77499450139483</v>
      </c>
    </row>
    <row r="5355" customFormat="false" ht="17.15" hidden="false" customHeight="false" outlineLevel="0" collapsed="false">
      <c r="A5355" s="1" t="s">
        <v>586</v>
      </c>
      <c r="B5355" s="8" t="s">
        <v>73</v>
      </c>
      <c r="C5355" s="38" t="n">
        <f aca="false">Q!$D$46-cx_rt*Q!$D$16-cx_awso*Sens!$C$5350</f>
        <v>25.2781053077374</v>
      </c>
      <c r="D5355" s="38" t="n">
        <f aca="false">Q!$E$46-cx_rt*Q!$E$16-cx_awso*Sens!$D$5350</f>
        <v>69.5686316310026</v>
      </c>
      <c r="E5355" s="38" t="n">
        <f aca="false">Q!$P$46-cx_rt*Q!$P$16-cx_awso*Sens!$E$5350</f>
        <v>64.1899206485108</v>
      </c>
      <c r="F5355" s="38" t="n">
        <f aca="false">MAX(Sens!$F$5332*(Sens!$F$5337+tk_fac*(1-colo_sh))/1000,capex_g26-Q!$P$46-Sens!$F$5353)</f>
        <v>96.2481299895</v>
      </c>
      <c r="G5355" s="38" t="n">
        <f aca="false">Sens!$E$5355+Sens!$F$5355</f>
        <v>160.438050638011</v>
      </c>
      <c r="H5355" s="38" t="n">
        <f aca="false">Sens!$H$5332*(Sens!$H$5337+tk_fac*(1-colo_sh))/1000+Sens!$H$5356</f>
        <v>198.57136494475</v>
      </c>
      <c r="I5355" s="38" t="n">
        <f aca="false">Sens!$I$5332*(Sens!$I$5337+tk_fac*(1-colo_sh))/1000+Sens!$I$5356</f>
        <v>204.6464699105</v>
      </c>
      <c r="J5355" s="38" t="n">
        <f aca="false">Sens!$J$5332*(Sens!$J$5337+tk_fac*(1-colo_sh))/1000+Sens!$J$5356</f>
        <v>209.8832381105</v>
      </c>
      <c r="K5355" s="38" t="n">
        <f aca="false">Sens!$K$5332*(Sens!$K$5337+tk_fac*(1-colo_sh))/1000+Sens!$K$5356</f>
        <v>215.1200063105</v>
      </c>
      <c r="L5355" s="38" t="n">
        <f aca="false">Sens!$L$5332*(Sens!$L$5337+tk_fac*(1-colo_sh))/1000+Sens!$L$5356</f>
        <v>251.7773837105</v>
      </c>
      <c r="M5355" s="38" t="n">
        <f aca="false">Sens!$M$5332*(Sens!$M$5337+tk_fac*(1-colo_sh))/1000+Sens!$M$5356</f>
        <v>311.87584476575</v>
      </c>
      <c r="P5355" s="5" t="s">
        <v>587</v>
      </c>
      <c r="R5355" s="38" t="n">
        <f aca="false">Q!$C$46-cx_rt*Q!$C$16-cx_awso*(Q!$C$7-mw_ye23/2*rpm_open/1000)</f>
        <v>1.50429979529945</v>
      </c>
      <c r="S5355" s="38" t="n">
        <f aca="false">Sens!$C$5355</f>
        <v>25.2781053077374</v>
      </c>
      <c r="T5355" s="38" t="n">
        <f aca="false">Sens!$D$5355</f>
        <v>69.5686316310026</v>
      </c>
      <c r="U5355" s="38" t="n">
        <f aca="false">Sens!$G$5355</f>
        <v>160.438050638011</v>
      </c>
      <c r="V5355" s="38" t="n">
        <f aca="false">Sens!$H$5355</f>
        <v>198.57136494475</v>
      </c>
      <c r="W5355" s="38" t="n">
        <f aca="false">Sens!$I$5355</f>
        <v>204.6464699105</v>
      </c>
      <c r="X5355" s="38" t="n">
        <f aca="false">Sens!$J$5355</f>
        <v>209.8832381105</v>
      </c>
      <c r="Y5355" s="38" t="n">
        <f aca="false">Sens!$K$5355</f>
        <v>215.1200063105</v>
      </c>
      <c r="Z5355" s="38" t="n">
        <f aca="false">Sens!$L$5355</f>
        <v>251.7773837105</v>
      </c>
      <c r="AA5355" s="38" t="n">
        <f aca="false">Sens!$M$5355</f>
        <v>311.87584476575</v>
      </c>
    </row>
    <row r="5356" customFormat="false" ht="17.15" hidden="false" customHeight="false" outlineLevel="0" collapsed="false">
      <c r="A5356" s="0" t="s">
        <v>588</v>
      </c>
      <c r="B5356" s="0" t="s">
        <v>73</v>
      </c>
      <c r="H5356" s="38" t="n">
        <f aca="false">SUMPRODUCT(--(Sens!$R$5326:$AA$5326=2027-tk_life),Sens!$R$5332:$AA$5332)*Sens!$H$5337/1000</f>
        <v>0</v>
      </c>
      <c r="I5356" s="38" t="n">
        <f aca="false">SUMPRODUCT(--(Sens!$R$5326:$AA$5326=2028-tk_life),Sens!$R$5332:$AA$5332)*Sens!$I$5337/1000</f>
        <v>0</v>
      </c>
      <c r="J5356" s="38" t="n">
        <f aca="false">SUMPRODUCT(--(Sens!$R$5326:$AA$5326=2029-tk_life),Sens!$R$5332:$AA$5332)*Sens!$J$5337/1000</f>
        <v>5.2367682</v>
      </c>
      <c r="K5356" s="38" t="n">
        <f aca="false">SUMPRODUCT(--(Sens!$R$5326:$AA$5326=2030-tk_life),Sens!$R$5332:$AA$5332)*Sens!$K$5337/1000</f>
        <v>10.4735364</v>
      </c>
      <c r="L5356" s="38" t="n">
        <f aca="false">SUMPRODUCT(--(Sens!$R$5326:$AA$5326=2031-tk_life),Sens!$R$5332:$AA$5332)*Sens!$L$5337/1000</f>
        <v>47.1309138</v>
      </c>
      <c r="M5356" s="38" t="n">
        <f aca="false">SUMPRODUCT(--(Sens!$R$5326:$AA$5326=2032-tk_life),Sens!$R$5332:$AA$5332)*Sens!$M$5337/1000</f>
        <v>107.22937485525</v>
      </c>
    </row>
    <row r="5357" customFormat="false" ht="17.15" hidden="false" customHeight="false" outlineLevel="0" collapsed="false">
      <c r="A5357" s="5" t="s">
        <v>589</v>
      </c>
      <c r="B5357" s="0" t="s">
        <v>73</v>
      </c>
      <c r="C5357" s="38" t="n">
        <f aca="false">Sens!$C$5355*Sens!$C$5354</f>
        <v>18.472138699801</v>
      </c>
      <c r="D5357" s="38" t="n">
        <f aca="false">Sens!$D$5355*Sens!$D$5354</f>
        <v>50.8377268390402</v>
      </c>
      <c r="E5357" s="38" t="n">
        <f aca="false">Sens!$E$5355*Sens!$E$5354</f>
        <v>48.8351995705653</v>
      </c>
      <c r="F5357" s="38" t="n">
        <f aca="false">Sens!$F$5355*Sens!$F$5354</f>
        <v>73.2248394895</v>
      </c>
      <c r="G5357" s="38" t="n">
        <f aca="false">Sens!$E$5357+Sens!$F$5357</f>
        <v>122.060039060065</v>
      </c>
      <c r="H5357" s="38" t="n">
        <f aca="false">(Sens!$H$5355-Sens!$H$5356)*Sens!$H$5354+Sens!$H$5356</f>
        <v>152.52478394475</v>
      </c>
      <c r="I5357" s="38" t="n">
        <f aca="false">(Sens!$I$5355-Sens!$I$5356)*Sens!$I$5354+Sens!$I$5356</f>
        <v>158.5998889105</v>
      </c>
      <c r="J5357" s="38" t="n">
        <f aca="false">(Sens!$J$5355-Sens!$J$5356)*Sens!$J$5354+Sens!$J$5356</f>
        <v>163.8366571105</v>
      </c>
      <c r="K5357" s="38" t="n">
        <f aca="false">(Sens!$K$5355-Sens!$K$5356)*Sens!$K$5354+Sens!$K$5356</f>
        <v>169.0734253105</v>
      </c>
      <c r="L5357" s="38" t="n">
        <f aca="false">(Sens!$L$5355-Sens!$L$5356)*Sens!$L$5354+Sens!$L$5356</f>
        <v>205.7308027105</v>
      </c>
      <c r="M5357" s="38" t="n">
        <f aca="false">(Sens!$M$5355-Sens!$M$5356)*Sens!$M$5354+Sens!$M$5356</f>
        <v>265.82926376575</v>
      </c>
      <c r="R5357" s="38" t="n">
        <f aca="false">Sens!$R$5355*Sens!$C$5354</f>
        <v>1.09927679019314</v>
      </c>
      <c r="S5357" s="38" t="n">
        <f aca="false">Sens!$C$5357</f>
        <v>18.472138699801</v>
      </c>
      <c r="T5357" s="38" t="n">
        <f aca="false">Sens!$D$5357</f>
        <v>50.8377268390402</v>
      </c>
      <c r="U5357" s="38" t="n">
        <f aca="false">Sens!$G$5357</f>
        <v>122.060039060065</v>
      </c>
      <c r="V5357" s="38" t="n">
        <f aca="false">Sens!$H$5357</f>
        <v>152.52478394475</v>
      </c>
      <c r="W5357" s="38" t="n">
        <f aca="false">Sens!$I$5357</f>
        <v>158.5998889105</v>
      </c>
      <c r="X5357" s="38" t="n">
        <f aca="false">Sens!$J$5357</f>
        <v>163.8366571105</v>
      </c>
      <c r="Y5357" s="38" t="n">
        <f aca="false">Sens!$K$5357</f>
        <v>169.0734253105</v>
      </c>
      <c r="Z5357" s="38" t="n">
        <f aca="false">Sens!$L$5357</f>
        <v>205.7308027105</v>
      </c>
      <c r="AA5357" s="38" t="n">
        <f aca="false">Sens!$M$5357</f>
        <v>265.82926376575</v>
      </c>
    </row>
    <row r="5358" customFormat="false" ht="15" hidden="false" customHeight="false" outlineLevel="0" collapsed="false">
      <c r="A5358" s="5" t="s">
        <v>590</v>
      </c>
      <c r="B5358" s="0" t="s">
        <v>73</v>
      </c>
      <c r="R5358" s="38" t="n">
        <f aca="false">Sens!$R$5355-Sens!$R$5357</f>
        <v>0.405023005106309</v>
      </c>
      <c r="S5358" s="38" t="n">
        <f aca="false">Sens!$S$5355-Sens!$S$5357</f>
        <v>6.80596660793636</v>
      </c>
      <c r="T5358" s="38" t="n">
        <f aca="false">Sens!$T$5355-Sens!$T$5357</f>
        <v>18.7309047919624</v>
      </c>
      <c r="U5358" s="38" t="n">
        <f aca="false">Sens!$U$5355-Sens!$U$5357</f>
        <v>38.3780115779455</v>
      </c>
      <c r="V5358" s="38" t="n">
        <f aca="false">Sens!$V$5355-Sens!$V$5357</f>
        <v>46.046581</v>
      </c>
      <c r="W5358" s="38" t="n">
        <f aca="false">Sens!$W$5355-Sens!$W$5357</f>
        <v>46.046581</v>
      </c>
      <c r="X5358" s="38" t="n">
        <f aca="false">Sens!$X$5355-Sens!$X$5357</f>
        <v>46.046581</v>
      </c>
      <c r="Y5358" s="38" t="n">
        <f aca="false">Sens!$Y$5355-Sens!$Y$5357</f>
        <v>46.046581</v>
      </c>
      <c r="Z5358" s="38" t="n">
        <f aca="false">Sens!$Z$5355-Sens!$Z$5357</f>
        <v>46.046581</v>
      </c>
      <c r="AA5358" s="38" t="n">
        <f aca="false">Sens!$AA$5355-Sens!$AA$5357</f>
        <v>46.046581</v>
      </c>
    </row>
    <row r="5359" customFormat="false" ht="17.15" hidden="false" customHeight="false" outlineLevel="0" collapsed="false">
      <c r="A5359" s="0" t="s">
        <v>591</v>
      </c>
      <c r="B5359" s="0" t="s">
        <v>73</v>
      </c>
      <c r="C5359" s="38" t="n">
        <f aca="false">Sens!$S$5359</f>
        <v>0.183212798365523</v>
      </c>
      <c r="D5359" s="38" t="n">
        <f aca="false">Sens!$T$5359</f>
        <v>3.2619025816657</v>
      </c>
      <c r="E5359" s="38" t="n">
        <f aca="false">Sens!$G$5359/2</f>
        <v>5.86742852741953</v>
      </c>
      <c r="F5359" s="38" t="n">
        <f aca="false">Sens!$G$5359/2</f>
        <v>5.86742852741953</v>
      </c>
      <c r="G5359" s="38" t="n">
        <f aca="false">Sens!$U$5359</f>
        <v>11.7348570548391</v>
      </c>
      <c r="H5359" s="38" t="n">
        <f aca="false">Sens!$V$5359</f>
        <v>32.0781968981833</v>
      </c>
      <c r="I5359" s="38" t="n">
        <f aca="false">Sens!$W$5359</f>
        <v>57.4989942223083</v>
      </c>
      <c r="J5359" s="38" t="n">
        <f aca="false">Sens!$X$5359</f>
        <v>83.932309040725</v>
      </c>
      <c r="K5359" s="38" t="n">
        <f aca="false">Sens!$Y$5359</f>
        <v>111.055205760776</v>
      </c>
      <c r="L5359" s="38" t="n">
        <f aca="false">Sens!$Z$5359</f>
        <v>136.155420195893</v>
      </c>
      <c r="M5359" s="38" t="n">
        <f aca="false">Sens!$AA$5359</f>
        <v>161.970932841136</v>
      </c>
      <c r="N5359" s="38" t="n">
        <f aca="false">Sens!$D$5359/2</f>
        <v>1.63095129083285</v>
      </c>
      <c r="O5359" s="38" t="n">
        <f aca="false">Sens!$D$5359/2</f>
        <v>1.63095129083285</v>
      </c>
      <c r="R5359" s="38" t="n">
        <f aca="false">SUMPRODUCT(--(Sens!$R$5326:$AA$5326&lt;Sens!R$5326),--(Sens!$R$5326:$AA$5326&gt;=Sens!R$5326-tk_life),Sens!$R$5357:$AA$5357)/tk_life</f>
        <v>0</v>
      </c>
      <c r="S5359" s="38" t="n">
        <f aca="false">SUMPRODUCT(--(Sens!$R$5326:$AA$5326&lt;Sens!S$5326),--(Sens!$R$5326:$AA$5326&gt;=Sens!S$5326-tk_life),Sens!$R$5357:$AA$5357)/tk_life</f>
        <v>0.183212798365523</v>
      </c>
      <c r="T5359" s="38" t="n">
        <f aca="false">SUMPRODUCT(--(Sens!$R$5326:$AA$5326&lt;Sens!T$5326),--(Sens!$R$5326:$AA$5326&gt;=Sens!T$5326-tk_life),Sens!$R$5357:$AA$5357)/tk_life</f>
        <v>3.2619025816657</v>
      </c>
      <c r="U5359" s="38" t="n">
        <f aca="false">SUMPRODUCT(--(Sens!$R$5326:$AA$5326&lt;Sens!U$5326),--(Sens!$R$5326:$AA$5326&gt;=Sens!U$5326-tk_life),Sens!$R$5357:$AA$5357)/tk_life</f>
        <v>11.7348570548391</v>
      </c>
      <c r="V5359" s="38" t="n">
        <f aca="false">SUMPRODUCT(--(Sens!$R$5326:$AA$5326&lt;Sens!V$5326),--(Sens!$R$5326:$AA$5326&gt;=Sens!V$5326-tk_life),Sens!$R$5357:$AA$5357)/tk_life</f>
        <v>32.0781968981833</v>
      </c>
      <c r="W5359" s="38" t="n">
        <f aca="false">SUMPRODUCT(--(Sens!$R$5326:$AA$5326&lt;Sens!W$5326),--(Sens!$R$5326:$AA$5326&gt;=Sens!W$5326-tk_life),Sens!$R$5357:$AA$5357)/tk_life</f>
        <v>57.4989942223083</v>
      </c>
      <c r="X5359" s="38" t="n">
        <f aca="false">SUMPRODUCT(--(Sens!$R$5326:$AA$5326&lt;Sens!X$5326),--(Sens!$R$5326:$AA$5326&gt;=Sens!X$5326-tk_life),Sens!$R$5357:$AA$5357)/tk_life</f>
        <v>83.932309040725</v>
      </c>
      <c r="Y5359" s="38" t="n">
        <f aca="false">SUMPRODUCT(--(Sens!$R$5326:$AA$5326&lt;Sens!Y$5326),--(Sens!$R$5326:$AA$5326&gt;=Sens!Y$5326-tk_life),Sens!$R$5357:$AA$5357)/tk_life</f>
        <v>111.055205760776</v>
      </c>
      <c r="Z5359" s="38" t="n">
        <f aca="false">SUMPRODUCT(--(Sens!$R$5326:$AA$5326&lt;Sens!Z$5326),--(Sens!$R$5326:$AA$5326&gt;=Sens!Z$5326-tk_life),Sens!$R$5357:$AA$5357)/tk_life</f>
        <v>136.155420195893</v>
      </c>
      <c r="AA5359" s="38" t="n">
        <f aca="false">SUMPRODUCT(--(Sens!$R$5326:$AA$5326&lt;Sens!AA$5326),--(Sens!$R$5326:$AA$5326&gt;=Sens!AA$5326-tk_life),Sens!$R$5357:$AA$5357)/tk_life</f>
        <v>161.970932841136</v>
      </c>
    </row>
    <row r="5360" customFormat="false" ht="17.15" hidden="false" customHeight="false" outlineLevel="0" collapsed="false">
      <c r="A5360" s="0" t="s">
        <v>592</v>
      </c>
      <c r="B5360" s="0" t="s">
        <v>73</v>
      </c>
      <c r="C5360" s="38" t="n">
        <f aca="false">Sens!$S$5360</f>
        <v>0.0202511502553155</v>
      </c>
      <c r="D5360" s="38" t="n">
        <f aca="false">Sens!$T$5360</f>
        <v>0.360549480652134</v>
      </c>
      <c r="E5360" s="38" t="n">
        <f aca="false">Sens!$G$5360/2</f>
        <v>0.648547360125127</v>
      </c>
      <c r="F5360" s="38" t="n">
        <f aca="false">Sens!$G$5360/2</f>
        <v>0.648547360125127</v>
      </c>
      <c r="G5360" s="38" t="n">
        <f aca="false">Sens!$U$5360</f>
        <v>1.29709472025025</v>
      </c>
      <c r="H5360" s="38" t="n">
        <f aca="false">Sens!$V$5360</f>
        <v>3.21599529914753</v>
      </c>
      <c r="I5360" s="38" t="n">
        <f aca="false">Sens!$W$5360</f>
        <v>5.51832434914753</v>
      </c>
      <c r="J5360" s="38" t="n">
        <f aca="false">Sens!$X$5360</f>
        <v>7.82065339914753</v>
      </c>
      <c r="K5360" s="38" t="n">
        <f aca="false">Sens!$Y$5360</f>
        <v>10.1229824491475</v>
      </c>
      <c r="L5360" s="38" t="n">
        <f aca="false">Sens!$Z$5360</f>
        <v>12.4253114991475</v>
      </c>
      <c r="M5360" s="38" t="n">
        <f aca="false">Sens!$AA$5360</f>
        <v>14.7276405491475</v>
      </c>
      <c r="N5360" s="38" t="n">
        <f aca="false">Sens!$D$5360/2</f>
        <v>0.180274740326067</v>
      </c>
      <c r="O5360" s="38" t="n">
        <f aca="false">Sens!$D$5360/2</f>
        <v>0.180274740326067</v>
      </c>
      <c r="R5360" s="38" t="n">
        <f aca="false">SUMPRODUCT(--(Sens!$R$5326:$AA$5326&lt;Sens!R$5326),Sens!$R$5358:$AA$5358)/fac_life</f>
        <v>0</v>
      </c>
      <c r="S5360" s="38" t="n">
        <f aca="false">SUMPRODUCT(--(Sens!$R$5326:$AA$5326&lt;Sens!S$5326),Sens!$R$5358:$AA$5358)/fac_life</f>
        <v>0.0202511502553155</v>
      </c>
      <c r="T5360" s="38" t="n">
        <f aca="false">SUMPRODUCT(--(Sens!$R$5326:$AA$5326&lt;Sens!T$5326),Sens!$R$5358:$AA$5358)/fac_life</f>
        <v>0.360549480652134</v>
      </c>
      <c r="U5360" s="38" t="n">
        <f aca="false">SUMPRODUCT(--(Sens!$R$5326:$AA$5326&lt;Sens!U$5326),Sens!$R$5358:$AA$5358)/fac_life</f>
        <v>1.29709472025025</v>
      </c>
      <c r="V5360" s="38" t="n">
        <f aca="false">SUMPRODUCT(--(Sens!$R$5326:$AA$5326&lt;Sens!V$5326),Sens!$R$5358:$AA$5358)/fac_life</f>
        <v>3.21599529914753</v>
      </c>
      <c r="W5360" s="38" t="n">
        <f aca="false">SUMPRODUCT(--(Sens!$R$5326:$AA$5326&lt;Sens!W$5326),Sens!$R$5358:$AA$5358)/fac_life</f>
        <v>5.51832434914753</v>
      </c>
      <c r="X5360" s="38" t="n">
        <f aca="false">SUMPRODUCT(--(Sens!$R$5326:$AA$5326&lt;Sens!X$5326),Sens!$R$5358:$AA$5358)/fac_life</f>
        <v>7.82065339914753</v>
      </c>
      <c r="Y5360" s="38" t="n">
        <f aca="false">SUMPRODUCT(--(Sens!$R$5326:$AA$5326&lt;Sens!Y$5326),Sens!$R$5358:$AA$5358)/fac_life</f>
        <v>10.1229824491475</v>
      </c>
      <c r="Z5360" s="38" t="n">
        <f aca="false">SUMPRODUCT(--(Sens!$R$5326:$AA$5326&lt;Sens!Z$5326),Sens!$R$5358:$AA$5358)/fac_life</f>
        <v>12.4253114991475</v>
      </c>
      <c r="AA5360" s="38" t="n">
        <f aca="false">SUMPRODUCT(--(Sens!$R$5326:$AA$5326&lt;Sens!AA$5326),Sens!$R$5358:$AA$5358)/fac_life</f>
        <v>14.7276405491475</v>
      </c>
    </row>
    <row r="5361" customFormat="false" ht="17.15" hidden="false" customHeight="false" outlineLevel="0" collapsed="false">
      <c r="A5361" s="1" t="s">
        <v>593</v>
      </c>
      <c r="B5361" s="8" t="s">
        <v>73</v>
      </c>
      <c r="C5361" s="38" t="n">
        <f aca="false">Sens!$C$5359+Sens!$C$5360</f>
        <v>0.203463948620839</v>
      </c>
      <c r="D5361" s="38" t="n">
        <f aca="false">Sens!$D$5359+Sens!$D$5360</f>
        <v>3.62245206231783</v>
      </c>
      <c r="E5361" s="38" t="n">
        <f aca="false">Sens!$E$5359+Sens!$E$5360</f>
        <v>6.51597588754466</v>
      </c>
      <c r="F5361" s="38" t="n">
        <f aca="false">Sens!$F$5359+Sens!$F$5360</f>
        <v>6.51597588754466</v>
      </c>
      <c r="G5361" s="38" t="n">
        <f aca="false">Sens!$G$5359+Sens!$G$5360</f>
        <v>13.0319517750893</v>
      </c>
      <c r="H5361" s="38" t="n">
        <f aca="false">Sens!$H$5359+Sens!$H$5360</f>
        <v>35.2941921973308</v>
      </c>
      <c r="I5361" s="38" t="n">
        <f aca="false">Sens!$I$5359+Sens!$I$5360</f>
        <v>63.0173185714558</v>
      </c>
      <c r="J5361" s="38" t="n">
        <f aca="false">Sens!$J$5359+Sens!$J$5360</f>
        <v>91.7529624398725</v>
      </c>
      <c r="K5361" s="38" t="n">
        <f aca="false">Sens!$K$5359+Sens!$K$5360</f>
        <v>121.178188209924</v>
      </c>
      <c r="L5361" s="38" t="n">
        <f aca="false">Sens!$L$5359+Sens!$L$5360</f>
        <v>148.58073169504</v>
      </c>
      <c r="M5361" s="38" t="n">
        <f aca="false">Sens!$M$5359+Sens!$M$5360</f>
        <v>176.698573390283</v>
      </c>
      <c r="N5361" s="38" t="n">
        <f aca="false">Sens!$N$5359+Sens!$N$5360</f>
        <v>1.81122603115892</v>
      </c>
      <c r="O5361" s="38" t="n">
        <f aca="false">Sens!$O$5359+Sens!$O$5360</f>
        <v>1.81122603115892</v>
      </c>
      <c r="R5361" s="38" t="n">
        <f aca="false">Sens!$R$5359+Sens!$R$5360</f>
        <v>0</v>
      </c>
      <c r="S5361" s="38" t="n">
        <f aca="false">Sens!$S$5359+Sens!$S$5360</f>
        <v>0.203463948620839</v>
      </c>
      <c r="T5361" s="38" t="n">
        <f aca="false">Sens!$T$5359+Sens!$T$5360</f>
        <v>3.62245206231783</v>
      </c>
      <c r="U5361" s="38" t="n">
        <f aca="false">Sens!$U$5359+Sens!$U$5360</f>
        <v>13.0319517750893</v>
      </c>
      <c r="V5361" s="38" t="n">
        <f aca="false">Sens!$V$5359+Sens!$V$5360</f>
        <v>35.2941921973308</v>
      </c>
      <c r="W5361" s="38" t="n">
        <f aca="false">Sens!$W$5359+Sens!$W$5360</f>
        <v>63.0173185714558</v>
      </c>
      <c r="X5361" s="38" t="n">
        <f aca="false">Sens!$X$5359+Sens!$X$5360</f>
        <v>91.7529624398725</v>
      </c>
      <c r="Y5361" s="38" t="n">
        <f aca="false">Sens!$Y$5359+Sens!$Y$5360</f>
        <v>121.178188209924</v>
      </c>
      <c r="Z5361" s="38" t="n">
        <f aca="false">Sens!$Z$5359+Sens!$Z$5360</f>
        <v>148.58073169504</v>
      </c>
      <c r="AA5361" s="38" t="n">
        <f aca="false">Sens!$AA$5359+Sens!$AA$5360</f>
        <v>176.698573390283</v>
      </c>
    </row>
    <row r="5362" customFormat="false" ht="17.15" hidden="false" customHeight="false" outlineLevel="0" collapsed="false">
      <c r="A5362" s="0" t="s">
        <v>594</v>
      </c>
      <c r="B5362" s="0" t="s">
        <v>73</v>
      </c>
      <c r="C5362" s="38" t="n">
        <f aca="false">Sens!$S$5362</f>
        <v>26.578941154416</v>
      </c>
      <c r="D5362" s="38" t="n">
        <f aca="false">Sens!$T$5362</f>
        <v>92.5251207231008</v>
      </c>
      <c r="G5362" s="38" t="n">
        <f aca="false">Sens!$U$5362</f>
        <v>239.931219586022</v>
      </c>
      <c r="H5362" s="38" t="n">
        <f aca="false">Sens!$V$5362</f>
        <v>403.208392333442</v>
      </c>
      <c r="I5362" s="38" t="n">
        <f aca="false">Sens!$W$5362</f>
        <v>544.837543672486</v>
      </c>
      <c r="J5362" s="38" t="n">
        <f aca="false">Sens!$X$5362</f>
        <v>662.967819343113</v>
      </c>
      <c r="K5362" s="38" t="n">
        <f aca="false">Sens!$Y$5362</f>
        <v>756.90963744369</v>
      </c>
      <c r="L5362" s="38" t="n">
        <f aca="false">Sens!$Z$5362</f>
        <v>860.10628945915</v>
      </c>
      <c r="M5362" s="38" t="n">
        <f aca="false">Sens!$AA$5362</f>
        <v>995.283560834616</v>
      </c>
      <c r="R5362" s="38" t="n">
        <f aca="false">SUM(Sens!$R$5355:$R$5355)-SUM(Sens!$R$5361:$R$5361)</f>
        <v>1.50429979529945</v>
      </c>
      <c r="S5362" s="38" t="n">
        <f aca="false">SUM(Sens!$R$5355:$S$5355)-SUM(Sens!$R$5361:$S$5361)</f>
        <v>26.578941154416</v>
      </c>
      <c r="T5362" s="38" t="n">
        <f aca="false">SUM(Sens!$R$5355:$T$5355)-SUM(Sens!$R$5361:$T$5361)</f>
        <v>92.5251207231008</v>
      </c>
      <c r="U5362" s="38" t="n">
        <f aca="false">SUM(Sens!$R$5355:$U$5355)-SUM(Sens!$R$5361:$U$5361)</f>
        <v>239.931219586022</v>
      </c>
      <c r="V5362" s="38" t="n">
        <f aca="false">SUM(Sens!$R$5355:$V$5355)-SUM(Sens!$R$5361:$V$5361)</f>
        <v>403.208392333442</v>
      </c>
      <c r="W5362" s="38" t="n">
        <f aca="false">SUM(Sens!$R$5355:$W$5355)-SUM(Sens!$R$5361:$W$5361)</f>
        <v>544.837543672486</v>
      </c>
      <c r="X5362" s="38" t="n">
        <f aca="false">SUM(Sens!$R$5355:$X$5355)-SUM(Sens!$R$5361:$X$5361)</f>
        <v>662.967819343113</v>
      </c>
      <c r="Y5362" s="38" t="n">
        <f aca="false">SUM(Sens!$R$5355:$Y$5355)-SUM(Sens!$R$5361:$Y$5361)</f>
        <v>756.90963744369</v>
      </c>
      <c r="Z5362" s="38" t="n">
        <f aca="false">SUM(Sens!$R$5355:$Z$5355)-SUM(Sens!$R$5361:$Z$5361)</f>
        <v>860.10628945915</v>
      </c>
      <c r="AA5362" s="38" t="n">
        <f aca="false">SUM(Sens!$R$5355:$AA$5355)-SUM(Sens!$R$5361:$AA$5361)</f>
        <v>995.283560834616</v>
      </c>
    </row>
    <row r="5363" customFormat="false" ht="17.15" hidden="false" customHeight="false" outlineLevel="0" collapsed="false">
      <c r="A5363" s="1" t="s">
        <v>595</v>
      </c>
    </row>
    <row r="5364" customFormat="false" ht="17.15" hidden="false" customHeight="false" outlineLevel="0" collapsed="false">
      <c r="A5364" s="0" t="s">
        <v>596</v>
      </c>
      <c r="B5364" s="0" t="s">
        <v>73</v>
      </c>
      <c r="C5364" s="38" t="n">
        <f aca="false">Sens!$C$5346-ext_sh*Sens!$C$5348</f>
        <v>1.80694998843362</v>
      </c>
      <c r="D5364" s="38" t="n">
        <f aca="false">Sens!$D$5346-ext_sh*Sens!$D$5348</f>
        <v>6.77606245662607</v>
      </c>
      <c r="E5364" s="38" t="n">
        <f aca="false">Sens!$E$5346-ext_sh*Sens!$E$5348</f>
        <v>6.62548329092326</v>
      </c>
      <c r="F5364" s="38" t="n">
        <f aca="false">Sens!$F$5346-ext_sh*Sens!$F$5348</f>
        <v>11.7200577158706</v>
      </c>
      <c r="G5364" s="38" t="n">
        <f aca="false">Sens!$G$5346-ext_sh*Sens!$G$5348</f>
        <v>18.3455410067939</v>
      </c>
      <c r="H5364" s="38" t="n">
        <f aca="false">Sens!$H$5346-ext_sh*Sens!$H$5348</f>
        <v>47.5171727060453</v>
      </c>
      <c r="I5364" s="38" t="n">
        <f aca="false">Sens!$I$5346-ext_sh*Sens!$I$5348</f>
        <v>80.5539692643667</v>
      </c>
      <c r="J5364" s="38" t="n">
        <f aca="false">Sens!$J$5346-ext_sh*Sens!$J$5348</f>
        <v>113.759316834883</v>
      </c>
      <c r="K5364" s="38" t="n">
        <f aca="false">Sens!$K$5346-ext_sh*Sens!$K$5348</f>
        <v>147.020848076132</v>
      </c>
      <c r="L5364" s="38" t="n">
        <f aca="false">Sens!$L$5346-ext_sh*Sens!$L$5348</f>
        <v>180.307917349531</v>
      </c>
      <c r="M5364" s="38" t="n">
        <f aca="false">Sens!$M$5346-ext_sh*Sens!$M$5348</f>
        <v>213.608737871012</v>
      </c>
      <c r="N5364" s="38" t="n">
        <f aca="false">Sens!$N$5346-ext_sh*Sens!$N$5348</f>
        <v>2.37162185981912</v>
      </c>
      <c r="O5364" s="38" t="n">
        <f aca="false">Sens!$O$5346-ext_sh*Sens!$O$5348</f>
        <v>4.40444059680694</v>
      </c>
    </row>
    <row r="5365" customFormat="false" ht="17.15" hidden="false" customHeight="false" outlineLevel="0" collapsed="false">
      <c r="A5365" s="1" t="s">
        <v>597</v>
      </c>
      <c r="B5365" s="8" t="s">
        <v>73</v>
      </c>
      <c r="C5365" s="38" t="n">
        <f aca="false">Sens!$C$5364-ext_sh*Sens!$C$5361</f>
        <v>1.64417882953695</v>
      </c>
      <c r="D5365" s="38" t="n">
        <f aca="false">Sens!$D$5364-ext_sh*Sens!$D$5361</f>
        <v>3.8781008067718</v>
      </c>
      <c r="E5365" s="38" t="n">
        <f aca="false">Sens!$E$5364-ext_sh*Sens!$E$5361</f>
        <v>1.41270258088753</v>
      </c>
      <c r="F5365" s="38" t="n">
        <f aca="false">Sens!$F$5364-ext_sh*Sens!$F$5361</f>
        <v>6.50727700583486</v>
      </c>
      <c r="G5365" s="38" t="n">
        <f aca="false">Sens!$G$5364-ext_sh*Sens!$G$5361</f>
        <v>7.9199795867224</v>
      </c>
      <c r="H5365" s="38" t="n">
        <f aca="false">Sens!$H$5364-ext_sh*Sens!$H$5361</f>
        <v>19.2818189481807</v>
      </c>
      <c r="I5365" s="38" t="n">
        <f aca="false">Sens!$I$5364-ext_sh*Sens!$I$5361</f>
        <v>30.140114407202</v>
      </c>
      <c r="J5365" s="38" t="n">
        <f aca="false">Sens!$J$5364-ext_sh*Sens!$J$5361</f>
        <v>40.3569468829854</v>
      </c>
      <c r="K5365" s="38" t="n">
        <f aca="false">Sens!$K$5364-ext_sh*Sens!$K$5361</f>
        <v>50.0782975081929</v>
      </c>
      <c r="L5365" s="38" t="n">
        <f aca="false">Sens!$L$5364-ext_sh*Sens!$L$5361</f>
        <v>61.443331993499</v>
      </c>
      <c r="M5365" s="38" t="n">
        <f aca="false">Sens!$M$5364-ext_sh*Sens!$M$5361</f>
        <v>72.2498791587849</v>
      </c>
      <c r="N5365" s="38" t="n">
        <f aca="false">Sens!$N$5364-ext_sh*Sens!$N$5361</f>
        <v>0.92264103489199</v>
      </c>
      <c r="O5365" s="38" t="n">
        <f aca="false">Sens!$O$5364-ext_sh*Sens!$O$5361</f>
        <v>2.95545977187981</v>
      </c>
    </row>
    <row r="5366" customFormat="false" ht="17.15" hidden="false" customHeight="false" outlineLevel="0" collapsed="false">
      <c r="A5366" s="0" t="s">
        <v>598</v>
      </c>
      <c r="B5366" s="0" t="s">
        <v>52</v>
      </c>
      <c r="C5366" s="12" t="n">
        <f aca="false">Sens!$C$5365/Sens!$C$5346</f>
        <v>0.708390794789371</v>
      </c>
      <c r="D5366" s="12" t="n">
        <f aca="false">Sens!$D$5365/Sens!$D$5346</f>
        <v>0.445565630441968</v>
      </c>
      <c r="E5366" s="12" t="n">
        <f aca="false">Sens!$E$5365/Sens!$E$5346</f>
        <v>0.165998118402711</v>
      </c>
      <c r="F5366" s="12" t="n">
        <f aca="false">Sens!$F$5365/Sens!$F$5346</f>
        <v>0.434878595403858</v>
      </c>
      <c r="G5366" s="12" t="n">
        <f aca="false">Sens!$G$5365/Sens!$G$5346</f>
        <v>0.3373967615381</v>
      </c>
      <c r="H5366" s="12" t="n">
        <f aca="false">Sens!$H$5365/Sens!$H$5346</f>
        <v>0.320477578041224</v>
      </c>
      <c r="I5366" s="12" t="n">
        <f aca="false">Sens!$I$5365/Sens!$I$5346</f>
        <v>0.296936118226494</v>
      </c>
      <c r="J5366" s="12" t="n">
        <f aca="false">Sens!$J$5365/Sens!$J$5346</f>
        <v>0.282166278613001</v>
      </c>
      <c r="K5366" s="12" t="n">
        <f aca="false">Sens!$K$5365/Sens!$K$5346</f>
        <v>0.271267685694333</v>
      </c>
      <c r="L5366" s="12" t="n">
        <f aca="false">Sens!$L$5365/Sens!$L$5346</f>
        <v>0.27160960915653</v>
      </c>
      <c r="M5366" s="12" t="n">
        <f aca="false">Sens!$M$5365/Sens!$M$5346</f>
        <v>0.26974494804234</v>
      </c>
      <c r="N5366" s="12" t="n">
        <f aca="false">Sens!$N$5365/Sens!$N$5346</f>
        <v>0.302870734830849</v>
      </c>
      <c r="O5366" s="12" t="n">
        <f aca="false">Sens!$O$5365/Sens!$O$5346</f>
        <v>0.52240134346334</v>
      </c>
    </row>
    <row r="5367" customFormat="false" ht="17.15" hidden="false" customHeight="false" outlineLevel="0" collapsed="false">
      <c r="A5367" s="5" t="s">
        <v>599</v>
      </c>
      <c r="B5367" s="0" t="s">
        <v>73</v>
      </c>
      <c r="C5367" s="38" t="n">
        <f aca="false">rd2*(1-ext_sh)/ext_sh*Sens!$C$5329*he_open*Sens!$C$5330/1000</f>
        <v>0</v>
      </c>
      <c r="D5367" s="38" t="n">
        <f aca="false">rd2*(1-ext_sh)/ext_sh*Sens!$D$5329*he_open*Sens!$D$5330/1000</f>
        <v>0</v>
      </c>
      <c r="E5367" s="38" t="n">
        <f aca="false">rd2*(1-ext_sh)/ext_sh*Sens!$E$5329*he_open*Sens!$E$5330/1000</f>
        <v>0</v>
      </c>
      <c r="F5367" s="38" t="n">
        <f aca="false">rd2*(1-ext_sh)/ext_sh*(mw_open*he_open+Sens!$F$5344*Sens!$F$5341)*Sens!$F$5330/1000</f>
        <v>0</v>
      </c>
      <c r="G5367" s="38" t="n">
        <f aca="false">Sens!$E$5367+Sens!$F$5367</f>
        <v>0</v>
      </c>
      <c r="H5367" s="38" t="n">
        <f aca="false">rd2*(1-ext_sh)/ext_sh*(mw_open*he_open+Sens!$H$5344*Sens!$H$5341)*Sens!$H$5330/1000</f>
        <v>0</v>
      </c>
      <c r="I5367" s="38" t="n">
        <f aca="false">rd2*(1-ext_sh)/ext_sh*(mw_open*he_open+Sens!$I$5344*Sens!$I$5341)*Sens!$I$5330/1000</f>
        <v>0</v>
      </c>
      <c r="J5367" s="38" t="n">
        <f aca="false">rd2*(1-ext_sh)/ext_sh*(mw_open*he_open+Sens!$J$5344*Sens!$J$5341)*Sens!$J$5330/1000</f>
        <v>0</v>
      </c>
      <c r="K5367" s="38" t="n">
        <f aca="false">rd2*(1-ext_sh)/ext_sh*(mw_open*he_open+Sens!$K$5344*Sens!$K$5341)*Sens!$K$5330/1000</f>
        <v>0</v>
      </c>
      <c r="L5367" s="38" t="n">
        <f aca="false">rd2*(1-ext_sh)/ext_sh*(mw_open*he_open+Sens!$L$5344*Sens!$L$5341)*Sens!$L$5330/1000</f>
        <v>0</v>
      </c>
      <c r="M5367" s="38" t="n">
        <f aca="false">rd2*(1-ext_sh)/ext_sh*(mw_open*he_open+Sens!$M$5344*Sens!$M$5341)*Sens!$M$5330/1000</f>
        <v>0</v>
      </c>
      <c r="N5367" s="38" t="n">
        <f aca="false">rd2*(1-ext_sh)/ext_sh*Sens!$N$5329*he_open*Sens!$N$5330/1000</f>
        <v>0</v>
      </c>
      <c r="O5367" s="38" t="n">
        <f aca="false">rd2*(1-ext_sh)/ext_sh*Sens!$O$5329*he_open*Sens!$O$5330/1000</f>
        <v>0</v>
      </c>
      <c r="P5367" s="8" t="s">
        <v>600</v>
      </c>
    </row>
    <row r="5368" customFormat="false" ht="17.15" hidden="false" customHeight="false" outlineLevel="0" collapsed="false">
      <c r="A5368" s="5" t="s">
        <v>601</v>
      </c>
      <c r="B5368" s="0" t="s">
        <v>73</v>
      </c>
      <c r="C5368" s="38" t="n">
        <f aca="false">(1-ext_sh)*(Sens!$C$5348+Sens!$C$5361)-Sens!$C$5367</f>
        <v>0.169206631859174</v>
      </c>
      <c r="D5368" s="38" t="n">
        <f aca="false">(1-ext_sh)*(Sens!$D$5348+Sens!$D$5361)-Sens!$D$5367</f>
        <v>1.20641732046984</v>
      </c>
      <c r="E5368" s="38" t="n">
        <f aca="false">(1-ext_sh)*(Sens!$E$5348+Sens!$E$5361)-Sens!$E$5367</f>
        <v>1.77441259867062</v>
      </c>
      <c r="F5368" s="38" t="n">
        <f aca="false">(1-ext_sh)*(Sens!$F$5348+Sens!$F$5361)-Sens!$F$5367</f>
        <v>2.1140391597214</v>
      </c>
      <c r="G5368" s="38" t="n">
        <f aca="false">(1-ext_sh)*(Sens!$G$5348+Sens!$G$5361)-Sens!$G$5367</f>
        <v>3.88845175839202</v>
      </c>
      <c r="H5368" s="38" t="n">
        <f aca="false">(1-ext_sh)*(Sens!$H$5348+Sens!$H$5361)-Sens!$H$5367</f>
        <v>10.2210179503985</v>
      </c>
      <c r="I5368" s="38" t="n">
        <f aca="false">(1-ext_sh)*(Sens!$I$5348+Sens!$I$5361)-Sens!$I$5367</f>
        <v>17.8408961823075</v>
      </c>
      <c r="J5368" s="38" t="n">
        <f aca="false">(1-ext_sh)*(Sens!$J$5348+Sens!$J$5361)-Sens!$J$5367</f>
        <v>25.6671150670732</v>
      </c>
      <c r="K5368" s="38" t="n">
        <f aca="false">(1-ext_sh)*(Sens!$K$5348+Sens!$K$5361)-Sens!$K$5367</f>
        <v>33.6325293834986</v>
      </c>
      <c r="L5368" s="38" t="n">
        <f aca="false">(1-ext_sh)*(Sens!$L$5348+Sens!$L$5361)-Sens!$L$5367</f>
        <v>41.1939886299065</v>
      </c>
      <c r="M5368" s="38" t="n">
        <f aca="false">(1-ext_sh)*(Sens!$M$5348+Sens!$M$5361)-Sens!$M$5367</f>
        <v>48.8988205728617</v>
      </c>
      <c r="N5368" s="38" t="n">
        <f aca="false">(1-ext_sh)*(Sens!$N$5348+Sens!$N$5361)-Sens!$N$5367</f>
        <v>0.530919624033979</v>
      </c>
      <c r="O5368" s="38" t="n">
        <f aca="false">(1-ext_sh)*(Sens!$O$5348+Sens!$O$5361)-Sens!$O$5367</f>
        <v>0.675497696435861</v>
      </c>
    </row>
    <row r="5369" customFormat="false" ht="17.15" hidden="false" customHeight="false" outlineLevel="0" collapsed="false">
      <c r="A5369" s="0" t="s">
        <v>602</v>
      </c>
      <c r="B5369" s="0" t="s">
        <v>73</v>
      </c>
      <c r="C5369" s="38" t="n">
        <f aca="false">Q!$D$24</f>
        <v>39.834</v>
      </c>
      <c r="D5369" s="38" t="n">
        <f aca="false">Q!$E$24</f>
        <v>45.606</v>
      </c>
      <c r="E5369" s="38" t="n">
        <f aca="false">Q!$P$24</f>
        <v>30.782</v>
      </c>
      <c r="N5369" s="38" t="n">
        <f aca="false">Q!$N$24</f>
        <v>21.707</v>
      </c>
      <c r="O5369" s="38" t="n">
        <f aca="false">Q!$O$24</f>
        <v>23.899</v>
      </c>
    </row>
    <row r="5370" customFormat="false" ht="17.15" hidden="false" customHeight="false" outlineLevel="0" collapsed="false">
      <c r="A5370" s="0" t="s">
        <v>603</v>
      </c>
      <c r="B5370" s="0" t="s">
        <v>73</v>
      </c>
      <c r="C5370" s="38" t="n">
        <f aca="false">Sens!$C$5369-Sens!$C$5365</f>
        <v>38.1898211704631</v>
      </c>
      <c r="D5370" s="38" t="n">
        <f aca="false">Sens!$D$5369-Sens!$D$5365</f>
        <v>41.7278991932282</v>
      </c>
      <c r="E5370" s="38" t="n">
        <f aca="false">Sens!$E$5369-Sens!$E$5365</f>
        <v>29.3692974191125</v>
      </c>
      <c r="F5370" s="38" t="n">
        <f aca="false">Sens!$F$5350*Sens!$F$5371</f>
        <v>29.458060516894</v>
      </c>
      <c r="G5370" s="38" t="n">
        <f aca="false">Sens!$E$5370+Sens!$F$5370</f>
        <v>58.8273579360065</v>
      </c>
      <c r="H5370" s="38" t="n">
        <f aca="false">Sens!$H$5350*Sens!$H$5371</f>
        <v>67.8004040185081</v>
      </c>
      <c r="I5370" s="38" t="n">
        <f aca="false">Sens!$I$5350*Sens!$I$5371</f>
        <v>78.9527630302702</v>
      </c>
      <c r="J5370" s="38" t="n">
        <f aca="false">Sens!$J$5350*Sens!$J$5371</f>
        <v>88.6042681781841</v>
      </c>
      <c r="K5370" s="38" t="n">
        <f aca="false">Sens!$K$5350*Sens!$K$5371</f>
        <v>95.6926096324389</v>
      </c>
      <c r="L5370" s="38" t="n">
        <f aca="false">Sens!$L$5350*Sens!$L$5371</f>
        <v>103.348018403034</v>
      </c>
      <c r="M5370" s="38" t="n">
        <f aca="false">Sens!$M$5350*Sens!$M$5371</f>
        <v>111.615859875277</v>
      </c>
      <c r="N5370" s="38" t="n">
        <f aca="false">Sens!$N$5369-Sens!$N$5365</f>
        <v>20.784358965108</v>
      </c>
      <c r="O5370" s="38" t="n">
        <f aca="false">Sens!$O$5369-Sens!$O$5365</f>
        <v>20.9435402281202</v>
      </c>
      <c r="P5370" s="5" t="s">
        <v>604</v>
      </c>
    </row>
    <row r="5371" customFormat="false" ht="17.15" hidden="false" customHeight="false" outlineLevel="0" collapsed="false">
      <c r="A5371" s="0" t="s">
        <v>605</v>
      </c>
      <c r="B5371" s="0" t="s">
        <v>52</v>
      </c>
      <c r="C5371" s="12" t="n">
        <f aca="false">Sens!$C$5370/Sens!$C$5350</f>
        <v>0.362900395443635</v>
      </c>
      <c r="D5371" s="12" t="n">
        <f aca="false">Sens!$D$5370/Sens!$D$5350</f>
        <v>0.34767098474203</v>
      </c>
      <c r="E5371" s="12" t="n">
        <f aca="false">Sens!$E$5370/Sens!$E$5350</f>
        <v>0.411861655558416</v>
      </c>
      <c r="F5371" s="12" t="n">
        <f aca="false">(Sens!$O$5370+Sens!$E$5370)/(Sens!$O$5350+Sens!$E$5350)</f>
        <v>0.37480827803158</v>
      </c>
      <c r="G5371" s="12" t="n">
        <f aca="false">Sens!$G$5370/Sens!$G$5350</f>
        <v>0.392434440489471</v>
      </c>
      <c r="H5371" s="12" t="n">
        <f aca="false">Sens!$F$5371</f>
        <v>0.37480827803158</v>
      </c>
      <c r="I5371" s="12" t="n">
        <f aca="false">Sens!$F$5371</f>
        <v>0.37480827803158</v>
      </c>
      <c r="J5371" s="12" t="n">
        <f aca="false">Sens!$F$5371</f>
        <v>0.37480827803158</v>
      </c>
      <c r="K5371" s="12" t="n">
        <f aca="false">Sens!$F$5371</f>
        <v>0.37480827803158</v>
      </c>
      <c r="L5371" s="12" t="n">
        <f aca="false">Sens!$F$5371</f>
        <v>0.37480827803158</v>
      </c>
      <c r="M5371" s="12" t="n">
        <f aca="false">Sens!$F$5371</f>
        <v>0.37480827803158</v>
      </c>
      <c r="N5371" s="12" t="n">
        <f aca="false">Sens!$N$5370/Sens!$N$5350</f>
        <v>0.364039571356823</v>
      </c>
      <c r="O5371" s="12" t="n">
        <f aca="false">Sens!$O$5370/Sens!$O$5350</f>
        <v>0.332819892300086</v>
      </c>
      <c r="P5371" s="8" t="s">
        <v>606</v>
      </c>
    </row>
    <row r="5372" customFormat="false" ht="17.15" hidden="false" customHeight="false" outlineLevel="0" collapsed="false">
      <c r="A5372" s="0" t="s">
        <v>607</v>
      </c>
      <c r="B5372" s="0" t="s">
        <v>52</v>
      </c>
      <c r="D5372" s="12" t="n">
        <f aca="false">(Q!$E$31-ext_sh*Sens!$D$5361)/Sens!$D$5350</f>
        <v>0.154572973163571</v>
      </c>
    </row>
    <row r="5373" customFormat="false" ht="17.15" hidden="false" customHeight="false" outlineLevel="0" collapsed="false">
      <c r="A5373" s="0" t="s">
        <v>608</v>
      </c>
      <c r="B5373" s="0" t="s">
        <v>73</v>
      </c>
      <c r="C5373" s="38" t="n">
        <f aca="false">Q!$D$31</f>
        <v>13.32</v>
      </c>
      <c r="D5373" s="38" t="n">
        <f aca="false">Q!$E$31</f>
        <v>21.45</v>
      </c>
      <c r="E5373" s="38" t="n">
        <f aca="false">Q!$P$31</f>
        <v>15.353</v>
      </c>
      <c r="F5373" s="38" t="n">
        <f aca="false">ext_sh*Sens!$F$5361+Sens!$D$5372*Sens!$F$5350</f>
        <v>17.3614451462707</v>
      </c>
      <c r="G5373" s="38" t="n">
        <f aca="false">Sens!$E$5373+Sens!$F$5373</f>
        <v>32.7144451462707</v>
      </c>
      <c r="H5373" s="38" t="n">
        <f aca="false">ext_sh*Sens!$H$5361+Sens!$D$5372*Sens!$H$5350</f>
        <v>56.1966092719415</v>
      </c>
      <c r="I5373" s="38" t="n">
        <f aca="false">ext_sh*Sens!$I$5361+Sens!$D$5372*Sens!$I$5350</f>
        <v>82.9744039068297</v>
      </c>
      <c r="J5373" s="38" t="n">
        <f aca="false">ext_sh*Sens!$J$5361+Sens!$D$5372*Sens!$J$5350</f>
        <v>109.943252237669</v>
      </c>
      <c r="K5373" s="38" t="n">
        <f aca="false">ext_sh*Sens!$K$5361+Sens!$D$5372*Sens!$K$5350</f>
        <v>136.406703436571</v>
      </c>
      <c r="L5373" s="38" t="n">
        <f aca="false">ext_sh*Sens!$L$5361+Sens!$D$5372*Sens!$L$5350</f>
        <v>161.485870454155</v>
      </c>
      <c r="M5373" s="38" t="n">
        <f aca="false">ext_sh*Sens!$M$5361+Sens!$D$5372*Sens!$M$5350</f>
        <v>187.389846618199</v>
      </c>
      <c r="N5373" s="38" t="n">
        <f aca="false">Q!$N$31</f>
        <v>9.234</v>
      </c>
      <c r="O5373" s="38" t="n">
        <f aca="false">Q!$O$31</f>
        <v>12.216</v>
      </c>
    </row>
    <row r="5374" customFormat="false" ht="17.15" hidden="false" customHeight="false" outlineLevel="0" collapsed="false">
      <c r="A5374" s="1" t="s">
        <v>609</v>
      </c>
    </row>
    <row r="5375" customFormat="false" ht="17.15" hidden="false" customHeight="false" outlineLevel="0" collapsed="false">
      <c r="A5375" s="14" t="s">
        <v>610</v>
      </c>
      <c r="B5375" s="13" t="s">
        <v>52</v>
      </c>
      <c r="C5375" s="13"/>
      <c r="D5375" s="13"/>
      <c r="E5375" s="13"/>
      <c r="F5375" s="13"/>
      <c r="G5375" s="16" t="n">
        <f aca="false">Sens!$G$5365*(1-tax)/(ext_sh*(Sens!$D$5362+Sens!$G$5362)/2)</f>
        <v>0.0492184452944045</v>
      </c>
      <c r="H5375" s="16" t="n">
        <f aca="false">Sens!$H$5365*(1-tax)/(ext_sh*(Sens!$G$5362+Sens!$H$5362)/2)</f>
        <v>0.0619414246858107</v>
      </c>
      <c r="I5375" s="16" t="n">
        <f aca="false">Sens!$I$5365*(1-tax)/(ext_sh*(Sens!$H$5362+Sens!$I$5362)/2)</f>
        <v>0.0656831488051666</v>
      </c>
      <c r="J5375" s="16" t="n">
        <f aca="false">Sens!$J$5365*(1-tax)/(ext_sh*(Sens!$I$5362+Sens!$J$5362)/2)</f>
        <v>0.0690334849962116</v>
      </c>
      <c r="K5375" s="16" t="n">
        <f aca="false">Sens!$K$5365*(1-tax)/(ext_sh*(Sens!$J$5362+Sens!$K$5362)/2)</f>
        <v>0.0728680488295485</v>
      </c>
      <c r="L5375" s="16" t="n">
        <f aca="false">Sens!$L$5365*(1-tax)/(ext_sh*(Sens!$K$5362+Sens!$L$5362)/2)</f>
        <v>0.0785052878122331</v>
      </c>
      <c r="M5375" s="16" t="n">
        <f aca="false">Sens!$M$5365*(1-tax)/(ext_sh*(Sens!$L$5362+Sens!$M$5362)/2)</f>
        <v>0.0804526580722741</v>
      </c>
      <c r="N5375" s="13"/>
      <c r="O5375" s="13"/>
      <c r="P5375" s="8" t="s">
        <v>611</v>
      </c>
    </row>
    <row r="5376" customFormat="false" ht="17.15" hidden="false" customHeight="false" outlineLevel="0" collapsed="false">
      <c r="A5376" s="5" t="s">
        <v>612</v>
      </c>
      <c r="B5376" s="0" t="s">
        <v>57</v>
      </c>
      <c r="H5376" s="36" t="n">
        <f aca="false">Sens!$H$5346*1000/(mw_open*he_open+Sens!$H$5344*Sens!$H$5341)</f>
        <v>0.991949006767191</v>
      </c>
      <c r="I5376" s="36" t="n">
        <f aca="false">Sens!$I$5346*1000/(mw_open*he_open+Sens!$I$5344*Sens!$I$5341)</f>
        <v>0.991949006767191</v>
      </c>
      <c r="J5376" s="36" t="n">
        <f aca="false">Sens!$J$5346*1000/(mw_open*he_open+Sens!$J$5344*Sens!$J$5341)</f>
        <v>0.991949006767191</v>
      </c>
      <c r="K5376" s="36" t="n">
        <f aca="false">Sens!$K$5346*1000/(mw_open*he_open+Sens!$K$5344*Sens!$K$5341)</f>
        <v>0.991949006767191</v>
      </c>
      <c r="L5376" s="36" t="n">
        <f aca="false">Sens!$L$5346*1000/(mw_open*he_open+Sens!$L$5344*Sens!$L$5341)</f>
        <v>0.991949006767191</v>
      </c>
      <c r="M5376" s="36" t="n">
        <f aca="false">Sens!$M$5346*1000/(mw_open*he_open+Sens!$M$5344*Sens!$M$5341)</f>
        <v>0.991949006767192</v>
      </c>
    </row>
    <row r="5377" customFormat="false" ht="17.15" hidden="false" customHeight="false" outlineLevel="0" collapsed="false">
      <c r="A5377" s="5" t="s">
        <v>613</v>
      </c>
      <c r="B5377" s="0" t="s">
        <v>57</v>
      </c>
      <c r="H5377" s="36" t="n">
        <f aca="false">Sens!$H$5376*(Sens!$H$5346+wacc*ext_sh*(Sens!$G$5362+Sens!$H$5362)/2/(1-tax)-Sens!$H$5365)/Sens!$H$5346</f>
        <v>1.3149781212103</v>
      </c>
      <c r="I5377" s="36" t="n">
        <f aca="false">Sens!$I$5376*(Sens!$I$5346+wacc*ext_sh*(Sens!$H$5362+Sens!$I$5362)/2/(1-tax)-Sens!$I$5365)/Sens!$I$5346</f>
        <v>1.25742005569107</v>
      </c>
      <c r="J5377" s="36" t="n">
        <f aca="false">Sens!$J$5376*(Sens!$J$5346+wacc*ext_sh*(Sens!$I$5362+Sens!$J$5362)/2/(1-tax)-Sens!$J$5365)/Sens!$J$5346</f>
        <v>1.21838845868559</v>
      </c>
      <c r="K5377" s="36" t="n">
        <f aca="false">Sens!$K$5376*(Sens!$K$5346+wacc*ext_sh*(Sens!$J$5362+Sens!$K$5362)/2/(1-tax)-Sens!$K$5365)/Sens!$K$5346</f>
        <v>1.18402644209548</v>
      </c>
      <c r="L5377" s="36" t="n">
        <f aca="false">Sens!$L$5376*(Sens!$L$5346+wacc*ext_sh*(Sens!$K$5362+Sens!$L$5362)/2/(1-tax)-Sens!$L$5365)/Sens!$L$5346</f>
        <v>1.15111215322059</v>
      </c>
      <c r="M5377" s="36" t="n">
        <f aca="false">Sens!$M$5376*(Sens!$M$5346+wacc*ext_sh*(Sens!$L$5362+Sens!$M$5362)/2/(1-tax)-Sens!$M$5365)/Sens!$M$5346</f>
        <v>1.1397166845677</v>
      </c>
    </row>
    <row r="5378" customFormat="false" ht="17.15" hidden="false" customHeight="false" outlineLevel="0" collapsed="false">
      <c r="A5378" s="5" t="s">
        <v>614</v>
      </c>
      <c r="B5378" s="0" t="s">
        <v>52</v>
      </c>
      <c r="C5378" s="12" t="n">
        <f aca="false">Sens!$C$5347/tk_pq</f>
        <v>0.195316432429398</v>
      </c>
      <c r="D5378" s="12" t="n">
        <f aca="false">Sens!$D$5347/tk_pq</f>
        <v>0.195316432429398</v>
      </c>
      <c r="E5378" s="12" t="n">
        <f aca="false">Sens!$E$5347/tk_pq</f>
        <v>0.195316432429398</v>
      </c>
      <c r="F5378" s="12" t="n">
        <f aca="false">Sens!$F$5347/tk_pq</f>
        <v>0.202241827274866</v>
      </c>
      <c r="G5378" s="12" t="n">
        <f aca="false">Sens!$G$5347/tk_pq</f>
        <v>0.199675016194063</v>
      </c>
      <c r="H5378" s="12" t="n">
        <f aca="false">Sens!$H$5347/tk_pq</f>
        <v>0.212647947710325</v>
      </c>
      <c r="I5378" s="12" t="n">
        <f aca="false">Sens!$I$5347/tk_pq</f>
        <v>0.219285125475351</v>
      </c>
      <c r="J5378" s="12" t="n">
        <f aca="false">Sens!$J$5347/tk_pq</f>
        <v>0.222492493217189</v>
      </c>
      <c r="K5378" s="12" t="n">
        <f aca="false">Sens!$K$5347/tk_pq</f>
        <v>0.224371415939166</v>
      </c>
      <c r="L5378" s="12" t="n">
        <f aca="false">Sens!$L$5347/tk_pq</f>
        <v>0.225603749825993</v>
      </c>
      <c r="M5378" s="12" t="n">
        <f aca="false">Sens!$M$5347/tk_pq</f>
        <v>0.22647376274628</v>
      </c>
      <c r="N5378" s="12" t="n">
        <f aca="false">Sens!$N$5347/tk_pq</f>
        <v>0.195316432429398</v>
      </c>
      <c r="O5378" s="12" t="n">
        <f aca="false">Sens!$O$5347/tk_pq</f>
        <v>0.195316432429398</v>
      </c>
      <c r="P5378" s="5" t="s">
        <v>615</v>
      </c>
    </row>
    <row r="5381" customFormat="false" ht="17.15" hidden="false" customHeight="false" outlineLevel="0" collapsed="false">
      <c r="A5381" s="1" t="s">
        <v>642</v>
      </c>
    </row>
    <row r="5382" customFormat="false" ht="17.15" hidden="false" customHeight="false" outlineLevel="0" collapsed="false">
      <c r="A5382" s="0" t="s">
        <v>643</v>
      </c>
      <c r="B5382" s="0" t="s">
        <v>73</v>
      </c>
      <c r="C5382" s="38" t="n">
        <f aca="false">Sens!$C$5346</f>
        <v>2.32100535697364</v>
      </c>
      <c r="D5382" s="38" t="n">
        <f aca="false">Sens!$D$5346</f>
        <v>8.70377008865116</v>
      </c>
      <c r="E5382" s="38" t="n">
        <f aca="false">Sens!$E$5346</f>
        <v>8.51035297557002</v>
      </c>
      <c r="F5382" s="38" t="n">
        <f aca="false">Sens!$F$5346</f>
        <v>14.9634336447205</v>
      </c>
      <c r="G5382" s="38" t="n">
        <f aca="false">Sens!$G$5346</f>
        <v>23.4737866202905</v>
      </c>
      <c r="H5382" s="38" t="n">
        <f aca="false">Sens!$H$5346</f>
        <v>60.1658907497746</v>
      </c>
      <c r="I5382" s="38" t="n">
        <f aca="false">Sens!$I$5346</f>
        <v>101.503699136432</v>
      </c>
      <c r="J5382" s="38" t="n">
        <f aca="false">Sens!$J$5346</f>
        <v>143.025407151278</v>
      </c>
      <c r="K5382" s="38" t="n">
        <f aca="false">Sens!$K$5346</f>
        <v>184.608415042187</v>
      </c>
      <c r="L5382" s="38" t="n">
        <f aca="false">Sens!$L$5346</f>
        <v>226.219286513125</v>
      </c>
      <c r="M5382" s="38" t="n">
        <f aca="false">Sens!$M$5346</f>
        <v>267.845161450232</v>
      </c>
      <c r="N5382" s="38" t="n">
        <f aca="false">Sens!$N$5346</f>
        <v>3.04631953102791</v>
      </c>
      <c r="O5382" s="38" t="n">
        <f aca="false">Sens!$O$5346</f>
        <v>5.65745055762326</v>
      </c>
      <c r="P5382" s="8" t="s">
        <v>644</v>
      </c>
    </row>
    <row r="5383" customFormat="false" ht="17.15" hidden="false" customHeight="false" outlineLevel="0" collapsed="false">
      <c r="A5383" s="0" t="s">
        <v>645</v>
      </c>
      <c r="B5383" s="0" t="s">
        <v>73</v>
      </c>
      <c r="C5383" s="38" t="n">
        <f aca="false">Sens!$C$5350</f>
        <v>105.234994643026</v>
      </c>
      <c r="D5383" s="38" t="n">
        <f aca="false">Sens!$D$5350</f>
        <v>120.021229911349</v>
      </c>
      <c r="E5383" s="38" t="n">
        <f aca="false">Sens!$E$5350</f>
        <v>71.30864702443</v>
      </c>
      <c r="F5383" s="38" t="n">
        <f aca="false">Sens!$F$5350</f>
        <v>78.5950104186653</v>
      </c>
      <c r="G5383" s="38" t="n">
        <f aca="false">Sens!$G$5350</f>
        <v>149.903657443095</v>
      </c>
      <c r="H5383" s="38" t="n">
        <f aca="false">Sens!$H$5350</f>
        <v>180.893560768142</v>
      </c>
      <c r="I5383" s="38" t="n">
        <f aca="false">Sens!$I$5350</f>
        <v>210.64839721501</v>
      </c>
      <c r="J5383" s="38" t="n">
        <f aca="false">Sens!$J$5350</f>
        <v>236.398909446495</v>
      </c>
      <c r="K5383" s="38" t="n">
        <f aca="false">Sens!$K$5350</f>
        <v>255.310822202215</v>
      </c>
      <c r="L5383" s="38" t="n">
        <f aca="false">Sens!$L$5350</f>
        <v>275.735687978392</v>
      </c>
      <c r="M5383" s="38" t="n">
        <f aca="false">Sens!$M$5350</f>
        <v>297.794543016663</v>
      </c>
      <c r="N5383" s="38" t="n">
        <f aca="false">Sens!$N$5350</f>
        <v>57.0936804689721</v>
      </c>
      <c r="O5383" s="38" t="n">
        <f aca="false">Sens!$O$5350</f>
        <v>62.9275494423768</v>
      </c>
      <c r="P5383" s="8" t="s">
        <v>644</v>
      </c>
    </row>
    <row r="5384" customFormat="false" ht="17.15" hidden="false" customHeight="false" outlineLevel="0" collapsed="false">
      <c r="A5384" s="1" t="s">
        <v>476</v>
      </c>
      <c r="B5384" s="8" t="s">
        <v>73</v>
      </c>
      <c r="C5384" s="38" t="n">
        <f aca="false">Q!$D$7</f>
        <v>107.556</v>
      </c>
      <c r="D5384" s="38" t="n">
        <f aca="false">Q!$E$7</f>
        <v>128.725</v>
      </c>
      <c r="E5384" s="38" t="n">
        <f aca="false">Q!$P$7</f>
        <v>79.819</v>
      </c>
      <c r="F5384" s="38" t="n">
        <f aca="false">Sens!$F$5382+Sens!$F$5383</f>
        <v>93.5584440633857</v>
      </c>
      <c r="G5384" s="38" t="n">
        <f aca="false">Sens!$G$5382+Sens!$G$5383</f>
        <v>173.377444063386</v>
      </c>
      <c r="H5384" s="38" t="n">
        <f aca="false">Sens!$H$5382+Sens!$H$5383</f>
        <v>241.059451517916</v>
      </c>
      <c r="I5384" s="38" t="n">
        <f aca="false">Sens!$I$5382+Sens!$I$5383</f>
        <v>312.152096351442</v>
      </c>
      <c r="J5384" s="38" t="n">
        <f aca="false">Sens!$J$5382+Sens!$J$5383</f>
        <v>379.424316597773</v>
      </c>
      <c r="K5384" s="38" t="n">
        <f aca="false">Sens!$K$5382+Sens!$K$5383</f>
        <v>439.919237244402</v>
      </c>
      <c r="L5384" s="38" t="n">
        <f aca="false">Sens!$L$5382+Sens!$L$5383</f>
        <v>501.954974491517</v>
      </c>
      <c r="M5384" s="38" t="n">
        <f aca="false">Sens!$M$5382+Sens!$M$5383</f>
        <v>565.639704466895</v>
      </c>
      <c r="N5384" s="38" t="n">
        <f aca="false">Q!$N$7</f>
        <v>60.14</v>
      </c>
      <c r="O5384" s="38" t="n">
        <f aca="false">Q!$O$7</f>
        <v>68.585</v>
      </c>
      <c r="P5384" s="5" t="s">
        <v>646</v>
      </c>
    </row>
    <row r="5385" customFormat="false" ht="15" hidden="false" customHeight="false" outlineLevel="0" collapsed="false">
      <c r="A5385" s="3" t="s">
        <v>647</v>
      </c>
      <c r="B5385" s="8" t="s">
        <v>73</v>
      </c>
      <c r="C5385" s="38" t="n">
        <f aca="false">Q!$D$8</f>
        <v>637.959</v>
      </c>
      <c r="D5385" s="38" t="n">
        <f aca="false">Q!$E$8</f>
        <v>716.924</v>
      </c>
      <c r="E5385" s="38" t="n">
        <f aca="false">Q!$P$8</f>
        <v>382.125</v>
      </c>
      <c r="F5385" s="38" t="n">
        <f aca="false">Sens!$F$5319+Sens!$F$5384</f>
        <v>450.494873271816</v>
      </c>
      <c r="G5385" s="38" t="n">
        <f aca="false">Sens!$G$5319+Sens!$G$5384</f>
        <v>832.619873271816</v>
      </c>
      <c r="H5385" s="38" t="n">
        <f aca="false">Sens!$H$5319+Sens!$H$5384</f>
        <v>970.995189139617</v>
      </c>
      <c r="I5385" s="38" t="n">
        <f aca="false">Sens!$I$5319+Sens!$I$5384</f>
        <v>1110.44766604932</v>
      </c>
      <c r="J5385" s="38" t="n">
        <f aca="false">Sens!$J$5319+Sens!$J$5384</f>
        <v>1241.16113892356</v>
      </c>
      <c r="K5385" s="38" t="n">
        <f aca="false">Sens!$K$5319+Sens!$K$5384</f>
        <v>1357.47672934633</v>
      </c>
      <c r="L5385" s="38" t="n">
        <f aca="false">Sens!$L$5319+Sens!$L$5384</f>
        <v>1479.24006423468</v>
      </c>
      <c r="M5385" s="38" t="n">
        <f aca="false">Sens!$M$5319+Sens!$M$5384</f>
        <v>1606.8537230104</v>
      </c>
      <c r="N5385" s="38" t="n">
        <f aca="false">Q!$N$8</f>
        <v>323.369</v>
      </c>
      <c r="O5385" s="38" t="n">
        <f aca="false">Q!$O$8</f>
        <v>393.555</v>
      </c>
    </row>
    <row r="5386" customFormat="false" ht="17.15" hidden="false" customHeight="false" outlineLevel="0" collapsed="false">
      <c r="A5386" s="24" t="s">
        <v>655</v>
      </c>
      <c r="B5386" s="25" t="s">
        <v>73</v>
      </c>
      <c r="C5386" s="39" t="n">
        <f aca="false">Sens!$C$5319-(Sens!$C$5321+Sens!$C$5322)</f>
        <v>0</v>
      </c>
      <c r="D5386" s="39" t="n">
        <f aca="false">Sens!$D$5319-(Sens!$D$5321+Sens!$D$5322)</f>
        <v>0</v>
      </c>
      <c r="E5386" s="39" t="n">
        <f aca="false">Sens!$E$5319-(Sens!$E$5321+Sens!$E$5322)</f>
        <v>0</v>
      </c>
      <c r="F5386" s="39" t="n">
        <f aca="false">Sens!$F$5319-(Sens!$F$5321+Sens!$F$5322)</f>
        <v>0</v>
      </c>
      <c r="G5386" s="39" t="n">
        <f aca="false">Sens!$G$5319-(Sens!$G$5321+Sens!$G$5322)</f>
        <v>0</v>
      </c>
      <c r="H5386" s="39" t="n">
        <f aca="false">Sens!$H$5319-(Sens!$H$5321+Sens!$H$5322)</f>
        <v>0</v>
      </c>
      <c r="I5386" s="39" t="n">
        <f aca="false">Sens!$I$5319-(Sens!$I$5321+Sens!$I$5322)</f>
        <v>0</v>
      </c>
      <c r="J5386" s="39" t="n">
        <f aca="false">Sens!$J$5319-(Sens!$J$5321+Sens!$J$5322)</f>
        <v>0</v>
      </c>
      <c r="K5386" s="39" t="n">
        <f aca="false">Sens!$K$5319-(Sens!$K$5321+Sens!$K$5322)</f>
        <v>0</v>
      </c>
      <c r="L5386" s="39" t="n">
        <f aca="false">Sens!$L$5319-(Sens!$L$5321+Sens!$L$5322)</f>
        <v>0</v>
      </c>
      <c r="M5386" s="39" t="n">
        <f aca="false">Sens!$M$5319-(Sens!$M$5321+Sens!$M$5322)</f>
        <v>0</v>
      </c>
      <c r="N5386" s="39" t="n">
        <f aca="false">Sens!$N$5319-(Sens!$N$5321+Sens!$N$5322)</f>
        <v>0</v>
      </c>
      <c r="O5386" s="39" t="n">
        <f aca="false">Sens!$O$5319-(Sens!$O$5321+Sens!$O$5322)</f>
        <v>0</v>
      </c>
    </row>
    <row r="5387" customFormat="false" ht="17.15" hidden="false" customHeight="false" outlineLevel="0" collapsed="false">
      <c r="A5387" s="24" t="s">
        <v>656</v>
      </c>
      <c r="B5387" s="25" t="s">
        <v>73</v>
      </c>
      <c r="C5387" s="39" t="n">
        <f aca="false">Sens!$C$5382+Sens!$C$5383-Sens!$C$5384</f>
        <v>0</v>
      </c>
      <c r="D5387" s="39" t="n">
        <f aca="false">Sens!$D$5382+Sens!$D$5383-Sens!$D$5384</f>
        <v>0</v>
      </c>
      <c r="E5387" s="39" t="n">
        <f aca="false">Sens!$E$5382+Sens!$E$5383-Sens!$E$5384</f>
        <v>0</v>
      </c>
      <c r="F5387" s="39" t="n">
        <f aca="false">Sens!$F$5382+Sens!$F$5383-Sens!$F$5384</f>
        <v>0</v>
      </c>
      <c r="G5387" s="39" t="n">
        <f aca="false">Sens!$G$5382+Sens!$G$5383-Sens!$G$5384</f>
        <v>0</v>
      </c>
      <c r="H5387" s="39" t="n">
        <f aca="false">Sens!$H$5382+Sens!$H$5383-Sens!$H$5384</f>
        <v>0</v>
      </c>
      <c r="I5387" s="39" t="n">
        <f aca="false">Sens!$I$5382+Sens!$I$5383-Sens!$I$5384</f>
        <v>0</v>
      </c>
      <c r="J5387" s="39" t="n">
        <f aca="false">Sens!$J$5382+Sens!$J$5383-Sens!$J$5384</f>
        <v>0</v>
      </c>
      <c r="K5387" s="39" t="n">
        <f aca="false">Sens!$K$5382+Sens!$K$5383-Sens!$K$5384</f>
        <v>0</v>
      </c>
      <c r="L5387" s="39" t="n">
        <f aca="false">Sens!$L$5382+Sens!$L$5383-Sens!$L$5384</f>
        <v>0</v>
      </c>
      <c r="M5387" s="39" t="n">
        <f aca="false">Sens!$M$5382+Sens!$M$5383-Sens!$M$5384</f>
        <v>0</v>
      </c>
      <c r="N5387" s="39" t="n">
        <f aca="false">Sens!$N$5382+Sens!$N$5383-Sens!$N$5384</f>
        <v>0</v>
      </c>
      <c r="O5387" s="39" t="n">
        <f aca="false">Sens!$O$5382+Sens!$O$5383-Sens!$O$5384</f>
        <v>0</v>
      </c>
    </row>
    <row r="5388" customFormat="false" ht="17.15" hidden="false" customHeight="false" outlineLevel="0" collapsed="false">
      <c r="A5388" s="24" t="s">
        <v>657</v>
      </c>
      <c r="B5388" s="25" t="s">
        <v>73</v>
      </c>
      <c r="C5388" s="39" t="n">
        <f aca="false">Sens!$C$5321+Sens!$C$5322+Sens!$C$5384-Sens!$C$5385</f>
        <v>0</v>
      </c>
      <c r="D5388" s="39" t="n">
        <f aca="false">Sens!$D$5321+Sens!$D$5322+Sens!$D$5384-Sens!$D$5385</f>
        <v>0</v>
      </c>
      <c r="E5388" s="39" t="n">
        <f aca="false">Sens!$E$5321+Sens!$E$5322+Sens!$E$5384-Sens!$E$5385</f>
        <v>0</v>
      </c>
      <c r="F5388" s="39" t="n">
        <f aca="false">Sens!$F$5321+Sens!$F$5322+Sens!$F$5384-Sens!$F$5385</f>
        <v>0</v>
      </c>
      <c r="G5388" s="39" t="n">
        <f aca="false">Sens!$G$5321+Sens!$G$5322+Sens!$G$5384-Sens!$G$5385</f>
        <v>0</v>
      </c>
      <c r="H5388" s="39" t="n">
        <f aca="false">Sens!$H$5321+Sens!$H$5322+Sens!$H$5384-Sens!$H$5385</f>
        <v>0</v>
      </c>
      <c r="I5388" s="39" t="n">
        <f aca="false">Sens!$I$5321+Sens!$I$5322+Sens!$I$5384-Sens!$I$5385</f>
        <v>0</v>
      </c>
      <c r="J5388" s="39" t="n">
        <f aca="false">Sens!$J$5321+Sens!$J$5322+Sens!$J$5384-Sens!$J$5385</f>
        <v>0</v>
      </c>
      <c r="K5388" s="39" t="n">
        <f aca="false">Sens!$K$5321+Sens!$K$5322+Sens!$K$5384-Sens!$K$5385</f>
        <v>0</v>
      </c>
      <c r="L5388" s="39" t="n">
        <f aca="false">Sens!$L$5321+Sens!$L$5322+Sens!$L$5384-Sens!$L$5385</f>
        <v>0</v>
      </c>
      <c r="M5388" s="39" t="n">
        <f aca="false">Sens!$M$5321+Sens!$M$5322+Sens!$M$5384-Sens!$M$5385</f>
        <v>0</v>
      </c>
      <c r="N5388" s="39" t="n">
        <f aca="false">Sens!$N$5321+Sens!$N$5322+Sens!$N$5384-Sens!$N$5385</f>
        <v>0</v>
      </c>
      <c r="O5388" s="39" t="n">
        <f aca="false">Sens!$O$5321+Sens!$O$5322+Sens!$O$5384-Sens!$O$5385</f>
        <v>0</v>
      </c>
    </row>
    <row r="5389" customFormat="false" ht="15" hidden="false" customHeight="false" outlineLevel="0" collapsed="false">
      <c r="A5389" s="5" t="s">
        <v>651</v>
      </c>
      <c r="B5389" s="0" t="s">
        <v>52</v>
      </c>
      <c r="G5389" s="12" t="n">
        <f aca="false">Sens!$G$5385/Sens!$D$5385-1</f>
        <v>0.161378156222718</v>
      </c>
      <c r="H5389" s="12" t="n">
        <f aca="false">Sens!$H$5385/Sens!$G$5385-1</f>
        <v>0.166192665236357</v>
      </c>
      <c r="I5389" s="12" t="n">
        <f aca="false">Sens!$I$5385/Sens!$H$5385-1</f>
        <v>0.143618092519351</v>
      </c>
      <c r="J5389" s="12" t="n">
        <f aca="false">Sens!$J$5385/Sens!$I$5385-1</f>
        <v>0.117712411733268</v>
      </c>
      <c r="K5389" s="12" t="n">
        <f aca="false">Sens!$K$5385/Sens!$J$5385-1</f>
        <v>0.0937151404237868</v>
      </c>
      <c r="L5389" s="12" t="n">
        <f aca="false">Sens!$L$5385/Sens!$K$5385-1</f>
        <v>0.0896982852494186</v>
      </c>
      <c r="M5389" s="12" t="n">
        <f aca="false">Sens!$M$5385/Sens!$L$5385-1</f>
        <v>0.0862697420528154</v>
      </c>
    </row>
    <row r="5390" customFormat="false" ht="17.15" hidden="false" customHeight="false" outlineLevel="0" collapsed="false">
      <c r="A5390" s="0" t="s">
        <v>652</v>
      </c>
      <c r="B5390" s="0" t="s">
        <v>52</v>
      </c>
      <c r="C5390" s="12" t="n">
        <f aca="false">Sens!$C$5384/Sens!$C$5385</f>
        <v>0.168593906504964</v>
      </c>
      <c r="D5390" s="12" t="n">
        <f aca="false">Sens!$D$5384/Sens!$D$5385</f>
        <v>0.179551807444025</v>
      </c>
      <c r="E5390" s="12" t="n">
        <f aca="false">Sens!$E$5384/Sens!$E$5385</f>
        <v>0.208881910369643</v>
      </c>
      <c r="F5390" s="12" t="n">
        <f aca="false">Sens!$F$5384/Sens!$F$5385</f>
        <v>0.207679264769203</v>
      </c>
      <c r="G5390" s="12" t="n">
        <f aca="false">Sens!$G$5384/Sens!$G$5385</f>
        <v>0.208231210458731</v>
      </c>
      <c r="H5390" s="12" t="n">
        <f aca="false">Sens!$H$5384/Sens!$H$5385</f>
        <v>0.248260191414043</v>
      </c>
      <c r="I5390" s="12" t="n">
        <f aca="false">Sens!$I$5384/Sens!$I$5385</f>
        <v>0.28110473450946</v>
      </c>
      <c r="J5390" s="12" t="n">
        <f aca="false">Sens!$J$5384/Sens!$J$5385</f>
        <v>0.30570109287086</v>
      </c>
      <c r="K5390" s="12" t="n">
        <f aca="false">Sens!$K$5384/Sens!$K$5385</f>
        <v>0.324071291782835</v>
      </c>
      <c r="L5390" s="12" t="n">
        <f aca="false">Sens!$L$5384/Sens!$L$5385</f>
        <v>0.339333003903741</v>
      </c>
      <c r="M5390" s="12" t="n">
        <f aca="false">Sens!$M$5384/Sens!$M$5385</f>
        <v>0.3520169237354</v>
      </c>
      <c r="N5390" s="12" t="n">
        <f aca="false">Sens!$N$5384/Sens!$N$5385</f>
        <v>0.185979484737251</v>
      </c>
      <c r="O5390" s="12" t="n">
        <f aca="false">Sens!$O$5384/Sens!$O$5385</f>
        <v>0.174270432341096</v>
      </c>
    </row>
    <row r="5391" customFormat="false" ht="17.15" hidden="false" customHeight="false" outlineLevel="0" collapsed="false">
      <c r="A5391" s="0" t="s">
        <v>653</v>
      </c>
      <c r="B5391" s="0" t="s">
        <v>52</v>
      </c>
      <c r="C5391" s="12" t="n">
        <f aca="false">Sens!$C$5382/Sens!$C$5384</f>
        <v>0.0215795060896058</v>
      </c>
      <c r="D5391" s="12" t="n">
        <f aca="false">Sens!$D$5382/Sens!$D$5384</f>
        <v>0.0676152269462122</v>
      </c>
      <c r="E5391" s="12" t="n">
        <f aca="false">Sens!$E$5382/Sens!$E$5384</f>
        <v>0.106620641395783</v>
      </c>
      <c r="F5391" s="12" t="n">
        <f aca="false">Sens!$F$5382/Sens!$F$5384</f>
        <v>0.159936751776064</v>
      </c>
      <c r="G5391" s="12" t="n">
        <f aca="false">Sens!$G$5382/Sens!$G$5384</f>
        <v>0.135391237003751</v>
      </c>
      <c r="H5391" s="12" t="n">
        <f aca="false">Sens!$H$5382/Sens!$H$5384</f>
        <v>0.249589428545194</v>
      </c>
      <c r="I5391" s="12" t="n">
        <f aca="false">Sens!$I$5382/Sens!$I$5384</f>
        <v>0.325173850577483</v>
      </c>
      <c r="J5391" s="12" t="n">
        <f aca="false">Sens!$J$5382/Sens!$J$5384</f>
        <v>0.376953718817392</v>
      </c>
      <c r="K5391" s="12" t="n">
        <f aca="false">Sens!$K$5382/Sens!$K$5384</f>
        <v>0.419641605578676</v>
      </c>
      <c r="L5391" s="12" t="n">
        <f aca="false">Sens!$L$5382/Sens!$L$5384</f>
        <v>0.450676451094615</v>
      </c>
      <c r="M5391" s="12" t="n">
        <f aca="false">Sens!$M$5382/Sens!$M$5384</f>
        <v>0.473526096798086</v>
      </c>
      <c r="N5391" s="12" t="n">
        <f aca="false">Sens!$N$5382/Sens!$N$5384</f>
        <v>0.0506537999838362</v>
      </c>
      <c r="O5391" s="12" t="n">
        <f aca="false">Sens!$O$5382/Sens!$O$5384</f>
        <v>0.0824881615167056</v>
      </c>
    </row>
    <row r="5394" customFormat="false" ht="19.4" hidden="false" customHeight="false" outlineLevel="0" collapsed="false">
      <c r="A5394" s="31" t="s">
        <v>1160</v>
      </c>
    </row>
    <row r="5395" customFormat="false" ht="17.15" hidden="false" customHeight="false" outlineLevel="0" collapsed="false">
      <c r="A5395" s="6" t="s">
        <v>16</v>
      </c>
      <c r="B5395" s="6" t="s">
        <v>17</v>
      </c>
      <c r="C5395" s="20" t="s">
        <v>457</v>
      </c>
      <c r="D5395" s="20" t="s">
        <v>458</v>
      </c>
      <c r="E5395" s="20" t="s">
        <v>540</v>
      </c>
      <c r="F5395" s="20" t="s">
        <v>541</v>
      </c>
      <c r="G5395" s="20" t="s">
        <v>542</v>
      </c>
      <c r="H5395" s="20" t="s">
        <v>543</v>
      </c>
      <c r="I5395" s="20" t="s">
        <v>544</v>
      </c>
      <c r="J5395" s="20" t="s">
        <v>545</v>
      </c>
      <c r="K5395" s="20" t="s">
        <v>546</v>
      </c>
      <c r="L5395" s="20" t="s">
        <v>547</v>
      </c>
      <c r="M5395" s="20" t="s">
        <v>548</v>
      </c>
      <c r="N5395" s="20" t="s">
        <v>549</v>
      </c>
      <c r="O5395" s="20" t="s">
        <v>550</v>
      </c>
      <c r="P5395" s="6" t="s">
        <v>23</v>
      </c>
      <c r="R5395" s="20" t="n">
        <v>2023</v>
      </c>
      <c r="S5395" s="20" t="n">
        <v>2024</v>
      </c>
      <c r="T5395" s="20" t="n">
        <v>2025</v>
      </c>
      <c r="U5395" s="20" t="n">
        <v>2026</v>
      </c>
      <c r="V5395" s="20" t="n">
        <v>2027</v>
      </c>
      <c r="W5395" s="20" t="n">
        <v>2028</v>
      </c>
      <c r="X5395" s="20" t="n">
        <v>2029</v>
      </c>
      <c r="Y5395" s="20" t="n">
        <v>2030</v>
      </c>
      <c r="Z5395" s="20" t="n">
        <v>2031</v>
      </c>
      <c r="AA5395" s="20" t="n">
        <v>2032</v>
      </c>
    </row>
    <row r="5396" customFormat="false" ht="17.15" hidden="false" customHeight="false" outlineLevel="0" collapsed="false">
      <c r="A5396" s="1" t="s">
        <v>668</v>
      </c>
    </row>
    <row r="5397" customFormat="false" ht="15" hidden="false" customHeight="false" outlineLevel="0" collapsed="false">
      <c r="A5397" s="0" t="s">
        <v>479</v>
      </c>
      <c r="B5397" s="0" t="s">
        <v>73</v>
      </c>
      <c r="C5397" s="38" t="n">
        <f aca="false">Sens!$C$5307</f>
        <v>247.029</v>
      </c>
      <c r="D5397" s="38" t="n">
        <f aca="false">Sens!$D$5307</f>
        <v>269.287</v>
      </c>
      <c r="E5397" s="38" t="n">
        <f aca="false">Sens!$E$5307</f>
        <v>134.686</v>
      </c>
      <c r="F5397" s="38" t="n">
        <f aca="false">Sens!$F$5307</f>
        <v>160.728085930082</v>
      </c>
      <c r="G5397" s="38" t="n">
        <f aca="false">Sens!$G$5307</f>
        <v>295.414085930082</v>
      </c>
      <c r="H5397" s="38" t="n">
        <f aca="false">Sens!$H$5307</f>
        <v>320.828163943375</v>
      </c>
      <c r="I5397" s="38" t="n">
        <f aca="false">Sens!$I$5307</f>
        <v>344.575578072228</v>
      </c>
      <c r="J5397" s="38" t="n">
        <f aca="false">Sens!$J$5307</f>
        <v>365.942555779681</v>
      </c>
      <c r="K5397" s="38" t="n">
        <f aca="false">Sens!$K$5307</f>
        <v>384.239683568665</v>
      </c>
      <c r="L5397" s="38" t="n">
        <f aca="false">Sens!$L$5307</f>
        <v>403.451667747098</v>
      </c>
      <c r="M5397" s="38" t="n">
        <f aca="false">Sens!$M$5307</f>
        <v>423.624251134453</v>
      </c>
      <c r="N5397" s="38" t="n">
        <f aca="false">Sens!$N$5307</f>
        <v>118.892</v>
      </c>
      <c r="O5397" s="38" t="n">
        <f aca="false">Sens!$O$5307</f>
        <v>150.395</v>
      </c>
    </row>
    <row r="5398" customFormat="false" ht="15" hidden="false" customHeight="false" outlineLevel="0" collapsed="false">
      <c r="A5398" s="0" t="s">
        <v>480</v>
      </c>
      <c r="B5398" s="0" t="s">
        <v>73</v>
      </c>
      <c r="C5398" s="38" t="n">
        <f aca="false">Sens!$C$5309</f>
        <v>21.215</v>
      </c>
      <c r="D5398" s="38" t="n">
        <f aca="false">Sens!$D$5309</f>
        <v>22.561</v>
      </c>
      <c r="E5398" s="38" t="n">
        <f aca="false">Sens!$E$5309</f>
        <v>11.579</v>
      </c>
      <c r="F5398" s="38" t="n">
        <f aca="false">Sens!$F$5309</f>
        <v>12.0952613121125</v>
      </c>
      <c r="G5398" s="38" t="n">
        <f aca="false">Sens!$G$5309</f>
        <v>23.6742613121125</v>
      </c>
      <c r="H5398" s="38" t="n">
        <f aca="false">Sens!$H$5309</f>
        <v>24.8803243963206</v>
      </c>
      <c r="I5398" s="38" t="n">
        <f aca="false">Sens!$I$5309</f>
        <v>25.9741308664154</v>
      </c>
      <c r="J5398" s="38" t="n">
        <f aca="false">Sens!$J$5309</f>
        <v>26.9346894124267</v>
      </c>
      <c r="K5398" s="38" t="n">
        <f aca="false">Sens!$K$5309</f>
        <v>27.7427300947995</v>
      </c>
      <c r="L5398" s="38" t="n">
        <f aca="false">Sens!$L$5309</f>
        <v>28.5750119976435</v>
      </c>
      <c r="M5398" s="38" t="n">
        <f aca="false">Sens!$M$5309</f>
        <v>29.4322623575728</v>
      </c>
      <c r="N5398" s="38" t="n">
        <f aca="false">Sens!$N$5309</f>
        <v>11.128</v>
      </c>
      <c r="O5398" s="38" t="n">
        <f aca="false">Sens!$O$5309</f>
        <v>11.433</v>
      </c>
    </row>
    <row r="5399" customFormat="false" ht="15" hidden="false" customHeight="false" outlineLevel="0" collapsed="false">
      <c r="A5399" s="0" t="s">
        <v>481</v>
      </c>
      <c r="B5399" s="0" t="s">
        <v>73</v>
      </c>
      <c r="C5399" s="38" t="n">
        <f aca="false">Sens!$C$5311</f>
        <v>156.146</v>
      </c>
      <c r="D5399" s="38" t="n">
        <f aca="false">Sens!$D$5311</f>
        <v>172.162</v>
      </c>
      <c r="E5399" s="38" t="n">
        <f aca="false">Sens!$E$5311</f>
        <v>88.358</v>
      </c>
      <c r="F5399" s="38" t="n">
        <f aca="false">Sens!$F$5311</f>
        <v>103.62028337149</v>
      </c>
      <c r="G5399" s="38" t="n">
        <f aca="false">Sens!$G$5311</f>
        <v>191.97828337149</v>
      </c>
      <c r="H5399" s="38" t="n">
        <f aca="false">Sens!$H$5311</f>
        <v>212.128608444755</v>
      </c>
      <c r="I5399" s="38" t="n">
        <f aca="false">Sens!$I$5311</f>
        <v>231.92183134134</v>
      </c>
      <c r="J5399" s="38" t="n">
        <f aca="false">Sens!$J$5311</f>
        <v>250.859136487863</v>
      </c>
      <c r="K5399" s="38" t="n">
        <f aca="false">Sens!$K$5311</f>
        <v>268.419276042014</v>
      </c>
      <c r="L5399" s="38" t="n">
        <f aca="false">Sens!$L$5311</f>
        <v>287.208625364954</v>
      </c>
      <c r="M5399" s="38" t="n">
        <f aca="false">Sens!$M$5311</f>
        <v>307.313229140501</v>
      </c>
      <c r="N5399" s="38" t="n">
        <f aca="false">Sens!$N$5311</f>
        <v>76.86</v>
      </c>
      <c r="O5399" s="38" t="n">
        <f aca="false">Sens!$O$5311</f>
        <v>95.302</v>
      </c>
    </row>
    <row r="5400" customFormat="false" ht="15" hidden="false" customHeight="false" outlineLevel="0" collapsed="false">
      <c r="A5400" s="0" t="s">
        <v>482</v>
      </c>
      <c r="B5400" s="0" t="s">
        <v>73</v>
      </c>
      <c r="C5400" s="38" t="n">
        <f aca="false">Sens!$C$5313</f>
        <v>56.214</v>
      </c>
      <c r="D5400" s="38" t="n">
        <f aca="false">Sens!$D$5313</f>
        <v>68.635</v>
      </c>
      <c r="E5400" s="38" t="n">
        <f aca="false">Sens!$E$5313</f>
        <v>37.052</v>
      </c>
      <c r="F5400" s="38" t="n">
        <f aca="false">Sens!$F$5313</f>
        <v>48.1533381827382</v>
      </c>
      <c r="G5400" s="38" t="n">
        <f aca="false">Sens!$G$5313</f>
        <v>85.2053381827382</v>
      </c>
      <c r="H5400" s="38" t="n">
        <f aca="false">Sens!$H$5313</f>
        <v>102.29336185894</v>
      </c>
      <c r="I5400" s="38" t="n">
        <f aca="false">Sens!$I$5313</f>
        <v>119.379837585241</v>
      </c>
      <c r="J5400" s="38" t="n">
        <f aca="false">Sens!$J$5313</f>
        <v>135.319079048844</v>
      </c>
      <c r="K5400" s="38" t="n">
        <f aca="false">Sens!$K$5313</f>
        <v>148.850986953729</v>
      </c>
      <c r="L5400" s="38" t="n">
        <f aca="false">Sens!$L$5313</f>
        <v>163.736085649102</v>
      </c>
      <c r="M5400" s="38" t="n">
        <f aca="false">Sens!$M$5313</f>
        <v>180.109694214012</v>
      </c>
      <c r="N5400" s="38" t="n">
        <f aca="false">Sens!$N$5313</f>
        <v>29.615</v>
      </c>
      <c r="O5400" s="38" t="n">
        <f aca="false">Sens!$O$5313</f>
        <v>39.02</v>
      </c>
    </row>
    <row r="5401" customFormat="false" ht="15" hidden="false" customHeight="false" outlineLevel="0" collapsed="false">
      <c r="A5401" s="0" t="s">
        <v>483</v>
      </c>
      <c r="B5401" s="0" t="s">
        <v>73</v>
      </c>
      <c r="C5401" s="38" t="n">
        <f aca="false">Sens!$C$5315</f>
        <v>44.374</v>
      </c>
      <c r="D5401" s="38" t="n">
        <f aca="false">Sens!$D$5315</f>
        <v>49.619</v>
      </c>
      <c r="E5401" s="38" t="n">
        <f aca="false">Sens!$E$5315</f>
        <v>27.157</v>
      </c>
      <c r="F5401" s="38" t="n">
        <f aca="false">Sens!$F$5315</f>
        <v>28.9776360923374</v>
      </c>
      <c r="G5401" s="38" t="n">
        <f aca="false">Sens!$G$5315</f>
        <v>56.1346360923374</v>
      </c>
      <c r="H5401" s="38" t="n">
        <f aca="false">Sens!$H$5315</f>
        <v>62.4937078946075</v>
      </c>
      <c r="I5401" s="38" t="n">
        <f aca="false">Sens!$I$5315</f>
        <v>68.6715233062498</v>
      </c>
      <c r="J5401" s="38" t="n">
        <f aca="false">Sens!$J$5315</f>
        <v>74.4692882949818</v>
      </c>
      <c r="K5401" s="38" t="n">
        <f aca="false">Sens!$K$5315</f>
        <v>79.6821384756306</v>
      </c>
      <c r="L5401" s="38" t="n">
        <f aca="false">Sens!$L$5315</f>
        <v>85.2598881689247</v>
      </c>
      <c r="M5401" s="38" t="n">
        <f aca="false">Sens!$M$5315</f>
        <v>91.2280803407494</v>
      </c>
      <c r="N5401" s="38" t="n">
        <f aca="false">Sens!$N$5315</f>
        <v>23.923</v>
      </c>
      <c r="O5401" s="38" t="n">
        <f aca="false">Sens!$O$5315</f>
        <v>25.696</v>
      </c>
    </row>
    <row r="5402" customFormat="false" ht="15" hidden="false" customHeight="false" outlineLevel="0" collapsed="false">
      <c r="A5402" s="0" t="s">
        <v>484</v>
      </c>
      <c r="B5402" s="0" t="s">
        <v>73</v>
      </c>
      <c r="C5402" s="38" t="n">
        <f aca="false">Sens!$C$5317</f>
        <v>5.425</v>
      </c>
      <c r="D5402" s="38" t="n">
        <f aca="false">Sens!$D$5317</f>
        <v>5.935</v>
      </c>
      <c r="E5402" s="38" t="n">
        <f aca="false">Sens!$E$5317</f>
        <v>3.474</v>
      </c>
      <c r="F5402" s="38" t="n">
        <f aca="false">Sens!$F$5317</f>
        <v>3.36182431966931</v>
      </c>
      <c r="G5402" s="38" t="n">
        <f aca="false">Sens!$G$5317</f>
        <v>6.83582431966931</v>
      </c>
      <c r="H5402" s="38" t="n">
        <f aca="false">Sens!$H$5317</f>
        <v>7.31157108370141</v>
      </c>
      <c r="I5402" s="38" t="n">
        <f aca="false">Sens!$I$5317</f>
        <v>7.77266852639815</v>
      </c>
      <c r="J5402" s="38" t="n">
        <f aca="false">Sens!$J$5317</f>
        <v>8.2120733019884</v>
      </c>
      <c r="K5402" s="38" t="n">
        <f aca="false">Sens!$K$5317</f>
        <v>8.62267696708783</v>
      </c>
      <c r="L5402" s="38" t="n">
        <f aca="false">Sens!$L$5317</f>
        <v>9.05381081544222</v>
      </c>
      <c r="M5402" s="38" t="n">
        <f aca="false">Sens!$M$5317</f>
        <v>9.50650135621433</v>
      </c>
      <c r="N5402" s="38" t="n">
        <f aca="false">Sens!$N$5317</f>
        <v>2.811</v>
      </c>
      <c r="O5402" s="38" t="n">
        <f aca="false">Sens!$O$5317</f>
        <v>3.124</v>
      </c>
    </row>
    <row r="5403" customFormat="false" ht="17.15" hidden="false" customHeight="false" outlineLevel="0" collapsed="false">
      <c r="A5403" s="0" t="s">
        <v>669</v>
      </c>
      <c r="B5403" s="0" t="s">
        <v>73</v>
      </c>
      <c r="C5403" s="38" t="n">
        <f aca="false">Sens!$C$5384</f>
        <v>107.556</v>
      </c>
      <c r="D5403" s="38" t="n">
        <f aca="false">Sens!$D$5384</f>
        <v>128.725</v>
      </c>
      <c r="E5403" s="38" t="n">
        <f aca="false">Sens!$E$5384</f>
        <v>79.819</v>
      </c>
      <c r="F5403" s="38" t="n">
        <f aca="false">Sens!$F$5384</f>
        <v>93.5584440633857</v>
      </c>
      <c r="G5403" s="38" t="n">
        <f aca="false">Sens!$G$5384</f>
        <v>173.377444063386</v>
      </c>
      <c r="H5403" s="38" t="n">
        <f aca="false">Sens!$H$5384</f>
        <v>241.059451517916</v>
      </c>
      <c r="I5403" s="38" t="n">
        <f aca="false">Sens!$I$5384</f>
        <v>312.152096351442</v>
      </c>
      <c r="J5403" s="38" t="n">
        <f aca="false">Sens!$J$5384</f>
        <v>379.424316597773</v>
      </c>
      <c r="K5403" s="38" t="n">
        <f aca="false">Sens!$K$5384</f>
        <v>439.919237244402</v>
      </c>
      <c r="L5403" s="38" t="n">
        <f aca="false">Sens!$L$5384</f>
        <v>501.954974491517</v>
      </c>
      <c r="M5403" s="38" t="n">
        <f aca="false">Sens!$M$5384</f>
        <v>565.639704466895</v>
      </c>
      <c r="N5403" s="38" t="n">
        <f aca="false">Sens!$N$5384</f>
        <v>60.14</v>
      </c>
      <c r="O5403" s="38" t="n">
        <f aca="false">Sens!$O$5384</f>
        <v>68.585</v>
      </c>
    </row>
    <row r="5404" customFormat="false" ht="15" hidden="false" customHeight="false" outlineLevel="0" collapsed="false">
      <c r="A5404" s="1" t="s">
        <v>472</v>
      </c>
      <c r="B5404" s="8" t="s">
        <v>73</v>
      </c>
      <c r="C5404" s="38" t="n">
        <f aca="false">Sens!$C$5321</f>
        <v>387.497</v>
      </c>
      <c r="D5404" s="38" t="n">
        <f aca="false">Sens!$D$5321</f>
        <v>426.305</v>
      </c>
      <c r="E5404" s="38" t="n">
        <f aca="false">Sens!$E$5321</f>
        <v>220.32</v>
      </c>
      <c r="F5404" s="38" t="n">
        <f aca="false">Sens!$F$5321</f>
        <v>256.304015003807</v>
      </c>
      <c r="G5404" s="38" t="n">
        <f aca="false">Sens!$G$5321</f>
        <v>476.624015003807</v>
      </c>
      <c r="H5404" s="38" t="n">
        <f aca="false">Sens!$H$5321</f>
        <v>527.734391091543</v>
      </c>
      <c r="I5404" s="38" t="n">
        <f aca="false">Sens!$I$5321</f>
        <v>577.157693029577</v>
      </c>
      <c r="J5404" s="38" t="n">
        <f aca="false">Sens!$J$5321</f>
        <v>623.024923663827</v>
      </c>
      <c r="K5404" s="38" t="n">
        <f aca="false">Sens!$K$5321</f>
        <v>663.382568393781</v>
      </c>
      <c r="L5404" s="38" t="n">
        <f aca="false">Sens!$L$5321</f>
        <v>706.564873010432</v>
      </c>
      <c r="M5404" s="38" t="n">
        <f aca="false">Sens!$M$5321</f>
        <v>752.784687406019</v>
      </c>
      <c r="N5404" s="38" t="n">
        <f aca="false">Sens!$N$5321</f>
        <v>192.955</v>
      </c>
      <c r="O5404" s="38" t="n">
        <f aca="false">Sens!$O$5321</f>
        <v>233.35</v>
      </c>
    </row>
    <row r="5405" customFormat="false" ht="15" hidden="false" customHeight="false" outlineLevel="0" collapsed="false">
      <c r="A5405" s="1" t="s">
        <v>475</v>
      </c>
      <c r="B5405" s="8" t="s">
        <v>73</v>
      </c>
      <c r="C5405" s="38" t="n">
        <f aca="false">Sens!$C$5322</f>
        <v>142.906</v>
      </c>
      <c r="D5405" s="38" t="n">
        <f aca="false">Sens!$D$5322</f>
        <v>161.894</v>
      </c>
      <c r="E5405" s="38" t="n">
        <f aca="false">Sens!$E$5322</f>
        <v>81.986</v>
      </c>
      <c r="F5405" s="38" t="n">
        <f aca="false">Sens!$F$5322</f>
        <v>100.632414204623</v>
      </c>
      <c r="G5405" s="38" t="n">
        <f aca="false">Sens!$G$5322</f>
        <v>182.618414204623</v>
      </c>
      <c r="H5405" s="38" t="n">
        <f aca="false">Sens!$H$5322</f>
        <v>202.201346530158</v>
      </c>
      <c r="I5405" s="38" t="n">
        <f aca="false">Sens!$I$5322</f>
        <v>221.137876668296</v>
      </c>
      <c r="J5405" s="38" t="n">
        <f aca="false">Sens!$J$5322</f>
        <v>238.711898661958</v>
      </c>
      <c r="K5405" s="38" t="n">
        <f aca="false">Sens!$K$5322</f>
        <v>254.174923708144</v>
      </c>
      <c r="L5405" s="38" t="n">
        <f aca="false">Sens!$L$5322</f>
        <v>270.720216732733</v>
      </c>
      <c r="M5405" s="38" t="n">
        <f aca="false">Sens!$M$5322</f>
        <v>288.429331137484</v>
      </c>
      <c r="N5405" s="38" t="n">
        <f aca="false">Sens!$N$5322</f>
        <v>70.274</v>
      </c>
      <c r="O5405" s="38" t="n">
        <f aca="false">Sens!$O$5322</f>
        <v>91.62</v>
      </c>
    </row>
    <row r="5406" customFormat="false" ht="15" hidden="false" customHeight="false" outlineLevel="0" collapsed="false">
      <c r="A5406" s="1" t="s">
        <v>476</v>
      </c>
      <c r="B5406" s="8" t="s">
        <v>73</v>
      </c>
      <c r="C5406" s="38" t="n">
        <f aca="false">Sens!$C$5384</f>
        <v>107.556</v>
      </c>
      <c r="D5406" s="38" t="n">
        <f aca="false">Sens!$D$5384</f>
        <v>128.725</v>
      </c>
      <c r="E5406" s="38" t="n">
        <f aca="false">Sens!$E$5384</f>
        <v>79.819</v>
      </c>
      <c r="F5406" s="38" t="n">
        <f aca="false">Sens!$F$5384</f>
        <v>93.5584440633857</v>
      </c>
      <c r="G5406" s="38" t="n">
        <f aca="false">Sens!$G$5384</f>
        <v>173.377444063386</v>
      </c>
      <c r="H5406" s="38" t="n">
        <f aca="false">Sens!$H$5384</f>
        <v>241.059451517916</v>
      </c>
      <c r="I5406" s="38" t="n">
        <f aca="false">Sens!$I$5384</f>
        <v>312.152096351442</v>
      </c>
      <c r="J5406" s="38" t="n">
        <f aca="false">Sens!$J$5384</f>
        <v>379.424316597773</v>
      </c>
      <c r="K5406" s="38" t="n">
        <f aca="false">Sens!$K$5384</f>
        <v>439.919237244402</v>
      </c>
      <c r="L5406" s="38" t="n">
        <f aca="false">Sens!$L$5384</f>
        <v>501.954974491517</v>
      </c>
      <c r="M5406" s="38" t="n">
        <f aca="false">Sens!$M$5384</f>
        <v>565.639704466895</v>
      </c>
      <c r="N5406" s="38" t="n">
        <f aca="false">Sens!$N$5384</f>
        <v>60.14</v>
      </c>
      <c r="O5406" s="38" t="n">
        <f aca="false">Sens!$O$5384</f>
        <v>68.585</v>
      </c>
    </row>
    <row r="5407" customFormat="false" ht="17.15" hidden="false" customHeight="false" outlineLevel="0" collapsed="false">
      <c r="A5407" s="0" t="s">
        <v>643</v>
      </c>
      <c r="B5407" s="0" t="s">
        <v>73</v>
      </c>
      <c r="C5407" s="38" t="n">
        <f aca="false">Sens!$C$5382</f>
        <v>2.32100535697364</v>
      </c>
      <c r="D5407" s="38" t="n">
        <f aca="false">Sens!$D$5382</f>
        <v>8.70377008865116</v>
      </c>
      <c r="E5407" s="38" t="n">
        <f aca="false">Sens!$E$5382</f>
        <v>8.51035297557002</v>
      </c>
      <c r="F5407" s="38" t="n">
        <f aca="false">Sens!$F$5382</f>
        <v>14.9634336447205</v>
      </c>
      <c r="G5407" s="38" t="n">
        <f aca="false">Sens!$G$5382</f>
        <v>23.4737866202905</v>
      </c>
      <c r="H5407" s="38" t="n">
        <f aca="false">Sens!$H$5382</f>
        <v>60.1658907497746</v>
      </c>
      <c r="I5407" s="38" t="n">
        <f aca="false">Sens!$I$5382</f>
        <v>101.503699136432</v>
      </c>
      <c r="J5407" s="38" t="n">
        <f aca="false">Sens!$J$5382</f>
        <v>143.025407151278</v>
      </c>
      <c r="K5407" s="38" t="n">
        <f aca="false">Sens!$K$5382</f>
        <v>184.608415042187</v>
      </c>
      <c r="L5407" s="38" t="n">
        <f aca="false">Sens!$L$5382</f>
        <v>226.219286513125</v>
      </c>
      <c r="M5407" s="38" t="n">
        <f aca="false">Sens!$M$5382</f>
        <v>267.845161450232</v>
      </c>
      <c r="N5407" s="38" t="n">
        <f aca="false">Sens!$N$5382</f>
        <v>3.04631953102791</v>
      </c>
      <c r="O5407" s="38" t="n">
        <f aca="false">Sens!$O$5382</f>
        <v>5.65745055762326</v>
      </c>
    </row>
    <row r="5408" customFormat="false" ht="17.15" hidden="false" customHeight="false" outlineLevel="0" collapsed="false">
      <c r="A5408" s="0" t="s">
        <v>645</v>
      </c>
      <c r="B5408" s="0" t="s">
        <v>73</v>
      </c>
      <c r="C5408" s="38" t="n">
        <f aca="false">Sens!$C$5383</f>
        <v>105.234994643026</v>
      </c>
      <c r="D5408" s="38" t="n">
        <f aca="false">Sens!$D$5383</f>
        <v>120.021229911349</v>
      </c>
      <c r="E5408" s="38" t="n">
        <f aca="false">Sens!$E$5383</f>
        <v>71.30864702443</v>
      </c>
      <c r="F5408" s="38" t="n">
        <f aca="false">Sens!$F$5383</f>
        <v>78.5950104186653</v>
      </c>
      <c r="G5408" s="38" t="n">
        <f aca="false">Sens!$G$5383</f>
        <v>149.903657443095</v>
      </c>
      <c r="H5408" s="38" t="n">
        <f aca="false">Sens!$H$5383</f>
        <v>180.893560768142</v>
      </c>
      <c r="I5408" s="38" t="n">
        <f aca="false">Sens!$I$5383</f>
        <v>210.64839721501</v>
      </c>
      <c r="J5408" s="38" t="n">
        <f aca="false">Sens!$J$5383</f>
        <v>236.398909446495</v>
      </c>
      <c r="K5408" s="38" t="n">
        <f aca="false">Sens!$K$5383</f>
        <v>255.310822202215</v>
      </c>
      <c r="L5408" s="38" t="n">
        <f aca="false">Sens!$L$5383</f>
        <v>275.735687978392</v>
      </c>
      <c r="M5408" s="38" t="n">
        <f aca="false">Sens!$M$5383</f>
        <v>297.794543016663</v>
      </c>
      <c r="N5408" s="38" t="n">
        <f aca="false">Sens!$N$5383</f>
        <v>57.0936804689721</v>
      </c>
      <c r="O5408" s="38" t="n">
        <f aca="false">Sens!$O$5383</f>
        <v>62.9275494423768</v>
      </c>
    </row>
    <row r="5409" customFormat="false" ht="15" hidden="false" customHeight="false" outlineLevel="0" collapsed="false">
      <c r="A5409" s="3" t="s">
        <v>477</v>
      </c>
      <c r="B5409" s="8" t="s">
        <v>73</v>
      </c>
      <c r="C5409" s="38" t="n">
        <f aca="false">Sens!$C$5385</f>
        <v>637.959</v>
      </c>
      <c r="D5409" s="38" t="n">
        <f aca="false">Sens!$D$5385</f>
        <v>716.924</v>
      </c>
      <c r="E5409" s="38" t="n">
        <f aca="false">Sens!$E$5385</f>
        <v>382.125</v>
      </c>
      <c r="F5409" s="38" t="n">
        <f aca="false">Sens!$F$5385</f>
        <v>450.494873271816</v>
      </c>
      <c r="G5409" s="38" t="n">
        <f aca="false">Sens!$G$5385</f>
        <v>832.619873271816</v>
      </c>
      <c r="H5409" s="38" t="n">
        <f aca="false">Sens!$H$5385</f>
        <v>970.995189139617</v>
      </c>
      <c r="I5409" s="38" t="n">
        <f aca="false">Sens!$I$5385</f>
        <v>1110.44766604932</v>
      </c>
      <c r="J5409" s="38" t="n">
        <f aca="false">Sens!$J$5385</f>
        <v>1241.16113892356</v>
      </c>
      <c r="K5409" s="38" t="n">
        <f aca="false">Sens!$K$5385</f>
        <v>1357.47672934633</v>
      </c>
      <c r="L5409" s="38" t="n">
        <f aca="false">Sens!$L$5385</f>
        <v>1479.24006423468</v>
      </c>
      <c r="M5409" s="38" t="n">
        <f aca="false">Sens!$M$5385</f>
        <v>1606.8537230104</v>
      </c>
      <c r="N5409" s="38" t="n">
        <f aca="false">Sens!$N$5385</f>
        <v>323.369</v>
      </c>
      <c r="O5409" s="38" t="n">
        <f aca="false">Sens!$O$5385</f>
        <v>393.555</v>
      </c>
    </row>
    <row r="5410" customFormat="false" ht="17.15" hidden="false" customHeight="false" outlineLevel="0" collapsed="false">
      <c r="A5410" s="24" t="s">
        <v>655</v>
      </c>
      <c r="B5410" s="25" t="s">
        <v>73</v>
      </c>
      <c r="C5410" s="39" t="n">
        <f aca="false">Sens!$C$5397+Sens!$C$5398+Sens!$C$5399+Sens!$C$5400+Sens!$C$5401+Sens!$C$5402-(Sens!$C$5404+Sens!$C$5405)</f>
        <v>0</v>
      </c>
      <c r="D5410" s="39" t="n">
        <f aca="false">Sens!$D$5397+Sens!$D$5398+Sens!$D$5399+Sens!$D$5400+Sens!$D$5401+Sens!$D$5402-(Sens!$D$5404+Sens!$D$5405)</f>
        <v>0</v>
      </c>
      <c r="E5410" s="39" t="n">
        <f aca="false">Sens!$E$5397+Sens!$E$5398+Sens!$E$5399+Sens!$E$5400+Sens!$E$5401+Sens!$E$5402-(Sens!$E$5404+Sens!$E$5405)</f>
        <v>0</v>
      </c>
      <c r="F5410" s="39" t="n">
        <f aca="false">Sens!$F$5397+Sens!$F$5398+Sens!$F$5399+Sens!$F$5400+Sens!$F$5401+Sens!$F$5402-(Sens!$F$5404+Sens!$F$5405)</f>
        <v>0</v>
      </c>
      <c r="G5410" s="39" t="n">
        <f aca="false">Sens!$G$5397+Sens!$G$5398+Sens!$G$5399+Sens!$G$5400+Sens!$G$5401+Sens!$G$5402-(Sens!$G$5404+Sens!$G$5405)</f>
        <v>0</v>
      </c>
      <c r="H5410" s="39" t="n">
        <f aca="false">Sens!$H$5397+Sens!$H$5398+Sens!$H$5399+Sens!$H$5400+Sens!$H$5401+Sens!$H$5402-(Sens!$H$5404+Sens!$H$5405)</f>
        <v>0</v>
      </c>
      <c r="I5410" s="39" t="n">
        <f aca="false">Sens!$I$5397+Sens!$I$5398+Sens!$I$5399+Sens!$I$5400+Sens!$I$5401+Sens!$I$5402-(Sens!$I$5404+Sens!$I$5405)</f>
        <v>0</v>
      </c>
      <c r="J5410" s="39" t="n">
        <f aca="false">Sens!$J$5397+Sens!$J$5398+Sens!$J$5399+Sens!$J$5400+Sens!$J$5401+Sens!$J$5402-(Sens!$J$5404+Sens!$J$5405)</f>
        <v>0</v>
      </c>
      <c r="K5410" s="39" t="n">
        <f aca="false">Sens!$K$5397+Sens!$K$5398+Sens!$K$5399+Sens!$K$5400+Sens!$K$5401+Sens!$K$5402-(Sens!$K$5404+Sens!$K$5405)</f>
        <v>0</v>
      </c>
      <c r="L5410" s="39" t="n">
        <f aca="false">Sens!$L$5397+Sens!$L$5398+Sens!$L$5399+Sens!$L$5400+Sens!$L$5401+Sens!$L$5402-(Sens!$L$5404+Sens!$L$5405)</f>
        <v>0</v>
      </c>
      <c r="M5410" s="39" t="n">
        <f aca="false">Sens!$M$5397+Sens!$M$5398+Sens!$M$5399+Sens!$M$5400+Sens!$M$5401+Sens!$M$5402-(Sens!$M$5404+Sens!$M$5405)</f>
        <v>0</v>
      </c>
      <c r="N5410" s="39" t="n">
        <f aca="false">Sens!$N$5397+Sens!$N$5398+Sens!$N$5399+Sens!$N$5400+Sens!$N$5401+Sens!$N$5402-(Sens!$N$5404+Sens!$N$5405)</f>
        <v>0</v>
      </c>
      <c r="O5410" s="39" t="n">
        <f aca="false">Sens!$O$5397+Sens!$O$5398+Sens!$O$5399+Sens!$O$5400+Sens!$O$5401+Sens!$O$5402-(Sens!$O$5404+Sens!$O$5405)</f>
        <v>0</v>
      </c>
    </row>
    <row r="5411" customFormat="false" ht="17.15" hidden="false" customHeight="false" outlineLevel="0" collapsed="false">
      <c r="A5411" s="24" t="s">
        <v>656</v>
      </c>
      <c r="B5411" s="25" t="s">
        <v>73</v>
      </c>
      <c r="C5411" s="39" t="n">
        <f aca="false">Sens!$C$5407+Sens!$C$5408-Sens!$C$5406</f>
        <v>0</v>
      </c>
      <c r="D5411" s="39" t="n">
        <f aca="false">Sens!$D$5407+Sens!$D$5408-Sens!$D$5406</f>
        <v>0</v>
      </c>
      <c r="E5411" s="39" t="n">
        <f aca="false">Sens!$E$5407+Sens!$E$5408-Sens!$E$5406</f>
        <v>0</v>
      </c>
      <c r="F5411" s="39" t="n">
        <f aca="false">Sens!$F$5407+Sens!$F$5408-Sens!$F$5406</f>
        <v>0</v>
      </c>
      <c r="G5411" s="39" t="n">
        <f aca="false">Sens!$G$5407+Sens!$G$5408-Sens!$G$5406</f>
        <v>0</v>
      </c>
      <c r="H5411" s="39" t="n">
        <f aca="false">Sens!$H$5407+Sens!$H$5408-Sens!$H$5406</f>
        <v>0</v>
      </c>
      <c r="I5411" s="39" t="n">
        <f aca="false">Sens!$I$5407+Sens!$I$5408-Sens!$I$5406</f>
        <v>0</v>
      </c>
      <c r="J5411" s="39" t="n">
        <f aca="false">Sens!$J$5407+Sens!$J$5408-Sens!$J$5406</f>
        <v>0</v>
      </c>
      <c r="K5411" s="39" t="n">
        <f aca="false">Sens!$K$5407+Sens!$K$5408-Sens!$K$5406</f>
        <v>0</v>
      </c>
      <c r="L5411" s="39" t="n">
        <f aca="false">Sens!$L$5407+Sens!$L$5408-Sens!$L$5406</f>
        <v>0</v>
      </c>
      <c r="M5411" s="39" t="n">
        <f aca="false">Sens!$M$5407+Sens!$M$5408-Sens!$M$5406</f>
        <v>0</v>
      </c>
      <c r="N5411" s="39" t="n">
        <f aca="false">Sens!$N$5407+Sens!$N$5408-Sens!$N$5406</f>
        <v>0</v>
      </c>
      <c r="O5411" s="39" t="n">
        <f aca="false">Sens!$O$5407+Sens!$O$5408-Sens!$O$5406</f>
        <v>0</v>
      </c>
    </row>
    <row r="5412" customFormat="false" ht="17.15" hidden="false" customHeight="false" outlineLevel="0" collapsed="false">
      <c r="A5412" s="24" t="s">
        <v>710</v>
      </c>
      <c r="B5412" s="25" t="s">
        <v>73</v>
      </c>
      <c r="C5412" s="39" t="n">
        <f aca="false">Sens!$C$5397+Sens!$C$5398+Sens!$C$5399+Sens!$C$5400+Sens!$C$5401+Sens!$C$5402+Sens!$C$5403-Sens!$C$5409</f>
        <v>0</v>
      </c>
      <c r="D5412" s="39" t="n">
        <f aca="false">Sens!$D$5397+Sens!$D$5398+Sens!$D$5399+Sens!$D$5400+Sens!$D$5401+Sens!$D$5402+Sens!$D$5403-Sens!$D$5409</f>
        <v>0</v>
      </c>
      <c r="E5412" s="39" t="n">
        <f aca="false">Sens!$E$5397+Sens!$E$5398+Sens!$E$5399+Sens!$E$5400+Sens!$E$5401+Sens!$E$5402+Sens!$E$5403-Sens!$E$5409</f>
        <v>0</v>
      </c>
      <c r="F5412" s="39" t="n">
        <f aca="false">Sens!$F$5397+Sens!$F$5398+Sens!$F$5399+Sens!$F$5400+Sens!$F$5401+Sens!$F$5402+Sens!$F$5403-Sens!$F$5409</f>
        <v>0</v>
      </c>
      <c r="G5412" s="39" t="n">
        <f aca="false">Sens!$G$5397+Sens!$G$5398+Sens!$G$5399+Sens!$G$5400+Sens!$G$5401+Sens!$G$5402+Sens!$G$5403-Sens!$G$5409</f>
        <v>0</v>
      </c>
      <c r="H5412" s="39" t="n">
        <f aca="false">Sens!$H$5397+Sens!$H$5398+Sens!$H$5399+Sens!$H$5400+Sens!$H$5401+Sens!$H$5402+Sens!$H$5403-Sens!$H$5409</f>
        <v>0</v>
      </c>
      <c r="I5412" s="39" t="n">
        <f aca="false">Sens!$I$5397+Sens!$I$5398+Sens!$I$5399+Sens!$I$5400+Sens!$I$5401+Sens!$I$5402+Sens!$I$5403-Sens!$I$5409</f>
        <v>0</v>
      </c>
      <c r="J5412" s="39" t="n">
        <f aca="false">Sens!$J$5397+Sens!$J$5398+Sens!$J$5399+Sens!$J$5400+Sens!$J$5401+Sens!$J$5402+Sens!$J$5403-Sens!$J$5409</f>
        <v>0</v>
      </c>
      <c r="K5412" s="39" t="n">
        <f aca="false">Sens!$K$5397+Sens!$K$5398+Sens!$K$5399+Sens!$K$5400+Sens!$K$5401+Sens!$K$5402+Sens!$K$5403-Sens!$K$5409</f>
        <v>0</v>
      </c>
      <c r="L5412" s="39" t="n">
        <f aca="false">Sens!$L$5397+Sens!$L$5398+Sens!$L$5399+Sens!$L$5400+Sens!$L$5401+Sens!$L$5402+Sens!$L$5403-Sens!$L$5409</f>
        <v>0</v>
      </c>
      <c r="M5412" s="39" t="n">
        <f aca="false">Sens!$M$5397+Sens!$M$5398+Sens!$M$5399+Sens!$M$5400+Sens!$M$5401+Sens!$M$5402+Sens!$M$5403-Sens!$M$5409</f>
        <v>0</v>
      </c>
      <c r="N5412" s="39" t="n">
        <f aca="false">Sens!$N$5397+Sens!$N$5398+Sens!$N$5399+Sens!$N$5400+Sens!$N$5401+Sens!$N$5402+Sens!$N$5403-Sens!$N$5409</f>
        <v>0</v>
      </c>
      <c r="O5412" s="39" t="n">
        <f aca="false">Sens!$O$5397+Sens!$O$5398+Sens!$O$5399+Sens!$O$5400+Sens!$O$5401+Sens!$O$5402+Sens!$O$5403-Sens!$O$5409</f>
        <v>0</v>
      </c>
    </row>
    <row r="5413" customFormat="false" ht="17.15" hidden="false" customHeight="false" outlineLevel="0" collapsed="false">
      <c r="A5413" s="24" t="s">
        <v>657</v>
      </c>
      <c r="B5413" s="25" t="s">
        <v>73</v>
      </c>
      <c r="C5413" s="39" t="n">
        <f aca="false">Sens!$C$5404+Sens!$C$5405+Sens!$C$5406-Sens!$C$5409</f>
        <v>0</v>
      </c>
      <c r="D5413" s="39" t="n">
        <f aca="false">Sens!$D$5404+Sens!$D$5405+Sens!$D$5406-Sens!$D$5409</f>
        <v>0</v>
      </c>
      <c r="E5413" s="39" t="n">
        <f aca="false">Sens!$E$5404+Sens!$E$5405+Sens!$E$5406-Sens!$E$5409</f>
        <v>0</v>
      </c>
      <c r="F5413" s="39" t="n">
        <f aca="false">Sens!$F$5404+Sens!$F$5405+Sens!$F$5406-Sens!$F$5409</f>
        <v>0</v>
      </c>
      <c r="G5413" s="39" t="n">
        <f aca="false">Sens!$G$5404+Sens!$G$5405+Sens!$G$5406-Sens!$G$5409</f>
        <v>0</v>
      </c>
      <c r="H5413" s="39" t="n">
        <f aca="false">Sens!$H$5404+Sens!$H$5405+Sens!$H$5406-Sens!$H$5409</f>
        <v>0</v>
      </c>
      <c r="I5413" s="39" t="n">
        <f aca="false">Sens!$I$5404+Sens!$I$5405+Sens!$I$5406-Sens!$I$5409</f>
        <v>0</v>
      </c>
      <c r="J5413" s="39" t="n">
        <f aca="false">Sens!$J$5404+Sens!$J$5405+Sens!$J$5406-Sens!$J$5409</f>
        <v>0</v>
      </c>
      <c r="K5413" s="39" t="n">
        <f aca="false">Sens!$K$5404+Sens!$K$5405+Sens!$K$5406-Sens!$K$5409</f>
        <v>0</v>
      </c>
      <c r="L5413" s="39" t="n">
        <f aca="false">Sens!$L$5404+Sens!$L$5405+Sens!$L$5406-Sens!$L$5409</f>
        <v>0</v>
      </c>
      <c r="M5413" s="39" t="n">
        <f aca="false">Sens!$M$5404+Sens!$M$5405+Sens!$M$5406-Sens!$M$5409</f>
        <v>0</v>
      </c>
      <c r="N5413" s="39" t="n">
        <f aca="false">Sens!$N$5404+Sens!$N$5405+Sens!$N$5406-Sens!$N$5409</f>
        <v>0</v>
      </c>
      <c r="O5413" s="39" t="n">
        <f aca="false">Sens!$O$5404+Sens!$O$5405+Sens!$O$5406-Sens!$O$5409</f>
        <v>0</v>
      </c>
    </row>
    <row r="5414" customFormat="false" ht="17.15" hidden="false" customHeight="false" outlineLevel="0" collapsed="false">
      <c r="A5414" s="1" t="s">
        <v>671</v>
      </c>
    </row>
    <row r="5415" customFormat="false" ht="17.15" hidden="false" customHeight="false" outlineLevel="0" collapsed="false">
      <c r="A5415" s="0" t="s">
        <v>672</v>
      </c>
      <c r="B5415" s="0" t="s">
        <v>73</v>
      </c>
      <c r="C5415" s="38" t="n">
        <f aca="false">Sens!$C$5323*m_ad</f>
        <v>20.5341564414228</v>
      </c>
      <c r="D5415" s="38" t="n">
        <f aca="false">Sens!$D$5323*m_ad</f>
        <v>24.8720617299587</v>
      </c>
      <c r="E5415" s="38" t="n">
        <f aca="false">Sens!$E$5323*m_ad</f>
        <v>13.5017112462207</v>
      </c>
      <c r="F5415" s="38" t="n">
        <f aca="false">Sens!$F$5323*m_ad</f>
        <v>17.2886442824599</v>
      </c>
      <c r="G5415" s="38" t="n">
        <f aca="false">Sens!$G$5323*m_ad</f>
        <v>30.8011958765886</v>
      </c>
      <c r="H5415" s="38" t="n">
        <f aca="false">Sens!$H$5323*m_ad</f>
        <v>36.978409366026</v>
      </c>
      <c r="I5415" s="38" t="n">
        <f aca="false">Sens!$I$5323*m_ad</f>
        <v>43.155063281273</v>
      </c>
      <c r="J5415" s="38" t="n">
        <f aca="false">Sens!$J$5323*m_ad</f>
        <v>48.9169991988532</v>
      </c>
      <c r="K5415" s="38" t="n">
        <f aca="false">Sens!$K$5323*m_ad</f>
        <v>53.8086991187386</v>
      </c>
      <c r="L5415" s="38" t="n">
        <f aca="false">Sens!$L$5323*m_ad</f>
        <v>59.1895690306124</v>
      </c>
      <c r="M5415" s="38" t="n">
        <f aca="false">Sens!$M$5323*m_ad</f>
        <v>65.1085259336737</v>
      </c>
      <c r="N5415" s="38" t="n">
        <f aca="false">Sens!$N$5323*m_ad</f>
        <v>10.8543555706248</v>
      </c>
      <c r="O5415" s="38" t="n">
        <f aca="false">Sens!$O$5323*m_ad</f>
        <v>14.0094731821399</v>
      </c>
    </row>
    <row r="5416" customFormat="false" ht="17.15" hidden="false" customHeight="false" outlineLevel="0" collapsed="false">
      <c r="A5416" s="0" t="s">
        <v>673</v>
      </c>
      <c r="B5416" s="0" t="s">
        <v>73</v>
      </c>
      <c r="C5416" s="38" t="n">
        <f aca="false">Sens!$C$5321-Sens!$C$5323</f>
        <v>346.428687117154</v>
      </c>
      <c r="D5416" s="38" t="n">
        <f aca="false">Sens!$D$5321-Sens!$D$5323</f>
        <v>376.560876540083</v>
      </c>
      <c r="E5416" s="38" t="n">
        <f aca="false">Sens!$E$5321-Sens!$E$5323</f>
        <v>193.316577507559</v>
      </c>
      <c r="F5416" s="38" t="n">
        <f aca="false">Sens!$F$5321-Sens!$F$5323</f>
        <v>221.726726438887</v>
      </c>
      <c r="G5416" s="38" t="n">
        <f aca="false">Sens!$G$5321-Sens!$G$5323</f>
        <v>415.02162325063</v>
      </c>
      <c r="H5416" s="38" t="n">
        <f aca="false">Sens!$H$5321-Sens!$H$5323</f>
        <v>453.777572359491</v>
      </c>
      <c r="I5416" s="38" t="n">
        <f aca="false">Sens!$I$5321-Sens!$I$5323</f>
        <v>490.847566467031</v>
      </c>
      <c r="J5416" s="38" t="n">
        <f aca="false">Sens!$J$5321-Sens!$J$5323</f>
        <v>525.190925266121</v>
      </c>
      <c r="K5416" s="38" t="n">
        <f aca="false">Sens!$K$5321-Sens!$K$5323</f>
        <v>555.765170156304</v>
      </c>
      <c r="L5416" s="38" t="n">
        <f aca="false">Sens!$L$5321-Sens!$L$5323</f>
        <v>588.185734949207</v>
      </c>
      <c r="M5416" s="38" t="n">
        <f aca="false">Sens!$M$5321-Sens!$M$5323</f>
        <v>622.567635538672</v>
      </c>
      <c r="N5416" s="38" t="n">
        <f aca="false">Sens!$N$5321-Sens!$N$5323</f>
        <v>171.24628885875</v>
      </c>
      <c r="O5416" s="38" t="n">
        <f aca="false">Sens!$O$5321-Sens!$O$5323</f>
        <v>205.33105363572</v>
      </c>
    </row>
    <row r="5417" customFormat="false" ht="17.15" hidden="false" customHeight="false" outlineLevel="0" collapsed="false">
      <c r="A5417" s="0" t="s">
        <v>674</v>
      </c>
      <c r="B5417" s="0" t="s">
        <v>73</v>
      </c>
      <c r="C5417" s="38" t="n">
        <f aca="false">Sens!$C$5368*Sens!$C$5320</f>
        <v>0.123617442257179</v>
      </c>
      <c r="D5417" s="38" t="n">
        <f aca="false">Sens!$D$5368*Sens!$D$5320</f>
        <v>0.874366899302609</v>
      </c>
      <c r="E5417" s="38" t="n">
        <f aca="false">Sens!$E$5368*Sens!$E$5320</f>
        <v>1.29318830502574</v>
      </c>
      <c r="F5417" s="38" t="n">
        <f aca="false">Sens!$F$5368*Sens!$F$5320</f>
        <v>1.51802024162534</v>
      </c>
      <c r="G5417" s="38" t="n">
        <f aca="false">Sens!$G$5368*Sens!$G$5320</f>
        <v>2.81130189308167</v>
      </c>
      <c r="H5417" s="38" t="n">
        <f aca="false">Sens!$H$5368*Sens!$H$5320</f>
        <v>7.38966789318209</v>
      </c>
      <c r="I5417" s="38" t="n">
        <f aca="false">Sens!$I$5368*Sens!$I$5320</f>
        <v>12.8987443661473</v>
      </c>
      <c r="J5417" s="38" t="n">
        <f aca="false">Sens!$J$5368*Sens!$J$5320</f>
        <v>18.5570025453645</v>
      </c>
      <c r="K5417" s="38" t="n">
        <f aca="false">Sens!$K$5368*Sens!$K$5320</f>
        <v>24.3158972773405</v>
      </c>
      <c r="L5417" s="38" t="n">
        <f aca="false">Sens!$L$5368*Sens!$L$5320</f>
        <v>29.7827375558674</v>
      </c>
      <c r="M5417" s="38" t="n">
        <f aca="false">Sens!$M$5368*Sens!$M$5320</f>
        <v>35.3532344973194</v>
      </c>
      <c r="N5417" s="38" t="n">
        <f aca="false">Sens!$N$5368*Sens!$N$5320</f>
        <v>0.389180508437431</v>
      </c>
      <c r="O5417" s="38" t="n">
        <f aca="false">Sens!$O$5368*Sens!$O$5320</f>
        <v>0.485052120082802</v>
      </c>
    </row>
    <row r="5418" customFormat="false" ht="17.15" hidden="false" customHeight="false" outlineLevel="0" collapsed="false">
      <c r="A5418" s="0" t="s">
        <v>675</v>
      </c>
      <c r="B5418" s="0" t="s">
        <v>52</v>
      </c>
      <c r="C5418" s="28" t="n">
        <f aca="false">(Sens!$C$5419-Sens!$C$5415+Sens!$C$5417)/Sens!$C$5416</f>
        <v>0.0131526665379575</v>
      </c>
      <c r="D5418" s="28" t="n">
        <f aca="false">(Sens!$D$5419-Sens!$D$5415+Sens!$D$5417)/Sens!$D$5416</f>
        <v>0.0149280116962589</v>
      </c>
      <c r="E5418" s="28" t="n">
        <f aca="false">(Sens!$E$5419-Sens!$E$5415+Sens!$E$5417)/Sens!$E$5416</f>
        <v>0.0268030663774938</v>
      </c>
      <c r="F5418" s="28" t="n">
        <f aca="false">Sens!$O$5418+(Sens!$E$5418-Sens!$N$5418)</f>
        <v>0.0232379346966962</v>
      </c>
      <c r="G5418" s="28" t="n">
        <f aca="false">(Sens!$G$5419-Sens!$G$5415+Sens!$G$5417)/Sens!$G$5416</f>
        <v>0.0248738876928168</v>
      </c>
      <c r="H5418" s="28" t="n">
        <f aca="false">Sens!$G$5418+step_na</f>
        <v>0.0278738876928168</v>
      </c>
      <c r="I5418" s="28" t="n">
        <f aca="false">Sens!$H$5418+step_na</f>
        <v>0.0308738876928168</v>
      </c>
      <c r="J5418" s="28" t="n">
        <f aca="false">Sens!$I$5418+step_na</f>
        <v>0.0338738876928168</v>
      </c>
      <c r="K5418" s="28" t="n">
        <f aca="false">Sens!$J$5418+step_na</f>
        <v>0.0368738876928168</v>
      </c>
      <c r="L5418" s="28" t="n">
        <f aca="false">Sens!$K$5418</f>
        <v>0.0368738876928168</v>
      </c>
      <c r="M5418" s="28" t="n">
        <f aca="false">Sens!$L$5418</f>
        <v>0.0368738876928168</v>
      </c>
      <c r="N5418" s="28" t="n">
        <f aca="false">(Sens!$N$5419-Sens!$N$5415+Sens!$N$5417)/Sens!$N$5416</f>
        <v>0.0168927744775755</v>
      </c>
      <c r="O5418" s="28" t="n">
        <f aca="false">(Sens!$O$5419-Sens!$O$5415+Sens!$O$5417)/Sens!$O$5416</f>
        <v>0.0133276427967779</v>
      </c>
      <c r="P5418" s="8" t="s">
        <v>676</v>
      </c>
    </row>
    <row r="5419" customFormat="false" ht="17.15" hidden="false" customHeight="false" outlineLevel="0" collapsed="false">
      <c r="A5419" s="1" t="s">
        <v>677</v>
      </c>
      <c r="B5419" s="8" t="s">
        <v>73</v>
      </c>
      <c r="C5419" s="38" t="n">
        <f aca="false">Q!$D$22</f>
        <v>24.967</v>
      </c>
      <c r="D5419" s="38" t="n">
        <f aca="false">Q!$E$22</f>
        <v>29.619</v>
      </c>
      <c r="E5419" s="38" t="n">
        <f aca="false">Q!$P$22</f>
        <v>17.39</v>
      </c>
      <c r="F5419" s="38" t="n">
        <f aca="false">Sens!$F$5415+Sens!$F$5416*Sens!$F$5418-Sens!$F$5417</f>
        <v>20.9230952303336</v>
      </c>
      <c r="G5419" s="38" t="n">
        <f aca="false">Sens!$E$5419+Sens!$F$5419</f>
        <v>38.3130952303336</v>
      </c>
      <c r="H5419" s="38" t="n">
        <f aca="false">Sens!$H$5415+Sens!$H$5416*Sens!$H$5418-Sens!$H$5417</f>
        <v>42.2372865623114</v>
      </c>
      <c r="I5419" s="38" t="n">
        <f aca="false">Sens!$I$5415+Sens!$I$5416*Sens!$I$5418-Sens!$I$5417</f>
        <v>45.4106915565213</v>
      </c>
      <c r="J5419" s="38" t="n">
        <f aca="false">Sens!$J$5415+Sens!$J$5416*Sens!$J$5418-Sens!$J$5417</f>
        <v>48.1502550732398</v>
      </c>
      <c r="K5419" s="38" t="n">
        <f aca="false">Sens!$K$5415+Sens!$K$5416*Sens!$K$5418-Sens!$K$5417</f>
        <v>49.9860243093208</v>
      </c>
      <c r="L5419" s="38" t="n">
        <f aca="false">Sens!$L$5415+Sens!$L$5416*Sens!$L$5418-Sens!$L$5417</f>
        <v>51.095526207779</v>
      </c>
      <c r="M5419" s="38" t="n">
        <f aca="false">Sens!$M$5415+Sens!$M$5416*Sens!$M$5418-Sens!$M$5417</f>
        <v>52.7117805103898</v>
      </c>
      <c r="N5419" s="38" t="n">
        <f aca="false">Q!$N$22</f>
        <v>13.358</v>
      </c>
      <c r="O5419" s="38" t="n">
        <f aca="false">Q!$O$22</f>
        <v>16.261</v>
      </c>
    </row>
    <row r="5420" customFormat="false" ht="17.15" hidden="false" customHeight="false" outlineLevel="0" collapsed="false">
      <c r="A5420" s="0" t="s">
        <v>678</v>
      </c>
      <c r="B5420" s="0" t="s">
        <v>73</v>
      </c>
      <c r="C5420" s="38" t="n">
        <f aca="false">Sens!$C$5324*m_ad</f>
        <v>7.57284355857716</v>
      </c>
      <c r="D5420" s="38" t="n">
        <f aca="false">Sens!$D$5324*m_ad</f>
        <v>9.44543827004127</v>
      </c>
      <c r="E5420" s="38" t="n">
        <f aca="false">Sens!$E$5324*m_ad</f>
        <v>5.02428875377928</v>
      </c>
      <c r="F5420" s="38" t="n">
        <f aca="false">Sens!$F$5324*m_ad</f>
        <v>6.78802480890925</v>
      </c>
      <c r="G5420" s="38" t="n">
        <f aca="false">Sens!$G$5324*m_ad</f>
        <v>11.8014732147805</v>
      </c>
      <c r="H5420" s="38" t="n">
        <f aca="false">Sens!$H$5324*m_ad</f>
        <v>14.1682715634442</v>
      </c>
      <c r="I5420" s="38" t="n">
        <f aca="false">Sens!$I$5324*m_ad</f>
        <v>16.5348555113474</v>
      </c>
      <c r="J5420" s="38" t="n">
        <f aca="false">Sens!$J$5324*m_ad</f>
        <v>18.7425403255689</v>
      </c>
      <c r="K5420" s="38" t="n">
        <f aca="false">Sens!$K$5324*m_ad</f>
        <v>20.6167943581258</v>
      </c>
      <c r="L5420" s="38" t="n">
        <f aca="false">Sens!$L$5324*m_ad</f>
        <v>22.6784737939383</v>
      </c>
      <c r="M5420" s="38" t="n">
        <f aca="false">Sens!$M$5324*m_ad</f>
        <v>24.9463211733322</v>
      </c>
      <c r="N5420" s="38" t="n">
        <f aca="false">Sens!$N$5324*m_ad</f>
        <v>3.95314442937518</v>
      </c>
      <c r="O5420" s="38" t="n">
        <f aca="false">Sens!$O$5324*m_ad</f>
        <v>5.50052681786011</v>
      </c>
    </row>
    <row r="5421" customFormat="false" ht="17.15" hidden="false" customHeight="false" outlineLevel="0" collapsed="false">
      <c r="A5421" s="0" t="s">
        <v>679</v>
      </c>
      <c r="B5421" s="0" t="s">
        <v>73</v>
      </c>
      <c r="C5421" s="38" t="n">
        <f aca="false">Sens!$C$5322-Sens!$C$5324</f>
        <v>127.760312882846</v>
      </c>
      <c r="D5421" s="38" t="n">
        <f aca="false">Sens!$D$5322-Sens!$D$5324</f>
        <v>143.003123459917</v>
      </c>
      <c r="E5421" s="38" t="n">
        <f aca="false">Sens!$E$5322-Sens!$E$5324</f>
        <v>71.9374224924414</v>
      </c>
      <c r="F5421" s="38" t="n">
        <f aca="false">Sens!$F$5322-Sens!$F$5324</f>
        <v>87.0563645868046</v>
      </c>
      <c r="G5421" s="38" t="n">
        <f aca="false">Sens!$G$5322-Sens!$G$5324</f>
        <v>159.015467775062</v>
      </c>
      <c r="H5421" s="38" t="n">
        <f aca="false">Sens!$H$5322-Sens!$H$5324</f>
        <v>173.864803403269</v>
      </c>
      <c r="I5421" s="38" t="n">
        <f aca="false">Sens!$I$5322-Sens!$I$5324</f>
        <v>188.068165645601</v>
      </c>
      <c r="J5421" s="38" t="n">
        <f aca="false">Sens!$J$5322-Sens!$J$5324</f>
        <v>201.22681801082</v>
      </c>
      <c r="K5421" s="38" t="n">
        <f aca="false">Sens!$K$5322-Sens!$K$5324</f>
        <v>212.941334991893</v>
      </c>
      <c r="L5421" s="38" t="n">
        <f aca="false">Sens!$L$5322-Sens!$L$5324</f>
        <v>225.363269144856</v>
      </c>
      <c r="M5421" s="38" t="n">
        <f aca="false">Sens!$M$5322-Sens!$M$5324</f>
        <v>238.536688790819</v>
      </c>
      <c r="N5421" s="38" t="n">
        <f aca="false">Sens!$N$5322-Sens!$N$5324</f>
        <v>62.3677111412496</v>
      </c>
      <c r="O5421" s="38" t="n">
        <f aca="false">Sens!$O$5322-Sens!$O$5324</f>
        <v>80.6189463642798</v>
      </c>
    </row>
    <row r="5422" customFormat="false" ht="17.15" hidden="false" customHeight="false" outlineLevel="0" collapsed="false">
      <c r="A5422" s="0" t="s">
        <v>680</v>
      </c>
      <c r="B5422" s="0" t="s">
        <v>73</v>
      </c>
      <c r="C5422" s="38" t="n">
        <f aca="false">Sens!$C$5368*(1-Sens!$C$5320)</f>
        <v>0.0455891896019953</v>
      </c>
      <c r="D5422" s="38" t="n">
        <f aca="false">Sens!$D$5368*(1-Sens!$D$5320)</f>
        <v>0.332050421167231</v>
      </c>
      <c r="E5422" s="38" t="n">
        <f aca="false">Sens!$E$5368*(1-Sens!$E$5320)</f>
        <v>0.481224293644882</v>
      </c>
      <c r="F5422" s="38" t="n">
        <f aca="false">Sens!$F$5368*(1-Sens!$F$5320)</f>
        <v>0.596018918096053</v>
      </c>
      <c r="G5422" s="38" t="n">
        <f aca="false">Sens!$G$5368*(1-Sens!$G$5320)</f>
        <v>1.07714986531035</v>
      </c>
      <c r="H5422" s="38" t="n">
        <f aca="false">Sens!$H$5368*(1-Sens!$H$5320)</f>
        <v>2.83135005721638</v>
      </c>
      <c r="I5422" s="38" t="n">
        <f aca="false">Sens!$I$5368*(1-Sens!$I$5320)</f>
        <v>4.9421518161602</v>
      </c>
      <c r="J5422" s="38" t="n">
        <f aca="false">Sens!$J$5368*(1-Sens!$J$5320)</f>
        <v>7.11011252170866</v>
      </c>
      <c r="K5422" s="38" t="n">
        <f aca="false">Sens!$K$5368*(1-Sens!$K$5320)</f>
        <v>9.31663210615807</v>
      </c>
      <c r="L5422" s="38" t="n">
        <f aca="false">Sens!$L$5368*(1-Sens!$L$5320)</f>
        <v>11.411251074039</v>
      </c>
      <c r="M5422" s="38" t="n">
        <f aca="false">Sens!$M$5368*(1-Sens!$M$5320)</f>
        <v>13.5455860755423</v>
      </c>
      <c r="N5422" s="38" t="n">
        <f aca="false">Sens!$N$5368*(1-Sens!$N$5320)</f>
        <v>0.141739115596548</v>
      </c>
      <c r="O5422" s="38" t="n">
        <f aca="false">Sens!$O$5368*(1-Sens!$O$5320)</f>
        <v>0.190445576353059</v>
      </c>
    </row>
    <row r="5423" customFormat="false" ht="17.15" hidden="false" customHeight="false" outlineLevel="0" collapsed="false">
      <c r="A5423" s="0" t="s">
        <v>681</v>
      </c>
      <c r="B5423" s="0" t="s">
        <v>52</v>
      </c>
      <c r="C5423" s="28" t="n">
        <f aca="false">(Sens!$C$5424-Sens!$C$5420+Sens!$C$5422)/Sens!$C$5421</f>
        <v>-0.0292364215826579</v>
      </c>
      <c r="D5423" s="28" t="n">
        <f aca="false">(Sens!$D$5424-Sens!$D$5420+Sens!$D$5422)/Sens!$D$5421</f>
        <v>-0.0305125352740778</v>
      </c>
      <c r="E5423" s="28" t="n">
        <f aca="false">(Sens!$E$5424-Sens!$E$5420+Sens!$E$5422)/Sens!$E$5421</f>
        <v>-0.019490056934994</v>
      </c>
      <c r="F5423" s="28" t="n">
        <f aca="false">Sens!$O$5423+(Sens!$E$5423-Sens!$N$5423)</f>
        <v>-0.0367332293992226</v>
      </c>
      <c r="G5423" s="28" t="n">
        <f aca="false">(Sens!$G$5424-Sens!$G$5420+Sens!$G$5422)/Sens!$G$5421</f>
        <v>-0.0288599526442178</v>
      </c>
      <c r="H5423" s="28" t="n">
        <f aca="false">Sens!$G$5423+step_in</f>
        <v>-0.0288599526442178</v>
      </c>
      <c r="I5423" s="28" t="n">
        <f aca="false">Sens!$H$5423+step_in</f>
        <v>-0.0288599526442178</v>
      </c>
      <c r="J5423" s="28" t="n">
        <f aca="false">Sens!$I$5423+step_in</f>
        <v>-0.0288599526442178</v>
      </c>
      <c r="K5423" s="28" t="n">
        <f aca="false">Sens!$J$5423+step_in</f>
        <v>-0.0288599526442178</v>
      </c>
      <c r="L5423" s="28" t="n">
        <f aca="false">Sens!$K$5423</f>
        <v>-0.0288599526442178</v>
      </c>
      <c r="M5423" s="28" t="n">
        <f aca="false">Sens!$L$5423</f>
        <v>-0.0288599526442178</v>
      </c>
      <c r="N5423" s="28" t="n">
        <f aca="false">(Sens!$N$5424-Sens!$N$5420+Sens!$N$5422)/Sens!$N$5421</f>
        <v>-0.02085061789158</v>
      </c>
      <c r="O5423" s="28" t="n">
        <f aca="false">(Sens!$O$5424-Sens!$O$5420+Sens!$O$5422)/Sens!$O$5421</f>
        <v>-0.0380937903558086</v>
      </c>
      <c r="P5423" s="8" t="s">
        <v>676</v>
      </c>
    </row>
    <row r="5424" customFormat="false" ht="17.15" hidden="false" customHeight="false" outlineLevel="0" collapsed="false">
      <c r="A5424" s="1" t="s">
        <v>682</v>
      </c>
      <c r="B5424" s="8" t="s">
        <v>73</v>
      </c>
      <c r="C5424" s="38" t="n">
        <f aca="false">Q!$D$23</f>
        <v>3.792</v>
      </c>
      <c r="D5424" s="38" t="n">
        <f aca="false">Q!$E$23</f>
        <v>4.75</v>
      </c>
      <c r="E5424" s="38" t="n">
        <f aca="false">Q!$P$23</f>
        <v>3.141</v>
      </c>
      <c r="F5424" s="38" t="n">
        <f aca="false">Sens!$F$5420+Sens!$F$5421*Sens!$F$5423-Sens!$F$5422</f>
        <v>2.99414447978375</v>
      </c>
      <c r="G5424" s="38" t="n">
        <f aca="false">Sens!$E$5424+Sens!$F$5424</f>
        <v>6.13514447978375</v>
      </c>
      <c r="H5424" s="38" t="n">
        <f aca="false">Sens!$H$5420+Sens!$H$5421*Sens!$H$5423-Sens!$H$5422</f>
        <v>6.31919151351322</v>
      </c>
      <c r="I5424" s="38" t="n">
        <f aca="false">Sens!$I$5420+Sens!$I$5421*Sens!$I$5423-Sens!$I$5422</f>
        <v>6.16506534077027</v>
      </c>
      <c r="J5424" s="38" t="n">
        <f aca="false">Sens!$J$5420+Sens!$J$5421*Sens!$J$5423-Sens!$J$5422</f>
        <v>5.8250313653213</v>
      </c>
      <c r="K5424" s="38" t="n">
        <f aca="false">Sens!$K$5420+Sens!$K$5421*Sens!$K$5423-Sens!$K$5422</f>
        <v>5.15468540810514</v>
      </c>
      <c r="L5424" s="38" t="n">
        <f aca="false">Sens!$L$5420+Sens!$L$5421*Sens!$L$5423-Sens!$L$5422</f>
        <v>4.76324944463266</v>
      </c>
      <c r="M5424" s="38" t="n">
        <f aca="false">Sens!$M$5420+Sens!$M$5421*Sens!$M$5423-Sens!$M$5422</f>
        <v>4.51657755537829</v>
      </c>
      <c r="N5424" s="38" t="n">
        <f aca="false">Q!$N$23</f>
        <v>2.511</v>
      </c>
      <c r="O5424" s="38" t="n">
        <f aca="false">Q!$O$23</f>
        <v>2.239</v>
      </c>
    </row>
    <row r="5425" customFormat="false" ht="17.15" hidden="false" customHeight="false" outlineLevel="0" collapsed="false">
      <c r="A5425" s="0" t="s">
        <v>683</v>
      </c>
      <c r="B5425" s="0" t="s">
        <v>73</v>
      </c>
      <c r="C5425" s="38" t="n">
        <f aca="false">Sens!$C$5365</f>
        <v>1.64417882953695</v>
      </c>
      <c r="D5425" s="38" t="n">
        <f aca="false">Sens!$D$5365</f>
        <v>3.8781008067718</v>
      </c>
      <c r="E5425" s="38" t="n">
        <f aca="false">Sens!$E$5365</f>
        <v>1.41270258088753</v>
      </c>
      <c r="F5425" s="38" t="n">
        <f aca="false">Sens!$F$5365</f>
        <v>6.50727700583486</v>
      </c>
      <c r="G5425" s="38" t="n">
        <f aca="false">Sens!$G$5365</f>
        <v>7.9199795867224</v>
      </c>
      <c r="H5425" s="38" t="n">
        <f aca="false">Sens!$H$5365</f>
        <v>19.2818189481807</v>
      </c>
      <c r="I5425" s="38" t="n">
        <f aca="false">Sens!$I$5365</f>
        <v>30.140114407202</v>
      </c>
      <c r="J5425" s="38" t="n">
        <f aca="false">Sens!$J$5365</f>
        <v>40.3569468829854</v>
      </c>
      <c r="K5425" s="38" t="n">
        <f aca="false">Sens!$K$5365</f>
        <v>50.0782975081929</v>
      </c>
      <c r="L5425" s="38" t="n">
        <f aca="false">Sens!$L$5365</f>
        <v>61.443331993499</v>
      </c>
      <c r="M5425" s="38" t="n">
        <f aca="false">Sens!$M$5365</f>
        <v>72.2498791587849</v>
      </c>
      <c r="N5425" s="38" t="n">
        <f aca="false">Sens!$N$5365</f>
        <v>0.92264103489199</v>
      </c>
      <c r="O5425" s="38" t="n">
        <f aca="false">Sens!$O$5365</f>
        <v>2.95545977187981</v>
      </c>
    </row>
    <row r="5426" customFormat="false" ht="17.15" hidden="false" customHeight="false" outlineLevel="0" collapsed="false">
      <c r="A5426" s="0" t="s">
        <v>603</v>
      </c>
      <c r="B5426" s="0" t="s">
        <v>73</v>
      </c>
      <c r="C5426" s="38" t="n">
        <f aca="false">Sens!$C$5370</f>
        <v>38.1898211704631</v>
      </c>
      <c r="D5426" s="38" t="n">
        <f aca="false">Sens!$D$5370</f>
        <v>41.7278991932282</v>
      </c>
      <c r="E5426" s="38" t="n">
        <f aca="false">Sens!$E$5370</f>
        <v>29.3692974191125</v>
      </c>
      <c r="F5426" s="38" t="n">
        <f aca="false">Sens!$F$5370</f>
        <v>29.458060516894</v>
      </c>
      <c r="G5426" s="38" t="n">
        <f aca="false">Sens!$G$5370</f>
        <v>58.8273579360065</v>
      </c>
      <c r="H5426" s="38" t="n">
        <f aca="false">Sens!$H$5370</f>
        <v>67.8004040185081</v>
      </c>
      <c r="I5426" s="38" t="n">
        <f aca="false">Sens!$I$5370</f>
        <v>78.9527630302702</v>
      </c>
      <c r="J5426" s="38" t="n">
        <f aca="false">Sens!$J$5370</f>
        <v>88.6042681781841</v>
      </c>
      <c r="K5426" s="38" t="n">
        <f aca="false">Sens!$K$5370</f>
        <v>95.6926096324389</v>
      </c>
      <c r="L5426" s="38" t="n">
        <f aca="false">Sens!$L$5370</f>
        <v>103.348018403034</v>
      </c>
      <c r="M5426" s="38" t="n">
        <f aca="false">Sens!$M$5370</f>
        <v>111.615859875277</v>
      </c>
      <c r="N5426" s="38" t="n">
        <f aca="false">Sens!$N$5370</f>
        <v>20.784358965108</v>
      </c>
      <c r="O5426" s="38" t="n">
        <f aca="false">Sens!$O$5370</f>
        <v>20.9435402281202</v>
      </c>
    </row>
    <row r="5427" customFormat="false" ht="17.15" hidden="false" customHeight="false" outlineLevel="0" collapsed="false">
      <c r="A5427" s="1" t="s">
        <v>684</v>
      </c>
      <c r="B5427" s="8" t="s">
        <v>73</v>
      </c>
      <c r="C5427" s="38" t="n">
        <f aca="false">Q!$D$24</f>
        <v>39.834</v>
      </c>
      <c r="D5427" s="38" t="n">
        <f aca="false">Q!$E$24</f>
        <v>45.606</v>
      </c>
      <c r="E5427" s="38" t="n">
        <f aca="false">Q!$P$24</f>
        <v>30.782</v>
      </c>
      <c r="F5427" s="38" t="n">
        <f aca="false">Sens!$F$5425+Sens!$F$5426</f>
        <v>35.9653375227289</v>
      </c>
      <c r="G5427" s="38" t="n">
        <f aca="false">Sens!$G$5425+Sens!$G$5426</f>
        <v>66.7473375227289</v>
      </c>
      <c r="H5427" s="38" t="n">
        <f aca="false">Sens!$H$5425+Sens!$H$5426</f>
        <v>87.0822229666888</v>
      </c>
      <c r="I5427" s="38" t="n">
        <f aca="false">Sens!$I$5425+Sens!$I$5426</f>
        <v>109.092877437472</v>
      </c>
      <c r="J5427" s="38" t="n">
        <f aca="false">Sens!$J$5425+Sens!$J$5426</f>
        <v>128.96121506117</v>
      </c>
      <c r="K5427" s="38" t="n">
        <f aca="false">Sens!$K$5425+Sens!$K$5426</f>
        <v>145.770907140632</v>
      </c>
      <c r="L5427" s="38" t="n">
        <f aca="false">Sens!$L$5425+Sens!$L$5426</f>
        <v>164.791350396533</v>
      </c>
      <c r="M5427" s="38" t="n">
        <f aca="false">Sens!$M$5425+Sens!$M$5426</f>
        <v>183.865739034062</v>
      </c>
      <c r="N5427" s="38" t="n">
        <f aca="false">Q!$N$24</f>
        <v>21.707</v>
      </c>
      <c r="O5427" s="38" t="n">
        <f aca="false">Q!$O$24</f>
        <v>23.899</v>
      </c>
    </row>
    <row r="5428" customFormat="false" ht="17.15" hidden="false" customHeight="false" outlineLevel="0" collapsed="false">
      <c r="A5428" s="5" t="s">
        <v>685</v>
      </c>
      <c r="B5428" s="0" t="s">
        <v>73</v>
      </c>
      <c r="C5428" s="38" t="n">
        <f aca="false">Q!$D$26</f>
        <v>0</v>
      </c>
      <c r="D5428" s="38" t="n">
        <f aca="false">Q!$E$26</f>
        <v>0</v>
      </c>
      <c r="E5428" s="38" t="n">
        <f aca="false">Q!$P$26</f>
        <v>0</v>
      </c>
      <c r="F5428" s="41" t="n">
        <v>0</v>
      </c>
      <c r="G5428" s="38" t="n">
        <f aca="false">Sens!$E$5428+Sens!$F$5428</f>
        <v>0</v>
      </c>
      <c r="H5428" s="41" t="n">
        <v>0</v>
      </c>
      <c r="I5428" s="41" t="n">
        <v>0</v>
      </c>
      <c r="J5428" s="41" t="n">
        <v>0</v>
      </c>
      <c r="K5428" s="41" t="n">
        <v>0</v>
      </c>
      <c r="L5428" s="41" t="n">
        <v>0</v>
      </c>
      <c r="M5428" s="41" t="n">
        <v>0</v>
      </c>
      <c r="N5428" s="38" t="n">
        <f aca="false">Q!$N$26</f>
        <v>0</v>
      </c>
      <c r="O5428" s="38" t="n">
        <f aca="false">Q!$O$26</f>
        <v>0</v>
      </c>
    </row>
    <row r="5429" customFormat="false" ht="15" hidden="false" customHeight="false" outlineLevel="0" collapsed="false">
      <c r="A5429" s="3" t="s">
        <v>494</v>
      </c>
      <c r="B5429" s="8" t="s">
        <v>73</v>
      </c>
      <c r="C5429" s="38" t="n">
        <f aca="false">Q!$D$25</f>
        <v>68.593</v>
      </c>
      <c r="D5429" s="38" t="n">
        <f aca="false">Q!$E$25</f>
        <v>79.975</v>
      </c>
      <c r="E5429" s="38" t="n">
        <f aca="false">Q!$P$25</f>
        <v>51.313</v>
      </c>
      <c r="F5429" s="38" t="n">
        <f aca="false">Sens!$F$5419+Sens!$F$5424+Sens!$F$5427+Sens!$F$5428</f>
        <v>59.8825772328462</v>
      </c>
      <c r="G5429" s="38" t="n">
        <f aca="false">Sens!$G$5419+Sens!$G$5424+Sens!$G$5427+Sens!$G$5428</f>
        <v>111.195577232846</v>
      </c>
      <c r="H5429" s="38" t="n">
        <f aca="false">Sens!$H$5419+Sens!$H$5424+Sens!$H$5427+Sens!$H$5428</f>
        <v>135.638701042513</v>
      </c>
      <c r="I5429" s="38" t="n">
        <f aca="false">Sens!$I$5419+Sens!$I$5424+Sens!$I$5427+Sens!$I$5428</f>
        <v>160.668634334764</v>
      </c>
      <c r="J5429" s="38" t="n">
        <f aca="false">Sens!$J$5419+Sens!$J$5424+Sens!$J$5427+Sens!$J$5428</f>
        <v>182.936501499731</v>
      </c>
      <c r="K5429" s="38" t="n">
        <f aca="false">Sens!$K$5419+Sens!$K$5424+Sens!$K$5427+Sens!$K$5428</f>
        <v>200.911616858058</v>
      </c>
      <c r="L5429" s="38" t="n">
        <f aca="false">Sens!$L$5419+Sens!$L$5424+Sens!$L$5427+Sens!$L$5428</f>
        <v>220.650126048945</v>
      </c>
      <c r="M5429" s="38" t="n">
        <f aca="false">Sens!$M$5419+Sens!$M$5424+Sens!$M$5427+Sens!$M$5428</f>
        <v>241.09409709983</v>
      </c>
      <c r="N5429" s="38" t="n">
        <f aca="false">Q!$N$25</f>
        <v>37.576</v>
      </c>
      <c r="O5429" s="38" t="n">
        <f aca="false">Q!$O$25</f>
        <v>42.399</v>
      </c>
    </row>
    <row r="5430" customFormat="false" ht="17.15" hidden="false" customHeight="false" outlineLevel="0" collapsed="false">
      <c r="A5430" s="24" t="s">
        <v>711</v>
      </c>
      <c r="B5430" s="25" t="s">
        <v>73</v>
      </c>
      <c r="C5430" s="39" t="n">
        <f aca="false">Sens!$C$5419+Sens!$C$5424+Sens!$C$5427+Sens!$C$5428-Sens!$C$5429</f>
        <v>0</v>
      </c>
      <c r="D5430" s="39" t="n">
        <f aca="false">Sens!$D$5419+Sens!$D$5424+Sens!$D$5427+Sens!$D$5428-Sens!$D$5429</f>
        <v>0</v>
      </c>
      <c r="E5430" s="39" t="n">
        <f aca="false">Sens!$E$5419+Sens!$E$5424+Sens!$E$5427+Sens!$E$5428-Sens!$E$5429</f>
        <v>0</v>
      </c>
      <c r="F5430" s="39" t="n">
        <f aca="false">Sens!$F$5419+Sens!$F$5424+Sens!$F$5427+Sens!$F$5428-Sens!$F$5429</f>
        <v>0</v>
      </c>
      <c r="G5430" s="39" t="n">
        <f aca="false">Sens!$G$5419+Sens!$G$5424+Sens!$G$5427+Sens!$G$5428-Sens!$G$5429</f>
        <v>0</v>
      </c>
      <c r="H5430" s="39" t="n">
        <f aca="false">Sens!$H$5419+Sens!$H$5424+Sens!$H$5427+Sens!$H$5428-Sens!$H$5429</f>
        <v>0</v>
      </c>
      <c r="I5430" s="39" t="n">
        <f aca="false">Sens!$I$5419+Sens!$I$5424+Sens!$I$5427+Sens!$I$5428-Sens!$I$5429</f>
        <v>0</v>
      </c>
      <c r="J5430" s="39" t="n">
        <f aca="false">Sens!$J$5419+Sens!$J$5424+Sens!$J$5427+Sens!$J$5428-Sens!$J$5429</f>
        <v>0</v>
      </c>
      <c r="K5430" s="39" t="n">
        <f aca="false">Sens!$K$5419+Sens!$K$5424+Sens!$K$5427+Sens!$K$5428-Sens!$K$5429</f>
        <v>0</v>
      </c>
      <c r="L5430" s="39" t="n">
        <f aca="false">Sens!$L$5419+Sens!$L$5424+Sens!$L$5427+Sens!$L$5428-Sens!$L$5429</f>
        <v>0</v>
      </c>
      <c r="M5430" s="39" t="n">
        <f aca="false">Sens!$M$5419+Sens!$M$5424+Sens!$M$5427+Sens!$M$5428-Sens!$M$5429</f>
        <v>0</v>
      </c>
      <c r="N5430" s="39" t="n">
        <f aca="false">Sens!$N$5419+Sens!$N$5424+Sens!$N$5427+Sens!$N$5428-Sens!$N$5429</f>
        <v>0</v>
      </c>
      <c r="O5430" s="39" t="n">
        <f aca="false">Sens!$O$5419+Sens!$O$5424+Sens!$O$5427+Sens!$O$5428-Sens!$O$5429</f>
        <v>0</v>
      </c>
    </row>
    <row r="5431" customFormat="false" ht="17.15" hidden="false" customHeight="false" outlineLevel="0" collapsed="false">
      <c r="A5431" s="0" t="s">
        <v>687</v>
      </c>
      <c r="B5431" s="0" t="s">
        <v>52</v>
      </c>
      <c r="C5431" s="12" t="n">
        <f aca="false">Sens!$C$5419/Sens!$C$5404</f>
        <v>0.0644314665661928</v>
      </c>
      <c r="D5431" s="12" t="n">
        <f aca="false">Sens!$D$5419/Sens!$D$5404</f>
        <v>0.0694784250712518</v>
      </c>
      <c r="E5431" s="12" t="n">
        <f aca="false">Sens!$E$5419/Sens!$E$5404</f>
        <v>0.0789306463326071</v>
      </c>
      <c r="F5431" s="12" t="n">
        <f aca="false">Sens!$F$5419/Sens!$F$5404</f>
        <v>0.0816338957078875</v>
      </c>
      <c r="G5431" s="12" t="n">
        <f aca="false">Sens!$G$5419/Sens!$G$5404</f>
        <v>0.080384315570057</v>
      </c>
      <c r="H5431" s="12" t="n">
        <f aca="false">Sens!$H$5419/Sens!$H$5404</f>
        <v>0.080035122355679</v>
      </c>
      <c r="I5431" s="12" t="n">
        <f aca="false">Sens!$I$5419/Sens!$I$5404</f>
        <v>0.0786798687862144</v>
      </c>
      <c r="J5431" s="12" t="n">
        <f aca="false">Sens!$J$5419/Sens!$J$5404</f>
        <v>0.0772846370095153</v>
      </c>
      <c r="K5431" s="12" t="n">
        <f aca="false">Sens!$K$5419/Sens!$K$5404</f>
        <v>0.0753502227686655</v>
      </c>
      <c r="L5431" s="12" t="n">
        <f aca="false">Sens!$L$5419/Sens!$L$5404</f>
        <v>0.0723154067793922</v>
      </c>
      <c r="M5431" s="12" t="n">
        <f aca="false">Sens!$M$5419/Sens!$M$5404</f>
        <v>0.070022386735876</v>
      </c>
      <c r="N5431" s="12" t="n">
        <f aca="false">Sens!$N$5419/Sens!$N$5404</f>
        <v>0.069228576611127</v>
      </c>
      <c r="O5431" s="12" t="n">
        <f aca="false">Sens!$O$5419/Sens!$O$5404</f>
        <v>0.069685022498393</v>
      </c>
    </row>
    <row r="5432" customFormat="false" ht="17.15" hidden="false" customHeight="false" outlineLevel="0" collapsed="false">
      <c r="A5432" s="0" t="s">
        <v>688</v>
      </c>
      <c r="B5432" s="0" t="s">
        <v>52</v>
      </c>
      <c r="C5432" s="12" t="n">
        <f aca="false">Sens!$C$5424/Sens!$C$5405</f>
        <v>0.026534925055631</v>
      </c>
      <c r="D5432" s="12" t="n">
        <f aca="false">Sens!$D$5424/Sens!$D$5405</f>
        <v>0.0293401855535103</v>
      </c>
      <c r="E5432" s="12" t="n">
        <f aca="false">Sens!$E$5424/Sens!$E$5405</f>
        <v>0.03831141902276</v>
      </c>
      <c r="F5432" s="12" t="n">
        <f aca="false">Sens!$F$5424/Sens!$F$5405</f>
        <v>0.0297532808235678</v>
      </c>
      <c r="G5432" s="12" t="n">
        <f aca="false">Sens!$G$5424/Sens!$G$5405</f>
        <v>0.0335954317997163</v>
      </c>
      <c r="H5432" s="12" t="n">
        <f aca="false">Sens!$H$5424/Sens!$H$5405</f>
        <v>0.0312519754292078</v>
      </c>
      <c r="I5432" s="12" t="n">
        <f aca="false">Sens!$I$5424/Sens!$I$5405</f>
        <v>0.0278788303191397</v>
      </c>
      <c r="J5432" s="12" t="n">
        <f aca="false">Sens!$J$5424/Sens!$J$5405</f>
        <v>0.0244019313573061</v>
      </c>
      <c r="K5432" s="12" t="n">
        <f aca="false">Sens!$K$5424/Sens!$K$5405</f>
        <v>0.020280070641524</v>
      </c>
      <c r="L5432" s="12" t="n">
        <f aca="false">Sens!$L$5424/Sens!$L$5405</f>
        <v>0.0175947312030086</v>
      </c>
      <c r="M5432" s="12" t="n">
        <f aca="false">Sens!$M$5424/Sens!$M$5405</f>
        <v>0.0156592172424565</v>
      </c>
      <c r="N5432" s="12" t="n">
        <f aca="false">Sens!$N$5424/Sens!$N$5405</f>
        <v>0.0357315650169337</v>
      </c>
      <c r="O5432" s="12" t="n">
        <f aca="false">Sens!$O$5424/Sens!$O$5405</f>
        <v>0.0244378956559703</v>
      </c>
    </row>
    <row r="5433" customFormat="false" ht="17.15" hidden="false" customHeight="false" outlineLevel="0" collapsed="false">
      <c r="A5433" s="13" t="s">
        <v>689</v>
      </c>
      <c r="B5433" s="13" t="s">
        <v>52</v>
      </c>
      <c r="C5433" s="16" t="n">
        <f aca="false">Sens!$C$5427/Sens!$C$5406</f>
        <v>0.370355907620217</v>
      </c>
      <c r="D5433" s="16" t="n">
        <f aca="false">Sens!$D$5427/Sens!$D$5406</f>
        <v>0.35429015342785</v>
      </c>
      <c r="E5433" s="16" t="n">
        <f aca="false">Sens!$E$5427/Sens!$E$5406</f>
        <v>0.385647527531039</v>
      </c>
      <c r="F5433" s="16" t="n">
        <f aca="false">Sens!$F$5427/Sens!$F$5406</f>
        <v>0.384415729470259</v>
      </c>
      <c r="G5433" s="16" t="n">
        <f aca="false">Sens!$G$5427/Sens!$G$5406</f>
        <v>0.38498282105443</v>
      </c>
      <c r="H5433" s="16" t="n">
        <f aca="false">Sens!$H$5427/Sens!$H$5406</f>
        <v>0.361247909668527</v>
      </c>
      <c r="I5433" s="16" t="n">
        <f aca="false">Sens!$I$5427/Sens!$I$5406</f>
        <v>0.349486287974975</v>
      </c>
      <c r="J5433" s="16" t="n">
        <f aca="false">Sens!$J$5427/Sens!$J$5406</f>
        <v>0.339886531832068</v>
      </c>
      <c r="K5433" s="16" t="n">
        <f aca="false">Sens!$K$5427/Sens!$K$5406</f>
        <v>0.33135833762061</v>
      </c>
      <c r="L5433" s="16" t="n">
        <f aca="false">Sens!$L$5427/Sens!$L$5406</f>
        <v>0.328299068185284</v>
      </c>
      <c r="M5433" s="16" t="n">
        <f aca="false">Sens!$M$5427/Sens!$M$5406</f>
        <v>0.325058049465166</v>
      </c>
      <c r="N5433" s="16" t="n">
        <f aca="false">Sens!$N$5427/Sens!$N$5406</f>
        <v>0.360941137346192</v>
      </c>
      <c r="O5433" s="16" t="n">
        <f aca="false">Sens!$O$5427/Sens!$O$5406</f>
        <v>0.348458117664212</v>
      </c>
    </row>
    <row r="5434" customFormat="false" ht="17.15" hidden="false" customHeight="false" outlineLevel="0" collapsed="false">
      <c r="A5434" s="0" t="s">
        <v>690</v>
      </c>
      <c r="B5434" s="0" t="s">
        <v>52</v>
      </c>
      <c r="C5434" s="12" t="n">
        <f aca="false">Sens!$C$5425/Sens!$C$5407</f>
        <v>0.708390794789371</v>
      </c>
      <c r="D5434" s="12" t="n">
        <f aca="false">Sens!$D$5425/Sens!$D$5407</f>
        <v>0.445565630441968</v>
      </c>
      <c r="E5434" s="12" t="n">
        <f aca="false">Sens!$E$5425/Sens!$E$5407</f>
        <v>0.165998118402711</v>
      </c>
      <c r="F5434" s="12" t="n">
        <f aca="false">Sens!$F$5425/Sens!$F$5407</f>
        <v>0.434878595403858</v>
      </c>
      <c r="G5434" s="12" t="n">
        <f aca="false">Sens!$G$5425/Sens!$G$5407</f>
        <v>0.3373967615381</v>
      </c>
      <c r="H5434" s="12" t="n">
        <f aca="false">Sens!$H$5425/Sens!$H$5407</f>
        <v>0.320477578041224</v>
      </c>
      <c r="I5434" s="12" t="n">
        <f aca="false">Sens!$I$5425/Sens!$I$5407</f>
        <v>0.296936118226494</v>
      </c>
      <c r="J5434" s="12" t="n">
        <f aca="false">Sens!$J$5425/Sens!$J$5407</f>
        <v>0.282166278613001</v>
      </c>
      <c r="K5434" s="12" t="n">
        <f aca="false">Sens!$K$5425/Sens!$K$5407</f>
        <v>0.271267685694333</v>
      </c>
      <c r="L5434" s="12" t="n">
        <f aca="false">Sens!$L$5425/Sens!$L$5407</f>
        <v>0.27160960915653</v>
      </c>
      <c r="M5434" s="12" t="n">
        <f aca="false">Sens!$M$5425/Sens!$M$5407</f>
        <v>0.26974494804234</v>
      </c>
      <c r="N5434" s="12" t="n">
        <f aca="false">Sens!$N$5425/Sens!$N$5407</f>
        <v>0.302870734830849</v>
      </c>
      <c r="O5434" s="12" t="n">
        <f aca="false">Sens!$O$5425/Sens!$O$5407</f>
        <v>0.52240134346334</v>
      </c>
    </row>
    <row r="5435" customFormat="false" ht="15" hidden="false" customHeight="false" outlineLevel="0" collapsed="false">
      <c r="A5435" s="5" t="s">
        <v>691</v>
      </c>
      <c r="B5435" s="0" t="s">
        <v>52</v>
      </c>
      <c r="C5435" s="12" t="n">
        <f aca="false">Sens!$C$5429/Sens!$C$5409</f>
        <v>0.107519448742004</v>
      </c>
      <c r="D5435" s="12" t="n">
        <f aca="false">Sens!$D$5429/Sens!$D$5409</f>
        <v>0.111552967957552</v>
      </c>
      <c r="E5435" s="12" t="n">
        <f aca="false">Sens!$E$5429/Sens!$E$5409</f>
        <v>0.13428328426562</v>
      </c>
      <c r="F5435" s="12" t="n">
        <f aca="false">Sens!$F$5429/Sens!$F$5409</f>
        <v>0.132926212451512</v>
      </c>
      <c r="G5435" s="12" t="n">
        <f aca="false">Sens!$G$5429/Sens!$G$5409</f>
        <v>0.133549030959228</v>
      </c>
      <c r="H5435" s="12" t="n">
        <f aca="false">Sens!$H$5429/Sens!$H$5409</f>
        <v>0.139690394514416</v>
      </c>
      <c r="I5435" s="12" t="n">
        <f aca="false">Sens!$I$5429/Sens!$I$5409</f>
        <v>0.144688164284573</v>
      </c>
      <c r="J5435" s="12" t="n">
        <f aca="false">Sens!$J$5429/Sens!$J$5409</f>
        <v>0.147391419021054</v>
      </c>
      <c r="K5435" s="12" t="n">
        <f aca="false">Sens!$K$5429/Sens!$K$5409</f>
        <v>0.148003728177944</v>
      </c>
      <c r="L5435" s="12" t="n">
        <f aca="false">Sens!$L$5429/Sens!$L$5409</f>
        <v>0.149164514525979</v>
      </c>
      <c r="M5435" s="12" t="n">
        <f aca="false">Sens!$M$5429/Sens!$M$5409</f>
        <v>0.150041098108262</v>
      </c>
      <c r="N5435" s="12" t="n">
        <f aca="false">Sens!$N$5429/Sens!$N$5409</f>
        <v>0.116201614873411</v>
      </c>
      <c r="O5435" s="12" t="n">
        <f aca="false">Sens!$O$5429/Sens!$O$5409</f>
        <v>0.107733353660861</v>
      </c>
    </row>
    <row r="5436" customFormat="false" ht="17.15" hidden="false" customHeight="false" outlineLevel="0" collapsed="false">
      <c r="A5436" s="1" t="s">
        <v>692</v>
      </c>
    </row>
    <row r="5437" customFormat="false" ht="17.15" hidden="false" customHeight="false" outlineLevel="0" collapsed="false">
      <c r="A5437" s="5" t="s">
        <v>693</v>
      </c>
      <c r="B5437" s="0" t="s">
        <v>52</v>
      </c>
      <c r="D5437" s="28" t="n">
        <f aca="false">(Q!$E$29+Q!$E$30-(1-ext_sh)*Sens!$D$5361)/Sens!$D$5319</f>
        <v>0.0334674312393194</v>
      </c>
    </row>
    <row r="5438" customFormat="false" ht="17.15" hidden="false" customHeight="false" outlineLevel="0" collapsed="false">
      <c r="A5438" s="0" t="s">
        <v>498</v>
      </c>
      <c r="B5438" s="0" t="s">
        <v>73</v>
      </c>
      <c r="C5438" s="38" t="n">
        <f aca="false">Q!$D$29</f>
        <v>14.285</v>
      </c>
      <c r="D5438" s="38" t="n">
        <f aca="false">Q!$E$29</f>
        <v>15.503</v>
      </c>
      <c r="E5438" s="38" t="n">
        <f aca="false">Q!$P$29</f>
        <v>8.78</v>
      </c>
      <c r="F5438" s="38" t="n">
        <f aca="false">(Sens!$D$5437*Sens!$F$5319+(1-ext_sh)*Sens!$F$5361)*Sens!$F$5320</f>
        <v>9.51361751569285</v>
      </c>
      <c r="G5438" s="38" t="n">
        <f aca="false">Sens!$E$5438+Sens!$F$5438</f>
        <v>18.2936175156929</v>
      </c>
      <c r="H5438" s="38" t="n">
        <f aca="false">(Sens!$D$5437*Sens!$H$5319+(1-ext_sh)*Sens!$H$5361)*Sens!$H$5320</f>
        <v>22.7653661801943</v>
      </c>
      <c r="I5438" s="38" t="n">
        <f aca="false">(Sens!$D$5437*Sens!$I$5319+(1-ext_sh)*Sens!$I$5361)*Sens!$I$5320</f>
        <v>28.4281317305062</v>
      </c>
      <c r="J5438" s="38" t="n">
        <f aca="false">(Sens!$D$5437*Sens!$J$5319+(1-ext_sh)*Sens!$J$5361)*Sens!$J$5320</f>
        <v>34.1182922009732</v>
      </c>
      <c r="K5438" s="38" t="n">
        <f aca="false">(Sens!$D$5437*Sens!$K$5319+(1-ext_sh)*Sens!$K$5361)*Sens!$K$5320</f>
        <v>39.7237727987046</v>
      </c>
      <c r="L5438" s="38" t="n">
        <f aca="false">(Sens!$D$5437*Sens!$L$5319+(1-ext_sh)*Sens!$L$5361)*Sens!$L$5320</f>
        <v>45.1313127180263</v>
      </c>
      <c r="M5438" s="38" t="n">
        <f aca="false">(Sens!$D$5437*Sens!$M$5319+(1-ext_sh)*Sens!$M$5361)*Sens!$M$5320</f>
        <v>50.743940615442</v>
      </c>
      <c r="N5438" s="38" t="n">
        <f aca="false">Q!$N$29</f>
        <v>7.272</v>
      </c>
      <c r="O5438" s="38" t="n">
        <f aca="false">Q!$O$29</f>
        <v>8.231</v>
      </c>
    </row>
    <row r="5439" customFormat="false" ht="17.15" hidden="false" customHeight="false" outlineLevel="0" collapsed="false">
      <c r="A5439" s="0" t="s">
        <v>500</v>
      </c>
      <c r="B5439" s="0" t="s">
        <v>73</v>
      </c>
      <c r="C5439" s="38" t="n">
        <f aca="false">Q!$D$30</f>
        <v>4.462</v>
      </c>
      <c r="D5439" s="38" t="n">
        <f aca="false">Q!$E$30</f>
        <v>4.907</v>
      </c>
      <c r="E5439" s="38" t="n">
        <f aca="false">Q!$P$30</f>
        <v>2.57</v>
      </c>
      <c r="F5439" s="38" t="n">
        <f aca="false">(Sens!$D$5437*Sens!$F$5319+(1-ext_sh)*Sens!$F$5361)*(1-Sens!$F$5320)</f>
        <v>3.7353230631574</v>
      </c>
      <c r="G5439" s="38" t="n">
        <f aca="false">Sens!$E$5439+Sens!$F$5439</f>
        <v>6.3053230631574</v>
      </c>
      <c r="H5439" s="38" t="n">
        <f aca="false">(Sens!$D$5437*Sens!$H$5319+(1-ext_sh)*Sens!$H$5361)*(1-Sens!$H$5320)</f>
        <v>8.72254636724805</v>
      </c>
      <c r="I5439" s="38" t="n">
        <f aca="false">(Sens!$D$5437*Sens!$I$5319+(1-ext_sh)*Sens!$I$5361)*(1-Sens!$I$5320)</f>
        <v>10.8922340713019</v>
      </c>
      <c r="J5439" s="38" t="n">
        <f aca="false">(Sens!$D$5437*Sens!$J$5319+(1-ext_sh)*Sens!$J$5361)*(1-Sens!$J$5320)</f>
        <v>13.0724181345791</v>
      </c>
      <c r="K5439" s="38" t="n">
        <f aca="false">(Sens!$D$5437*Sens!$K$5319+(1-ext_sh)*Sens!$K$5361)*(1-Sens!$K$5320)</f>
        <v>15.2201571183236</v>
      </c>
      <c r="L5439" s="38" t="n">
        <f aca="false">(Sens!$D$5437*Sens!$L$5319+(1-ext_sh)*Sens!$L$5361)*(1-Sens!$L$5320)</f>
        <v>17.2920551631732</v>
      </c>
      <c r="M5439" s="38" t="n">
        <f aca="false">(Sens!$D$5437*Sens!$M$5319+(1-ext_sh)*Sens!$M$5361)*(1-Sens!$M$5320)</f>
        <v>19.4425326336348</v>
      </c>
      <c r="N5439" s="38" t="n">
        <f aca="false">Q!$N$30</f>
        <v>2.316</v>
      </c>
      <c r="O5439" s="38" t="n">
        <f aca="false">Q!$O$30</f>
        <v>2.591</v>
      </c>
    </row>
    <row r="5440" customFormat="false" ht="17.15" hidden="false" customHeight="false" outlineLevel="0" collapsed="false">
      <c r="A5440" s="0" t="s">
        <v>501</v>
      </c>
      <c r="B5440" s="0" t="s">
        <v>73</v>
      </c>
      <c r="C5440" s="38" t="n">
        <f aca="false">Sens!$C$5373</f>
        <v>13.32</v>
      </c>
      <c r="D5440" s="38" t="n">
        <f aca="false">Sens!$D$5373</f>
        <v>21.45</v>
      </c>
      <c r="E5440" s="38" t="n">
        <f aca="false">Sens!$E$5373</f>
        <v>15.353</v>
      </c>
      <c r="F5440" s="38" t="n">
        <f aca="false">Sens!$F$5373</f>
        <v>17.3614451462707</v>
      </c>
      <c r="G5440" s="38" t="n">
        <f aca="false">Sens!$G$5373</f>
        <v>32.7144451462707</v>
      </c>
      <c r="H5440" s="38" t="n">
        <f aca="false">Sens!$H$5373</f>
        <v>56.1966092719415</v>
      </c>
      <c r="I5440" s="38" t="n">
        <f aca="false">Sens!$I$5373</f>
        <v>82.9744039068297</v>
      </c>
      <c r="J5440" s="38" t="n">
        <f aca="false">Sens!$J$5373</f>
        <v>109.943252237669</v>
      </c>
      <c r="K5440" s="38" t="n">
        <f aca="false">Sens!$K$5373</f>
        <v>136.406703436571</v>
      </c>
      <c r="L5440" s="38" t="n">
        <f aca="false">Sens!$L$5373</f>
        <v>161.485870454155</v>
      </c>
      <c r="M5440" s="38" t="n">
        <f aca="false">Sens!$M$5373</f>
        <v>187.389846618199</v>
      </c>
      <c r="N5440" s="38" t="n">
        <f aca="false">Sens!$N$5373</f>
        <v>9.234</v>
      </c>
      <c r="O5440" s="38" t="n">
        <f aca="false">Sens!$O$5373</f>
        <v>12.216</v>
      </c>
    </row>
    <row r="5441" customFormat="false" ht="17.15" hidden="false" customHeight="false" outlineLevel="0" collapsed="false">
      <c r="A5441" s="5" t="s">
        <v>694</v>
      </c>
      <c r="B5441" s="0" t="s">
        <v>73</v>
      </c>
      <c r="C5441" s="38" t="n">
        <f aca="false">Sens!$C$5438+Sens!$C$5439+Sens!$C$5440</f>
        <v>32.067</v>
      </c>
      <c r="D5441" s="38" t="n">
        <f aca="false">Sens!$D$5438+Sens!$D$5439+Sens!$D$5440</f>
        <v>41.86</v>
      </c>
      <c r="E5441" s="38" t="n">
        <f aca="false">Sens!$E$5438+Sens!$E$5439+Sens!$E$5440</f>
        <v>26.703</v>
      </c>
      <c r="F5441" s="38" t="n">
        <f aca="false">Sens!$F$5438+Sens!$F$5439+Sens!$F$5440</f>
        <v>30.6103857251209</v>
      </c>
      <c r="G5441" s="38" t="n">
        <f aca="false">Sens!$G$5438+Sens!$G$5439+Sens!$G$5440</f>
        <v>57.3133857251209</v>
      </c>
      <c r="H5441" s="38" t="n">
        <f aca="false">Sens!$H$5438+Sens!$H$5439+Sens!$H$5440</f>
        <v>87.6845218193838</v>
      </c>
      <c r="I5441" s="38" t="n">
        <f aca="false">Sens!$I$5438+Sens!$I$5439+Sens!$I$5440</f>
        <v>122.294769708638</v>
      </c>
      <c r="J5441" s="38" t="n">
        <f aca="false">Sens!$J$5438+Sens!$J$5439+Sens!$J$5440</f>
        <v>157.133962573221</v>
      </c>
      <c r="K5441" s="38" t="n">
        <f aca="false">Sens!$K$5438+Sens!$K$5439+Sens!$K$5440</f>
        <v>191.350633353599</v>
      </c>
      <c r="L5441" s="38" t="n">
        <f aca="false">Sens!$L$5438+Sens!$L$5439+Sens!$L$5440</f>
        <v>223.909238335354</v>
      </c>
      <c r="M5441" s="38" t="n">
        <f aca="false">Sens!$M$5438+Sens!$M$5439+Sens!$M$5440</f>
        <v>257.576319867276</v>
      </c>
      <c r="N5441" s="38" t="n">
        <f aca="false">Sens!$N$5438+Sens!$N$5439+Sens!$N$5440</f>
        <v>18.822</v>
      </c>
      <c r="O5441" s="38" t="n">
        <f aca="false">Sens!$O$5438+Sens!$O$5439+Sens!$O$5440</f>
        <v>23.038</v>
      </c>
    </row>
    <row r="5442" customFormat="false" ht="17.15" hidden="false" customHeight="false" outlineLevel="0" collapsed="false">
      <c r="A5442" s="0" t="s">
        <v>695</v>
      </c>
      <c r="B5442" s="0" t="s">
        <v>73</v>
      </c>
      <c r="C5442" s="38" t="n">
        <f aca="false">Sens!$C$5415+Sens!$C$5420</f>
        <v>28.107</v>
      </c>
      <c r="D5442" s="38" t="n">
        <f aca="false">Sens!$D$5415+Sens!$D$5420</f>
        <v>34.3175</v>
      </c>
      <c r="E5442" s="38" t="n">
        <f aca="false">Sens!$E$5415+Sens!$E$5420</f>
        <v>18.526</v>
      </c>
      <c r="F5442" s="38" t="n">
        <f aca="false">Sens!$F$5415+Sens!$F$5420</f>
        <v>24.0766690913691</v>
      </c>
      <c r="G5442" s="38" t="n">
        <f aca="false">Sens!$G$5415+Sens!$G$5420</f>
        <v>42.6026690913691</v>
      </c>
      <c r="H5442" s="38" t="n">
        <f aca="false">Sens!$H$5415+Sens!$H$5420</f>
        <v>51.1466809294702</v>
      </c>
      <c r="I5442" s="38" t="n">
        <f aca="false">Sens!$I$5415+Sens!$I$5420</f>
        <v>59.6899187926205</v>
      </c>
      <c r="J5442" s="38" t="n">
        <f aca="false">Sens!$J$5415+Sens!$J$5420</f>
        <v>67.6595395244221</v>
      </c>
      <c r="K5442" s="38" t="n">
        <f aca="false">Sens!$K$5415+Sens!$K$5420</f>
        <v>74.4254934768643</v>
      </c>
      <c r="L5442" s="38" t="n">
        <f aca="false">Sens!$L$5415+Sens!$L$5420</f>
        <v>81.8680428245508</v>
      </c>
      <c r="M5442" s="38" t="n">
        <f aca="false">Sens!$M$5415+Sens!$M$5420</f>
        <v>90.0548471070059</v>
      </c>
      <c r="N5442" s="38" t="n">
        <f aca="false">Sens!$N$5415+Sens!$N$5420</f>
        <v>14.8075</v>
      </c>
      <c r="O5442" s="38" t="n">
        <f aca="false">Sens!$O$5415+Sens!$O$5420</f>
        <v>19.51</v>
      </c>
    </row>
    <row r="5443" customFormat="false" ht="17.15" hidden="false" customHeight="false" outlineLevel="0" collapsed="false">
      <c r="A5443" s="0" t="s">
        <v>696</v>
      </c>
      <c r="B5443" s="0" t="s">
        <v>73</v>
      </c>
      <c r="C5443" s="38" t="n">
        <f aca="false">Sens!$C$5419+Sens!$C$5424+Sens!$C$5438+Sens!$C$5439-Sens!$C$5442</f>
        <v>19.399</v>
      </c>
      <c r="D5443" s="38" t="n">
        <f aca="false">Sens!$D$5419+Sens!$D$5424+Sens!$D$5438+Sens!$D$5439-Sens!$D$5442</f>
        <v>20.4615</v>
      </c>
      <c r="E5443" s="38" t="n">
        <f aca="false">Sens!$E$5419+Sens!$E$5424+Sens!$E$5438+Sens!$E$5439-Sens!$E$5442</f>
        <v>13.355</v>
      </c>
      <c r="F5443" s="38" t="n">
        <f aca="false">Sens!$F$5419+Sens!$F$5424+Sens!$F$5438+Sens!$F$5439-Sens!$F$5442</f>
        <v>13.0895111975985</v>
      </c>
      <c r="G5443" s="38" t="n">
        <f aca="false">Sens!$G$5419+Sens!$G$5424+Sens!$G$5438+Sens!$G$5439-Sens!$G$5442</f>
        <v>26.4445111975985</v>
      </c>
      <c r="H5443" s="38" t="n">
        <f aca="false">Sens!$H$5419+Sens!$H$5424+Sens!$H$5438+Sens!$H$5439-Sens!$H$5442</f>
        <v>28.8977096937968</v>
      </c>
      <c r="I5443" s="38" t="n">
        <f aca="false">Sens!$I$5419+Sens!$I$5424+Sens!$I$5438+Sens!$I$5439-Sens!$I$5442</f>
        <v>31.2062039064791</v>
      </c>
      <c r="J5443" s="38" t="n">
        <f aca="false">Sens!$J$5419+Sens!$J$5424+Sens!$J$5438+Sens!$J$5439-Sens!$J$5442</f>
        <v>33.5064572496913</v>
      </c>
      <c r="K5443" s="38" t="n">
        <f aca="false">Sens!$K$5419+Sens!$K$5424+Sens!$K$5438+Sens!$K$5439-Sens!$K$5442</f>
        <v>35.6591461575899</v>
      </c>
      <c r="L5443" s="38" t="n">
        <f aca="false">Sens!$L$5419+Sens!$L$5424+Sens!$L$5438+Sens!$L$5439-Sens!$L$5442</f>
        <v>36.4141007090604</v>
      </c>
      <c r="M5443" s="38" t="n">
        <f aca="false">Sens!$M$5419+Sens!$M$5424+Sens!$M$5438+Sens!$M$5439-Sens!$M$5442</f>
        <v>37.359984207839</v>
      </c>
      <c r="N5443" s="38" t="n">
        <f aca="false">Sens!$N$5419+Sens!$N$5424+Sens!$N$5438+Sens!$N$5439-Sens!$N$5442</f>
        <v>10.6495</v>
      </c>
      <c r="O5443" s="38" t="n">
        <f aca="false">Sens!$O$5419+Sens!$O$5424+Sens!$O$5438+Sens!$O$5439-Sens!$O$5442</f>
        <v>9.81200000000001</v>
      </c>
    </row>
    <row r="5444" customFormat="false" ht="17.15" hidden="false" customHeight="false" outlineLevel="0" collapsed="false">
      <c r="A5444" s="0" t="s">
        <v>697</v>
      </c>
      <c r="B5444" s="0" t="s">
        <v>73</v>
      </c>
      <c r="C5444" s="38" t="n">
        <f aca="false">Sens!$C$5426+Sens!$C$5440-ext_sh*Sens!$C$5361</f>
        <v>51.3470500115664</v>
      </c>
      <c r="D5444" s="38" t="n">
        <f aca="false">Sens!$D$5426+Sens!$D$5440-ext_sh*Sens!$D$5361</f>
        <v>60.2799375433739</v>
      </c>
      <c r="E5444" s="38" t="n">
        <f aca="false">Sens!$E$5426+Sens!$E$5440-ext_sh*Sens!$E$5361</f>
        <v>39.5095167090767</v>
      </c>
      <c r="F5444" s="38" t="n">
        <f aca="false">Sens!$F$5426+Sens!$F$5440-ext_sh*Sens!$F$5361</f>
        <v>41.606724953129</v>
      </c>
      <c r="G5444" s="38" t="n">
        <f aca="false">Sens!$G$5426+Sens!$G$5440-ext_sh*Sens!$G$5361</f>
        <v>81.1162416622057</v>
      </c>
      <c r="H5444" s="38" t="n">
        <f aca="false">Sens!$H$5426+Sens!$H$5440-ext_sh*Sens!$H$5361</f>
        <v>95.7616595325849</v>
      </c>
      <c r="I5444" s="38" t="n">
        <f aca="false">Sens!$I$5426+Sens!$I$5440-ext_sh*Sens!$I$5361</f>
        <v>111.513312079935</v>
      </c>
      <c r="J5444" s="38" t="n">
        <f aca="false">Sens!$J$5426+Sens!$J$5440-ext_sh*Sens!$J$5361</f>
        <v>125.145150463955</v>
      </c>
      <c r="K5444" s="38" t="n">
        <f aca="false">Sens!$K$5426+Sens!$K$5440-ext_sh*Sens!$K$5361</f>
        <v>135.156762501071</v>
      </c>
      <c r="L5444" s="38" t="n">
        <f aca="false">Sens!$L$5426+Sens!$L$5440-ext_sh*Sens!$L$5361</f>
        <v>145.969303501157</v>
      </c>
      <c r="M5444" s="38" t="n">
        <f aca="false">Sens!$M$5426+Sens!$M$5440-ext_sh*Sens!$M$5361</f>
        <v>157.646847781249</v>
      </c>
      <c r="N5444" s="38" t="n">
        <f aca="false">Sens!$N$5426+Sens!$N$5440-ext_sh*Sens!$N$5361</f>
        <v>28.5693781401809</v>
      </c>
      <c r="O5444" s="38" t="n">
        <f aca="false">Sens!$O$5426+Sens!$O$5440-ext_sh*Sens!$O$5361</f>
        <v>31.7105594031931</v>
      </c>
    </row>
    <row r="5445" customFormat="false" ht="17.15" hidden="false" customHeight="false" outlineLevel="0" collapsed="false">
      <c r="A5445" s="0" t="s">
        <v>698</v>
      </c>
      <c r="B5445" s="0" t="s">
        <v>73</v>
      </c>
      <c r="C5445" s="38" t="n">
        <f aca="false">Sens!$C$5364</f>
        <v>1.80694998843362</v>
      </c>
      <c r="D5445" s="38" t="n">
        <f aca="false">Sens!$D$5364</f>
        <v>6.77606245662607</v>
      </c>
      <c r="E5445" s="38" t="n">
        <f aca="false">Sens!$E$5364</f>
        <v>6.62548329092326</v>
      </c>
      <c r="F5445" s="38" t="n">
        <f aca="false">Sens!$F$5364</f>
        <v>11.7200577158706</v>
      </c>
      <c r="G5445" s="38" t="n">
        <f aca="false">Sens!$G$5364</f>
        <v>18.3455410067939</v>
      </c>
      <c r="H5445" s="38" t="n">
        <f aca="false">Sens!$H$5364</f>
        <v>47.5171727060453</v>
      </c>
      <c r="I5445" s="38" t="n">
        <f aca="false">Sens!$I$5364</f>
        <v>80.5539692643667</v>
      </c>
      <c r="J5445" s="38" t="n">
        <f aca="false">Sens!$J$5364</f>
        <v>113.759316834883</v>
      </c>
      <c r="K5445" s="38" t="n">
        <f aca="false">Sens!$K$5364</f>
        <v>147.020848076132</v>
      </c>
      <c r="L5445" s="38" t="n">
        <f aca="false">Sens!$L$5364</f>
        <v>180.307917349531</v>
      </c>
      <c r="M5445" s="38" t="n">
        <f aca="false">Sens!$M$5364</f>
        <v>213.608737871012</v>
      </c>
      <c r="N5445" s="38" t="n">
        <f aca="false">Sens!$N$5364</f>
        <v>2.37162185981912</v>
      </c>
      <c r="O5445" s="38" t="n">
        <f aca="false">Sens!$O$5364</f>
        <v>4.40444059680694</v>
      </c>
    </row>
    <row r="5446" customFormat="false" ht="17.15" hidden="false" customHeight="false" outlineLevel="0" collapsed="false">
      <c r="A5446" s="0" t="s">
        <v>699</v>
      </c>
      <c r="B5446" s="0" t="s">
        <v>73</v>
      </c>
      <c r="C5446" s="38" t="n">
        <f aca="false">Sens!$C$5429+Sens!$C$5441</f>
        <v>100.66</v>
      </c>
      <c r="D5446" s="38" t="n">
        <f aca="false">Sens!$D$5429+Sens!$D$5441</f>
        <v>121.835</v>
      </c>
      <c r="E5446" s="38" t="n">
        <f aca="false">Sens!$E$5429+Sens!$E$5441</f>
        <v>78.016</v>
      </c>
      <c r="F5446" s="38" t="n">
        <f aca="false">Sens!$F$5429+Sens!$F$5441</f>
        <v>90.4929629579672</v>
      </c>
      <c r="G5446" s="38" t="n">
        <f aca="false">Sens!$G$5429+Sens!$G$5441</f>
        <v>168.508962957967</v>
      </c>
      <c r="H5446" s="38" t="n">
        <f aca="false">Sens!$H$5429+Sens!$H$5441</f>
        <v>223.323222861897</v>
      </c>
      <c r="I5446" s="38" t="n">
        <f aca="false">Sens!$I$5429+Sens!$I$5441</f>
        <v>282.963404043402</v>
      </c>
      <c r="J5446" s="38" t="n">
        <f aca="false">Sens!$J$5429+Sens!$J$5441</f>
        <v>340.070464072952</v>
      </c>
      <c r="K5446" s="38" t="n">
        <f aca="false">Sens!$K$5429+Sens!$K$5441</f>
        <v>392.262250211657</v>
      </c>
      <c r="L5446" s="38" t="n">
        <f aca="false">Sens!$L$5429+Sens!$L$5441</f>
        <v>444.559364384299</v>
      </c>
      <c r="M5446" s="38" t="n">
        <f aca="false">Sens!$M$5429+Sens!$M$5441</f>
        <v>498.670416967106</v>
      </c>
      <c r="N5446" s="38" t="n">
        <f aca="false">Sens!$N$5429+Sens!$N$5441</f>
        <v>56.398</v>
      </c>
      <c r="O5446" s="38" t="n">
        <f aca="false">Sens!$O$5429+Sens!$O$5441</f>
        <v>65.437</v>
      </c>
    </row>
    <row r="5447" customFormat="false" ht="17.15" hidden="false" customHeight="false" outlineLevel="0" collapsed="false">
      <c r="A5447" s="1" t="s">
        <v>700</v>
      </c>
    </row>
    <row r="5448" customFormat="false" ht="15" hidden="false" customHeight="false" outlineLevel="0" collapsed="false">
      <c r="A5448" s="5" t="s">
        <v>504</v>
      </c>
      <c r="B5448" s="0" t="s">
        <v>73</v>
      </c>
      <c r="C5448" s="38" t="n">
        <f aca="false">Q!$D$34</f>
        <v>2.406</v>
      </c>
      <c r="D5448" s="38" t="n">
        <f aca="false">Q!$E$34</f>
        <v>2.274</v>
      </c>
      <c r="E5448" s="38" t="n">
        <f aca="false">Q!$P$34</f>
        <v>2.114</v>
      </c>
      <c r="F5448" s="38" t="n">
        <f aca="false">Sens!$F$5484</f>
        <v>3.24888964316061</v>
      </c>
      <c r="G5448" s="38" t="n">
        <f aca="false">Sens!$E$5448+Sens!$F$5448</f>
        <v>5.36288964316061</v>
      </c>
      <c r="H5448" s="38" t="n">
        <f aca="false">Sens!$H$5484</f>
        <v>7.42354178632123</v>
      </c>
      <c r="I5448" s="38" t="n">
        <f aca="false">Sens!$I$5484</f>
        <v>7.51827597635917</v>
      </c>
      <c r="J5448" s="38" t="n">
        <f aca="false">Sens!$J$5484</f>
        <v>7.76994062068418</v>
      </c>
      <c r="K5448" s="38" t="n">
        <f aca="false">Sens!$K$5484</f>
        <v>7.76994062068418</v>
      </c>
      <c r="L5448" s="38" t="n">
        <f aca="false">Sens!$L$5484</f>
        <v>7.76994062068418</v>
      </c>
      <c r="M5448" s="38" t="n">
        <f aca="false">Sens!$M$5484</f>
        <v>7.76994062068418</v>
      </c>
      <c r="N5448" s="38" t="n">
        <f aca="false">Q!$N$34</f>
        <v>1.057</v>
      </c>
      <c r="O5448" s="38" t="n">
        <f aca="false">Q!$O$34</f>
        <v>1.217</v>
      </c>
    </row>
    <row r="5449" customFormat="false" ht="15" hidden="false" customHeight="false" outlineLevel="0" collapsed="false">
      <c r="A5449" s="5" t="s">
        <v>701</v>
      </c>
      <c r="B5449" s="0" t="s">
        <v>73</v>
      </c>
      <c r="F5449" s="38" t="n">
        <f aca="false">Sens!$F$5485</f>
        <v>2.59</v>
      </c>
      <c r="H5449" s="38" t="n">
        <f aca="false">Sens!$H$5485</f>
        <v>4.00971603121774</v>
      </c>
      <c r="I5449" s="38" t="n">
        <f aca="false">Sens!$I$5485</f>
        <v>2.10589651022864</v>
      </c>
      <c r="J5449" s="38" t="n">
        <f aca="false">Sens!$J$5485</f>
        <v>2.10589651022864</v>
      </c>
      <c r="K5449" s="38" t="n">
        <f aca="false">Sens!$K$5485</f>
        <v>3.77985822695893</v>
      </c>
      <c r="L5449" s="38" t="n">
        <f aca="false">Sens!$L$5485</f>
        <v>7.24081936505971</v>
      </c>
      <c r="M5449" s="38" t="n">
        <f aca="false">Sens!$M$5485</f>
        <v>11.205150593419</v>
      </c>
    </row>
    <row r="5450" customFormat="false" ht="17.15" hidden="false" customHeight="false" outlineLevel="0" collapsed="false">
      <c r="A5450" s="5" t="s">
        <v>702</v>
      </c>
      <c r="B5450" s="0" t="s">
        <v>73</v>
      </c>
      <c r="C5450" s="38" t="n">
        <f aca="false">Q!$D$39</f>
        <v>2.427</v>
      </c>
      <c r="D5450" s="38" t="n">
        <f aca="false">Q!$E$39</f>
        <v>19.61</v>
      </c>
      <c r="E5450" s="38" t="n">
        <f aca="false">Q!$P$39</f>
        <v>71.492</v>
      </c>
      <c r="F5450" s="41" t="n">
        <v>0</v>
      </c>
      <c r="G5450" s="38" t="n">
        <f aca="false">Sens!$E$5450+Sens!$F$5450</f>
        <v>71.492</v>
      </c>
      <c r="H5450" s="41" t="n">
        <v>0</v>
      </c>
      <c r="I5450" s="41" t="n">
        <v>0</v>
      </c>
      <c r="J5450" s="41" t="n">
        <v>0</v>
      </c>
      <c r="K5450" s="41" t="n">
        <v>0</v>
      </c>
      <c r="L5450" s="41" t="n">
        <v>0</v>
      </c>
      <c r="M5450" s="41" t="n">
        <v>0</v>
      </c>
      <c r="N5450" s="38" t="n">
        <f aca="false">Q!$N$39</f>
        <v>6.017</v>
      </c>
      <c r="O5450" s="38" t="n">
        <f aca="false">Q!$O$39</f>
        <v>13.593</v>
      </c>
      <c r="P5450" s="5" t="s">
        <v>703</v>
      </c>
    </row>
    <row r="5451" customFormat="false" ht="15" hidden="false" customHeight="false" outlineLevel="0" collapsed="false">
      <c r="A5451" s="5" t="s">
        <v>507</v>
      </c>
      <c r="B5451" s="0" t="s">
        <v>73</v>
      </c>
      <c r="C5451" s="38" t="n">
        <f aca="false">Q!$D$36</f>
        <v>68.614</v>
      </c>
      <c r="D5451" s="38" t="n">
        <f aca="false">Q!$E$36</f>
        <v>97.311</v>
      </c>
      <c r="E5451" s="38" t="n">
        <f aca="false">Q!$P$36</f>
        <v>120.691</v>
      </c>
      <c r="F5451" s="38" t="n">
        <f aca="false">Sens!$F$5429-Sens!$F$5448+Sens!$F$5449+Sens!$F$5450</f>
        <v>59.2236875896856</v>
      </c>
      <c r="G5451" s="38" t="n">
        <f aca="false">Sens!$E$5451+Sens!$F$5451</f>
        <v>179.914687589686</v>
      </c>
      <c r="H5451" s="38" t="n">
        <f aca="false">Sens!$H$5429-Sens!$H$5448+Sens!$H$5449+Sens!$H$5450</f>
        <v>132.22487528741</v>
      </c>
      <c r="I5451" s="38" t="n">
        <f aca="false">Sens!$I$5429-Sens!$I$5448+Sens!$I$5449+Sens!$I$5450</f>
        <v>155.256254868633</v>
      </c>
      <c r="J5451" s="38" t="n">
        <f aca="false">Sens!$J$5429-Sens!$J$5448+Sens!$J$5449+Sens!$J$5450</f>
        <v>177.272457389275</v>
      </c>
      <c r="K5451" s="38" t="n">
        <f aca="false">Sens!$K$5429-Sens!$K$5448+Sens!$K$5449+Sens!$K$5450</f>
        <v>196.921534464333</v>
      </c>
      <c r="L5451" s="38" t="n">
        <f aca="false">Sens!$L$5429-Sens!$L$5448+Sens!$L$5449+Sens!$L$5450</f>
        <v>220.12100479332</v>
      </c>
      <c r="M5451" s="38" t="n">
        <f aca="false">Sens!$M$5429-Sens!$M$5448+Sens!$M$5449+Sens!$M$5450</f>
        <v>244.529307072564</v>
      </c>
      <c r="N5451" s="38" t="n">
        <f aca="false">Q!$N$36</f>
        <v>42.536</v>
      </c>
      <c r="O5451" s="38" t="n">
        <f aca="false">Q!$O$36</f>
        <v>54.775</v>
      </c>
    </row>
    <row r="5452" customFormat="false" ht="15" hidden="false" customHeight="false" outlineLevel="0" collapsed="false">
      <c r="A5452" s="5" t="s">
        <v>508</v>
      </c>
      <c r="B5452" s="0" t="s">
        <v>73</v>
      </c>
      <c r="C5452" s="38" t="n">
        <f aca="false">Q!$D$37</f>
        <v>9.265</v>
      </c>
      <c r="D5452" s="38" t="n">
        <f aca="false">Q!$E$37</f>
        <v>19.087</v>
      </c>
      <c r="E5452" s="38" t="n">
        <f aca="false">Q!$P$37</f>
        <v>27.759</v>
      </c>
      <c r="F5452" s="38" t="n">
        <f aca="false">Sens!$F$5451*tax</f>
        <v>10.2803157750071</v>
      </c>
      <c r="G5452" s="38" t="n">
        <f aca="false">Sens!$E$5452+Sens!$F$5452</f>
        <v>38.0393157750071</v>
      </c>
      <c r="H5452" s="38" t="n">
        <f aca="false">Sens!$H$5451*tax</f>
        <v>22.9521923842892</v>
      </c>
      <c r="I5452" s="38" t="n">
        <f aca="false">Sens!$I$5451*tax</f>
        <v>26.9500835063251</v>
      </c>
      <c r="J5452" s="38" t="n">
        <f aca="false">Sens!$J$5451*tax</f>
        <v>30.7717555988633</v>
      </c>
      <c r="K5452" s="38" t="n">
        <f aca="false">Sens!$K$5451*tax</f>
        <v>34.1825313414772</v>
      </c>
      <c r="L5452" s="38" t="n">
        <f aca="false">Sens!$L$5451*tax</f>
        <v>38.209600416393</v>
      </c>
      <c r="M5452" s="38" t="n">
        <f aca="false">Sens!$M$5451*tax</f>
        <v>42.4465040131586</v>
      </c>
      <c r="N5452" s="38" t="n">
        <f aca="false">Q!$N$37</f>
        <v>7.231</v>
      </c>
      <c r="O5452" s="38" t="n">
        <f aca="false">Q!$O$37</f>
        <v>11.856</v>
      </c>
    </row>
    <row r="5453" customFormat="false" ht="15" hidden="false" customHeight="false" outlineLevel="0" collapsed="false">
      <c r="A5453" s="3" t="s">
        <v>509</v>
      </c>
      <c r="B5453" s="8" t="s">
        <v>73</v>
      </c>
      <c r="C5453" s="38" t="n">
        <f aca="false">Q!$D$38</f>
        <v>59.248</v>
      </c>
      <c r="D5453" s="38" t="n">
        <f aca="false">Q!$E$38</f>
        <v>77.67</v>
      </c>
      <c r="E5453" s="38" t="n">
        <f aca="false">Q!$P$38</f>
        <v>92.902</v>
      </c>
      <c r="F5453" s="38" t="n">
        <f aca="false">Sens!$F$5451-Sens!$F$5452</f>
        <v>48.9433718146785</v>
      </c>
      <c r="G5453" s="38" t="n">
        <f aca="false">Sens!$E$5453+Sens!$F$5453</f>
        <v>141.845371814679</v>
      </c>
      <c r="H5453" s="38" t="n">
        <f aca="false">Sens!$H$5451-Sens!$H$5452</f>
        <v>109.272682903121</v>
      </c>
      <c r="I5453" s="38" t="n">
        <f aca="false">Sens!$I$5451-Sens!$I$5452</f>
        <v>128.306171362308</v>
      </c>
      <c r="J5453" s="38" t="n">
        <f aca="false">Sens!$J$5451-Sens!$J$5452</f>
        <v>146.500701790412</v>
      </c>
      <c r="K5453" s="38" t="n">
        <f aca="false">Sens!$K$5451-Sens!$K$5452</f>
        <v>162.739003122855</v>
      </c>
      <c r="L5453" s="38" t="n">
        <f aca="false">Sens!$L$5451-Sens!$L$5452</f>
        <v>181.911404376927</v>
      </c>
      <c r="M5453" s="38" t="n">
        <f aca="false">Sens!$M$5451-Sens!$M$5452</f>
        <v>202.082803059406</v>
      </c>
      <c r="N5453" s="38" t="n">
        <f aca="false">Q!$N$38</f>
        <v>35.291</v>
      </c>
      <c r="O5453" s="38" t="n">
        <f aca="false">Q!$O$38</f>
        <v>42.379</v>
      </c>
    </row>
    <row r="5454" customFormat="false" ht="17.15" hidden="false" customHeight="false" outlineLevel="0" collapsed="false">
      <c r="A5454" s="5" t="s">
        <v>512</v>
      </c>
      <c r="B5454" s="5" t="s">
        <v>33</v>
      </c>
      <c r="C5454" s="22" t="n">
        <f aca="false">Q!$D$41</f>
        <v>10.721</v>
      </c>
      <c r="D5454" s="22" t="n">
        <f aca="false">Q!$E$41</f>
        <v>10.827</v>
      </c>
      <c r="E5454" s="22" t="n">
        <f aca="false">(Q!$L$41+Q!$M$41)/2</f>
        <v>10.8885</v>
      </c>
      <c r="F5454" s="22" t="n">
        <f aca="false">Sens!$G$5454</f>
        <v>10.924806</v>
      </c>
      <c r="G5454" s="22" t="n">
        <f aca="false">Q!$M$41*(1+sh_g*0.25)</f>
        <v>10.924806</v>
      </c>
      <c r="H5454" s="22" t="n">
        <f aca="false">Sens!$G$5454*(1+sh_g)</f>
        <v>11.012204448</v>
      </c>
      <c r="I5454" s="22" t="n">
        <f aca="false">Sens!$H$5454*(1+sh_g)</f>
        <v>11.100302083584</v>
      </c>
      <c r="J5454" s="22" t="n">
        <f aca="false">Sens!$I$5454*(1+sh_g)</f>
        <v>11.1891045002527</v>
      </c>
      <c r="K5454" s="22" t="n">
        <f aca="false">Sens!$J$5454*(1+sh_g)</f>
        <v>11.2786173362547</v>
      </c>
      <c r="L5454" s="22" t="n">
        <f aca="false">Sens!$K$5454*(1+sh_g)</f>
        <v>11.3688462749447</v>
      </c>
      <c r="M5454" s="22" t="n">
        <f aca="false">Sens!$L$5454*(1+sh_g)</f>
        <v>11.4597970451443</v>
      </c>
      <c r="P5454" s="5" t="s">
        <v>704</v>
      </c>
    </row>
    <row r="5455" customFormat="false" ht="17.15" hidden="false" customHeight="false" outlineLevel="0" collapsed="false">
      <c r="A5455" s="42" t="s">
        <v>705</v>
      </c>
      <c r="B5455" s="13" t="s">
        <v>27</v>
      </c>
      <c r="C5455" s="43" t="n">
        <f aca="false">Sens!$C$5453/Sens!$C$5454</f>
        <v>5.52635015390355</v>
      </c>
      <c r="D5455" s="43" t="n">
        <f aca="false">Sens!$D$5453/Sens!$D$5454</f>
        <v>7.1737323358271</v>
      </c>
      <c r="E5455" s="43" t="n">
        <f aca="false">Sens!$E$5453/Sens!$E$5454</f>
        <v>8.53212104513937</v>
      </c>
      <c r="F5455" s="13"/>
      <c r="G5455" s="43" t="n">
        <f aca="false">Sens!$G$5453/Sens!$G$5454</f>
        <v>12.9837886196495</v>
      </c>
      <c r="H5455" s="43" t="n">
        <f aca="false">Sens!$H$5453/Sens!$H$5454</f>
        <v>9.92287088558062</v>
      </c>
      <c r="I5455" s="43" t="n">
        <f aca="false">Sens!$I$5453/Sens!$I$5454</f>
        <v>11.5587999674403</v>
      </c>
      <c r="J5455" s="43" t="n">
        <f aca="false">Sens!$J$5453/Sens!$J$5454</f>
        <v>13.0931569892035</v>
      </c>
      <c r="K5455" s="43" t="n">
        <f aca="false">Sens!$K$5453/Sens!$K$5454</f>
        <v>14.4289852444711</v>
      </c>
      <c r="L5455" s="43" t="n">
        <f aca="false">Sens!$L$5453/Sens!$L$5454</f>
        <v>16.0008676322621</v>
      </c>
      <c r="M5455" s="43" t="n">
        <f aca="false">Sens!$M$5453/Sens!$M$5454</f>
        <v>17.6340647450673</v>
      </c>
      <c r="N5455" s="13"/>
      <c r="O5455" s="13"/>
    </row>
    <row r="5456" customFormat="false" ht="17.15" hidden="false" customHeight="false" outlineLevel="0" collapsed="false">
      <c r="A5456" s="0" t="s">
        <v>706</v>
      </c>
      <c r="B5456" s="0" t="s">
        <v>27</v>
      </c>
      <c r="C5456" s="30" t="n">
        <f aca="false">(Sens!$C$5453-Sens!$C$5450*(1-tax))/Sens!$C$5454</f>
        <v>5.33926775917445</v>
      </c>
      <c r="D5456" s="30" t="n">
        <f aca="false">(Sens!$D$5453-Sens!$D$5450*(1-tax))/Sens!$D$5454</f>
        <v>5.67691812755503</v>
      </c>
      <c r="E5456" s="30" t="n">
        <f aca="false">(Sens!$E$5453-Sens!$E$5450*(1-tax))/Sens!$E$5454</f>
        <v>3.10602057006846</v>
      </c>
      <c r="G5456" s="30" t="n">
        <f aca="false">(Sens!$G$5453-Sens!$G$5450*(1-tax))/Sens!$G$5454</f>
        <v>7.57572050175252</v>
      </c>
      <c r="H5456" s="30" t="n">
        <f aca="false">(Sens!$H$5453-Sens!$H$5450*(1-tax))/Sens!$H$5454</f>
        <v>9.92287088558062</v>
      </c>
      <c r="I5456" s="30" t="n">
        <f aca="false">(Sens!$I$5453-Sens!$I$5450*(1-tax))/Sens!$I$5454</f>
        <v>11.5587999674403</v>
      </c>
      <c r="J5456" s="30" t="n">
        <f aca="false">(Sens!$J$5453-Sens!$J$5450*(1-tax))/Sens!$J$5454</f>
        <v>13.0931569892035</v>
      </c>
      <c r="K5456" s="30" t="n">
        <f aca="false">(Sens!$K$5453-Sens!$K$5450*(1-tax))/Sens!$K$5454</f>
        <v>14.4289852444711</v>
      </c>
      <c r="L5456" s="30" t="n">
        <f aca="false">(Sens!$L$5453-Sens!$L$5450*(1-tax))/Sens!$L$5454</f>
        <v>16.0008676322621</v>
      </c>
      <c r="M5456" s="30" t="n">
        <f aca="false">(Sens!$M$5453-Sens!$M$5450*(1-tax))/Sens!$M$5454</f>
        <v>17.6340647450673</v>
      </c>
      <c r="P5456" s="5" t="s">
        <v>707</v>
      </c>
    </row>
    <row r="5457" customFormat="false" ht="17.15" hidden="false" customHeight="false" outlineLevel="0" collapsed="false">
      <c r="A5457" s="0" t="s">
        <v>708</v>
      </c>
      <c r="B5457" s="0" t="s">
        <v>52</v>
      </c>
      <c r="H5457" s="12" t="n">
        <f aca="false">Sens!$H$5455/Sens!$G$5455-1</f>
        <v>-0.23574919645846</v>
      </c>
      <c r="I5457" s="12" t="n">
        <f aca="false">Sens!$I$5455/Sens!$H$5455-1</f>
        <v>0.164864493423664</v>
      </c>
      <c r="J5457" s="12" t="n">
        <f aca="false">Sens!$J$5455/Sens!$I$5455-1</f>
        <v>0.132743626162345</v>
      </c>
      <c r="K5457" s="12" t="n">
        <f aca="false">Sens!$K$5455/Sens!$J$5455-1</f>
        <v>0.102024917013454</v>
      </c>
      <c r="L5457" s="12" t="n">
        <f aca="false">Sens!$L$5455/Sens!$K$5455-1</f>
        <v>0.108939219297719</v>
      </c>
      <c r="M5457" s="12" t="n">
        <f aca="false">Sens!$M$5455/Sens!$L$5455-1</f>
        <v>0.102069284637555</v>
      </c>
    </row>
    <row r="5460" customFormat="false" ht="19.4" hidden="false" customHeight="false" outlineLevel="0" collapsed="false">
      <c r="A5460" s="31" t="s">
        <v>1161</v>
      </c>
    </row>
    <row r="5461" customFormat="false" ht="17.15" hidden="false" customHeight="false" outlineLevel="0" collapsed="false">
      <c r="A5461" s="6" t="s">
        <v>16</v>
      </c>
      <c r="B5461" s="6" t="s">
        <v>17</v>
      </c>
      <c r="C5461" s="20" t="s">
        <v>457</v>
      </c>
      <c r="D5461" s="20" t="s">
        <v>458</v>
      </c>
      <c r="E5461" s="20" t="s">
        <v>540</v>
      </c>
      <c r="F5461" s="20" t="s">
        <v>541</v>
      </c>
      <c r="G5461" s="20" t="s">
        <v>542</v>
      </c>
      <c r="H5461" s="20" t="s">
        <v>543</v>
      </c>
      <c r="I5461" s="20" t="s">
        <v>544</v>
      </c>
      <c r="J5461" s="20" t="s">
        <v>545</v>
      </c>
      <c r="K5461" s="20" t="s">
        <v>546</v>
      </c>
      <c r="L5461" s="20" t="s">
        <v>547</v>
      </c>
      <c r="M5461" s="20" t="s">
        <v>548</v>
      </c>
      <c r="N5461" s="20" t="s">
        <v>549</v>
      </c>
      <c r="O5461" s="20" t="s">
        <v>550</v>
      </c>
      <c r="P5461" s="6" t="s">
        <v>23</v>
      </c>
      <c r="R5461" s="20" t="n">
        <v>2023</v>
      </c>
      <c r="S5461" s="20" t="n">
        <v>2024</v>
      </c>
      <c r="T5461" s="20" t="n">
        <v>2025</v>
      </c>
      <c r="U5461" s="20" t="n">
        <v>2026</v>
      </c>
      <c r="V5461" s="20" t="n">
        <v>2027</v>
      </c>
      <c r="W5461" s="20" t="n">
        <v>2028</v>
      </c>
      <c r="X5461" s="20" t="n">
        <v>2029</v>
      </c>
      <c r="Y5461" s="20" t="n">
        <v>2030</v>
      </c>
      <c r="Z5461" s="20" t="n">
        <v>2031</v>
      </c>
      <c r="AA5461" s="20" t="n">
        <v>2032</v>
      </c>
    </row>
    <row r="5462" customFormat="false" ht="15" hidden="false" customHeight="false" outlineLevel="0" collapsed="false">
      <c r="A5462" s="5" t="s">
        <v>509</v>
      </c>
      <c r="B5462" s="0" t="s">
        <v>73</v>
      </c>
      <c r="C5462" s="38" t="n">
        <f aca="false">Sens!$C$5453</f>
        <v>59.248</v>
      </c>
      <c r="D5462" s="38" t="n">
        <f aca="false">Sens!$D$5453</f>
        <v>77.67</v>
      </c>
      <c r="E5462" s="38" t="n">
        <f aca="false">Sens!$E$5453</f>
        <v>92.902</v>
      </c>
      <c r="F5462" s="38" t="n">
        <f aca="false">Sens!$F$5453</f>
        <v>48.9433718146785</v>
      </c>
      <c r="G5462" s="38" t="n">
        <f aca="false">Sens!$G$5453</f>
        <v>141.845371814679</v>
      </c>
      <c r="H5462" s="38" t="n">
        <f aca="false">Sens!$H$5453</f>
        <v>109.272682903121</v>
      </c>
      <c r="I5462" s="38" t="n">
        <f aca="false">Sens!$I$5453</f>
        <v>128.306171362308</v>
      </c>
      <c r="J5462" s="38" t="n">
        <f aca="false">Sens!$J$5453</f>
        <v>146.500701790412</v>
      </c>
      <c r="K5462" s="38" t="n">
        <f aca="false">Sens!$K$5453</f>
        <v>162.739003122855</v>
      </c>
      <c r="L5462" s="38" t="n">
        <f aca="false">Sens!$L$5453</f>
        <v>181.911404376927</v>
      </c>
      <c r="M5462" s="38" t="n">
        <f aca="false">Sens!$M$5453</f>
        <v>202.082803059406</v>
      </c>
    </row>
    <row r="5463" customFormat="false" ht="17.15" hidden="false" customHeight="false" outlineLevel="0" collapsed="false">
      <c r="A5463" s="5" t="s">
        <v>730</v>
      </c>
      <c r="B5463" s="0" t="s">
        <v>73</v>
      </c>
      <c r="C5463" s="38" t="n">
        <f aca="false">Sens!$C$5441</f>
        <v>32.067</v>
      </c>
      <c r="D5463" s="38" t="n">
        <f aca="false">Sens!$D$5441</f>
        <v>41.86</v>
      </c>
      <c r="E5463" s="38" t="n">
        <f aca="false">Sens!$E$5441</f>
        <v>26.703</v>
      </c>
      <c r="F5463" s="38" t="n">
        <f aca="false">Sens!$F$5441</f>
        <v>30.6103857251209</v>
      </c>
      <c r="G5463" s="38" t="n">
        <f aca="false">Sens!$G$5441</f>
        <v>57.3133857251209</v>
      </c>
      <c r="H5463" s="38" t="n">
        <f aca="false">Sens!$H$5441</f>
        <v>87.6845218193838</v>
      </c>
      <c r="I5463" s="38" t="n">
        <f aca="false">Sens!$I$5441</f>
        <v>122.294769708638</v>
      </c>
      <c r="J5463" s="38" t="n">
        <f aca="false">Sens!$J$5441</f>
        <v>157.133962573221</v>
      </c>
      <c r="K5463" s="38" t="n">
        <f aca="false">Sens!$K$5441</f>
        <v>191.350633353599</v>
      </c>
      <c r="L5463" s="38" t="n">
        <f aca="false">Sens!$L$5441</f>
        <v>223.909238335354</v>
      </c>
      <c r="M5463" s="38" t="n">
        <f aca="false">Sens!$M$5441</f>
        <v>257.576319867276</v>
      </c>
    </row>
    <row r="5464" customFormat="false" ht="15" hidden="false" customHeight="false" outlineLevel="0" collapsed="false">
      <c r="A5464" s="5" t="s">
        <v>731</v>
      </c>
      <c r="B5464" s="0" t="s">
        <v>73</v>
      </c>
      <c r="C5464" s="38" t="n">
        <f aca="false">Q!$D$48</f>
        <v>22.011</v>
      </c>
      <c r="D5464" s="38" t="n">
        <f aca="false">Q!$E$48</f>
        <v>19.467</v>
      </c>
      <c r="E5464" s="38" t="n">
        <f aca="false">Q!$P$48</f>
        <v>10.07</v>
      </c>
      <c r="F5464" s="38" t="n">
        <f aca="false">sbc_r*Sens!$F$5385</f>
        <v>11.2170714500462</v>
      </c>
      <c r="G5464" s="38" t="n">
        <f aca="false">Sens!$E$5464+Sens!$F$5464</f>
        <v>21.2870714500462</v>
      </c>
      <c r="H5464" s="38" t="n">
        <f aca="false">sbc_r*Sens!$H$5385</f>
        <v>24.1772394325528</v>
      </c>
      <c r="I5464" s="38" t="n">
        <f aca="false">sbc_r*Sens!$I$5385</f>
        <v>27.6495284422397</v>
      </c>
      <c r="J5464" s="38" t="n">
        <f aca="false">sbc_r*Sens!$J$5385</f>
        <v>30.9042211184633</v>
      </c>
      <c r="K5464" s="38" t="n">
        <f aca="false">sbc_r*Sens!$K$5385</f>
        <v>33.8004145402678</v>
      </c>
      <c r="L5464" s="38" t="n">
        <f aca="false">sbc_r*Sens!$L$5385</f>
        <v>36.8322537652494</v>
      </c>
      <c r="M5464" s="38" t="n">
        <f aca="false">sbc_r*Sens!$M$5385</f>
        <v>40.0097627968013</v>
      </c>
    </row>
    <row r="5465" customFormat="false" ht="17.15" hidden="false" customHeight="false" outlineLevel="0" collapsed="false">
      <c r="A5465" s="5" t="s">
        <v>732</v>
      </c>
      <c r="B5465" s="0" t="s">
        <v>73</v>
      </c>
      <c r="C5465" s="38" t="n">
        <f aca="false">Q!$D$44-Sens!$C$5462-Sens!$C$5463-Sens!$C$5464</f>
        <v>2.551</v>
      </c>
      <c r="D5465" s="38" t="n">
        <f aca="false">Q!$E$44-Sens!$D$5462-Sens!$D$5463-Sens!$D$5464</f>
        <v>0.51700000000001</v>
      </c>
      <c r="E5465" s="38" t="n">
        <f aca="false">Q!$P$44-Sens!$E$5462-Sens!$E$5463-Sens!$E$5464</f>
        <v>-58.256</v>
      </c>
      <c r="F5465" s="38" t="n">
        <f aca="false">wc_2h26+oth_r*Sens!$F$5385</f>
        <v>7.34599241893378</v>
      </c>
      <c r="G5465" s="38" t="n">
        <f aca="false">Sens!$E$5465+Sens!$F$5465</f>
        <v>-50.9100075810662</v>
      </c>
      <c r="H5465" s="38" t="n">
        <f aca="false">oth_r*Sens!$H$5385</f>
        <v>11.6369707537667</v>
      </c>
      <c r="I5465" s="38" t="n">
        <f aca="false">oth_r*Sens!$I$5385</f>
        <v>13.3082502961262</v>
      </c>
      <c r="J5465" s="38" t="n">
        <f aca="false">oth_r*Sens!$J$5385</f>
        <v>14.8747965344332</v>
      </c>
      <c r="K5465" s="38" t="n">
        <f aca="false">oth_r*Sens!$K$5385</f>
        <v>16.2687901804328</v>
      </c>
      <c r="L5465" s="38" t="n">
        <f aca="false">oth_r*Sens!$L$5385</f>
        <v>17.7280727627002</v>
      </c>
      <c r="M5465" s="38" t="n">
        <f aca="false">oth_r*Sens!$M$5385</f>
        <v>19.2574690270319</v>
      </c>
      <c r="P5465" s="8" t="s">
        <v>733</v>
      </c>
    </row>
    <row r="5466" customFormat="false" ht="15" hidden="false" customHeight="false" outlineLevel="0" collapsed="false">
      <c r="A5466" s="3" t="s">
        <v>515</v>
      </c>
      <c r="B5466" s="8" t="s">
        <v>73</v>
      </c>
      <c r="C5466" s="38" t="n">
        <f aca="false">Q!$D$44</f>
        <v>115.877</v>
      </c>
      <c r="D5466" s="38" t="n">
        <f aca="false">Q!$E$44</f>
        <v>139.514</v>
      </c>
      <c r="E5466" s="38" t="n">
        <f aca="false">Q!$P$44</f>
        <v>71.419</v>
      </c>
      <c r="F5466" s="38" t="n">
        <f aca="false">Sens!$F$5462+Sens!$F$5463+Sens!$F$5464+Sens!$F$5465</f>
        <v>98.1168214087795</v>
      </c>
      <c r="G5466" s="38" t="n">
        <f aca="false">Sens!$E$5466+Sens!$F$5466</f>
        <v>169.535821408779</v>
      </c>
      <c r="H5466" s="38" t="n">
        <f aca="false">Sens!$H$5462+Sens!$H$5463+Sens!$H$5464+Sens!$H$5465</f>
        <v>232.771414908824</v>
      </c>
      <c r="I5466" s="38" t="n">
        <f aca="false">Sens!$I$5462+Sens!$I$5463+Sens!$I$5464+Sens!$I$5465</f>
        <v>291.558719809312</v>
      </c>
      <c r="J5466" s="38" t="n">
        <f aca="false">Sens!$J$5462+Sens!$J$5463+Sens!$J$5464+Sens!$J$5465</f>
        <v>349.413682016529</v>
      </c>
      <c r="K5466" s="38" t="n">
        <f aca="false">Sens!$K$5462+Sens!$K$5463+Sens!$K$5464+Sens!$K$5465</f>
        <v>404.158841197156</v>
      </c>
      <c r="L5466" s="38" t="n">
        <f aca="false">Sens!$L$5462+Sens!$L$5463+Sens!$L$5464+Sens!$L$5465</f>
        <v>460.380969240231</v>
      </c>
      <c r="M5466" s="38" t="n">
        <f aca="false">Sens!$M$5462+Sens!$M$5463+Sens!$M$5464+Sens!$M$5465</f>
        <v>518.926354750515</v>
      </c>
    </row>
    <row r="5467" customFormat="false" ht="17.15" hidden="false" customHeight="false" outlineLevel="0" collapsed="false">
      <c r="A5467" s="5" t="s">
        <v>734</v>
      </c>
      <c r="B5467" s="0" t="s">
        <v>73</v>
      </c>
      <c r="C5467" s="38" t="n">
        <f aca="false">Sens!$C$5355</f>
        <v>25.2781053077374</v>
      </c>
      <c r="D5467" s="38" t="n">
        <f aca="false">Sens!$D$5355</f>
        <v>69.5686316310026</v>
      </c>
      <c r="E5467" s="38" t="n">
        <f aca="false">Sens!$E$5355</f>
        <v>64.1899206485108</v>
      </c>
      <c r="F5467" s="38" t="n">
        <f aca="false">Sens!$F$5355</f>
        <v>96.2481299895</v>
      </c>
      <c r="G5467" s="38" t="n">
        <f aca="false">Sens!$G$5355</f>
        <v>160.438050638011</v>
      </c>
      <c r="H5467" s="38" t="n">
        <f aca="false">Sens!$H$5355</f>
        <v>198.57136494475</v>
      </c>
      <c r="I5467" s="38" t="n">
        <f aca="false">Sens!$I$5355</f>
        <v>204.6464699105</v>
      </c>
      <c r="J5467" s="38" t="n">
        <f aca="false">Sens!$J$5355</f>
        <v>209.8832381105</v>
      </c>
      <c r="K5467" s="38" t="n">
        <f aca="false">Sens!$K$5355</f>
        <v>215.1200063105</v>
      </c>
      <c r="L5467" s="38" t="n">
        <f aca="false">Sens!$L$5355</f>
        <v>251.7773837105</v>
      </c>
      <c r="M5467" s="38" t="n">
        <f aca="false">Sens!$M$5355</f>
        <v>311.87584476575</v>
      </c>
    </row>
    <row r="5468" customFormat="false" ht="17.15" hidden="false" customHeight="false" outlineLevel="0" collapsed="false">
      <c r="A5468" s="5" t="s">
        <v>735</v>
      </c>
      <c r="B5468" s="0" t="s">
        <v>73</v>
      </c>
      <c r="C5468" s="38" t="n">
        <f aca="false">cx_awso*Sens!$C$5383</f>
        <v>21.0469989286053</v>
      </c>
      <c r="D5468" s="38" t="n">
        <f aca="false">cx_awso*Sens!$D$5383</f>
        <v>24.0042459822698</v>
      </c>
      <c r="E5468" s="38" t="n">
        <f aca="false">cx_awso*Sens!$E$5383</f>
        <v>14.261729404886</v>
      </c>
      <c r="F5468" s="38" t="n">
        <f aca="false">cx_awso*Sens!$F$5383</f>
        <v>15.7190020837331</v>
      </c>
      <c r="G5468" s="38" t="n">
        <f aca="false">Sens!$E$5468+Sens!$F$5468</f>
        <v>29.9807314886191</v>
      </c>
      <c r="H5468" s="38" t="n">
        <f aca="false">cx_awso*Sens!$H$5383</f>
        <v>36.1787121536283</v>
      </c>
      <c r="I5468" s="38" t="n">
        <f aca="false">cx_awso*Sens!$I$5383</f>
        <v>42.1296794430021</v>
      </c>
      <c r="J5468" s="38" t="n">
        <f aca="false">cx_awso*Sens!$J$5383</f>
        <v>47.279781889299</v>
      </c>
      <c r="K5468" s="38" t="n">
        <f aca="false">cx_awso*Sens!$K$5383</f>
        <v>51.0621644404429</v>
      </c>
      <c r="L5468" s="38" t="n">
        <f aca="false">cx_awso*Sens!$L$5383</f>
        <v>55.1471375956783</v>
      </c>
      <c r="M5468" s="38" t="n">
        <f aca="false">cx_awso*Sens!$M$5383</f>
        <v>59.5589086033326</v>
      </c>
    </row>
    <row r="5469" customFormat="false" ht="17.15" hidden="false" customHeight="false" outlineLevel="0" collapsed="false">
      <c r="A5469" s="5" t="s">
        <v>736</v>
      </c>
      <c r="B5469" s="0" t="s">
        <v>73</v>
      </c>
      <c r="C5469" s="38" t="n">
        <f aca="false">Q!$D$46-Sens!$C$5467-Sens!$C$5468</f>
        <v>31.3328957636573</v>
      </c>
      <c r="D5469" s="38" t="n">
        <f aca="false">Q!$E$46-Sens!$D$5467-Sens!$D$5468</f>
        <v>34.7471223867276</v>
      </c>
      <c r="E5469" s="38" t="n">
        <f aca="false">Q!$P$46-Sens!$E$5467-Sens!$E$5468</f>
        <v>17.8583499466032</v>
      </c>
      <c r="F5469" s="38" t="n">
        <f aca="false">cx_rt*Sens!$F$5319</f>
        <v>21.0855744229195</v>
      </c>
      <c r="G5469" s="38" t="n">
        <f aca="false">Sens!$E$5469+Sens!$F$5469</f>
        <v>38.9439243695228</v>
      </c>
      <c r="H5469" s="38" t="n">
        <f aca="false">cx_rt*Sens!$H$5319</f>
        <v>43.1200434029767</v>
      </c>
      <c r="I5469" s="38" t="n">
        <f aca="false">cx_rt*Sens!$I$5319</f>
        <v>47.1583152318763</v>
      </c>
      <c r="J5469" s="38" t="n">
        <f aca="false">cx_rt*Sens!$J$5319</f>
        <v>50.9060281137911</v>
      </c>
      <c r="K5469" s="38" t="n">
        <f aca="false">cx_rt*Sens!$K$5319</f>
        <v>54.2035645673053</v>
      </c>
      <c r="L5469" s="38" t="n">
        <f aca="false">cx_rt*Sens!$L$5319</f>
        <v>57.7318979121519</v>
      </c>
      <c r="M5469" s="38" t="n">
        <f aca="false">cx_rt*Sens!$M$5319</f>
        <v>61.5084196557756</v>
      </c>
    </row>
    <row r="5470" customFormat="false" ht="15" hidden="false" customHeight="false" outlineLevel="0" collapsed="false">
      <c r="A5470" s="3" t="s">
        <v>737</v>
      </c>
      <c r="B5470" s="8" t="s">
        <v>73</v>
      </c>
      <c r="C5470" s="38" t="n">
        <f aca="false">Q!$D$46</f>
        <v>77.658</v>
      </c>
      <c r="D5470" s="38" t="n">
        <f aca="false">Q!$E$46</f>
        <v>128.32</v>
      </c>
      <c r="E5470" s="38" t="n">
        <f aca="false">Q!$P$46</f>
        <v>96.31</v>
      </c>
      <c r="F5470" s="38" t="n">
        <f aca="false">Sens!$F$5467+Sens!$F$5468+Sens!$F$5469</f>
        <v>133.052706496153</v>
      </c>
      <c r="G5470" s="38" t="n">
        <f aca="false">Sens!$E$5470+Sens!$F$5470</f>
        <v>229.362706496153</v>
      </c>
      <c r="H5470" s="38" t="n">
        <f aca="false">Sens!$H$5467+Sens!$H$5468+Sens!$H$5469</f>
        <v>277.870120501355</v>
      </c>
      <c r="I5470" s="38" t="n">
        <f aca="false">Sens!$I$5467+Sens!$I$5468+Sens!$I$5469</f>
        <v>293.934464585378</v>
      </c>
      <c r="J5470" s="38" t="n">
        <f aca="false">Sens!$J$5467+Sens!$J$5468+Sens!$J$5469</f>
        <v>308.06904811359</v>
      </c>
      <c r="K5470" s="38" t="n">
        <f aca="false">Sens!$K$5467+Sens!$K$5468+Sens!$K$5469</f>
        <v>320.385735318248</v>
      </c>
      <c r="L5470" s="38" t="n">
        <f aca="false">Sens!$L$5467+Sens!$L$5468+Sens!$L$5469</f>
        <v>364.65641921833</v>
      </c>
      <c r="M5470" s="38" t="n">
        <f aca="false">Sens!$M$5467+Sens!$M$5468+Sens!$M$5469</f>
        <v>432.943173024858</v>
      </c>
    </row>
    <row r="5471" customFormat="false" ht="17.15" hidden="false" customHeight="false" outlineLevel="0" collapsed="false">
      <c r="A5471" s="5" t="s">
        <v>523</v>
      </c>
      <c r="B5471" s="0" t="s">
        <v>73</v>
      </c>
      <c r="C5471" s="38" t="n">
        <f aca="false">Q!$D$50</f>
        <v>2.043</v>
      </c>
      <c r="D5471" s="38" t="n">
        <f aca="false">Q!$E$50</f>
        <v>1.557</v>
      </c>
      <c r="E5471" s="38" t="n">
        <f aca="false">lease_pr/2</f>
        <v>0.8</v>
      </c>
      <c r="F5471" s="38" t="n">
        <f aca="false">lease_pr/2</f>
        <v>0.8</v>
      </c>
      <c r="G5471" s="38" t="n">
        <f aca="false">Sens!$E$5471+Sens!$F$5471</f>
        <v>1.6</v>
      </c>
      <c r="H5471" s="38" t="n">
        <f aca="false">lease_pr</f>
        <v>1.6</v>
      </c>
      <c r="I5471" s="38" t="n">
        <f aca="false">lease_pr</f>
        <v>1.6</v>
      </c>
      <c r="J5471" s="38" t="n">
        <f aca="false">lease_pr</f>
        <v>1.6</v>
      </c>
      <c r="K5471" s="38" t="n">
        <f aca="false">lease_pr</f>
        <v>1.6</v>
      </c>
      <c r="L5471" s="38" t="n">
        <f aca="false">lease_pr</f>
        <v>1.6</v>
      </c>
      <c r="M5471" s="38" t="n">
        <f aca="false">lease_pr</f>
        <v>1.6</v>
      </c>
      <c r="P5471" s="8" t="s">
        <v>738</v>
      </c>
    </row>
    <row r="5472" customFormat="false" ht="15" hidden="false" customHeight="false" outlineLevel="0" collapsed="false">
      <c r="A5472" s="46" t="s">
        <v>739</v>
      </c>
      <c r="B5472" s="13" t="s">
        <v>73</v>
      </c>
      <c r="C5472" s="47" t="n">
        <f aca="false">Sens!$C$5466-Sens!$C$5470-Sens!$C$5471</f>
        <v>36.176</v>
      </c>
      <c r="D5472" s="47" t="n">
        <f aca="false">Sens!$D$5466-Sens!$D$5470-Sens!$D$5471</f>
        <v>9.63700000000002</v>
      </c>
      <c r="E5472" s="47" t="n">
        <f aca="false">Sens!$E$5466-Sens!$E$5470-Sens!$E$5471</f>
        <v>-25.691</v>
      </c>
      <c r="F5472" s="47" t="n">
        <f aca="false">Sens!$F$5466-Sens!$F$5470-Sens!$F$5471</f>
        <v>-35.7358850873731</v>
      </c>
      <c r="G5472" s="47" t="n">
        <f aca="false">Sens!$G$5466-Sens!$G$5470-Sens!$G$5471</f>
        <v>-61.4268850873731</v>
      </c>
      <c r="H5472" s="47" t="n">
        <f aca="false">Sens!$H$5466-Sens!$H$5470-Sens!$H$5471</f>
        <v>-46.6987055925312</v>
      </c>
      <c r="I5472" s="47" t="n">
        <f aca="false">Sens!$I$5466-Sens!$I$5470-Sens!$I$5471</f>
        <v>-3.97574477606648</v>
      </c>
      <c r="J5472" s="47" t="n">
        <f aca="false">Sens!$J$5466-Sens!$J$5470-Sens!$J$5471</f>
        <v>39.7446339029391</v>
      </c>
      <c r="K5472" s="47" t="n">
        <f aca="false">Sens!$K$5466-Sens!$K$5470-Sens!$K$5471</f>
        <v>82.1731058789073</v>
      </c>
      <c r="L5472" s="47" t="n">
        <f aca="false">Sens!$L$5466-Sens!$L$5470-Sens!$L$5471</f>
        <v>94.1245500219009</v>
      </c>
      <c r="M5472" s="47" t="n">
        <f aca="false">Sens!$M$5466-Sens!$M$5470-Sens!$M$5471</f>
        <v>84.3831817256571</v>
      </c>
      <c r="N5472" s="13"/>
      <c r="O5472" s="13"/>
    </row>
    <row r="5473" customFormat="false" ht="17.15" hidden="false" customHeight="false" outlineLevel="0" collapsed="false">
      <c r="A5473" s="5" t="s">
        <v>740</v>
      </c>
      <c r="B5473" s="0" t="s">
        <v>73</v>
      </c>
      <c r="C5473" s="38" t="n">
        <f aca="false">dps*Sens!$C$5454</f>
        <v>0</v>
      </c>
      <c r="D5473" s="38" t="n">
        <f aca="false">dps*Sens!$D$5454</f>
        <v>0</v>
      </c>
      <c r="E5473" s="38" t="n">
        <f aca="false">dps*Sens!$E$5454</f>
        <v>0</v>
      </c>
      <c r="F5473" s="38" t="n">
        <f aca="false">0</f>
        <v>0</v>
      </c>
      <c r="G5473" s="38" t="n">
        <f aca="false">dps*Sens!$G$5454</f>
        <v>0</v>
      </c>
      <c r="H5473" s="38" t="n">
        <f aca="false">dps*Sens!$H$5454</f>
        <v>0</v>
      </c>
      <c r="I5473" s="38" t="n">
        <f aca="false">dps*Sens!$I$5454</f>
        <v>0</v>
      </c>
      <c r="J5473" s="38" t="n">
        <f aca="false">dps*Sens!$J$5454</f>
        <v>0</v>
      </c>
      <c r="K5473" s="38" t="n">
        <f aca="false">dps*Sens!$K$5454</f>
        <v>0</v>
      </c>
      <c r="L5473" s="38" t="n">
        <f aca="false">dps*Sens!$L$5454</f>
        <v>0</v>
      </c>
      <c r="M5473" s="38" t="n">
        <f aca="false">dps*Sens!$M$5454</f>
        <v>0</v>
      </c>
      <c r="P5473" s="8" t="s">
        <v>741</v>
      </c>
    </row>
    <row r="5474" customFormat="false" ht="17.15" hidden="false" customHeight="false" outlineLevel="0" collapsed="false">
      <c r="A5474" s="5" t="s">
        <v>742</v>
      </c>
      <c r="B5474" s="0" t="s">
        <v>73</v>
      </c>
      <c r="C5474" s="38" t="n">
        <f aca="false">0</f>
        <v>0</v>
      </c>
      <c r="D5474" s="38" t="n">
        <f aca="false">0</f>
        <v>0</v>
      </c>
      <c r="E5474" s="38" t="n">
        <f aca="false">0</f>
        <v>0</v>
      </c>
      <c r="F5474" s="38" t="n">
        <f aca="false">0</f>
        <v>0</v>
      </c>
      <c r="G5474" s="38" t="n">
        <f aca="false">0</f>
        <v>0</v>
      </c>
      <c r="H5474" s="38" t="n">
        <f aca="false">0</f>
        <v>0</v>
      </c>
      <c r="I5474" s="38" t="n">
        <f aca="false">0</f>
        <v>0</v>
      </c>
      <c r="J5474" s="38" t="n">
        <f aca="false">0</f>
        <v>0</v>
      </c>
      <c r="K5474" s="38" t="n">
        <f aca="false">0</f>
        <v>0</v>
      </c>
      <c r="L5474" s="38" t="n">
        <f aca="false">0</f>
        <v>0</v>
      </c>
      <c r="M5474" s="38" t="n">
        <f aca="false">0</f>
        <v>0</v>
      </c>
      <c r="P5474" s="8" t="s">
        <v>743</v>
      </c>
    </row>
    <row r="5475" customFormat="false" ht="15" hidden="false" customHeight="false" outlineLevel="0" collapsed="false">
      <c r="A5475" s="3" t="s">
        <v>744</v>
      </c>
      <c r="B5475" s="8" t="s">
        <v>73</v>
      </c>
      <c r="C5475" s="38" t="n">
        <f aca="false">Sens!$C$5472-Sens!$C$5473</f>
        <v>36.176</v>
      </c>
      <c r="D5475" s="38" t="n">
        <f aca="false">Sens!$D$5472-Sens!$D$5473</f>
        <v>9.63700000000002</v>
      </c>
      <c r="E5475" s="38" t="n">
        <f aca="false">Sens!$E$5472-Sens!$E$5473</f>
        <v>-25.691</v>
      </c>
      <c r="F5475" s="38" t="n">
        <f aca="false">Sens!$F$5472-Sens!$F$5473</f>
        <v>-35.7358850873731</v>
      </c>
      <c r="G5475" s="38" t="n">
        <f aca="false">Sens!$G$5472-Sens!$G$5473</f>
        <v>-61.4268850873731</v>
      </c>
      <c r="H5475" s="38" t="n">
        <f aca="false">Sens!$H$5472-Sens!$H$5473</f>
        <v>-46.6987055925312</v>
      </c>
      <c r="I5475" s="38" t="n">
        <f aca="false">Sens!$I$5472-Sens!$I$5473</f>
        <v>-3.97574477606648</v>
      </c>
      <c r="J5475" s="38" t="n">
        <f aca="false">Sens!$J$5472-Sens!$J$5473</f>
        <v>39.7446339029391</v>
      </c>
      <c r="K5475" s="38" t="n">
        <f aca="false">Sens!$K$5472-Sens!$K$5473</f>
        <v>82.1731058789073</v>
      </c>
      <c r="L5475" s="38" t="n">
        <f aca="false">Sens!$L$5472-Sens!$L$5473</f>
        <v>94.1245500219009</v>
      </c>
      <c r="M5475" s="38" t="n">
        <f aca="false">Sens!$M$5472-Sens!$M$5473</f>
        <v>84.3831817256571</v>
      </c>
    </row>
    <row r="5476" customFormat="false" ht="17.15" hidden="false" customHeight="false" outlineLevel="0" collapsed="false">
      <c r="A5476" s="5" t="s">
        <v>745</v>
      </c>
      <c r="B5476" s="0" t="s">
        <v>73</v>
      </c>
      <c r="E5476" s="38" t="n">
        <f aca="false">Q!$P$53</f>
        <v>39.767</v>
      </c>
      <c r="F5476" s="38" t="n">
        <f aca="false">inv_2h26</f>
        <v>21.3</v>
      </c>
      <c r="G5476" s="38" t="n">
        <f aca="false">Sens!$E$5476+Sens!$F$5476</f>
        <v>61.067</v>
      </c>
      <c r="H5476" s="41" t="n">
        <v>0</v>
      </c>
      <c r="I5476" s="41" t="n">
        <v>0</v>
      </c>
      <c r="J5476" s="41" t="n">
        <v>0</v>
      </c>
      <c r="K5476" s="41" t="n">
        <v>0</v>
      </c>
      <c r="L5476" s="41" t="n">
        <v>0</v>
      </c>
      <c r="M5476" s="41" t="n">
        <v>0</v>
      </c>
    </row>
    <row r="5477" customFormat="false" ht="17.15" hidden="false" customHeight="false" outlineLevel="0" collapsed="false">
      <c r="A5477" s="5" t="s">
        <v>746</v>
      </c>
      <c r="B5477" s="0" t="s">
        <v>73</v>
      </c>
      <c r="F5477" s="38" t="n">
        <f aca="false">iss_2h26</f>
        <v>29.25</v>
      </c>
      <c r="G5477" s="38" t="n">
        <f aca="false">Sens!$F$5477</f>
        <v>29.25</v>
      </c>
      <c r="H5477" s="41" t="n">
        <v>0</v>
      </c>
      <c r="I5477" s="41" t="n">
        <v>0</v>
      </c>
      <c r="J5477" s="41" t="n">
        <v>0</v>
      </c>
      <c r="K5477" s="41" t="n">
        <v>0</v>
      </c>
      <c r="L5477" s="41" t="n">
        <v>0</v>
      </c>
      <c r="M5477" s="41" t="n">
        <v>0</v>
      </c>
    </row>
    <row r="5478" customFormat="false" ht="17.15" hidden="false" customHeight="false" outlineLevel="0" collapsed="false">
      <c r="A5478" s="5" t="s">
        <v>747</v>
      </c>
      <c r="B5478" s="0" t="s">
        <v>73</v>
      </c>
      <c r="F5478" s="38" t="n">
        <f aca="false">cash_q2</f>
        <v>122.988</v>
      </c>
      <c r="G5478" s="38" t="n">
        <f aca="false">cash_q2</f>
        <v>122.988</v>
      </c>
      <c r="H5478" s="38" t="n">
        <f aca="false">Sens!$G$5481</f>
        <v>95.2021149126269</v>
      </c>
      <c r="I5478" s="38" t="n">
        <f aca="false">Sens!$H$5481</f>
        <v>50</v>
      </c>
      <c r="J5478" s="38" t="n">
        <f aca="false">Sens!$I$5481</f>
        <v>50</v>
      </c>
      <c r="K5478" s="38" t="n">
        <f aca="false">Sens!$J$5481</f>
        <v>89.7446339029391</v>
      </c>
      <c r="L5478" s="38" t="n">
        <f aca="false">Sens!$K$5481</f>
        <v>171.917739781846</v>
      </c>
      <c r="M5478" s="38" t="n">
        <f aca="false">Sens!$L$5481</f>
        <v>266.042289803747</v>
      </c>
    </row>
    <row r="5479" customFormat="false" ht="15" hidden="false" customHeight="false" outlineLevel="0" collapsed="false">
      <c r="A5479" s="5" t="s">
        <v>748</v>
      </c>
      <c r="B5479" s="0" t="s">
        <v>73</v>
      </c>
      <c r="F5479" s="38" t="n">
        <f aca="false">Sens!$F$5478+Sens!$F$5475-Sens!$F$5474-Sens!$F$5476+Sens!$F$5477</f>
        <v>95.2021149126269</v>
      </c>
      <c r="H5479" s="38" t="n">
        <f aca="false">Sens!$H$5478+Sens!$H$5475-Sens!$H$5474-Sens!$H$5476+Sens!$H$5477</f>
        <v>48.5034093200957</v>
      </c>
      <c r="I5479" s="38" t="n">
        <f aca="false">Sens!$I$5478+Sens!$I$5475-Sens!$I$5474-Sens!$I$5476+Sens!$I$5477</f>
        <v>46.0242552239335</v>
      </c>
      <c r="J5479" s="38" t="n">
        <f aca="false">Sens!$J$5478+Sens!$J$5475-Sens!$J$5474-Sens!$J$5476+Sens!$J$5477</f>
        <v>89.7446339029391</v>
      </c>
      <c r="K5479" s="38" t="n">
        <f aca="false">Sens!$K$5478+Sens!$K$5475-Sens!$K$5474-Sens!$K$5476+Sens!$K$5477</f>
        <v>171.917739781846</v>
      </c>
      <c r="L5479" s="38" t="n">
        <f aca="false">Sens!$L$5478+Sens!$L$5475-Sens!$L$5474-Sens!$L$5476+Sens!$L$5477</f>
        <v>266.042289803747</v>
      </c>
      <c r="M5479" s="38" t="n">
        <f aca="false">Sens!$M$5478+Sens!$M$5475-Sens!$M$5474-Sens!$M$5476+Sens!$M$5477</f>
        <v>350.425471529404</v>
      </c>
    </row>
    <row r="5480" customFormat="false" ht="17.15" hidden="false" customHeight="false" outlineLevel="0" collapsed="false">
      <c r="A5480" s="5" t="s">
        <v>749</v>
      </c>
      <c r="B5480" s="0" t="s">
        <v>73</v>
      </c>
      <c r="F5480" s="38" t="n">
        <f aca="false">MAX(0,min_cash-Sens!$F$5479)</f>
        <v>0</v>
      </c>
      <c r="G5480" s="38" t="n">
        <f aca="false">Sens!$F$5480</f>
        <v>0</v>
      </c>
      <c r="H5480" s="38" t="n">
        <f aca="false">MAX(0,min_cash-Sens!$H$5479)</f>
        <v>1.49659067990431</v>
      </c>
      <c r="I5480" s="38" t="n">
        <f aca="false">MAX(0,min_cash-Sens!$I$5479)</f>
        <v>3.97574477606648</v>
      </c>
      <c r="J5480" s="38" t="n">
        <f aca="false">MAX(0,min_cash-Sens!$J$5479)</f>
        <v>0</v>
      </c>
      <c r="K5480" s="38" t="n">
        <f aca="false">MAX(0,min_cash-Sens!$K$5479)</f>
        <v>0</v>
      </c>
      <c r="L5480" s="38" t="n">
        <f aca="false">MAX(0,min_cash-Sens!$L$5479)</f>
        <v>0</v>
      </c>
      <c r="M5480" s="38" t="n">
        <f aca="false">MAX(0,min_cash-Sens!$M$5479)</f>
        <v>0</v>
      </c>
      <c r="P5480" s="5" t="s">
        <v>750</v>
      </c>
    </row>
    <row r="5481" customFormat="false" ht="15" hidden="false" customHeight="false" outlineLevel="0" collapsed="false">
      <c r="A5481" s="5" t="s">
        <v>751</v>
      </c>
      <c r="B5481" s="0" t="s">
        <v>73</v>
      </c>
      <c r="D5481" s="38" t="n">
        <f aca="false">Q!$E$61</f>
        <v>123.029</v>
      </c>
      <c r="E5481" s="38" t="n">
        <f aca="false">Q!$M$61</f>
        <v>122.988</v>
      </c>
      <c r="F5481" s="38" t="n">
        <f aca="false">Sens!$F$5479+Sens!$F$5480</f>
        <v>95.2021149126269</v>
      </c>
      <c r="G5481" s="38" t="n">
        <f aca="false">Sens!$F$5481</f>
        <v>95.2021149126269</v>
      </c>
      <c r="H5481" s="38" t="n">
        <f aca="false">Sens!$H$5479+Sens!$H$5480</f>
        <v>50</v>
      </c>
      <c r="I5481" s="38" t="n">
        <f aca="false">Sens!$I$5479+Sens!$I$5480</f>
        <v>50</v>
      </c>
      <c r="J5481" s="38" t="n">
        <f aca="false">Sens!$J$5479+Sens!$J$5480</f>
        <v>89.7446339029391</v>
      </c>
      <c r="K5481" s="38" t="n">
        <f aca="false">Sens!$K$5479+Sens!$K$5480</f>
        <v>171.917739781846</v>
      </c>
      <c r="L5481" s="38" t="n">
        <f aca="false">Sens!$L$5479+Sens!$L$5480</f>
        <v>266.042289803747</v>
      </c>
      <c r="M5481" s="38" t="n">
        <f aca="false">Sens!$M$5479+Sens!$M$5480</f>
        <v>350.425471529404</v>
      </c>
    </row>
    <row r="5482" customFormat="false" ht="15" hidden="false" customHeight="false" outlineLevel="0" collapsed="false">
      <c r="A5482" s="5" t="s">
        <v>752</v>
      </c>
      <c r="B5482" s="0" t="s">
        <v>73</v>
      </c>
      <c r="D5482" s="38" t="n">
        <f aca="false">Q!$E$62</f>
        <v>68.836</v>
      </c>
      <c r="E5482" s="38" t="n">
        <f aca="false">Q!$M$62</f>
        <v>132.995</v>
      </c>
      <c r="F5482" s="38" t="n">
        <f aca="false">debt_q2+Sens!$F$5477+Sens!$F$5480</f>
        <v>162.245</v>
      </c>
      <c r="G5482" s="38" t="n">
        <f aca="false">Sens!$F$5482</f>
        <v>162.245</v>
      </c>
      <c r="H5482" s="38" t="n">
        <f aca="false">Sens!$G$5482+Sens!$H$5480</f>
        <v>163.741590679904</v>
      </c>
      <c r="I5482" s="38" t="n">
        <f aca="false">Sens!$H$5482+Sens!$I$5480</f>
        <v>167.717335455971</v>
      </c>
      <c r="J5482" s="38" t="n">
        <f aca="false">Sens!$I$5482+Sens!$J$5480</f>
        <v>167.717335455971</v>
      </c>
      <c r="K5482" s="38" t="n">
        <f aca="false">Sens!$J$5482+Sens!$K$5480</f>
        <v>167.717335455971</v>
      </c>
      <c r="L5482" s="38" t="n">
        <f aca="false">Sens!$K$5482+Sens!$L$5480</f>
        <v>167.717335455971</v>
      </c>
      <c r="M5482" s="38" t="n">
        <f aca="false">Sens!$L$5482+Sens!$M$5480</f>
        <v>167.717335455971</v>
      </c>
    </row>
    <row r="5483" customFormat="false" ht="15" hidden="false" customHeight="false" outlineLevel="0" collapsed="false">
      <c r="A5483" s="5" t="s">
        <v>753</v>
      </c>
      <c r="B5483" s="0" t="s">
        <v>73</v>
      </c>
      <c r="D5483" s="38" t="n">
        <f aca="false">Sens!$D$5482-Sens!$D$5481</f>
        <v>-54.193</v>
      </c>
      <c r="E5483" s="38" t="n">
        <f aca="false">Sens!$E$5482-Sens!$E$5481</f>
        <v>10.007</v>
      </c>
      <c r="F5483" s="38" t="n">
        <f aca="false">Sens!$F$5482-Sens!$F$5481</f>
        <v>67.0428850873731</v>
      </c>
      <c r="G5483" s="38" t="n">
        <f aca="false">Sens!$G$5482-Sens!$G$5481</f>
        <v>67.0428850873731</v>
      </c>
      <c r="H5483" s="38" t="n">
        <f aca="false">Sens!$H$5482-Sens!$H$5481</f>
        <v>113.741590679904</v>
      </c>
      <c r="I5483" s="38" t="n">
        <f aca="false">Sens!$I$5482-Sens!$I$5481</f>
        <v>117.717335455971</v>
      </c>
      <c r="J5483" s="38" t="n">
        <f aca="false">Sens!$J$5482-Sens!$J$5481</f>
        <v>77.9727015530317</v>
      </c>
      <c r="K5483" s="38" t="n">
        <f aca="false">Sens!$K$5482-Sens!$K$5481</f>
        <v>-4.20040432587558</v>
      </c>
      <c r="L5483" s="38" t="n">
        <f aca="false">Sens!$L$5482-Sens!$L$5481</f>
        <v>-98.3249543477765</v>
      </c>
      <c r="M5483" s="38" t="n">
        <f aca="false">Sens!$M$5482-Sens!$M$5481</f>
        <v>-182.708136073434</v>
      </c>
    </row>
    <row r="5484" customFormat="false" ht="17.15" hidden="false" customHeight="false" outlineLevel="0" collapsed="false">
      <c r="A5484" s="5" t="s">
        <v>754</v>
      </c>
      <c r="B5484" s="0" t="s">
        <v>73</v>
      </c>
      <c r="F5484" s="38" t="n">
        <f aca="false">debt_q2*kd_book*0.5+iss_2h26*kd_new*0.25</f>
        <v>3.24888964316061</v>
      </c>
      <c r="H5484" s="38" t="n">
        <f aca="false">debt_q2*kd_book+(Sens!$G$5482-debt_q2)*kd_new</f>
        <v>7.42354178632123</v>
      </c>
      <c r="I5484" s="38" t="n">
        <f aca="false">debt_q2*kd_book+(Sens!$H$5482-debt_q2)*kd_new</f>
        <v>7.51827597635917</v>
      </c>
      <c r="J5484" s="38" t="n">
        <f aca="false">debt_q2*kd_book+(Sens!$I$5482-debt_q2)*kd_new</f>
        <v>7.76994062068418</v>
      </c>
      <c r="K5484" s="38" t="n">
        <f aca="false">debt_q2*kd_book+(Sens!$J$5482-debt_q2)*kd_new</f>
        <v>7.76994062068418</v>
      </c>
      <c r="L5484" s="38" t="n">
        <f aca="false">debt_q2*kd_book+(Sens!$K$5482-debt_q2)*kd_new</f>
        <v>7.76994062068418</v>
      </c>
      <c r="M5484" s="38" t="n">
        <f aca="false">debt_q2*kd_book+(Sens!$L$5482-debt_q2)*kd_new</f>
        <v>7.76994062068418</v>
      </c>
    </row>
    <row r="5485" customFormat="false" ht="17.15" hidden="false" customHeight="false" outlineLevel="0" collapsed="false">
      <c r="A5485" s="5" t="s">
        <v>755</v>
      </c>
      <c r="B5485" s="0" t="s">
        <v>73</v>
      </c>
      <c r="F5485" s="38" t="n">
        <f aca="false">cash_q2*y_cash*0.5</f>
        <v>2.59</v>
      </c>
      <c r="H5485" s="38" t="n">
        <f aca="false">Sens!$G$5481*y_cash</f>
        <v>4.00971603121774</v>
      </c>
      <c r="I5485" s="38" t="n">
        <f aca="false">Sens!$H$5481*y_cash</f>
        <v>2.10589651022864</v>
      </c>
      <c r="J5485" s="38" t="n">
        <f aca="false">Sens!$I$5481*y_cash</f>
        <v>2.10589651022864</v>
      </c>
      <c r="K5485" s="38" t="n">
        <f aca="false">Sens!$J$5481*y_cash</f>
        <v>3.77985822695893</v>
      </c>
      <c r="L5485" s="38" t="n">
        <f aca="false">Sens!$K$5481*y_cash</f>
        <v>7.24081936505971</v>
      </c>
      <c r="M5485" s="38" t="n">
        <f aca="false">Sens!$L$5481*y_cash</f>
        <v>11.205150593419</v>
      </c>
    </row>
    <row r="5486" customFormat="false" ht="17.15" hidden="false" customHeight="false" outlineLevel="0" collapsed="false">
      <c r="A5486" s="46" t="s">
        <v>756</v>
      </c>
      <c r="B5486" s="13" t="s">
        <v>73</v>
      </c>
      <c r="C5486" s="13"/>
      <c r="D5486" s="13"/>
      <c r="E5486" s="13"/>
      <c r="F5486" s="13"/>
      <c r="G5486" s="47" t="n">
        <f aca="false">SUM(Sens!$G$5475:$K$5475)</f>
        <v>9.81640432587554</v>
      </c>
      <c r="H5486" s="13"/>
      <c r="I5486" s="13"/>
      <c r="J5486" s="13"/>
      <c r="K5486" s="13"/>
      <c r="L5486" s="13"/>
      <c r="M5486" s="13"/>
      <c r="N5486" s="13"/>
      <c r="O5486" s="13"/>
    </row>
    <row r="5487" customFormat="false" ht="17.15" hidden="false" customHeight="false" outlineLevel="0" collapsed="false">
      <c r="A5487" s="0" t="s">
        <v>723</v>
      </c>
      <c r="B5487" s="0" t="s">
        <v>73</v>
      </c>
      <c r="G5487" s="38" t="n">
        <f aca="false">SUM(Sens!$G$5480:$K$5480)</f>
        <v>5.47233545597079</v>
      </c>
    </row>
    <row r="5490" customFormat="false" ht="19.4" hidden="false" customHeight="false" outlineLevel="0" collapsed="false">
      <c r="A5490" s="31" t="s">
        <v>1162</v>
      </c>
    </row>
    <row r="5491" customFormat="false" ht="17.15" hidden="false" customHeight="false" outlineLevel="0" collapsed="false">
      <c r="A5491" s="6" t="s">
        <v>16</v>
      </c>
      <c r="B5491" s="6" t="s">
        <v>17</v>
      </c>
      <c r="C5491" s="20" t="s">
        <v>457</v>
      </c>
      <c r="D5491" s="20" t="s">
        <v>458</v>
      </c>
      <c r="E5491" s="20" t="s">
        <v>540</v>
      </c>
      <c r="F5491" s="20" t="s">
        <v>541</v>
      </c>
      <c r="G5491" s="20" t="s">
        <v>542</v>
      </c>
      <c r="H5491" s="20" t="s">
        <v>543</v>
      </c>
      <c r="I5491" s="20" t="s">
        <v>544</v>
      </c>
      <c r="J5491" s="20" t="s">
        <v>545</v>
      </c>
      <c r="K5491" s="20" t="s">
        <v>546</v>
      </c>
      <c r="L5491" s="20" t="s">
        <v>547</v>
      </c>
      <c r="M5491" s="20" t="s">
        <v>548</v>
      </c>
      <c r="N5491" s="20" t="s">
        <v>549</v>
      </c>
      <c r="O5491" s="20" t="s">
        <v>550</v>
      </c>
      <c r="P5491" s="6" t="s">
        <v>23</v>
      </c>
      <c r="R5491" s="20" t="n">
        <v>2023</v>
      </c>
      <c r="S5491" s="20" t="n">
        <v>2024</v>
      </c>
      <c r="T5491" s="20" t="n">
        <v>2025</v>
      </c>
      <c r="U5491" s="20" t="n">
        <v>2026</v>
      </c>
      <c r="V5491" s="20" t="n">
        <v>2027</v>
      </c>
      <c r="W5491" s="20" t="n">
        <v>2028</v>
      </c>
      <c r="X5491" s="20" t="n">
        <v>2029</v>
      </c>
      <c r="Y5491" s="20" t="n">
        <v>2030</v>
      </c>
      <c r="Z5491" s="20" t="n">
        <v>2031</v>
      </c>
      <c r="AA5491" s="20" t="n">
        <v>2032</v>
      </c>
    </row>
    <row r="5492" customFormat="false" ht="17.15" hidden="false" customHeight="false" outlineLevel="0" collapsed="false">
      <c r="A5492" s="1" t="s">
        <v>851</v>
      </c>
    </row>
    <row r="5493" customFormat="false" ht="17.15" hidden="false" customHeight="false" outlineLevel="0" collapsed="false">
      <c r="A5493" s="0" t="s">
        <v>852</v>
      </c>
      <c r="B5493" s="0" t="s">
        <v>73</v>
      </c>
      <c r="H5493" s="38" t="n">
        <f aca="false">Sens!$H$5429*(1-tax)</f>
        <v>112.093921330558</v>
      </c>
      <c r="I5493" s="38" t="n">
        <f aca="false">Sens!$I$5429*(1-tax)</f>
        <v>132.779045500917</v>
      </c>
      <c r="J5493" s="38" t="n">
        <f aca="false">Sens!$J$5429*(1-tax)</f>
        <v>151.181555485193</v>
      </c>
      <c r="K5493" s="38" t="n">
        <f aca="false">Sens!$K$5429*(1-tax)</f>
        <v>166.036468953087</v>
      </c>
      <c r="L5493" s="38" t="n">
        <f aca="false">Sens!$L$5429*(1-tax)</f>
        <v>182.348678369869</v>
      </c>
      <c r="M5493" s="38" t="n">
        <f aca="false">Sens!$M$5429*(1-tax)</f>
        <v>199.243892383632</v>
      </c>
    </row>
    <row r="5494" customFormat="false" ht="15" hidden="false" customHeight="false" outlineLevel="0" collapsed="false">
      <c r="A5494" s="5" t="s">
        <v>853</v>
      </c>
      <c r="B5494" s="0" t="s">
        <v>73</v>
      </c>
      <c r="H5494" s="38" t="n">
        <f aca="false">Sens!$H$5441</f>
        <v>87.6845218193838</v>
      </c>
      <c r="I5494" s="38" t="n">
        <f aca="false">Sens!$I$5441</f>
        <v>122.294769708638</v>
      </c>
      <c r="J5494" s="38" t="n">
        <f aca="false">Sens!$J$5441</f>
        <v>157.133962573221</v>
      </c>
      <c r="K5494" s="38" t="n">
        <f aca="false">Sens!$K$5441</f>
        <v>191.350633353599</v>
      </c>
      <c r="L5494" s="38" t="n">
        <f aca="false">Sens!$L$5441</f>
        <v>223.909238335354</v>
      </c>
      <c r="M5494" s="38" t="n">
        <f aca="false">Sens!$M$5441</f>
        <v>257.576319867276</v>
      </c>
    </row>
    <row r="5495" customFormat="false" ht="15" hidden="false" customHeight="false" outlineLevel="0" collapsed="false">
      <c r="A5495" s="5" t="s">
        <v>854</v>
      </c>
      <c r="B5495" s="0" t="s">
        <v>73</v>
      </c>
      <c r="H5495" s="38" t="n">
        <f aca="false">Sens!$H$5470</f>
        <v>277.870120501355</v>
      </c>
      <c r="I5495" s="38" t="n">
        <f aca="false">Sens!$I$5470</f>
        <v>293.934464585378</v>
      </c>
      <c r="J5495" s="38" t="n">
        <f aca="false">Sens!$J$5470</f>
        <v>308.06904811359</v>
      </c>
      <c r="K5495" s="38" t="n">
        <f aca="false">Sens!$K$5470</f>
        <v>320.385735318248</v>
      </c>
      <c r="L5495" s="38" t="n">
        <f aca="false">Sens!$L$5470</f>
        <v>364.65641921833</v>
      </c>
      <c r="M5495" s="38" t="n">
        <f aca="false">Sens!$M$5470</f>
        <v>432.943173024858</v>
      </c>
    </row>
    <row r="5496" customFormat="false" ht="15" hidden="false" customHeight="false" outlineLevel="0" collapsed="false">
      <c r="A5496" s="5" t="s">
        <v>855</v>
      </c>
      <c r="B5496" s="0" t="s">
        <v>73</v>
      </c>
      <c r="H5496" s="38" t="n">
        <f aca="false">Sens!$H$5471</f>
        <v>1.6</v>
      </c>
      <c r="I5496" s="38" t="n">
        <f aca="false">Sens!$I$5471</f>
        <v>1.6</v>
      </c>
      <c r="J5496" s="38" t="n">
        <f aca="false">Sens!$J$5471</f>
        <v>1.6</v>
      </c>
      <c r="K5496" s="38" t="n">
        <f aca="false">Sens!$K$5471</f>
        <v>1.6</v>
      </c>
      <c r="L5496" s="38" t="n">
        <f aca="false">Sens!$L$5471</f>
        <v>1.6</v>
      </c>
      <c r="M5496" s="38" t="n">
        <f aca="false">Sens!$M$5471</f>
        <v>1.6</v>
      </c>
    </row>
    <row r="5497" customFormat="false" ht="15" hidden="false" customHeight="false" outlineLevel="0" collapsed="false">
      <c r="A5497" s="5" t="s">
        <v>856</v>
      </c>
      <c r="B5497" s="0" t="s">
        <v>73</v>
      </c>
      <c r="H5497" s="38" t="n">
        <f aca="false">Sens!$H$5465</f>
        <v>11.6369707537667</v>
      </c>
      <c r="I5497" s="38" t="n">
        <f aca="false">Sens!$I$5465</f>
        <v>13.3082502961262</v>
      </c>
      <c r="J5497" s="38" t="n">
        <f aca="false">Sens!$J$5465</f>
        <v>14.8747965344332</v>
      </c>
      <c r="K5497" s="38" t="n">
        <f aca="false">Sens!$K$5465</f>
        <v>16.2687901804328</v>
      </c>
      <c r="L5497" s="38" t="n">
        <f aca="false">Sens!$L$5465</f>
        <v>17.7280727627002</v>
      </c>
      <c r="M5497" s="38" t="n">
        <f aca="false">Sens!$M$5465</f>
        <v>19.2574690270319</v>
      </c>
    </row>
    <row r="5498" customFormat="false" ht="17.15" hidden="false" customHeight="false" outlineLevel="0" collapsed="false">
      <c r="A5498" s="1" t="s">
        <v>857</v>
      </c>
      <c r="B5498" s="8" t="s">
        <v>73</v>
      </c>
      <c r="H5498" s="38" t="n">
        <f aca="false">Sens!$H$5493+Sens!$H$5494-Sens!$H$5495-Sens!$H$5496+Sens!$H$5497</f>
        <v>-68.0547065976468</v>
      </c>
      <c r="I5498" s="38" t="n">
        <f aca="false">Sens!$I$5493+Sens!$I$5494-Sens!$I$5495-Sens!$I$5496+Sens!$I$5497</f>
        <v>-27.1523990796972</v>
      </c>
      <c r="J5498" s="38" t="n">
        <f aca="false">Sens!$J$5493+Sens!$J$5494-Sens!$J$5495-Sens!$J$5496+Sens!$J$5497</f>
        <v>13.5212664792573</v>
      </c>
      <c r="K5498" s="38" t="n">
        <f aca="false">Sens!$K$5493+Sens!$K$5494-Sens!$K$5495-Sens!$K$5496+Sens!$K$5497</f>
        <v>51.6701571688709</v>
      </c>
      <c r="L5498" s="38" t="n">
        <f aca="false">Sens!$L$5493+Sens!$L$5494-Sens!$L$5495-Sens!$L$5496+Sens!$L$5497</f>
        <v>57.7295702495933</v>
      </c>
      <c r="M5498" s="38" t="n">
        <f aca="false">Sens!$M$5493+Sens!$M$5494-Sens!$M$5495-Sens!$M$5496+Sens!$M$5497</f>
        <v>41.534508253082</v>
      </c>
    </row>
    <row r="5499" customFormat="false" ht="15" hidden="false" customHeight="false" outlineLevel="0" collapsed="false">
      <c r="A5499" s="5" t="s">
        <v>858</v>
      </c>
      <c r="B5499" s="0" t="s">
        <v>57</v>
      </c>
      <c r="H5499" s="51" t="n">
        <f aca="false">1/(1+wacc)^(2027-2026-0.5)</f>
        <v>0.942858177653364</v>
      </c>
      <c r="I5499" s="51" t="n">
        <f aca="false">1/(1+wacc)^(2028-2026-0.5)</f>
        <v>0.838183517758688</v>
      </c>
      <c r="J5499" s="51" t="n">
        <f aca="false">1/(1+wacc)^(2029-2026-0.5)</f>
        <v>0.745129677074952</v>
      </c>
      <c r="K5499" s="51" t="n">
        <f aca="false">1/(1+wacc)^(2030-2026-0.5)</f>
        <v>0.662406530186232</v>
      </c>
      <c r="L5499" s="51" t="n">
        <f aca="false">1/(1+wacc)^(2031-2026-0.5)</f>
        <v>0.588867179409399</v>
      </c>
      <c r="M5499" s="51" t="n">
        <f aca="false">1/(1+wacc)^(2032-2026-0.5)</f>
        <v>0.52349205387225</v>
      </c>
    </row>
    <row r="5500" customFormat="false" ht="15" hidden="false" customHeight="false" outlineLevel="0" collapsed="false">
      <c r="A5500" s="5" t="s">
        <v>859</v>
      </c>
      <c r="B5500" s="0" t="s">
        <v>73</v>
      </c>
      <c r="H5500" s="38" t="n">
        <f aca="false">Sens!$H$5498*Sens!$H$5499</f>
        <v>-64.1659366433916</v>
      </c>
      <c r="I5500" s="38" t="n">
        <f aca="false">Sens!$I$5498*Sens!$I$5499</f>
        <v>-22.7586933762084</v>
      </c>
      <c r="J5500" s="38" t="n">
        <f aca="false">Sens!$J$5498*Sens!$J$5499</f>
        <v>10.0750969253334</v>
      </c>
      <c r="K5500" s="38" t="n">
        <f aca="false">Sens!$K$5498*Sens!$K$5499</f>
        <v>34.226649524409</v>
      </c>
      <c r="L5500" s="38" t="n">
        <f aca="false">Sens!$L$5498*Sens!$L$5499</f>
        <v>33.9950492013948</v>
      </c>
      <c r="M5500" s="38" t="n">
        <f aca="false">Sens!$M$5498*Sens!$M$5499</f>
        <v>21.7429850319798</v>
      </c>
    </row>
    <row r="5501" customFormat="false" ht="15" hidden="false" customHeight="false" outlineLevel="0" collapsed="false">
      <c r="A5501" s="5" t="s">
        <v>860</v>
      </c>
      <c r="B5501" s="0" t="s">
        <v>73</v>
      </c>
      <c r="C5501" s="38" t="n">
        <f aca="false">SUM(Sens!$H$5500:$M$5500)</f>
        <v>13.115150663517</v>
      </c>
    </row>
    <row r="5502" customFormat="false" ht="17.15" hidden="false" customHeight="false" outlineLevel="0" collapsed="false">
      <c r="A5502" s="5" t="s">
        <v>861</v>
      </c>
      <c r="B5502" s="0" t="s">
        <v>73</v>
      </c>
      <c r="C5502" s="38" t="n">
        <f aca="false">Sens!$M$5493*(1+tg)*(1-tg/ronic_hi)/(wacc-tg)</f>
        <v>1838.45887624718</v>
      </c>
    </row>
    <row r="5503" customFormat="false" ht="15" hidden="false" customHeight="false" outlineLevel="0" collapsed="false">
      <c r="A5503" s="5" t="s">
        <v>862</v>
      </c>
      <c r="B5503" s="0" t="s">
        <v>73</v>
      </c>
      <c r="C5503" s="38" t="n">
        <f aca="false">Sens!$C$5502/(1+wacc)^6</f>
        <v>907.424259674235</v>
      </c>
    </row>
    <row r="5504" customFormat="false" ht="17.15" hidden="false" customHeight="false" outlineLevel="0" collapsed="false">
      <c r="A5504" s="5" t="s">
        <v>863</v>
      </c>
      <c r="B5504" s="0" t="s">
        <v>73</v>
      </c>
      <c r="C5504" s="38" t="n">
        <f aca="false">Sens!$C$5501+Sens!$C$5503</f>
        <v>920.539410337752</v>
      </c>
    </row>
    <row r="5505" customFormat="false" ht="17.15" hidden="false" customHeight="false" outlineLevel="0" collapsed="false">
      <c r="A5505" s="5" t="s">
        <v>864</v>
      </c>
      <c r="B5505" s="0" t="s">
        <v>52</v>
      </c>
      <c r="C5505" s="12" t="n">
        <f aca="false">Sens!$C$5503/Sens!$C$5504</f>
        <v>0.985752754834576</v>
      </c>
    </row>
    <row r="5506" customFormat="false" ht="17.15" hidden="false" customHeight="false" outlineLevel="0" collapsed="false">
      <c r="A5506" s="5" t="s">
        <v>865</v>
      </c>
      <c r="B5506" s="0" t="s">
        <v>73</v>
      </c>
      <c r="C5506" s="38" t="n">
        <f aca="false">Sens!$G$5483</f>
        <v>67.0428850873731</v>
      </c>
    </row>
    <row r="5507" customFormat="false" ht="17.15" hidden="false" customHeight="false" outlineLevel="0" collapsed="false">
      <c r="A5507" s="5" t="s">
        <v>866</v>
      </c>
      <c r="B5507" s="0" t="s">
        <v>73</v>
      </c>
      <c r="C5507" s="38" t="n">
        <f aca="false">(ant_val*ant_sh+oai_val*oai_sh)*(1-liq_disc)</f>
        <v>178.944</v>
      </c>
    </row>
    <row r="5508" customFormat="false" ht="15" hidden="false" customHeight="false" outlineLevel="0" collapsed="false">
      <c r="A5508" s="5" t="s">
        <v>867</v>
      </c>
      <c r="B5508" s="0" t="s">
        <v>73</v>
      </c>
      <c r="C5508" s="38" t="n">
        <f aca="false">Sens!$C$5504-Sens!$C$5506+Sens!$C$5507</f>
        <v>1032.44052525038</v>
      </c>
    </row>
    <row r="5509" customFormat="false" ht="17.15" hidden="false" customHeight="false" outlineLevel="0" collapsed="false">
      <c r="A5509" s="5" t="s">
        <v>868</v>
      </c>
      <c r="B5509" s="0" t="s">
        <v>27</v>
      </c>
      <c r="C5509" s="30" t="n">
        <f aca="false">Sens!$C$5508/sh_val</f>
        <v>93.6002842031857</v>
      </c>
    </row>
    <row r="5510" customFormat="false" ht="17.15" hidden="false" customHeight="false" outlineLevel="0" collapsed="false">
      <c r="A5510" s="1" t="s">
        <v>869</v>
      </c>
      <c r="B5510" s="8" t="s">
        <v>27</v>
      </c>
      <c r="C5510" s="30" t="n">
        <f aca="false">Sens!$C$5509*(1+ke)^tp_yf</f>
        <v>103.376358438288</v>
      </c>
    </row>
    <row r="5511" customFormat="false" ht="17.15" hidden="false" customHeight="false" outlineLevel="0" collapsed="false">
      <c r="A5511" s="3" t="s">
        <v>870</v>
      </c>
    </row>
    <row r="5512" customFormat="false" ht="17.15" hidden="false" customHeight="false" outlineLevel="0" collapsed="false">
      <c r="A5512" s="5" t="s">
        <v>871</v>
      </c>
      <c r="B5512" s="0" t="s">
        <v>73</v>
      </c>
      <c r="C5512" s="38" t="n">
        <f aca="false">0.25*Sens!$H$5442+0.75*Sens!$I$5442</f>
        <v>57.5541093268329</v>
      </c>
    </row>
    <row r="5513" customFormat="false" ht="15" hidden="false" customHeight="false" outlineLevel="0" collapsed="false">
      <c r="A5513" s="5" t="s">
        <v>872</v>
      </c>
      <c r="B5513" s="0" t="s">
        <v>57</v>
      </c>
      <c r="C5513" s="30" t="n">
        <f aca="false">m_ads*m_x</f>
        <v>9.11</v>
      </c>
    </row>
    <row r="5514" customFormat="false" ht="17.15" hidden="false" customHeight="false" outlineLevel="0" collapsed="false">
      <c r="A5514" s="5" t="s">
        <v>873</v>
      </c>
      <c r="B5514" s="0" t="s">
        <v>73</v>
      </c>
      <c r="C5514" s="38" t="n">
        <f aca="false">Sens!$C$5512*Sens!$C$5513</f>
        <v>524.317935967448</v>
      </c>
    </row>
    <row r="5515" customFormat="false" ht="17.15" hidden="false" customHeight="false" outlineLevel="0" collapsed="false">
      <c r="A5515" s="5" t="s">
        <v>874</v>
      </c>
      <c r="B5515" s="0" t="s">
        <v>73</v>
      </c>
      <c r="C5515" s="38" t="n">
        <f aca="false">0.25*Sens!$H$5443+0.75*Sens!$I$5443</f>
        <v>30.6290803533085</v>
      </c>
    </row>
    <row r="5516" customFormat="false" ht="15" hidden="false" customHeight="false" outlineLevel="0" collapsed="false">
      <c r="A5516" s="5" t="s">
        <v>875</v>
      </c>
      <c r="B5516" s="0" t="s">
        <v>57</v>
      </c>
      <c r="C5516" s="30" t="n">
        <f aca="false">m_retail*m_x</f>
        <v>17.72</v>
      </c>
    </row>
    <row r="5517" customFormat="false" ht="17.15" hidden="false" customHeight="false" outlineLevel="0" collapsed="false">
      <c r="A5517" s="5" t="s">
        <v>876</v>
      </c>
      <c r="B5517" s="0" t="s">
        <v>73</v>
      </c>
      <c r="C5517" s="38" t="n">
        <f aca="false">Sens!$C$5515*Sens!$C$5516</f>
        <v>542.747303860627</v>
      </c>
    </row>
    <row r="5518" customFormat="false" ht="17.15" hidden="false" customHeight="false" outlineLevel="0" collapsed="false">
      <c r="A5518" s="0" t="s">
        <v>877</v>
      </c>
      <c r="B5518" s="0" t="s">
        <v>73</v>
      </c>
      <c r="C5518" s="38" t="n">
        <f aca="false">0.25*Sens!$H$5444+0.75*Sens!$I$5444</f>
        <v>107.575398943098</v>
      </c>
    </row>
    <row r="5519" customFormat="false" ht="17.15" hidden="false" customHeight="false" outlineLevel="0" collapsed="false">
      <c r="A5519" s="0" t="s">
        <v>878</v>
      </c>
      <c r="B5519" s="0" t="s">
        <v>57</v>
      </c>
      <c r="C5519" s="30" t="n">
        <f aca="false">m_cloud*m_x</f>
        <v>13.82</v>
      </c>
    </row>
    <row r="5520" customFormat="false" ht="17.15" hidden="false" customHeight="false" outlineLevel="0" collapsed="false">
      <c r="A5520" s="0" t="s">
        <v>879</v>
      </c>
      <c r="B5520" s="0" t="s">
        <v>73</v>
      </c>
      <c r="C5520" s="38" t="n">
        <f aca="false">Sens!$C$5518*Sens!$C$5519</f>
        <v>1486.69201339361</v>
      </c>
    </row>
    <row r="5521" customFormat="false" ht="17.15" hidden="false" customHeight="false" outlineLevel="0" collapsed="false">
      <c r="A5521" s="0" t="s">
        <v>880</v>
      </c>
      <c r="B5521" s="0" t="s">
        <v>73</v>
      </c>
      <c r="C5521" s="38" t="n">
        <f aca="false">0.25*Sens!$H$5445+0.75*Sens!$I$5445</f>
        <v>72.2947701247864</v>
      </c>
    </row>
    <row r="5522" customFormat="false" ht="17.15" hidden="false" customHeight="false" outlineLevel="0" collapsed="false">
      <c r="A5522" s="0" t="s">
        <v>881</v>
      </c>
      <c r="B5522" s="0" t="s">
        <v>57</v>
      </c>
      <c r="C5522" s="30" t="n">
        <f aca="false">m_ai</f>
        <v>6</v>
      </c>
    </row>
    <row r="5523" customFormat="false" ht="17.15" hidden="false" customHeight="false" outlineLevel="0" collapsed="false">
      <c r="A5523" s="0" t="s">
        <v>882</v>
      </c>
      <c r="B5523" s="0" t="s">
        <v>73</v>
      </c>
      <c r="C5523" s="38" t="n">
        <f aca="false">Sens!$C$5521*Sens!$C$5522</f>
        <v>433.768620748718</v>
      </c>
    </row>
    <row r="5524" customFormat="false" ht="17.15" hidden="false" customHeight="false" outlineLevel="0" collapsed="false">
      <c r="A5524" s="5" t="s">
        <v>883</v>
      </c>
      <c r="B5524" s="0" t="s">
        <v>73</v>
      </c>
      <c r="C5524" s="38" t="n">
        <f aca="false">Sens!$C$5514+Sens!$C$5517+Sens!$C$5520+Sens!$C$5523</f>
        <v>2987.5258739704</v>
      </c>
    </row>
    <row r="5525" customFormat="false" ht="17.15" hidden="false" customHeight="false" outlineLevel="0" collapsed="false">
      <c r="A5525" s="5" t="s">
        <v>884</v>
      </c>
      <c r="B5525" s="0" t="s">
        <v>73</v>
      </c>
      <c r="C5525" s="38" t="n">
        <f aca="false">Sens!$H$5483</f>
        <v>113.741590679904</v>
      </c>
    </row>
    <row r="5526" customFormat="false" ht="15" hidden="false" customHeight="false" outlineLevel="0" collapsed="false">
      <c r="A5526" s="5" t="s">
        <v>885</v>
      </c>
      <c r="B5526" s="0" t="s">
        <v>73</v>
      </c>
      <c r="C5526" s="38" t="n">
        <f aca="false">Sens!$C$5524-Sens!$C$5525+Sens!$C$5507</f>
        <v>3052.7282832905</v>
      </c>
    </row>
    <row r="5527" customFormat="false" ht="15" hidden="false" customHeight="false" outlineLevel="0" collapsed="false">
      <c r="A5527" s="3" t="s">
        <v>886</v>
      </c>
      <c r="B5527" s="8" t="s">
        <v>27</v>
      </c>
      <c r="C5527" s="30" t="n">
        <f aca="false">Sens!$C$5526/sh_val</f>
        <v>276.758058137828</v>
      </c>
    </row>
    <row r="5528" customFormat="false" ht="17.15" hidden="false" customHeight="false" outlineLevel="0" collapsed="false">
      <c r="A5528" s="46" t="s">
        <v>887</v>
      </c>
      <c r="B5528" s="13" t="s">
        <v>27</v>
      </c>
      <c r="C5528" s="43" t="n">
        <f aca="false">w_dcf*Sens!$C$5510+(1-w_dcf)*Sens!$C$5527</f>
        <v>190.067208288058</v>
      </c>
      <c r="D5528" s="13"/>
      <c r="E5528" s="13"/>
      <c r="F5528" s="13"/>
      <c r="G5528" s="13"/>
      <c r="H5528" s="13"/>
      <c r="I5528" s="13"/>
      <c r="J5528" s="13"/>
      <c r="K5528" s="13"/>
      <c r="L5528" s="13"/>
      <c r="M5528" s="13"/>
      <c r="N5528" s="13"/>
      <c r="O5528" s="13"/>
    </row>
    <row r="5529" customFormat="false" ht="17.15" hidden="false" customHeight="false" outlineLevel="0" collapsed="false">
      <c r="A5529" s="5" t="s">
        <v>888</v>
      </c>
      <c r="B5529" s="0" t="s">
        <v>27</v>
      </c>
      <c r="C5529" s="30" t="n">
        <f aca="false">0.45*Sens!$C$5510+0.55*Sens!$C$5527</f>
        <v>198.736293273035</v>
      </c>
    </row>
    <row r="5532" customFormat="false" ht="19.4" hidden="false" customHeight="false" outlineLevel="0" collapsed="false">
      <c r="A5532" s="31" t="s">
        <v>1163</v>
      </c>
    </row>
    <row r="5533" customFormat="false" ht="17.15" hidden="false" customHeight="false" outlineLevel="0" collapsed="false">
      <c r="A5533" s="6" t="s">
        <v>16</v>
      </c>
      <c r="B5533" s="6" t="s">
        <v>17</v>
      </c>
      <c r="C5533" s="20" t="s">
        <v>457</v>
      </c>
      <c r="D5533" s="20" t="s">
        <v>458</v>
      </c>
      <c r="E5533" s="20" t="s">
        <v>540</v>
      </c>
      <c r="F5533" s="20" t="s">
        <v>541</v>
      </c>
      <c r="G5533" s="20" t="s">
        <v>542</v>
      </c>
      <c r="H5533" s="20" t="s">
        <v>543</v>
      </c>
      <c r="I5533" s="20" t="s">
        <v>544</v>
      </c>
      <c r="J5533" s="20" t="s">
        <v>545</v>
      </c>
      <c r="K5533" s="20" t="s">
        <v>546</v>
      </c>
      <c r="L5533" s="20" t="s">
        <v>547</v>
      </c>
      <c r="M5533" s="20" t="s">
        <v>548</v>
      </c>
      <c r="N5533" s="20" t="s">
        <v>549</v>
      </c>
      <c r="O5533" s="20" t="s">
        <v>550</v>
      </c>
      <c r="P5533" s="6" t="s">
        <v>23</v>
      </c>
      <c r="R5533" s="20" t="n">
        <v>2023</v>
      </c>
      <c r="S5533" s="20" t="n">
        <v>2024</v>
      </c>
      <c r="T5533" s="20" t="n">
        <v>2025</v>
      </c>
      <c r="U5533" s="20" t="n">
        <v>2026</v>
      </c>
      <c r="V5533" s="20" t="n">
        <v>2027</v>
      </c>
      <c r="W5533" s="20" t="n">
        <v>2028</v>
      </c>
      <c r="X5533" s="20" t="n">
        <v>2029</v>
      </c>
      <c r="Y5533" s="20" t="n">
        <v>2030</v>
      </c>
      <c r="Z5533" s="20" t="n">
        <v>2031</v>
      </c>
      <c r="AA5533" s="20" t="n">
        <v>2032</v>
      </c>
    </row>
    <row r="5534" customFormat="false" ht="17.15" hidden="false" customHeight="false" outlineLevel="0" collapsed="false">
      <c r="A5534" s="1" t="s">
        <v>620</v>
      </c>
    </row>
    <row r="5535" customFormat="false" ht="17.15" hidden="false" customHeight="false" outlineLevel="0" collapsed="false">
      <c r="A5535" s="0" t="s">
        <v>479</v>
      </c>
      <c r="B5535" s="0" t="s">
        <v>73</v>
      </c>
      <c r="C5535" s="38" t="n">
        <f aca="false">Q!$D$10</f>
        <v>247.029</v>
      </c>
      <c r="D5535" s="38" t="n">
        <f aca="false">Q!$E$10</f>
        <v>269.287</v>
      </c>
      <c r="E5535" s="38" t="n">
        <f aca="false">Q!$P$10</f>
        <v>134.686</v>
      </c>
      <c r="F5535" s="38" t="n">
        <f aca="false">Sens!$O$5535*(1+Sens!$F$5536)-pd_amt*Q!$O$10/(Q!$O$10+Q!$O$12)</f>
        <v>160.728085930082</v>
      </c>
      <c r="G5535" s="38" t="n">
        <f aca="false">Sens!$E$5535+Sens!$F$5535</f>
        <v>295.414085930082</v>
      </c>
      <c r="H5535" s="38" t="n">
        <f aca="false">Sens!$G$5535*(1+Sens!$H$5536)</f>
        <v>320.828163943375</v>
      </c>
      <c r="I5535" s="38" t="n">
        <f aca="false">Sens!$H$5535*(1+Sens!$I$5536)</f>
        <v>344.575578072228</v>
      </c>
      <c r="J5535" s="38" t="n">
        <f aca="false">Sens!$I$5535*(1+Sens!$J$5536)</f>
        <v>365.942555779681</v>
      </c>
      <c r="K5535" s="38" t="n">
        <f aca="false">Sens!$J$5535*(1+Sens!$K$5536)</f>
        <v>384.239683568665</v>
      </c>
      <c r="L5535" s="38" t="n">
        <f aca="false">Sens!$K$5535*(1+Sens!$L$5536)</f>
        <v>403.451667747098</v>
      </c>
      <c r="M5535" s="38" t="n">
        <f aca="false">Sens!$L$5535*(1+Sens!$M$5536)</f>
        <v>423.624251134453</v>
      </c>
      <c r="N5535" s="38" t="n">
        <f aca="false">Q!$N$10</f>
        <v>118.892</v>
      </c>
      <c r="O5535" s="38" t="n">
        <f aca="false">Q!$O$10</f>
        <v>150.395</v>
      </c>
      <c r="P5535" s="8" t="s">
        <v>621</v>
      </c>
    </row>
    <row r="5536" customFormat="false" ht="17.15" hidden="false" customHeight="false" outlineLevel="0" collapsed="false">
      <c r="A5536" s="0" t="s">
        <v>622</v>
      </c>
      <c r="B5536" s="0" t="s">
        <v>52</v>
      </c>
      <c r="E5536" s="12" t="n">
        <f aca="false">Sens!$E$5535/Sens!$N$5535-1</f>
        <v>0.132843252699929</v>
      </c>
      <c r="F5536" s="12" t="n">
        <f aca="false">Sens!$O$5535/(Q!$F$10+Q!$G$10)-1</f>
        <v>0.0980382135842941</v>
      </c>
      <c r="G5536" s="12" t="n">
        <f aca="false">Sens!$G$5535/Sens!$D$5535-1</f>
        <v>0.0970231980380869</v>
      </c>
      <c r="H5536" s="12" t="n">
        <f aca="false">Sens!$F$5536+(g_os-Sens!$F$5536)*1/4</f>
        <v>0.0860286601882206</v>
      </c>
      <c r="I5536" s="12" t="n">
        <f aca="false">Sens!$F$5536+(g_os-Sens!$F$5536)*2/4</f>
        <v>0.074019106792147</v>
      </c>
      <c r="J5536" s="12" t="n">
        <f aca="false">Sens!$F$5536+(g_os-Sens!$F$5536)*3/4</f>
        <v>0.0620095533960735</v>
      </c>
      <c r="K5536" s="12" t="n">
        <f aca="false">Sens!$F$5536+(g_os-Sens!$F$5536)*4/4</f>
        <v>0.05</v>
      </c>
      <c r="L5536" s="12" t="n">
        <f aca="false">g_os</f>
        <v>0.05</v>
      </c>
      <c r="M5536" s="12" t="n">
        <f aca="false">g_os</f>
        <v>0.05</v>
      </c>
      <c r="P5536" s="8" t="s">
        <v>623</v>
      </c>
    </row>
    <row r="5537" customFormat="false" ht="17.15" hidden="false" customHeight="false" outlineLevel="0" collapsed="false">
      <c r="A5537" s="0" t="s">
        <v>480</v>
      </c>
      <c r="B5537" s="0" t="s">
        <v>73</v>
      </c>
      <c r="C5537" s="38" t="n">
        <f aca="false">Q!$D$11</f>
        <v>21.215</v>
      </c>
      <c r="D5537" s="38" t="n">
        <f aca="false">Q!$E$11</f>
        <v>22.561</v>
      </c>
      <c r="E5537" s="38" t="n">
        <f aca="false">Q!$P$11</f>
        <v>11.579</v>
      </c>
      <c r="F5537" s="38" t="n">
        <f aca="false">Sens!$O$5537*(1+Sens!$F$5538)</f>
        <v>12.0952613121125</v>
      </c>
      <c r="G5537" s="38" t="n">
        <f aca="false">Sens!$E$5537+Sens!$F$5537</f>
        <v>23.6742613121125</v>
      </c>
      <c r="H5537" s="38" t="n">
        <f aca="false">Sens!$G$5537*(1+Sens!$H$5538)</f>
        <v>24.8803243963206</v>
      </c>
      <c r="I5537" s="38" t="n">
        <f aca="false">Sens!$H$5537*(1+Sens!$I$5538)</f>
        <v>25.9741308664154</v>
      </c>
      <c r="J5537" s="38" t="n">
        <f aca="false">Sens!$I$5537*(1+Sens!$J$5538)</f>
        <v>26.9346894124267</v>
      </c>
      <c r="K5537" s="38" t="n">
        <f aca="false">Sens!$J$5537*(1+Sens!$K$5538)</f>
        <v>27.7427300947995</v>
      </c>
      <c r="L5537" s="38" t="n">
        <f aca="false">Sens!$K$5537*(1+Sens!$L$5538)</f>
        <v>28.5750119976435</v>
      </c>
      <c r="M5537" s="38" t="n">
        <f aca="false">Sens!$L$5537*(1+Sens!$M$5538)</f>
        <v>29.4322623575728</v>
      </c>
      <c r="N5537" s="38" t="n">
        <f aca="false">Q!$N$11</f>
        <v>11.128</v>
      </c>
      <c r="O5537" s="38" t="n">
        <f aca="false">Q!$O$11</f>
        <v>11.433</v>
      </c>
      <c r="P5537" s="8" t="s">
        <v>621</v>
      </c>
    </row>
    <row r="5538" customFormat="false" ht="17.15" hidden="false" customHeight="false" outlineLevel="0" collapsed="false">
      <c r="A5538" s="0" t="s">
        <v>624</v>
      </c>
      <c r="B5538" s="0" t="s">
        <v>52</v>
      </c>
      <c r="E5538" s="12" t="n">
        <f aca="false">Sens!$E$5537/Sens!$N$5537-1</f>
        <v>0.0405283968368082</v>
      </c>
      <c r="F5538" s="12" t="n">
        <f aca="false">Sens!$O$5537/(Q!$F$11+Q!$G$11)-1</f>
        <v>0.0579254187100955</v>
      </c>
      <c r="G5538" s="12" t="n">
        <f aca="false">Sens!$G$5537/Sens!$D$5537-1</f>
        <v>0.0493445021103904</v>
      </c>
      <c r="H5538" s="12" t="n">
        <f aca="false">Sens!$F$5538+(g_ps-Sens!$F$5538)*1/4</f>
        <v>0.0509440640325716</v>
      </c>
      <c r="I5538" s="12" t="n">
        <f aca="false">Sens!$F$5538+(g_ps-Sens!$F$5538)*2/4</f>
        <v>0.0439627093550477</v>
      </c>
      <c r="J5538" s="12" t="n">
        <f aca="false">Sens!$F$5538+(g_ps-Sens!$F$5538)*3/4</f>
        <v>0.0369813546775239</v>
      </c>
      <c r="K5538" s="12" t="n">
        <f aca="false">Sens!$F$5538+(g_ps-Sens!$F$5538)*4/4</f>
        <v>0.03</v>
      </c>
      <c r="L5538" s="12" t="n">
        <f aca="false">g_ps</f>
        <v>0.03</v>
      </c>
      <c r="M5538" s="12" t="n">
        <f aca="false">g_ps</f>
        <v>0.03</v>
      </c>
      <c r="P5538" s="8" t="s">
        <v>625</v>
      </c>
    </row>
    <row r="5539" customFormat="false" ht="17.15" hidden="false" customHeight="false" outlineLevel="0" collapsed="false">
      <c r="A5539" s="0" t="s">
        <v>481</v>
      </c>
      <c r="B5539" s="0" t="s">
        <v>73</v>
      </c>
      <c r="C5539" s="38" t="n">
        <f aca="false">Q!$D$12</f>
        <v>156.146</v>
      </c>
      <c r="D5539" s="38" t="n">
        <f aca="false">Q!$E$12</f>
        <v>172.162</v>
      </c>
      <c r="E5539" s="38" t="n">
        <f aca="false">Q!$P$12</f>
        <v>88.358</v>
      </c>
      <c r="F5539" s="38" t="n">
        <f aca="false">Sens!$O$5539*(1+Sens!$F$5540)-pd_amt*Q!$O$12/(Q!$O$10+Q!$O$12)</f>
        <v>103.62028337149</v>
      </c>
      <c r="G5539" s="38" t="n">
        <f aca="false">Sens!$E$5539+Sens!$F$5539</f>
        <v>191.97828337149</v>
      </c>
      <c r="H5539" s="38" t="n">
        <f aca="false">Sens!$G$5539*(1+Sens!$H$5540)</f>
        <v>212.128608444755</v>
      </c>
      <c r="I5539" s="38" t="n">
        <f aca="false">Sens!$H$5539*(1+Sens!$I$5540)</f>
        <v>231.92183134134</v>
      </c>
      <c r="J5539" s="38" t="n">
        <f aca="false">Sens!$I$5539*(1+Sens!$J$5540)</f>
        <v>250.859136487863</v>
      </c>
      <c r="K5539" s="38" t="n">
        <f aca="false">Sens!$J$5539*(1+Sens!$K$5540)</f>
        <v>268.419276042014</v>
      </c>
      <c r="L5539" s="38" t="n">
        <f aca="false">Sens!$K$5539*(1+Sens!$L$5540)</f>
        <v>287.208625364954</v>
      </c>
      <c r="M5539" s="38" t="n">
        <f aca="false">Sens!$L$5539*(1+Sens!$M$5540)</f>
        <v>307.313229140501</v>
      </c>
      <c r="N5539" s="38" t="n">
        <f aca="false">Q!$N$12</f>
        <v>76.86</v>
      </c>
      <c r="O5539" s="38" t="n">
        <f aca="false">Q!$O$12</f>
        <v>95.302</v>
      </c>
      <c r="P5539" s="8" t="s">
        <v>621</v>
      </c>
    </row>
    <row r="5540" customFormat="false" ht="17.15" hidden="false" customHeight="false" outlineLevel="0" collapsed="false">
      <c r="A5540" s="0" t="s">
        <v>626</v>
      </c>
      <c r="B5540" s="0" t="s">
        <v>52</v>
      </c>
      <c r="E5540" s="12" t="n">
        <f aca="false">Sens!$E$5539/Sens!$N$5539-1</f>
        <v>0.1495966692688</v>
      </c>
      <c r="F5540" s="12" t="n">
        <f aca="false">Sens!$O$5539/(Q!$F$12+Q!$G$12)-1</f>
        <v>0.11661530890813</v>
      </c>
      <c r="G5540" s="12" t="n">
        <f aca="false">Sens!$G$5539/Sens!$D$5539-1</f>
        <v>0.115102539303041</v>
      </c>
      <c r="H5540" s="12" t="n">
        <f aca="false">Sens!$F$5540+(g_sp-Sens!$F$5540)*1/4</f>
        <v>0.104961481681098</v>
      </c>
      <c r="I5540" s="12" t="n">
        <f aca="false">Sens!$F$5540+(g_sp-Sens!$F$5540)*2/4</f>
        <v>0.0933076544540651</v>
      </c>
      <c r="J5540" s="12" t="n">
        <f aca="false">Sens!$F$5540+(g_sp-Sens!$F$5540)*3/4</f>
        <v>0.0816538272270325</v>
      </c>
      <c r="K5540" s="12" t="n">
        <f aca="false">Sens!$F$5540+(g_sp-Sens!$F$5540)*4/4</f>
        <v>0.07</v>
      </c>
      <c r="L5540" s="12" t="n">
        <f aca="false">g_sp</f>
        <v>0.07</v>
      </c>
      <c r="M5540" s="12" t="n">
        <f aca="false">g_sp</f>
        <v>0.07</v>
      </c>
      <c r="P5540" s="8" t="s">
        <v>627</v>
      </c>
    </row>
    <row r="5541" customFormat="false" ht="17.15" hidden="false" customHeight="false" outlineLevel="0" collapsed="false">
      <c r="A5541" s="0" t="s">
        <v>482</v>
      </c>
      <c r="B5541" s="0" t="s">
        <v>73</v>
      </c>
      <c r="C5541" s="38" t="n">
        <f aca="false">Q!$D$13</f>
        <v>56.214</v>
      </c>
      <c r="D5541" s="38" t="n">
        <f aca="false">Q!$E$13</f>
        <v>68.635</v>
      </c>
      <c r="E5541" s="38" t="n">
        <f aca="false">Q!$P$13</f>
        <v>37.052</v>
      </c>
      <c r="F5541" s="38" t="n">
        <f aca="false">Sens!$O$5541*(1+Sens!$F$5542)</f>
        <v>48.1533381827382</v>
      </c>
      <c r="G5541" s="38" t="n">
        <f aca="false">Sens!$E$5541+Sens!$F$5541</f>
        <v>85.2053381827382</v>
      </c>
      <c r="H5541" s="38" t="n">
        <f aca="false">Sens!$G$5541*(1+Sens!$H$5542)</f>
        <v>102.29336185894</v>
      </c>
      <c r="I5541" s="38" t="n">
        <f aca="false">Sens!$H$5541*(1+Sens!$I$5542)</f>
        <v>119.379837585241</v>
      </c>
      <c r="J5541" s="38" t="n">
        <f aca="false">Sens!$I$5541*(1+Sens!$J$5542)</f>
        <v>135.319079048844</v>
      </c>
      <c r="K5541" s="38" t="n">
        <f aca="false">Sens!$J$5541*(1+Sens!$K$5542)</f>
        <v>148.850986953729</v>
      </c>
      <c r="L5541" s="38" t="n">
        <f aca="false">Sens!$K$5541*(1+Sens!$L$5542)</f>
        <v>163.736085649102</v>
      </c>
      <c r="M5541" s="38" t="n">
        <f aca="false">Sens!$L$5541*(1+Sens!$M$5542)</f>
        <v>180.109694214012</v>
      </c>
      <c r="N5541" s="38" t="n">
        <f aca="false">Q!$N$13</f>
        <v>29.615</v>
      </c>
      <c r="O5541" s="38" t="n">
        <f aca="false">Q!$O$13</f>
        <v>39.02</v>
      </c>
      <c r="P5541" s="8" t="s">
        <v>621</v>
      </c>
    </row>
    <row r="5542" customFormat="false" ht="17.15" hidden="false" customHeight="false" outlineLevel="0" collapsed="false">
      <c r="A5542" s="0" t="s">
        <v>628</v>
      </c>
      <c r="B5542" s="0" t="s">
        <v>52</v>
      </c>
      <c r="E5542" s="12" t="n">
        <f aca="false">Sens!$E$5541/Sens!$N$5541-1</f>
        <v>0.25112274185379</v>
      </c>
      <c r="F5542" s="12" t="n">
        <f aca="false">Sens!$O$5541/(Q!$F$13+Q!$G$13)-1</f>
        <v>0.234068123596572</v>
      </c>
      <c r="G5542" s="12" t="n">
        <f aca="false">Sens!$G$5541/Sens!$D$5541-1</f>
        <v>0.241426942270536</v>
      </c>
      <c r="H5542" s="12" t="n">
        <f aca="false">Sens!$F$5542+(g_ad-Sens!$F$5542)*1/4</f>
        <v>0.200551092697429</v>
      </c>
      <c r="I5542" s="12" t="n">
        <f aca="false">Sens!$F$5542+(g_ad-Sens!$F$5542)*2/4</f>
        <v>0.167034061798286</v>
      </c>
      <c r="J5542" s="12" t="n">
        <f aca="false">Sens!$F$5542+(g_ad-Sens!$F$5542)*3/4</f>
        <v>0.133517030899143</v>
      </c>
      <c r="K5542" s="12" t="n">
        <f aca="false">Sens!$F$5542+(g_ad-Sens!$F$5542)*4/4</f>
        <v>0.1</v>
      </c>
      <c r="L5542" s="12" t="n">
        <f aca="false">g_ad</f>
        <v>0.1</v>
      </c>
      <c r="M5542" s="12" t="n">
        <f aca="false">g_ad</f>
        <v>0.1</v>
      </c>
      <c r="P5542" s="8" t="s">
        <v>629</v>
      </c>
    </row>
    <row r="5543" customFormat="false" ht="17.15" hidden="false" customHeight="false" outlineLevel="0" collapsed="false">
      <c r="A5543" s="0" t="s">
        <v>483</v>
      </c>
      <c r="B5543" s="0" t="s">
        <v>73</v>
      </c>
      <c r="C5543" s="38" t="n">
        <f aca="false">Q!$D$14</f>
        <v>44.374</v>
      </c>
      <c r="D5543" s="38" t="n">
        <f aca="false">Q!$E$14</f>
        <v>49.619</v>
      </c>
      <c r="E5543" s="38" t="n">
        <f aca="false">Q!$P$14</f>
        <v>27.157</v>
      </c>
      <c r="F5543" s="38" t="n">
        <f aca="false">Sens!$O$5543*(1+Sens!$F$5544)</f>
        <v>28.9776360923374</v>
      </c>
      <c r="G5543" s="38" t="n">
        <f aca="false">Sens!$E$5543+Sens!$F$5543</f>
        <v>56.1346360923374</v>
      </c>
      <c r="H5543" s="38" t="n">
        <f aca="false">Sens!$G$5543*(1+Sens!$H$5544)</f>
        <v>62.4937078946075</v>
      </c>
      <c r="I5543" s="38" t="n">
        <f aca="false">Sens!$H$5543*(1+Sens!$I$5544)</f>
        <v>68.6715233062498</v>
      </c>
      <c r="J5543" s="38" t="n">
        <f aca="false">Sens!$I$5543*(1+Sens!$J$5544)</f>
        <v>74.4692882949818</v>
      </c>
      <c r="K5543" s="38" t="n">
        <f aca="false">Sens!$J$5543*(1+Sens!$K$5544)</f>
        <v>79.6821384756306</v>
      </c>
      <c r="L5543" s="38" t="n">
        <f aca="false">Sens!$K$5543*(1+Sens!$L$5544)</f>
        <v>85.2598881689247</v>
      </c>
      <c r="M5543" s="38" t="n">
        <f aca="false">Sens!$L$5543*(1+Sens!$M$5544)</f>
        <v>91.2280803407494</v>
      </c>
      <c r="N5543" s="38" t="n">
        <f aca="false">Q!$N$14</f>
        <v>23.923</v>
      </c>
      <c r="O5543" s="38" t="n">
        <f aca="false">Q!$O$14</f>
        <v>25.696</v>
      </c>
      <c r="P5543" s="8" t="s">
        <v>621</v>
      </c>
    </row>
    <row r="5544" customFormat="false" ht="17.15" hidden="false" customHeight="false" outlineLevel="0" collapsed="false">
      <c r="A5544" s="0" t="s">
        <v>630</v>
      </c>
      <c r="B5544" s="0" t="s">
        <v>52</v>
      </c>
      <c r="E5544" s="12" t="n">
        <f aca="false">Sens!$E$5543/Sens!$N$5543-1</f>
        <v>0.135183714417088</v>
      </c>
      <c r="F5544" s="12" t="n">
        <f aca="false">Sens!$O$5543/(Q!$F$14+Q!$G$14)-1</f>
        <v>0.127709997366804</v>
      </c>
      <c r="G5544" s="12" t="n">
        <f aca="false">Sens!$G$5543/Sens!$D$5543-1</f>
        <v>0.131313329416905</v>
      </c>
      <c r="H5544" s="12" t="n">
        <f aca="false">Sens!$F$5544+(g_sub-Sens!$F$5544)*1/4</f>
        <v>0.113282498025103</v>
      </c>
      <c r="I5544" s="12" t="n">
        <f aca="false">Sens!$F$5544+(g_sub-Sens!$F$5544)*2/4</f>
        <v>0.0988549986834021</v>
      </c>
      <c r="J5544" s="12" t="n">
        <f aca="false">Sens!$F$5544+(g_sub-Sens!$F$5544)*3/4</f>
        <v>0.084427499341701</v>
      </c>
      <c r="K5544" s="12" t="n">
        <f aca="false">Sens!$F$5544+(g_sub-Sens!$F$5544)*4/4</f>
        <v>0.07</v>
      </c>
      <c r="L5544" s="12" t="n">
        <f aca="false">g_sub</f>
        <v>0.07</v>
      </c>
      <c r="M5544" s="12" t="n">
        <f aca="false">g_sub</f>
        <v>0.07</v>
      </c>
      <c r="P5544" s="8" t="s">
        <v>631</v>
      </c>
    </row>
    <row r="5545" customFormat="false" ht="17.15" hidden="false" customHeight="false" outlineLevel="0" collapsed="false">
      <c r="A5545" s="0" t="s">
        <v>484</v>
      </c>
      <c r="B5545" s="0" t="s">
        <v>73</v>
      </c>
      <c r="C5545" s="38" t="n">
        <f aca="false">Q!$D$15</f>
        <v>5.425</v>
      </c>
      <c r="D5545" s="38" t="n">
        <f aca="false">Q!$E$15</f>
        <v>5.935</v>
      </c>
      <c r="E5545" s="38" t="n">
        <f aca="false">Q!$P$15</f>
        <v>3.474</v>
      </c>
      <c r="F5545" s="38" t="n">
        <f aca="false">Sens!$O$5545*(1+Sens!$F$5546)</f>
        <v>3.36182431966931</v>
      </c>
      <c r="G5545" s="38" t="n">
        <f aca="false">Sens!$E$5545+Sens!$F$5545</f>
        <v>6.83582431966931</v>
      </c>
      <c r="H5545" s="38" t="n">
        <f aca="false">Sens!$G$5545*(1+Sens!$H$5546)</f>
        <v>7.31157108370141</v>
      </c>
      <c r="I5545" s="38" t="n">
        <f aca="false">Sens!$H$5545*(1+Sens!$I$5546)</f>
        <v>7.77266852639815</v>
      </c>
      <c r="J5545" s="38" t="n">
        <f aca="false">Sens!$I$5545*(1+Sens!$J$5546)</f>
        <v>8.2120733019884</v>
      </c>
      <c r="K5545" s="38" t="n">
        <f aca="false">Sens!$J$5545*(1+Sens!$K$5546)</f>
        <v>8.62267696708783</v>
      </c>
      <c r="L5545" s="38" t="n">
        <f aca="false">Sens!$K$5545*(1+Sens!$L$5546)</f>
        <v>9.05381081544222</v>
      </c>
      <c r="M5545" s="38" t="n">
        <f aca="false">Sens!$L$5545*(1+Sens!$M$5546)</f>
        <v>9.50650135621433</v>
      </c>
      <c r="N5545" s="38" t="n">
        <f aca="false">Q!$N$15</f>
        <v>2.811</v>
      </c>
      <c r="O5545" s="38" t="n">
        <f aca="false">Q!$O$15</f>
        <v>3.124</v>
      </c>
      <c r="P5545" s="8" t="s">
        <v>621</v>
      </c>
    </row>
    <row r="5546" customFormat="false" ht="17.15" hidden="false" customHeight="false" outlineLevel="0" collapsed="false">
      <c r="A5546" s="0" t="s">
        <v>632</v>
      </c>
      <c r="B5546" s="0" t="s">
        <v>52</v>
      </c>
      <c r="E5546" s="12" t="n">
        <f aca="false">Sens!$E$5545/Sens!$N$5545-1</f>
        <v>0.235859124866596</v>
      </c>
      <c r="F5546" s="12" t="n">
        <f aca="false">Sens!$O$5545/(Q!$F$15+Q!$G$15)-1</f>
        <v>0.0761281433000345</v>
      </c>
      <c r="G5546" s="12" t="n">
        <f aca="false">Sens!$G$5545/Sens!$D$5545-1</f>
        <v>0.151781688234087</v>
      </c>
      <c r="H5546" s="12" t="n">
        <f aca="false">Sens!$F$5546+(g_ot-Sens!$F$5546)*1/4</f>
        <v>0.0695961074750259</v>
      </c>
      <c r="I5546" s="12" t="n">
        <f aca="false">Sens!$F$5546+(g_ot-Sens!$F$5546)*2/4</f>
        <v>0.0630640716500172</v>
      </c>
      <c r="J5546" s="12" t="n">
        <f aca="false">Sens!$F$5546+(g_ot-Sens!$F$5546)*3/4</f>
        <v>0.0565320358250086</v>
      </c>
      <c r="K5546" s="12" t="n">
        <f aca="false">Sens!$F$5546+(g_ot-Sens!$F$5546)*4/4</f>
        <v>0.05</v>
      </c>
      <c r="L5546" s="12" t="n">
        <f aca="false">g_ot</f>
        <v>0.05</v>
      </c>
      <c r="M5546" s="12" t="n">
        <f aca="false">g_ot</f>
        <v>0.05</v>
      </c>
      <c r="P5546" s="8" t="s">
        <v>633</v>
      </c>
    </row>
    <row r="5547" customFormat="false" ht="17.15" hidden="false" customHeight="false" outlineLevel="0" collapsed="false">
      <c r="A5547" s="3" t="s">
        <v>634</v>
      </c>
      <c r="B5547" s="8" t="s">
        <v>73</v>
      </c>
      <c r="C5547" s="38" t="n">
        <f aca="false">Sens!$C$5535+Sens!$C$5537+Sens!$C$5539+Sens!$C$5541+Sens!$C$5543+Sens!$C$5545</f>
        <v>530.403</v>
      </c>
      <c r="D5547" s="38" t="n">
        <f aca="false">Sens!$D$5535+Sens!$D$5537+Sens!$D$5539+Sens!$D$5541+Sens!$D$5543+Sens!$D$5545</f>
        <v>588.199</v>
      </c>
      <c r="E5547" s="38" t="n">
        <f aca="false">Sens!$E$5535+Sens!$E$5537+Sens!$E$5539+Sens!$E$5541+Sens!$E$5543+Sens!$E$5545</f>
        <v>302.306</v>
      </c>
      <c r="F5547" s="38" t="n">
        <f aca="false">Sens!$F$5535+Sens!$F$5537+Sens!$F$5539+Sens!$F$5541+Sens!$F$5543+Sens!$F$5545</f>
        <v>356.93642920843</v>
      </c>
      <c r="G5547" s="38" t="n">
        <f aca="false">Sens!$G$5535+Sens!$G$5537+Sens!$G$5539+Sens!$G$5541+Sens!$G$5543+Sens!$G$5545</f>
        <v>659.24242920843</v>
      </c>
      <c r="H5547" s="38" t="n">
        <f aca="false">Sens!$H$5535+Sens!$H$5537+Sens!$H$5539+Sens!$H$5541+Sens!$H$5543+Sens!$H$5545</f>
        <v>729.935737621701</v>
      </c>
      <c r="I5547" s="38" t="n">
        <f aca="false">Sens!$I$5535+Sens!$I$5537+Sens!$I$5539+Sens!$I$5541+Sens!$I$5543+Sens!$I$5545</f>
        <v>798.295569697873</v>
      </c>
      <c r="J5547" s="38" t="n">
        <f aca="false">Sens!$J$5535+Sens!$J$5537+Sens!$J$5539+Sens!$J$5541+Sens!$J$5543+Sens!$J$5545</f>
        <v>861.736822325785</v>
      </c>
      <c r="K5547" s="38" t="n">
        <f aca="false">Sens!$K$5535+Sens!$K$5537+Sens!$K$5539+Sens!$K$5541+Sens!$K$5543+Sens!$K$5545</f>
        <v>917.557492101925</v>
      </c>
      <c r="L5547" s="38" t="n">
        <f aca="false">Sens!$L$5535+Sens!$L$5537+Sens!$L$5539+Sens!$L$5541+Sens!$L$5543+Sens!$L$5545</f>
        <v>977.285089743165</v>
      </c>
      <c r="M5547" s="38" t="n">
        <f aca="false">Sens!$M$5535+Sens!$M$5537+Sens!$M$5539+Sens!$M$5541+Sens!$M$5543+Sens!$M$5545</f>
        <v>1041.2140185435</v>
      </c>
      <c r="N5547" s="38" t="n">
        <f aca="false">Sens!$N$5535+Sens!$N$5537+Sens!$N$5539+Sens!$N$5541+Sens!$N$5543+Sens!$N$5545</f>
        <v>263.229</v>
      </c>
      <c r="O5547" s="38" t="n">
        <f aca="false">Sens!$O$5535+Sens!$O$5537+Sens!$O$5539+Sens!$O$5541+Sens!$O$5543+Sens!$O$5545</f>
        <v>324.97</v>
      </c>
    </row>
    <row r="5548" customFormat="false" ht="17.15" hidden="false" customHeight="false" outlineLevel="0" collapsed="false">
      <c r="A5548" s="5" t="s">
        <v>635</v>
      </c>
      <c r="B5548" s="0" t="s">
        <v>52</v>
      </c>
      <c r="C5548" s="12" t="n">
        <f aca="false">Q!$D$5/(Q!$D$5+Q!$D$6)</f>
        <v>0.730570905519011</v>
      </c>
      <c r="D5548" s="12" t="n">
        <f aca="false">Q!$E$5/(Q!$E$5+Q!$E$6)</f>
        <v>0.724763217890544</v>
      </c>
      <c r="E5548" s="12" t="n">
        <f aca="false">Q!$P$5/(Q!$P$5+Q!$P$6)</f>
        <v>0.728797972914861</v>
      </c>
      <c r="F5548" s="12" t="n">
        <f aca="false">Sens!$O$5548</f>
        <v>0.718066283041511</v>
      </c>
      <c r="G5548" s="12" t="n">
        <f aca="false">Sens!$G$5549/Sens!$G$5547</f>
        <v>0.722987468473627</v>
      </c>
      <c r="H5548" s="12" t="n">
        <f aca="false">Sens!$G$5548</f>
        <v>0.722987468473627</v>
      </c>
      <c r="I5548" s="12" t="n">
        <f aca="false">Sens!$G$5548</f>
        <v>0.722987468473627</v>
      </c>
      <c r="J5548" s="12" t="n">
        <f aca="false">Sens!$G$5548</f>
        <v>0.722987468473627</v>
      </c>
      <c r="K5548" s="12" t="n">
        <f aca="false">Sens!$G$5548</f>
        <v>0.722987468473627</v>
      </c>
      <c r="L5548" s="12" t="n">
        <f aca="false">Sens!$G$5548</f>
        <v>0.722987468473627</v>
      </c>
      <c r="M5548" s="12" t="n">
        <f aca="false">Sens!$G$5548</f>
        <v>0.722987468473627</v>
      </c>
      <c r="N5548" s="12" t="n">
        <f aca="false">Q!$N$5/(Q!$N$5+Q!$N$6)</f>
        <v>0.733030935041352</v>
      </c>
      <c r="O5548" s="12" t="n">
        <f aca="false">Q!$O$5/(Q!$O$5+Q!$O$6)</f>
        <v>0.718066283041511</v>
      </c>
      <c r="P5548" s="8" t="s">
        <v>636</v>
      </c>
    </row>
    <row r="5549" customFormat="false" ht="17.15" hidden="false" customHeight="false" outlineLevel="0" collapsed="false">
      <c r="A5549" s="1" t="s">
        <v>472</v>
      </c>
      <c r="B5549" s="8" t="s">
        <v>73</v>
      </c>
      <c r="C5549" s="38" t="n">
        <f aca="false">Q!$D$5</f>
        <v>387.497</v>
      </c>
      <c r="D5549" s="38" t="n">
        <f aca="false">Q!$E$5</f>
        <v>426.305</v>
      </c>
      <c r="E5549" s="38" t="n">
        <f aca="false">Q!$P$5</f>
        <v>220.32</v>
      </c>
      <c r="F5549" s="38" t="n">
        <f aca="false">Sens!$F$5547*Sens!$F$5548</f>
        <v>256.304015003807</v>
      </c>
      <c r="G5549" s="38" t="n">
        <f aca="false">Sens!$E$5549+Sens!$F$5549</f>
        <v>476.624015003807</v>
      </c>
      <c r="H5549" s="38" t="n">
        <f aca="false">Sens!$H$5547*Sens!$H$5548</f>
        <v>527.734391091543</v>
      </c>
      <c r="I5549" s="38" t="n">
        <f aca="false">Sens!$I$5547*Sens!$I$5548</f>
        <v>577.157693029577</v>
      </c>
      <c r="J5549" s="38" t="n">
        <f aca="false">Sens!$J$5547*Sens!$J$5548</f>
        <v>623.024923663827</v>
      </c>
      <c r="K5549" s="38" t="n">
        <f aca="false">Sens!$K$5547*Sens!$K$5548</f>
        <v>663.382568393781</v>
      </c>
      <c r="L5549" s="38" t="n">
        <f aca="false">Sens!$L$5547*Sens!$L$5548</f>
        <v>706.564873010432</v>
      </c>
      <c r="M5549" s="38" t="n">
        <f aca="false">Sens!$M$5547*Sens!$M$5548</f>
        <v>752.784687406019</v>
      </c>
      <c r="N5549" s="38" t="n">
        <f aca="false">Q!$N$5</f>
        <v>192.955</v>
      </c>
      <c r="O5549" s="38" t="n">
        <f aca="false">Q!$O$5</f>
        <v>233.35</v>
      </c>
      <c r="P5549" s="5" t="s">
        <v>637</v>
      </c>
    </row>
    <row r="5550" customFormat="false" ht="17.15" hidden="false" customHeight="false" outlineLevel="0" collapsed="false">
      <c r="A5550" s="1" t="s">
        <v>475</v>
      </c>
      <c r="B5550" s="8" t="s">
        <v>73</v>
      </c>
      <c r="C5550" s="38" t="n">
        <f aca="false">Q!$D$6</f>
        <v>142.906</v>
      </c>
      <c r="D5550" s="38" t="n">
        <f aca="false">Q!$E$6</f>
        <v>161.894</v>
      </c>
      <c r="E5550" s="38" t="n">
        <f aca="false">Q!$P$6</f>
        <v>81.986</v>
      </c>
      <c r="F5550" s="38" t="n">
        <f aca="false">Sens!$F$5547*(1-Sens!$F$5548)</f>
        <v>100.632414204623</v>
      </c>
      <c r="G5550" s="38" t="n">
        <f aca="false">Sens!$E$5550+Sens!$F$5550</f>
        <v>182.618414204623</v>
      </c>
      <c r="H5550" s="38" t="n">
        <f aca="false">Sens!$H$5547*(1-Sens!$H$5548)</f>
        <v>202.201346530158</v>
      </c>
      <c r="I5550" s="38" t="n">
        <f aca="false">Sens!$I$5547*(1-Sens!$I$5548)</f>
        <v>221.137876668296</v>
      </c>
      <c r="J5550" s="38" t="n">
        <f aca="false">Sens!$J$5547*(1-Sens!$J$5548)</f>
        <v>238.711898661958</v>
      </c>
      <c r="K5550" s="38" t="n">
        <f aca="false">Sens!$K$5547*(1-Sens!$K$5548)</f>
        <v>254.174923708144</v>
      </c>
      <c r="L5550" s="38" t="n">
        <f aca="false">Sens!$L$5547*(1-Sens!$L$5548)</f>
        <v>270.720216732733</v>
      </c>
      <c r="M5550" s="38" t="n">
        <f aca="false">Sens!$M$5547*(1-Sens!$M$5548)</f>
        <v>288.429331137484</v>
      </c>
      <c r="N5550" s="38" t="n">
        <f aca="false">Q!$N$6</f>
        <v>70.274</v>
      </c>
      <c r="O5550" s="38" t="n">
        <f aca="false">Q!$O$6</f>
        <v>91.62</v>
      </c>
      <c r="P5550" s="5" t="s">
        <v>638</v>
      </c>
    </row>
    <row r="5551" customFormat="false" ht="17.15" hidden="false" customHeight="false" outlineLevel="0" collapsed="false">
      <c r="A5551" s="5" t="s">
        <v>639</v>
      </c>
      <c r="B5551" s="0" t="s">
        <v>73</v>
      </c>
      <c r="C5551" s="38" t="n">
        <f aca="false">Sens!$C$5541*Sens!$C$5548</f>
        <v>41.0683128828457</v>
      </c>
      <c r="D5551" s="38" t="n">
        <f aca="false">Sens!$D$5541*Sens!$D$5548</f>
        <v>49.7441234599175</v>
      </c>
      <c r="E5551" s="38" t="n">
        <f aca="false">Sens!$E$5541*Sens!$E$5548</f>
        <v>27.0034224924414</v>
      </c>
      <c r="F5551" s="38" t="n">
        <f aca="false">Sens!$F$5541*Sens!$F$5548</f>
        <v>34.5772885649197</v>
      </c>
      <c r="G5551" s="38" t="n">
        <f aca="false">Sens!$G$5541*Sens!$G$5548</f>
        <v>61.6023917531772</v>
      </c>
      <c r="H5551" s="38" t="n">
        <f aca="false">Sens!$H$5541*Sens!$H$5548</f>
        <v>73.9568187320519</v>
      </c>
      <c r="I5551" s="38" t="n">
        <f aca="false">Sens!$I$5541*Sens!$I$5548</f>
        <v>86.3101265625461</v>
      </c>
      <c r="J5551" s="38" t="n">
        <f aca="false">Sens!$J$5541*Sens!$J$5548</f>
        <v>97.8339983977065</v>
      </c>
      <c r="K5551" s="38" t="n">
        <f aca="false">Sens!$K$5541*Sens!$K$5548</f>
        <v>107.617398237477</v>
      </c>
      <c r="L5551" s="38" t="n">
        <f aca="false">Sens!$L$5541*Sens!$L$5548</f>
        <v>118.379138061225</v>
      </c>
      <c r="M5551" s="38" t="n">
        <f aca="false">Sens!$M$5541*Sens!$M$5548</f>
        <v>130.217051867347</v>
      </c>
      <c r="N5551" s="38" t="n">
        <f aca="false">Sens!$N$5541*Sens!$N$5548</f>
        <v>21.7087111412496</v>
      </c>
      <c r="O5551" s="38" t="n">
        <f aca="false">Sens!$O$5541*Sens!$O$5548</f>
        <v>28.0189463642798</v>
      </c>
      <c r="P5551" s="5" t="s">
        <v>640</v>
      </c>
    </row>
    <row r="5552" customFormat="false" ht="15" hidden="false" customHeight="false" outlineLevel="0" collapsed="false">
      <c r="A5552" s="5" t="s">
        <v>641</v>
      </c>
      <c r="B5552" s="0" t="s">
        <v>73</v>
      </c>
      <c r="C5552" s="38" t="n">
        <f aca="false">Sens!$C$5541-Sens!$C$5551</f>
        <v>15.1456871171543</v>
      </c>
      <c r="D5552" s="38" t="n">
        <f aca="false">Sens!$D$5541-Sens!$D$5551</f>
        <v>18.8908765400825</v>
      </c>
      <c r="E5552" s="38" t="n">
        <f aca="false">Sens!$E$5541-Sens!$E$5551</f>
        <v>10.0485775075586</v>
      </c>
      <c r="F5552" s="38" t="n">
        <f aca="false">Sens!$F$5541-Sens!$F$5551</f>
        <v>13.5760496178185</v>
      </c>
      <c r="G5552" s="38" t="n">
        <f aca="false">Sens!$G$5541-Sens!$G$5551</f>
        <v>23.6029464295611</v>
      </c>
      <c r="H5552" s="38" t="n">
        <f aca="false">Sens!$H$5541-Sens!$H$5551</f>
        <v>28.3365431268884</v>
      </c>
      <c r="I5552" s="38" t="n">
        <f aca="false">Sens!$I$5541-Sens!$I$5551</f>
        <v>33.0697110226949</v>
      </c>
      <c r="J5552" s="38" t="n">
        <f aca="false">Sens!$J$5541-Sens!$J$5551</f>
        <v>37.4850806511378</v>
      </c>
      <c r="K5552" s="38" t="n">
        <f aca="false">Sens!$K$5541-Sens!$K$5551</f>
        <v>41.2335887162515</v>
      </c>
      <c r="L5552" s="38" t="n">
        <f aca="false">Sens!$L$5541-Sens!$L$5551</f>
        <v>45.3569475878767</v>
      </c>
      <c r="M5552" s="38" t="n">
        <f aca="false">Sens!$M$5541-Sens!$M$5551</f>
        <v>49.8926423466644</v>
      </c>
      <c r="N5552" s="38" t="n">
        <f aca="false">Sens!$N$5541-Sens!$N$5551</f>
        <v>7.90628885875037</v>
      </c>
      <c r="O5552" s="38" t="n">
        <f aca="false">Sens!$O$5541-Sens!$O$5551</f>
        <v>11.0010536357202</v>
      </c>
    </row>
    <row r="5553" customFormat="false" ht="19.4" hidden="false" customHeight="false" outlineLevel="0" collapsed="false">
      <c r="A5553" s="31" t="s">
        <v>1164</v>
      </c>
    </row>
    <row r="5554" customFormat="false" ht="17.15" hidden="false" customHeight="false" outlineLevel="0" collapsed="false">
      <c r="A5554" s="6" t="s">
        <v>16</v>
      </c>
      <c r="B5554" s="6" t="s">
        <v>17</v>
      </c>
      <c r="C5554" s="20" t="s">
        <v>457</v>
      </c>
      <c r="D5554" s="20" t="s">
        <v>458</v>
      </c>
      <c r="E5554" s="20" t="s">
        <v>540</v>
      </c>
      <c r="F5554" s="20" t="s">
        <v>541</v>
      </c>
      <c r="G5554" s="20" t="s">
        <v>542</v>
      </c>
      <c r="H5554" s="20" t="s">
        <v>543</v>
      </c>
      <c r="I5554" s="20" t="s">
        <v>544</v>
      </c>
      <c r="J5554" s="20" t="s">
        <v>545</v>
      </c>
      <c r="K5554" s="20" t="s">
        <v>546</v>
      </c>
      <c r="L5554" s="20" t="s">
        <v>547</v>
      </c>
      <c r="M5554" s="20" t="s">
        <v>548</v>
      </c>
      <c r="N5554" s="20" t="s">
        <v>549</v>
      </c>
      <c r="O5554" s="20" t="s">
        <v>550</v>
      </c>
      <c r="P5554" s="6" t="s">
        <v>23</v>
      </c>
      <c r="R5554" s="20" t="n">
        <v>2023</v>
      </c>
      <c r="S5554" s="20" t="n">
        <v>2024</v>
      </c>
      <c r="T5554" s="20" t="n">
        <v>2025</v>
      </c>
      <c r="U5554" s="20" t="n">
        <v>2026</v>
      </c>
      <c r="V5554" s="20" t="n">
        <v>2027</v>
      </c>
      <c r="W5554" s="20" t="n">
        <v>2028</v>
      </c>
      <c r="X5554" s="20" t="n">
        <v>2029</v>
      </c>
      <c r="Y5554" s="20" t="n">
        <v>2030</v>
      </c>
      <c r="Z5554" s="20" t="n">
        <v>2031</v>
      </c>
      <c r="AA5554" s="20" t="n">
        <v>2032</v>
      </c>
    </row>
    <row r="5555" customFormat="false" ht="17.15" hidden="false" customHeight="false" outlineLevel="0" collapsed="false">
      <c r="A5555" s="1" t="s">
        <v>551</v>
      </c>
    </row>
    <row r="5556" customFormat="false" ht="17.15" hidden="false" customHeight="false" outlineLevel="0" collapsed="false">
      <c r="A5556" s="14" t="s">
        <v>552</v>
      </c>
      <c r="B5556" s="13" t="s">
        <v>108</v>
      </c>
      <c r="C5556" s="32" t="n">
        <f aca="false">mw_ye24</f>
        <v>360</v>
      </c>
      <c r="D5556" s="32" t="n">
        <f aca="false">mw_ye25</f>
        <v>1440</v>
      </c>
      <c r="E5556" s="32" t="n">
        <f aca="false">mw_open</f>
        <v>2080</v>
      </c>
      <c r="F5556" s="32" t="n">
        <f aca="false">Sens!$E$5556+pace_B*0.5</f>
        <v>3897.15</v>
      </c>
      <c r="G5556" s="32" t="n">
        <f aca="false">Sens!$F$5556</f>
        <v>3897.15</v>
      </c>
      <c r="H5556" s="32" t="n">
        <f aca="false">Sens!$G$5556+pace_B</f>
        <v>7531.45</v>
      </c>
      <c r="I5556" s="32" t="n">
        <f aca="false">Sens!$H$5556+pace_B</f>
        <v>11165.75</v>
      </c>
      <c r="J5556" s="32" t="n">
        <f aca="false">Sens!$I$5556+pace_B</f>
        <v>14800.05</v>
      </c>
      <c r="K5556" s="32" t="n">
        <f aca="false">Sens!$J$5556+pace_B</f>
        <v>18434.35</v>
      </c>
      <c r="L5556" s="32" t="n">
        <f aca="false">Sens!$K$5556+pace_B</f>
        <v>22068.65</v>
      </c>
      <c r="M5556" s="32" t="n">
        <f aca="false">Sens!$L$5556+pace_B</f>
        <v>25702.95</v>
      </c>
      <c r="N5556" s="32" t="n">
        <f aca="false">(mw_ye24+mw_ye25)/2</f>
        <v>900</v>
      </c>
      <c r="O5556" s="32" t="n">
        <f aca="false">mw_ye25</f>
        <v>1440</v>
      </c>
      <c r="P5556" s="5" t="s">
        <v>553</v>
      </c>
    </row>
    <row r="5557" customFormat="false" ht="17.15" hidden="false" customHeight="false" outlineLevel="0" collapsed="false">
      <c r="A5557" s="5" t="s">
        <v>554</v>
      </c>
      <c r="B5557" s="0" t="s">
        <v>108</v>
      </c>
      <c r="C5557" s="33" t="n">
        <f aca="false">(mw_ye23+mw_ye24)/2</f>
        <v>240</v>
      </c>
      <c r="D5557" s="33" t="n">
        <f aca="false">(Sens!$C$5556+Sens!$D$5556)/2</f>
        <v>900</v>
      </c>
      <c r="E5557" s="33" t="n">
        <f aca="false">(Sens!$D$5556+Sens!$E$5556)/2</f>
        <v>1760</v>
      </c>
      <c r="F5557" s="33" t="n">
        <f aca="false">(Sens!$E$5556+Sens!$F$5556)/2</f>
        <v>2988.575</v>
      </c>
      <c r="G5557" s="33" t="n">
        <f aca="false">(Sens!$E$5557+Sens!$F$5557)/2</f>
        <v>2374.2875</v>
      </c>
      <c r="H5557" s="33" t="n">
        <f aca="false">(Sens!$G$5556+Sens!$H$5556)/2</f>
        <v>5714.3</v>
      </c>
      <c r="I5557" s="33" t="n">
        <f aca="false">(Sens!$H$5556+Sens!$I$5556)/2</f>
        <v>9348.6</v>
      </c>
      <c r="J5557" s="33" t="n">
        <f aca="false">(Sens!$I$5556+Sens!$J$5556)/2</f>
        <v>12982.9</v>
      </c>
      <c r="K5557" s="33" t="n">
        <f aca="false">(Sens!$J$5556+Sens!$K$5556)/2</f>
        <v>16617.2</v>
      </c>
      <c r="L5557" s="33" t="n">
        <f aca="false">(Sens!$K$5556+Sens!$L$5556)/2</f>
        <v>20251.5</v>
      </c>
      <c r="M5557" s="33" t="n">
        <f aca="false">(Sens!$L$5556+Sens!$M$5556)/2</f>
        <v>23885.8</v>
      </c>
      <c r="N5557" s="33" t="n">
        <f aca="false">(Sens!$C$5556+Sens!$N$5556)/2</f>
        <v>630</v>
      </c>
      <c r="O5557" s="33" t="n">
        <f aca="false">(Sens!$N$5556+Sens!$O$5556)/2</f>
        <v>1170</v>
      </c>
    </row>
    <row r="5558" customFormat="false" ht="15" hidden="false" customHeight="false" outlineLevel="0" collapsed="false">
      <c r="A5558" s="5" t="s">
        <v>555</v>
      </c>
      <c r="B5558" s="5" t="s">
        <v>102</v>
      </c>
      <c r="C5558" s="34" t="n">
        <v>1</v>
      </c>
      <c r="D5558" s="34" t="n">
        <v>1</v>
      </c>
      <c r="E5558" s="34" t="n">
        <v>0.5</v>
      </c>
      <c r="F5558" s="34" t="n">
        <v>0.5</v>
      </c>
      <c r="G5558" s="34" t="n">
        <v>1</v>
      </c>
      <c r="H5558" s="34" t="n">
        <v>1</v>
      </c>
      <c r="I5558" s="34" t="n">
        <v>1</v>
      </c>
      <c r="J5558" s="34" t="n">
        <v>1</v>
      </c>
      <c r="K5558" s="34" t="n">
        <v>1</v>
      </c>
      <c r="L5558" s="34" t="n">
        <v>1</v>
      </c>
      <c r="M5558" s="34" t="n">
        <v>1</v>
      </c>
      <c r="N5558" s="34" t="n">
        <v>0.5</v>
      </c>
      <c r="O5558" s="34" t="n">
        <v>0.5</v>
      </c>
    </row>
    <row r="5559" customFormat="false" ht="17.15" hidden="false" customHeight="false" outlineLevel="0" collapsed="false">
      <c r="A5559" s="5" t="s">
        <v>556</v>
      </c>
      <c r="B5559" s="0" t="s">
        <v>108</v>
      </c>
      <c r="C5559" s="33" t="n">
        <f aca="false">Sens!$C$5556-mw_ye23</f>
        <v>240</v>
      </c>
      <c r="D5559" s="33" t="n">
        <f aca="false">Sens!$D$5556-Sens!$C$5556</f>
        <v>1080</v>
      </c>
      <c r="E5559" s="33" t="n">
        <f aca="false">Sens!$E$5556-Sens!$D$5556</f>
        <v>640</v>
      </c>
      <c r="F5559" s="33" t="n">
        <f aca="false">Sens!$F$5556-Sens!$E$5556</f>
        <v>1817.15</v>
      </c>
      <c r="G5559" s="33" t="n">
        <f aca="false">Sens!$E$5559+Sens!$F$5559</f>
        <v>2457.15</v>
      </c>
      <c r="H5559" s="33" t="n">
        <f aca="false">Sens!$H$5556-Sens!$G$5556</f>
        <v>3634.3</v>
      </c>
      <c r="I5559" s="33" t="n">
        <f aca="false">Sens!$I$5556-Sens!$H$5556</f>
        <v>3634.3</v>
      </c>
      <c r="J5559" s="33" t="n">
        <f aca="false">Sens!$J$5556-Sens!$I$5556</f>
        <v>3634.3</v>
      </c>
      <c r="K5559" s="33" t="n">
        <f aca="false">Sens!$K$5556-Sens!$J$5556</f>
        <v>3634.3</v>
      </c>
      <c r="L5559" s="33" t="n">
        <f aca="false">Sens!$L$5556-Sens!$K$5556</f>
        <v>3634.3</v>
      </c>
      <c r="M5559" s="33" t="n">
        <f aca="false">Sens!$M$5556-Sens!$L$5556</f>
        <v>3634.3</v>
      </c>
      <c r="N5559" s="33" t="n">
        <f aca="false">Sens!$N$5556-Sens!$C$5556</f>
        <v>540</v>
      </c>
      <c r="O5559" s="33" t="n">
        <f aca="false">Sens!$O$5556-Sens!$N$5556</f>
        <v>540</v>
      </c>
    </row>
    <row r="5560" customFormat="false" ht="17.15" hidden="false" customHeight="false" outlineLevel="0" collapsed="false">
      <c r="A5560" s="5" t="s">
        <v>557</v>
      </c>
      <c r="B5560" s="0" t="s">
        <v>108</v>
      </c>
      <c r="C5560" s="33" t="n">
        <f aca="false">Sens!$C$5559/ext_sh</f>
        <v>300</v>
      </c>
      <c r="D5560" s="33" t="n">
        <f aca="false">Sens!$D$5559/ext_sh</f>
        <v>1350</v>
      </c>
      <c r="E5560" s="33" t="n">
        <f aca="false">Sens!$E$5559/ext_sh</f>
        <v>800</v>
      </c>
      <c r="F5560" s="33" t="n">
        <f aca="false">Sens!$F$5559/ext_sh</f>
        <v>2271.4375</v>
      </c>
      <c r="G5560" s="33" t="n">
        <f aca="false">Sens!$G$5559/ext_sh</f>
        <v>3071.4375</v>
      </c>
      <c r="H5560" s="33" t="n">
        <f aca="false">Sens!$H$5559/ext_sh</f>
        <v>4542.875</v>
      </c>
      <c r="I5560" s="33" t="n">
        <f aca="false">Sens!$I$5559/ext_sh</f>
        <v>4542.875</v>
      </c>
      <c r="J5560" s="33" t="n">
        <f aca="false">Sens!$J$5559/ext_sh</f>
        <v>4542.875</v>
      </c>
      <c r="K5560" s="33" t="n">
        <f aca="false">Sens!$K$5559/ext_sh</f>
        <v>4542.875</v>
      </c>
      <c r="L5560" s="33" t="n">
        <f aca="false">Sens!$L$5559/ext_sh</f>
        <v>4542.875</v>
      </c>
      <c r="M5560" s="33" t="n">
        <f aca="false">Sens!$M$5559/ext_sh</f>
        <v>4542.875</v>
      </c>
      <c r="N5560" s="33" t="n">
        <f aca="false">Sens!$N$5559/ext_sh</f>
        <v>675</v>
      </c>
      <c r="O5560" s="33" t="n">
        <f aca="false">Sens!$O$5559/ext_sh</f>
        <v>675</v>
      </c>
      <c r="P5560" s="8" t="s">
        <v>558</v>
      </c>
      <c r="R5560" s="33" t="n">
        <f aca="false">mw_ye23/ext_sh</f>
        <v>150</v>
      </c>
      <c r="S5560" s="33" t="n">
        <f aca="false">Sens!$C$5560</f>
        <v>300</v>
      </c>
      <c r="T5560" s="33" t="n">
        <f aca="false">Sens!$D$5560</f>
        <v>1350</v>
      </c>
      <c r="U5560" s="33" t="n">
        <f aca="false">Sens!$G$5560</f>
        <v>3071.4375</v>
      </c>
      <c r="V5560" s="33" t="n">
        <f aca="false">Sens!$H$5560</f>
        <v>4542.875</v>
      </c>
      <c r="W5560" s="33" t="n">
        <f aca="false">Sens!$I$5560</f>
        <v>4542.875</v>
      </c>
      <c r="X5560" s="33" t="n">
        <f aca="false">Sens!$J$5560</f>
        <v>4542.875</v>
      </c>
      <c r="Y5560" s="33" t="n">
        <f aca="false">Sens!$K$5560</f>
        <v>4542.875</v>
      </c>
      <c r="Z5560" s="33" t="n">
        <f aca="false">Sens!$L$5560</f>
        <v>4542.875</v>
      </c>
      <c r="AA5560" s="33" t="n">
        <f aca="false">Sens!$M$5560</f>
        <v>4542.875</v>
      </c>
    </row>
    <row r="5561" customFormat="false" ht="17.15" hidden="false" customHeight="false" outlineLevel="0" collapsed="false">
      <c r="A5561" s="1" t="s">
        <v>559</v>
      </c>
    </row>
    <row r="5562" customFormat="false" ht="17.15" hidden="false" customHeight="false" outlineLevel="0" collapsed="false">
      <c r="A5562" s="0" t="s">
        <v>560</v>
      </c>
      <c r="B5562" s="0" t="s">
        <v>52</v>
      </c>
      <c r="F5562" s="35" t="n">
        <f aca="false">na_vr26</f>
        <v>0</v>
      </c>
      <c r="G5562" s="35" t="n">
        <f aca="false">na_vr26</f>
        <v>0</v>
      </c>
      <c r="H5562" s="35" t="n">
        <f aca="false">na_vr27</f>
        <v>0.5</v>
      </c>
      <c r="I5562" s="35" t="n">
        <f aca="false">na_vr28</f>
        <v>1</v>
      </c>
      <c r="J5562" s="35" t="n">
        <f aca="false">na_vr28</f>
        <v>1</v>
      </c>
      <c r="K5562" s="35" t="n">
        <f aca="false">na_vr28</f>
        <v>1</v>
      </c>
      <c r="L5562" s="35" t="n">
        <f aca="false">na_vr28</f>
        <v>1</v>
      </c>
      <c r="M5562" s="35" t="n">
        <f aca="false">na_vr28</f>
        <v>1</v>
      </c>
    </row>
    <row r="5563" customFormat="false" ht="17.15" hidden="false" customHeight="false" outlineLevel="0" collapsed="false">
      <c r="A5563" s="5" t="s">
        <v>561</v>
      </c>
      <c r="B5563" s="0" t="s">
        <v>151</v>
      </c>
      <c r="F5563" s="36" t="n">
        <f aca="false">cust_sh*tk_he_gb300*cf_chip+(1-cust_sh)*((1-Sens!$F$5562)*tk_he_gb300+Sens!$F$5562*tk_he_vr200)</f>
        <v>10.8864110021101</v>
      </c>
      <c r="G5563" s="36" t="n">
        <f aca="false">cust_sh*tk_he_gb300*cf_chip+(1-cust_sh)*((1-Sens!$G$5562)*tk_he_gb300+Sens!$G$5562*tk_he_vr200)</f>
        <v>10.8864110021101</v>
      </c>
      <c r="H5563" s="36" t="n">
        <f aca="false">cust_sh*tk_he_gb300*cf_chip+(1-cust_sh)*((1-Sens!$H$5562)*tk_he_gb300+Sens!$H$5562*tk_he_vr200)</f>
        <v>11.2211760027286</v>
      </c>
      <c r="I5563" s="36" t="n">
        <f aca="false">cust_sh*tk_he_gb300*cf_chip+(1-cust_sh)*((1-Sens!$I$5562)*tk_he_gb300+Sens!$I$5562*tk_he_vr200)</f>
        <v>11.5559410033471</v>
      </c>
      <c r="J5563" s="36" t="n">
        <f aca="false">cust_sh*tk_he_gb300*cf_chip+(1-cust_sh)*((1-Sens!$J$5562)*tk_he_gb300+Sens!$J$5562*tk_he_vr200)</f>
        <v>11.5559410033471</v>
      </c>
      <c r="K5563" s="36" t="n">
        <f aca="false">cust_sh*tk_he_gb300*cf_chip+(1-cust_sh)*((1-Sens!$K$5562)*tk_he_gb300+Sens!$K$5562*tk_he_vr200)</f>
        <v>11.5559410033471</v>
      </c>
      <c r="L5563" s="36" t="n">
        <f aca="false">cust_sh*tk_he_gb300*cf_chip+(1-cust_sh)*((1-Sens!$L$5562)*tk_he_gb300+Sens!$L$5562*tk_he_vr200)</f>
        <v>11.5559410033471</v>
      </c>
      <c r="M5563" s="36" t="n">
        <f aca="false">cust_sh*tk_he_gb300*cf_chip+(1-cust_sh)*((1-Sens!$M$5562)*tk_he_gb300+Sens!$M$5562*tk_he_vr200)</f>
        <v>11.5559410033471</v>
      </c>
    </row>
    <row r="5564" customFormat="false" ht="17.15" hidden="false" customHeight="false" outlineLevel="0" collapsed="false">
      <c r="A5564" s="5" t="s">
        <v>562</v>
      </c>
      <c r="B5564" s="0" t="s">
        <v>151</v>
      </c>
      <c r="F5564" s="36" t="n">
        <f aca="false">cust_sh*tk_ox_gb300+(1-cust_sh)*((1-Sens!$F$5562)*tk_ox_gb300+Sens!$F$5562*tk_ox_vr200)</f>
        <v>1.98263481314457</v>
      </c>
      <c r="G5564" s="36" t="n">
        <f aca="false">cust_sh*tk_ox_gb300+(1-cust_sh)*((1-Sens!$G$5562)*tk_ox_gb300+Sens!$G$5562*tk_ox_vr200)</f>
        <v>1.98263481314457</v>
      </c>
      <c r="H5564" s="36" t="n">
        <f aca="false">cust_sh*tk_ox_gb300+(1-cust_sh)*((1-Sens!$H$5562)*tk_ox_gb300+Sens!$H$5562*tk_ox_vr200)</f>
        <v>2.01034999693694</v>
      </c>
      <c r="I5564" s="36" t="n">
        <f aca="false">cust_sh*tk_ox_gb300+(1-cust_sh)*((1-Sens!$I$5562)*tk_ox_gb300+Sens!$I$5562*tk_ox_vr200)</f>
        <v>2.0380651807293</v>
      </c>
      <c r="J5564" s="36" t="n">
        <f aca="false">cust_sh*tk_ox_gb300+(1-cust_sh)*((1-Sens!$J$5562)*tk_ox_gb300+Sens!$J$5562*tk_ox_vr200)</f>
        <v>2.0380651807293</v>
      </c>
      <c r="K5564" s="36" t="n">
        <f aca="false">cust_sh*tk_ox_gb300+(1-cust_sh)*((1-Sens!$K$5562)*tk_ox_gb300+Sens!$K$5562*tk_ox_vr200)</f>
        <v>2.0380651807293</v>
      </c>
      <c r="L5564" s="36" t="n">
        <f aca="false">cust_sh*tk_ox_gb300+(1-cust_sh)*((1-Sens!$L$5562)*tk_ox_gb300+Sens!$L$5562*tk_ox_vr200)</f>
        <v>2.0380651807293</v>
      </c>
      <c r="M5564" s="36" t="n">
        <f aca="false">cust_sh*tk_ox_gb300+(1-cust_sh)*((1-Sens!$M$5562)*tk_ox_gb300+Sens!$M$5562*tk_ox_vr200)</f>
        <v>2.0380651807293</v>
      </c>
    </row>
    <row r="5565" customFormat="false" ht="17.15" hidden="false" customHeight="false" outlineLevel="0" collapsed="false">
      <c r="A5565" s="5" t="s">
        <v>563</v>
      </c>
      <c r="B5565" s="0" t="s">
        <v>170</v>
      </c>
      <c r="F5565" s="36" t="n">
        <f aca="false">cust_sh*tk_cx_gb300*cf_cx+(1-cust_sh)*((1-Sens!$F$5562)*tk_cx_gb300+Sens!$F$5562*tk_cx_vr200)</f>
        <v>32.237224</v>
      </c>
      <c r="G5565" s="36" t="n">
        <f aca="false">cust_sh*tk_cx_gb300*cf_cx+(1-cust_sh)*((1-Sens!$G$5562)*tk_cx_gb300+Sens!$G$5562*tk_cx_vr200)</f>
        <v>32.237224</v>
      </c>
      <c r="H5565" s="36" t="n">
        <f aca="false">cust_sh*tk_cx_gb300*cf_cx+(1-cust_sh)*((1-Sens!$H$5562)*tk_cx_gb300+Sens!$H$5562*tk_cx_vr200)</f>
        <v>33.574506</v>
      </c>
      <c r="I5565" s="36" t="n">
        <f aca="false">cust_sh*tk_cx_gb300*cf_cx+(1-cust_sh)*((1-Sens!$I$5562)*tk_cx_gb300+Sens!$I$5562*tk_cx_vr200)</f>
        <v>34.911788</v>
      </c>
      <c r="J5565" s="36" t="n">
        <f aca="false">cust_sh*tk_cx_gb300*cf_cx+(1-cust_sh)*((1-Sens!$J$5562)*tk_cx_gb300+Sens!$J$5562*tk_cx_vr200)</f>
        <v>34.911788</v>
      </c>
      <c r="K5565" s="36" t="n">
        <f aca="false">cust_sh*tk_cx_gb300*cf_cx+(1-cust_sh)*((1-Sens!$K$5562)*tk_cx_gb300+Sens!$K$5562*tk_cx_vr200)</f>
        <v>34.911788</v>
      </c>
      <c r="L5565" s="36" t="n">
        <f aca="false">cust_sh*tk_cx_gb300*cf_cx+(1-cust_sh)*((1-Sens!$L$5562)*tk_cx_gb300+Sens!$L$5562*tk_cx_vr200)</f>
        <v>34.911788</v>
      </c>
      <c r="M5565" s="36" t="n">
        <f aca="false">cust_sh*tk_cx_gb300*cf_cx+(1-cust_sh)*((1-Sens!$M$5562)*tk_cx_gb300+Sens!$M$5562*tk_cx_vr200)</f>
        <v>34.911788</v>
      </c>
    </row>
    <row r="5566" customFormat="false" ht="17.15" hidden="false" customHeight="false" outlineLevel="0" collapsed="false">
      <c r="A5566" s="5" t="s">
        <v>564</v>
      </c>
      <c r="B5566" s="0" t="s">
        <v>108</v>
      </c>
      <c r="F5566" s="33" t="n">
        <f aca="false">Sens!$F$5556-mw_open</f>
        <v>1817.15</v>
      </c>
      <c r="G5566" s="33" t="n">
        <f aca="false">Sens!$F$5566</f>
        <v>1817.15</v>
      </c>
      <c r="H5566" s="33" t="n">
        <f aca="false">Sens!$H$5556-mw_open</f>
        <v>5451.45</v>
      </c>
      <c r="I5566" s="33" t="n">
        <f aca="false">Sens!$I$5556-mw_open</f>
        <v>9085.75</v>
      </c>
      <c r="J5566" s="33" t="n">
        <f aca="false">Sens!$J$5556-mw_open</f>
        <v>12720.05</v>
      </c>
      <c r="K5566" s="33" t="n">
        <f aca="false">Sens!$K$5556-mw_open</f>
        <v>16354.35</v>
      </c>
      <c r="L5566" s="33" t="n">
        <f aca="false">Sens!$L$5556-mw_open</f>
        <v>19988.65</v>
      </c>
      <c r="M5566" s="33" t="n">
        <f aca="false">Sens!$M$5556-mw_open</f>
        <v>23622.95</v>
      </c>
    </row>
    <row r="5567" customFormat="false" ht="17.15" hidden="false" customHeight="false" outlineLevel="0" collapsed="false">
      <c r="A5567" s="0" t="s">
        <v>565</v>
      </c>
      <c r="B5567" s="0" t="s">
        <v>566</v>
      </c>
      <c r="F5567" s="33" t="n">
        <f aca="false">Sens!$F$5559*Sens!$F$5563</f>
        <v>19782.2417524844</v>
      </c>
      <c r="G5567" s="33" t="n">
        <f aca="false">Sens!$F$5567</f>
        <v>19782.2417524844</v>
      </c>
      <c r="H5567" s="33" t="n">
        <f aca="false">Sens!$G$5567+Sens!$H$5559*Sens!$H$5563</f>
        <v>60563.3616992009</v>
      </c>
      <c r="I5567" s="33" t="n">
        <f aca="false">Sens!$H$5567+Sens!$I$5559*Sens!$I$5563</f>
        <v>102561.118087665</v>
      </c>
      <c r="J5567" s="33" t="n">
        <f aca="false">Sens!$I$5567+Sens!$J$5559*Sens!$J$5563</f>
        <v>144558.87447613</v>
      </c>
      <c r="K5567" s="33" t="n">
        <f aca="false">Sens!$J$5567+Sens!$K$5559*Sens!$K$5563</f>
        <v>186556.630864594</v>
      </c>
      <c r="L5567" s="33" t="n">
        <f aca="false">Sens!$K$5567+Sens!$L$5559*Sens!$L$5563</f>
        <v>228554.387253058</v>
      </c>
      <c r="M5567" s="33" t="n">
        <f aca="false">Sens!$L$5567+Sens!$M$5559*Sens!$M$5563</f>
        <v>270552.143641523</v>
      </c>
    </row>
    <row r="5568" customFormat="false" ht="17.15" hidden="false" customHeight="false" outlineLevel="0" collapsed="false">
      <c r="A5568" s="0" t="s">
        <v>567</v>
      </c>
      <c r="B5568" s="0" t="s">
        <v>566</v>
      </c>
      <c r="F5568" s="33" t="n">
        <f aca="false">Sens!$F$5559*Sens!$F$5564</f>
        <v>3602.74485070566</v>
      </c>
      <c r="G5568" s="33" t="n">
        <f aca="false">Sens!$F$5568</f>
        <v>3602.74485070566</v>
      </c>
      <c r="H5568" s="33" t="n">
        <f aca="false">Sens!$G$5568+Sens!$H$5559*Sens!$H$5564</f>
        <v>10908.9598445736</v>
      </c>
      <c r="I5568" s="33" t="n">
        <f aca="false">Sens!$H$5568+Sens!$I$5559*Sens!$I$5564</f>
        <v>18315.9001308981</v>
      </c>
      <c r="J5568" s="33" t="n">
        <f aca="false">Sens!$I$5568+Sens!$J$5559*Sens!$J$5564</f>
        <v>25722.8404172225</v>
      </c>
      <c r="K5568" s="33" t="n">
        <f aca="false">Sens!$J$5568+Sens!$K$5559*Sens!$K$5564</f>
        <v>33129.780703547</v>
      </c>
      <c r="L5568" s="33" t="n">
        <f aca="false">Sens!$K$5568+Sens!$L$5559*Sens!$L$5564</f>
        <v>40536.7209898715</v>
      </c>
      <c r="M5568" s="33" t="n">
        <f aca="false">Sens!$L$5568+Sens!$M$5559*Sens!$M$5564</f>
        <v>47943.661276196</v>
      </c>
    </row>
    <row r="5569" customFormat="false" ht="17.15" hidden="false" customHeight="false" outlineLevel="0" collapsed="false">
      <c r="A5569" s="5" t="s">
        <v>568</v>
      </c>
      <c r="B5569" s="0" t="s">
        <v>151</v>
      </c>
      <c r="F5569" s="36" t="n">
        <f aca="false">IF(Sens!$F$5566&gt;0,Sens!$F$5567/Sens!$F$5566,Sens!$F$5563)</f>
        <v>10.8864110021101</v>
      </c>
      <c r="G5569" s="36" t="n">
        <f aca="false">IF(Sens!$G$5566&gt;0,Sens!$G$5567/Sens!$G$5566,Sens!$G$5563)</f>
        <v>10.8864110021101</v>
      </c>
      <c r="H5569" s="36" t="n">
        <f aca="false">IF(Sens!$H$5566&gt;0,Sens!$H$5567/Sens!$H$5566,Sens!$H$5563)</f>
        <v>11.1095876691891</v>
      </c>
      <c r="I5569" s="36" t="n">
        <f aca="false">IF(Sens!$I$5566&gt;0,Sens!$I$5567/Sens!$I$5566,Sens!$I$5563)</f>
        <v>11.2881290028523</v>
      </c>
      <c r="J5569" s="36" t="n">
        <f aca="false">IF(Sens!$J$5566&gt;0,Sens!$J$5567/Sens!$J$5566,Sens!$J$5563)</f>
        <v>11.3646467172794</v>
      </c>
      <c r="K5569" s="36" t="n">
        <f aca="false">IF(Sens!$K$5566&gt;0,Sens!$K$5567/Sens!$K$5566,Sens!$K$5563)</f>
        <v>11.4071565586278</v>
      </c>
      <c r="L5569" s="36" t="n">
        <f aca="false">IF(Sens!$L$5566&gt;0,Sens!$L$5567/Sens!$L$5566,Sens!$L$5563)</f>
        <v>11.4342082758495</v>
      </c>
      <c r="M5569" s="36" t="n">
        <f aca="false">IF(Sens!$M$5566&gt;0,Sens!$M$5567/Sens!$M$5566,Sens!$M$5563)</f>
        <v>11.4529363877722</v>
      </c>
    </row>
    <row r="5570" customFormat="false" ht="17.15" hidden="false" customHeight="false" outlineLevel="0" collapsed="false">
      <c r="A5570" s="5" t="s">
        <v>569</v>
      </c>
      <c r="B5570" s="0" t="s">
        <v>151</v>
      </c>
      <c r="F5570" s="36" t="n">
        <f aca="false">IF(Sens!$F$5566&gt;0,Sens!$F$5568/Sens!$F$5566,Sens!$F$5564)</f>
        <v>1.98263481314457</v>
      </c>
      <c r="G5570" s="36" t="n">
        <f aca="false">IF(Sens!$G$5566&gt;0,Sens!$G$5568/Sens!$G$5566,Sens!$G$5564)</f>
        <v>1.98263481314457</v>
      </c>
      <c r="H5570" s="36" t="n">
        <f aca="false">IF(Sens!$H$5566&gt;0,Sens!$H$5568/Sens!$H$5566,Sens!$H$5564)</f>
        <v>2.00111160233948</v>
      </c>
      <c r="I5570" s="36" t="n">
        <f aca="false">IF(Sens!$I$5566&gt;0,Sens!$I$5568/Sens!$I$5566,Sens!$I$5564)</f>
        <v>2.01589303369541</v>
      </c>
      <c r="J5570" s="36" t="n">
        <f aca="false">IF(Sens!$J$5566&gt;0,Sens!$J$5568/Sens!$J$5566,Sens!$J$5564)</f>
        <v>2.02222793284795</v>
      </c>
      <c r="K5570" s="36" t="n">
        <f aca="false">IF(Sens!$K$5566&gt;0,Sens!$K$5568/Sens!$K$5566,Sens!$K$5564)</f>
        <v>2.02574732126603</v>
      </c>
      <c r="L5570" s="36" t="n">
        <f aca="false">IF(Sens!$L$5566&gt;0,Sens!$L$5568/Sens!$L$5566,Sens!$L$5564)</f>
        <v>2.02798693207753</v>
      </c>
      <c r="M5570" s="36" t="n">
        <f aca="false">IF(Sens!$M$5566&gt;0,Sens!$M$5568/Sens!$M$5566,Sens!$M$5564)</f>
        <v>2.02953743187011</v>
      </c>
    </row>
    <row r="5571" customFormat="false" ht="17.15" hidden="false" customHeight="false" outlineLevel="0" collapsed="false">
      <c r="A5571" s="14" t="s">
        <v>570</v>
      </c>
      <c r="B5571" s="13" t="s">
        <v>151</v>
      </c>
      <c r="C5571" s="13"/>
      <c r="D5571" s="13"/>
      <c r="E5571" s="13"/>
      <c r="F5571" s="37" t="n">
        <f aca="false">Sens!$F$5569*k_B</f>
        <v>10.7987645808025</v>
      </c>
      <c r="G5571" s="37" t="n">
        <f aca="false">Sens!$G$5569*k_B</f>
        <v>10.7987645808025</v>
      </c>
      <c r="H5571" s="37" t="n">
        <f aca="false">Sens!$H$5569*k_B</f>
        <v>11.0201444540452</v>
      </c>
      <c r="I5571" s="37" t="n">
        <f aca="false">Sens!$I$5569*k_B</f>
        <v>11.1972483526393</v>
      </c>
      <c r="J5571" s="37" t="n">
        <f aca="false">Sens!$J$5569*k_B</f>
        <v>11.2731500234653</v>
      </c>
      <c r="K5571" s="37" t="n">
        <f aca="false">Sens!$K$5569*k_B</f>
        <v>11.3153176183687</v>
      </c>
      <c r="L5571" s="37" t="n">
        <f aca="false">Sens!$L$5569*k_B</f>
        <v>11.3421515423981</v>
      </c>
      <c r="M5571" s="37" t="n">
        <f aca="false">Sens!$M$5569*k_B</f>
        <v>11.3607288744184</v>
      </c>
      <c r="N5571" s="13"/>
      <c r="O5571" s="13"/>
      <c r="P5571" s="5" t="s">
        <v>571</v>
      </c>
    </row>
    <row r="5572" customFormat="false" ht="17.15" hidden="false" customHeight="false" outlineLevel="0" collapsed="false">
      <c r="A5572" s="5" t="s">
        <v>572</v>
      </c>
      <c r="B5572" s="0" t="s">
        <v>108</v>
      </c>
      <c r="F5572" s="33" t="n">
        <f aca="false">Sens!$F$5566/2</f>
        <v>908.575</v>
      </c>
      <c r="H5572" s="33" t="n">
        <f aca="false">(Sens!$G$5566+Sens!$H$5566)/2</f>
        <v>3634.3</v>
      </c>
      <c r="I5572" s="33" t="n">
        <f aca="false">(Sens!$H$5566+Sens!$I$5566)/2</f>
        <v>7268.6</v>
      </c>
      <c r="J5572" s="33" t="n">
        <f aca="false">(Sens!$I$5566+Sens!$J$5566)/2</f>
        <v>10902.9</v>
      </c>
      <c r="K5572" s="33" t="n">
        <f aca="false">(Sens!$J$5566+Sens!$K$5566)/2</f>
        <v>14537.2</v>
      </c>
      <c r="L5572" s="33" t="n">
        <f aca="false">(Sens!$K$5566+Sens!$L$5566)/2</f>
        <v>18171.5</v>
      </c>
      <c r="M5572" s="33" t="n">
        <f aca="false">(Sens!$L$5566+Sens!$M$5566)/2</f>
        <v>21805.8</v>
      </c>
    </row>
    <row r="5573" customFormat="false" ht="17.15" hidden="false" customHeight="false" outlineLevel="0" collapsed="false">
      <c r="A5573" s="1" t="s">
        <v>573</v>
      </c>
    </row>
    <row r="5574" customFormat="false" ht="17.15" hidden="false" customHeight="false" outlineLevel="0" collapsed="false">
      <c r="A5574" s="1" t="s">
        <v>574</v>
      </c>
      <c r="B5574" s="8" t="s">
        <v>73</v>
      </c>
      <c r="C5574" s="38" t="n">
        <f aca="false">Sens!$C$5557*rpm_open*Sens!$C$5558/1000</f>
        <v>2.32100535697364</v>
      </c>
      <c r="D5574" s="38" t="n">
        <f aca="false">Sens!$D$5557*rpm_open*Sens!$D$5558/1000</f>
        <v>8.70377008865116</v>
      </c>
      <c r="E5574" s="38" t="n">
        <f aca="false">Sens!$E$5557*rpm_open*Sens!$E$5558/1000</f>
        <v>8.51035297557002</v>
      </c>
      <c r="F5574" s="38" t="n">
        <f aca="false">(mw_open*rpm_open+Sens!$F$5572*Sens!$F$5571)*Sens!$F$5558/1000</f>
        <v>14.9634336447205</v>
      </c>
      <c r="G5574" s="38" t="n">
        <f aca="false">Sens!$E$5574+Sens!$F$5574</f>
        <v>23.4737866202905</v>
      </c>
      <c r="H5574" s="38" t="n">
        <f aca="false">(mw_open*rpm_open+Sens!$H$5572*Sens!$H$5571)/1000</f>
        <v>60.1658907497746</v>
      </c>
      <c r="I5574" s="38" t="n">
        <f aca="false">(mw_open*rpm_open+Sens!$I$5572*Sens!$I$5571)/1000</f>
        <v>101.503699136432</v>
      </c>
      <c r="J5574" s="38" t="n">
        <f aca="false">(mw_open*rpm_open+Sens!$J$5572*Sens!$J$5571)/1000</f>
        <v>143.025407151278</v>
      </c>
      <c r="K5574" s="38" t="n">
        <f aca="false">(mw_open*rpm_open+Sens!$K$5572*Sens!$K$5571)/1000</f>
        <v>184.608415042187</v>
      </c>
      <c r="L5574" s="38" t="n">
        <f aca="false">(mw_open*rpm_open+Sens!$L$5572*Sens!$L$5571)/1000</f>
        <v>226.219286513125</v>
      </c>
      <c r="M5574" s="38" t="n">
        <f aca="false">(mw_open*rpm_open+Sens!$M$5572*Sens!$M$5571)/1000</f>
        <v>267.845161450232</v>
      </c>
      <c r="N5574" s="38" t="n">
        <f aca="false">Sens!$N$5557*rpm_open*Sens!$N$5558/1000</f>
        <v>3.04631953102791</v>
      </c>
      <c r="O5574" s="38" t="n">
        <f aca="false">Sens!$O$5557*rpm_open*Sens!$O$5558/1000</f>
        <v>5.65745055762326</v>
      </c>
      <c r="P5574" s="5" t="s">
        <v>575</v>
      </c>
    </row>
    <row r="5575" customFormat="false" ht="17.15" hidden="false" customHeight="false" outlineLevel="0" collapsed="false">
      <c r="A5575" s="5" t="s">
        <v>576</v>
      </c>
      <c r="B5575" s="0" t="s">
        <v>151</v>
      </c>
      <c r="C5575" s="36" t="n">
        <f aca="false">Sens!$C$5574*1000/(Sens!$C$5557*Sens!$C$5558)</f>
        <v>9.67085565405685</v>
      </c>
      <c r="D5575" s="36" t="n">
        <f aca="false">Sens!$D$5574*1000/(Sens!$D$5557*Sens!$D$5558)</f>
        <v>9.67085565405685</v>
      </c>
      <c r="E5575" s="36" t="n">
        <f aca="false">Sens!$E$5574*1000/(Sens!$E$5557*Sens!$E$5558)</f>
        <v>9.67085565405685</v>
      </c>
      <c r="F5575" s="36" t="n">
        <f aca="false">Sens!$F$5574*1000/(Sens!$F$5557*Sens!$F$5558)</f>
        <v>10.0137581588017</v>
      </c>
      <c r="G5575" s="36" t="n">
        <f aca="false">Sens!$G$5574*1000/(Sens!$G$5557*Sens!$G$5558)</f>
        <v>9.88666562928478</v>
      </c>
      <c r="H5575" s="36" t="n">
        <f aca="false">Sens!$H$5574*1000/(Sens!$H$5557*Sens!$H$5558)</f>
        <v>10.5290045586992</v>
      </c>
      <c r="I5575" s="36" t="n">
        <f aca="false">Sens!$I$5574*1000/(Sens!$I$5557*Sens!$I$5558)</f>
        <v>10.8576363451674</v>
      </c>
      <c r="J5575" s="36" t="n">
        <f aca="false">Sens!$J$5574*1000/(Sens!$J$5557*Sens!$J$5558)</f>
        <v>11.0164452588619</v>
      </c>
      <c r="K5575" s="36" t="n">
        <f aca="false">Sens!$K$5574*1000/(Sens!$K$5557*Sens!$K$5558)</f>
        <v>11.1094778327388</v>
      </c>
      <c r="L5575" s="36" t="n">
        <f aca="false">Sens!$L$5574*1000/(Sens!$L$5557*Sens!$L$5558)</f>
        <v>11.1704953466718</v>
      </c>
      <c r="M5575" s="36" t="n">
        <f aca="false">Sens!$M$5574*1000/(Sens!$M$5557*Sens!$M$5558)</f>
        <v>11.2135729785158</v>
      </c>
      <c r="N5575" s="36" t="n">
        <f aca="false">Sens!$N$5574*1000/(Sens!$N$5557*Sens!$N$5558)</f>
        <v>9.67085565405685</v>
      </c>
      <c r="O5575" s="36" t="n">
        <f aca="false">Sens!$O$5574*1000/(Sens!$O$5557*Sens!$O$5558)</f>
        <v>9.67085565405685</v>
      </c>
    </row>
    <row r="5576" customFormat="false" ht="17.15" hidden="false" customHeight="false" outlineLevel="0" collapsed="false">
      <c r="A5576" s="0" t="s">
        <v>577</v>
      </c>
      <c r="B5576" s="0" t="s">
        <v>73</v>
      </c>
      <c r="C5576" s="38" t="n">
        <f aca="false">Sens!$C$5557/ext_sh*(ox_open+rent_mw)*Sens!$C$5558/1000</f>
        <v>0.642569210675032</v>
      </c>
      <c r="D5576" s="38" t="n">
        <f aca="false">Sens!$D$5557/ext_sh*(ox_open+rent_mw)*Sens!$D$5558/1000</f>
        <v>2.40963454003137</v>
      </c>
      <c r="E5576" s="38" t="n">
        <f aca="false">Sens!$E$5557/ext_sh*(ox_open+rent_mw)*Sens!$E$5558/1000</f>
        <v>2.35608710580845</v>
      </c>
      <c r="F5576" s="38" t="n">
        <f aca="false">((mw_open*ox_open+Sens!$F$5572*Sens!$F$5570)/ext_sh+Sens!$F$5557/ext_sh*rent_mw)*Sens!$F$5558/1000</f>
        <v>4.05421991106232</v>
      </c>
      <c r="G5576" s="38" t="n">
        <f aca="false">Sens!$E$5576+Sens!$F$5576</f>
        <v>6.41030701687077</v>
      </c>
      <c r="H5576" s="38" t="n">
        <f aca="false">((mw_open*ox_open+Sens!$H$5572*Sens!$H$5570)/ext_sh+Sens!$H$5557/ext_sh*rent_mw)*Sens!$H$5558/1000</f>
        <v>15.8108975546616</v>
      </c>
      <c r="I5576" s="38" t="n">
        <f aca="false">((mw_open*ox_open+Sens!$I$5572*Sens!$I$5570)/ext_sh+Sens!$I$5557/ext_sh*rent_mw)*Sens!$I$5558/1000</f>
        <v>26.1871623400817</v>
      </c>
      <c r="J5576" s="38" t="n">
        <f aca="false">((mw_open*ox_open+Sens!$J$5572*Sens!$J$5570)/ext_sh+Sens!$J$5557/ext_sh*rent_mw)*Sens!$J$5558/1000</f>
        <v>36.5826128954935</v>
      </c>
      <c r="K5576" s="38" t="n">
        <f aca="false">((mw_open*ox_open+Sens!$K$5572*Sens!$K$5570)/ext_sh+Sens!$K$5557/ext_sh*rent_mw)*Sens!$K$5558/1000</f>
        <v>46.9844587075692</v>
      </c>
      <c r="L5576" s="38" t="n">
        <f aca="false">((mw_open*ox_open+Sens!$L$5572*Sens!$L$5570)/ext_sh+Sens!$L$5557/ext_sh*rent_mw)*Sens!$L$5558/1000</f>
        <v>57.3892114544922</v>
      </c>
      <c r="M5576" s="38" t="n">
        <f aca="false">((mw_open*ox_open+Sens!$M$5572*Sens!$M$5570)/ext_sh+Sens!$M$5557/ext_sh*rent_mw)*Sens!$M$5558/1000</f>
        <v>67.7955294740252</v>
      </c>
      <c r="N5576" s="38" t="n">
        <f aca="false">Sens!$N$5557/ext_sh*(ox_open+rent_mw)*Sens!$N$5558/1000</f>
        <v>0.84337208901098</v>
      </c>
      <c r="O5576" s="38" t="n">
        <f aca="false">Sens!$O$5557/ext_sh*(ox_open+rent_mw)*Sens!$O$5558/1000</f>
        <v>1.56626245102039</v>
      </c>
    </row>
    <row r="5577" customFormat="false" ht="17.15" hidden="false" customHeight="false" outlineLevel="0" collapsed="false">
      <c r="A5577" s="0" t="s">
        <v>578</v>
      </c>
      <c r="B5577" s="0" t="s">
        <v>73</v>
      </c>
      <c r="C5577" s="38" t="n">
        <f aca="false">Q!$D$7</f>
        <v>107.556</v>
      </c>
      <c r="D5577" s="38" t="n">
        <f aca="false">Q!$E$7</f>
        <v>128.725</v>
      </c>
      <c r="E5577" s="38" t="n">
        <f aca="false">Q!$P$7</f>
        <v>79.819</v>
      </c>
      <c r="N5577" s="38" t="n">
        <f aca="false">Q!$N$7</f>
        <v>60.14</v>
      </c>
      <c r="O5577" s="38" t="n">
        <f aca="false">Q!$O$7</f>
        <v>68.585</v>
      </c>
    </row>
    <row r="5578" customFormat="false" ht="17.15" hidden="false" customHeight="false" outlineLevel="0" collapsed="false">
      <c r="A5578" s="1" t="s">
        <v>579</v>
      </c>
      <c r="B5578" s="8" t="s">
        <v>73</v>
      </c>
      <c r="C5578" s="38" t="n">
        <f aca="false">Sens!$C$5577-Sens!$C$5574</f>
        <v>105.234994643026</v>
      </c>
      <c r="D5578" s="38" t="n">
        <f aca="false">Sens!$D$5577-Sens!$D$5574</f>
        <v>120.021229911349</v>
      </c>
      <c r="E5578" s="38" t="n">
        <f aca="false">Sens!$E$5577-Sens!$E$5574</f>
        <v>71.30864702443</v>
      </c>
      <c r="F5578" s="38" t="n">
        <f aca="false">Sens!$O$5578*(1+Sens!$F$5579)</f>
        <v>78.5950104186653</v>
      </c>
      <c r="G5578" s="38" t="n">
        <f aca="false">Sens!$E$5578+Sens!$F$5578</f>
        <v>149.903657443095</v>
      </c>
      <c r="H5578" s="38" t="n">
        <f aca="false">Sens!$G$5578*(1+Sens!$H$5579)</f>
        <v>180.893560768142</v>
      </c>
      <c r="I5578" s="38" t="n">
        <f aca="false">Sens!$H$5578*(1+Sens!$I$5579)</f>
        <v>210.64839721501</v>
      </c>
      <c r="J5578" s="38" t="n">
        <f aca="false">Sens!$I$5578*(1+Sens!$J$5579)</f>
        <v>236.398909446495</v>
      </c>
      <c r="K5578" s="38" t="n">
        <f aca="false">Sens!$J$5578*(1+Sens!$K$5579)</f>
        <v>255.310822202215</v>
      </c>
      <c r="L5578" s="38" t="n">
        <f aca="false">Sens!$K$5578*(1+Sens!$L$5579)</f>
        <v>275.735687978392</v>
      </c>
      <c r="M5578" s="38" t="n">
        <f aca="false">Sens!$L$5578*(1+Sens!$M$5579)</f>
        <v>297.794543016663</v>
      </c>
      <c r="N5578" s="38" t="n">
        <f aca="false">Sens!$N$5577-Sens!$N$5574</f>
        <v>57.0936804689721</v>
      </c>
      <c r="O5578" s="38" t="n">
        <f aca="false">Sens!$O$5577-Sens!$O$5574</f>
        <v>62.9275494423768</v>
      </c>
      <c r="P5578" s="5" t="s">
        <v>580</v>
      </c>
    </row>
    <row r="5579" customFormat="false" ht="17.15" hidden="false" customHeight="false" outlineLevel="0" collapsed="false">
      <c r="A5579" s="0" t="s">
        <v>581</v>
      </c>
      <c r="B5579" s="0" t="s">
        <v>52</v>
      </c>
      <c r="E5579" s="12" t="n">
        <f aca="false">Sens!$E$5578/Sens!$N$5578-1</f>
        <v>0.248976181579029</v>
      </c>
      <c r="F5579" s="12" t="n">
        <f aca="false">Sens!$E$5579</f>
        <v>0.248976181579029</v>
      </c>
      <c r="G5579" s="12" t="n">
        <f aca="false">Sens!$G$5578/Sens!$D$5578-1</f>
        <v>0.248976181579029</v>
      </c>
      <c r="H5579" s="12" t="n">
        <f aca="false">Sens!$E$5579+(g_awso_lt-Sens!$E$5579)*1/4</f>
        <v>0.206732136184272</v>
      </c>
      <c r="I5579" s="12" t="n">
        <f aca="false">Sens!$E$5579+(g_awso_lt-Sens!$E$5579)*2/4</f>
        <v>0.164488090789515</v>
      </c>
      <c r="J5579" s="12" t="n">
        <f aca="false">Sens!$E$5579+(g_awso_lt-Sens!$E$5579)*3/4</f>
        <v>0.122244045394757</v>
      </c>
      <c r="K5579" s="12" t="n">
        <f aca="false">Sens!$E$5579+(g_awso_lt-Sens!$E$5579)*4/4</f>
        <v>0.08</v>
      </c>
      <c r="L5579" s="12" t="n">
        <f aca="false">g_awso_lt</f>
        <v>0.08</v>
      </c>
      <c r="M5579" s="12" t="n">
        <f aca="false">g_awso_lt</f>
        <v>0.08</v>
      </c>
      <c r="P5579" s="8" t="s">
        <v>582</v>
      </c>
    </row>
    <row r="5580" customFormat="false" ht="17.15" hidden="false" customHeight="false" outlineLevel="0" collapsed="false">
      <c r="A5580" s="1" t="s">
        <v>583</v>
      </c>
    </row>
    <row r="5581" customFormat="false" ht="17.15" hidden="false" customHeight="false" outlineLevel="0" collapsed="false">
      <c r="A5581" s="0" t="s">
        <v>584</v>
      </c>
      <c r="B5581" s="0" t="s">
        <v>73</v>
      </c>
      <c r="F5581" s="38" t="n">
        <f aca="false">cx_rt*Sens!$F$5547+cx_awso*Sens!$F$5578</f>
        <v>36.8045765066526</v>
      </c>
    </row>
    <row r="5582" customFormat="false" ht="17.15" hidden="false" customHeight="false" outlineLevel="0" collapsed="false">
      <c r="A5582" s="0" t="s">
        <v>585</v>
      </c>
      <c r="B5582" s="0" t="s">
        <v>52</v>
      </c>
      <c r="C5582" s="12" t="n">
        <f aca="false">tk_cx_h100/(tk_cx_h100+tk_fac*(1-colo_sh))</f>
        <v>0.730756458006641</v>
      </c>
      <c r="D5582" s="12" t="n">
        <f aca="false">tk_cx_h100/(tk_cx_h100+tk_fac*(1-colo_sh))</f>
        <v>0.730756458006641</v>
      </c>
      <c r="E5582" s="12" t="n">
        <f aca="false">Sens!$F$5582</f>
        <v>0.760792334328868</v>
      </c>
      <c r="F5582" s="12" t="n">
        <f aca="false">Sens!$F$5565/(Sens!$F$5565+tk_fac*(1-colo_sh))</f>
        <v>0.760792334328868</v>
      </c>
      <c r="G5582" s="12" t="n">
        <f aca="false">Sens!$G$5565/(Sens!$G$5565+tk_fac*(1-colo_sh))</f>
        <v>0.760792334328868</v>
      </c>
      <c r="H5582" s="12" t="n">
        <f aca="false">Sens!$H$5565/(Sens!$H$5565+tk_fac*(1-colo_sh))</f>
        <v>0.768110668862996</v>
      </c>
      <c r="I5582" s="12" t="n">
        <f aca="false">Sens!$I$5565/(Sens!$I$5565+tk_fac*(1-colo_sh))</f>
        <v>0.77499450139483</v>
      </c>
      <c r="J5582" s="12" t="n">
        <f aca="false">Sens!$J$5565/(Sens!$J$5565+tk_fac*(1-colo_sh))</f>
        <v>0.77499450139483</v>
      </c>
      <c r="K5582" s="12" t="n">
        <f aca="false">Sens!$K$5565/(Sens!$K$5565+tk_fac*(1-colo_sh))</f>
        <v>0.77499450139483</v>
      </c>
      <c r="L5582" s="12" t="n">
        <f aca="false">Sens!$L$5565/(Sens!$L$5565+tk_fac*(1-colo_sh))</f>
        <v>0.77499450139483</v>
      </c>
      <c r="M5582" s="12" t="n">
        <f aca="false">Sens!$M$5565/(Sens!$M$5565+tk_fac*(1-colo_sh))</f>
        <v>0.77499450139483</v>
      </c>
    </row>
    <row r="5583" customFormat="false" ht="17.15" hidden="false" customHeight="false" outlineLevel="0" collapsed="false">
      <c r="A5583" s="1" t="s">
        <v>586</v>
      </c>
      <c r="B5583" s="8" t="s">
        <v>73</v>
      </c>
      <c r="C5583" s="38" t="n">
        <f aca="false">Q!$D$46-cx_rt*Q!$D$16-cx_awso*Sens!$C$5578</f>
        <v>25.2781053077374</v>
      </c>
      <c r="D5583" s="38" t="n">
        <f aca="false">Q!$E$46-cx_rt*Q!$E$16-cx_awso*Sens!$D$5578</f>
        <v>69.5686316310026</v>
      </c>
      <c r="E5583" s="38" t="n">
        <f aca="false">Q!$P$46-cx_rt*Q!$P$16-cx_awso*Sens!$E$5578</f>
        <v>64.1899206485108</v>
      </c>
      <c r="F5583" s="38" t="n">
        <f aca="false">MAX(Sens!$F$5560*(Sens!$F$5565+tk_fac*(1-colo_sh))/1000,capex_g26-Q!$P$46-Sens!$F$5581)</f>
        <v>96.2481299895</v>
      </c>
      <c r="G5583" s="38" t="n">
        <f aca="false">Sens!$E$5583+Sens!$F$5583</f>
        <v>160.438050638011</v>
      </c>
      <c r="H5583" s="38" t="n">
        <f aca="false">Sens!$H$5560*(Sens!$H$5565+tk_fac*(1-colo_sh))/1000+Sens!$H$5584</f>
        <v>198.57136494475</v>
      </c>
      <c r="I5583" s="38" t="n">
        <f aca="false">Sens!$I$5560*(Sens!$I$5565+tk_fac*(1-colo_sh))/1000+Sens!$I$5584</f>
        <v>204.6464699105</v>
      </c>
      <c r="J5583" s="38" t="n">
        <f aca="false">Sens!$J$5560*(Sens!$J$5565+tk_fac*(1-colo_sh))/1000+Sens!$J$5584</f>
        <v>209.8832381105</v>
      </c>
      <c r="K5583" s="38" t="n">
        <f aca="false">Sens!$K$5560*(Sens!$K$5565+tk_fac*(1-colo_sh))/1000+Sens!$K$5584</f>
        <v>215.1200063105</v>
      </c>
      <c r="L5583" s="38" t="n">
        <f aca="false">Sens!$L$5560*(Sens!$L$5565+tk_fac*(1-colo_sh))/1000+Sens!$L$5584</f>
        <v>251.7773837105</v>
      </c>
      <c r="M5583" s="38" t="n">
        <f aca="false">Sens!$M$5560*(Sens!$M$5565+tk_fac*(1-colo_sh))/1000+Sens!$M$5584</f>
        <v>311.87584476575</v>
      </c>
      <c r="P5583" s="5" t="s">
        <v>587</v>
      </c>
      <c r="R5583" s="38" t="n">
        <f aca="false">Q!$C$46-cx_rt*Q!$C$16-cx_awso*(Q!$C$7-mw_ye23/2*rpm_open/1000)</f>
        <v>1.50429979529945</v>
      </c>
      <c r="S5583" s="38" t="n">
        <f aca="false">Sens!$C$5583</f>
        <v>25.2781053077374</v>
      </c>
      <c r="T5583" s="38" t="n">
        <f aca="false">Sens!$D$5583</f>
        <v>69.5686316310026</v>
      </c>
      <c r="U5583" s="38" t="n">
        <f aca="false">Sens!$G$5583</f>
        <v>160.438050638011</v>
      </c>
      <c r="V5583" s="38" t="n">
        <f aca="false">Sens!$H$5583</f>
        <v>198.57136494475</v>
      </c>
      <c r="W5583" s="38" t="n">
        <f aca="false">Sens!$I$5583</f>
        <v>204.6464699105</v>
      </c>
      <c r="X5583" s="38" t="n">
        <f aca="false">Sens!$J$5583</f>
        <v>209.8832381105</v>
      </c>
      <c r="Y5583" s="38" t="n">
        <f aca="false">Sens!$K$5583</f>
        <v>215.1200063105</v>
      </c>
      <c r="Z5583" s="38" t="n">
        <f aca="false">Sens!$L$5583</f>
        <v>251.7773837105</v>
      </c>
      <c r="AA5583" s="38" t="n">
        <f aca="false">Sens!$M$5583</f>
        <v>311.87584476575</v>
      </c>
    </row>
    <row r="5584" customFormat="false" ht="17.15" hidden="false" customHeight="false" outlineLevel="0" collapsed="false">
      <c r="A5584" s="0" t="s">
        <v>588</v>
      </c>
      <c r="B5584" s="0" t="s">
        <v>73</v>
      </c>
      <c r="H5584" s="38" t="n">
        <f aca="false">SUMPRODUCT(--(Sens!$R$5554:$AA$5554=2027-tk_life),Sens!$R$5560:$AA$5560)*Sens!$H$5565/1000</f>
        <v>0</v>
      </c>
      <c r="I5584" s="38" t="n">
        <f aca="false">SUMPRODUCT(--(Sens!$R$5554:$AA$5554=2028-tk_life),Sens!$R$5560:$AA$5560)*Sens!$I$5565/1000</f>
        <v>0</v>
      </c>
      <c r="J5584" s="38" t="n">
        <f aca="false">SUMPRODUCT(--(Sens!$R$5554:$AA$5554=2029-tk_life),Sens!$R$5560:$AA$5560)*Sens!$J$5565/1000</f>
        <v>5.2367682</v>
      </c>
      <c r="K5584" s="38" t="n">
        <f aca="false">SUMPRODUCT(--(Sens!$R$5554:$AA$5554=2030-tk_life),Sens!$R$5560:$AA$5560)*Sens!$K$5565/1000</f>
        <v>10.4735364</v>
      </c>
      <c r="L5584" s="38" t="n">
        <f aca="false">SUMPRODUCT(--(Sens!$R$5554:$AA$5554=2031-tk_life),Sens!$R$5560:$AA$5560)*Sens!$L$5565/1000</f>
        <v>47.1309138</v>
      </c>
      <c r="M5584" s="38" t="n">
        <f aca="false">SUMPRODUCT(--(Sens!$R$5554:$AA$5554=2032-tk_life),Sens!$R$5560:$AA$5560)*Sens!$M$5565/1000</f>
        <v>107.22937485525</v>
      </c>
    </row>
    <row r="5585" customFormat="false" ht="17.15" hidden="false" customHeight="false" outlineLevel="0" collapsed="false">
      <c r="A5585" s="5" t="s">
        <v>589</v>
      </c>
      <c r="B5585" s="0" t="s">
        <v>73</v>
      </c>
      <c r="C5585" s="38" t="n">
        <f aca="false">Sens!$C$5583*Sens!$C$5582</f>
        <v>18.472138699801</v>
      </c>
      <c r="D5585" s="38" t="n">
        <f aca="false">Sens!$D$5583*Sens!$D$5582</f>
        <v>50.8377268390402</v>
      </c>
      <c r="E5585" s="38" t="n">
        <f aca="false">Sens!$E$5583*Sens!$E$5582</f>
        <v>48.8351995705653</v>
      </c>
      <c r="F5585" s="38" t="n">
        <f aca="false">Sens!$F$5583*Sens!$F$5582</f>
        <v>73.2248394895</v>
      </c>
      <c r="G5585" s="38" t="n">
        <f aca="false">Sens!$E$5585+Sens!$F$5585</f>
        <v>122.060039060065</v>
      </c>
      <c r="H5585" s="38" t="n">
        <f aca="false">(Sens!$H$5583-Sens!$H$5584)*Sens!$H$5582+Sens!$H$5584</f>
        <v>152.52478394475</v>
      </c>
      <c r="I5585" s="38" t="n">
        <f aca="false">(Sens!$I$5583-Sens!$I$5584)*Sens!$I$5582+Sens!$I$5584</f>
        <v>158.5998889105</v>
      </c>
      <c r="J5585" s="38" t="n">
        <f aca="false">(Sens!$J$5583-Sens!$J$5584)*Sens!$J$5582+Sens!$J$5584</f>
        <v>163.8366571105</v>
      </c>
      <c r="K5585" s="38" t="n">
        <f aca="false">(Sens!$K$5583-Sens!$K$5584)*Sens!$K$5582+Sens!$K$5584</f>
        <v>169.0734253105</v>
      </c>
      <c r="L5585" s="38" t="n">
        <f aca="false">(Sens!$L$5583-Sens!$L$5584)*Sens!$L$5582+Sens!$L$5584</f>
        <v>205.7308027105</v>
      </c>
      <c r="M5585" s="38" t="n">
        <f aca="false">(Sens!$M$5583-Sens!$M$5584)*Sens!$M$5582+Sens!$M$5584</f>
        <v>265.82926376575</v>
      </c>
      <c r="R5585" s="38" t="n">
        <f aca="false">Sens!$R$5583*Sens!$C$5582</f>
        <v>1.09927679019314</v>
      </c>
      <c r="S5585" s="38" t="n">
        <f aca="false">Sens!$C$5585</f>
        <v>18.472138699801</v>
      </c>
      <c r="T5585" s="38" t="n">
        <f aca="false">Sens!$D$5585</f>
        <v>50.8377268390402</v>
      </c>
      <c r="U5585" s="38" t="n">
        <f aca="false">Sens!$G$5585</f>
        <v>122.060039060065</v>
      </c>
      <c r="V5585" s="38" t="n">
        <f aca="false">Sens!$H$5585</f>
        <v>152.52478394475</v>
      </c>
      <c r="W5585" s="38" t="n">
        <f aca="false">Sens!$I$5585</f>
        <v>158.5998889105</v>
      </c>
      <c r="X5585" s="38" t="n">
        <f aca="false">Sens!$J$5585</f>
        <v>163.8366571105</v>
      </c>
      <c r="Y5585" s="38" t="n">
        <f aca="false">Sens!$K$5585</f>
        <v>169.0734253105</v>
      </c>
      <c r="Z5585" s="38" t="n">
        <f aca="false">Sens!$L$5585</f>
        <v>205.7308027105</v>
      </c>
      <c r="AA5585" s="38" t="n">
        <f aca="false">Sens!$M$5585</f>
        <v>265.82926376575</v>
      </c>
    </row>
    <row r="5586" customFormat="false" ht="15" hidden="false" customHeight="false" outlineLevel="0" collapsed="false">
      <c r="A5586" s="5" t="s">
        <v>590</v>
      </c>
      <c r="B5586" s="0" t="s">
        <v>73</v>
      </c>
      <c r="R5586" s="38" t="n">
        <f aca="false">Sens!$R$5583-Sens!$R$5585</f>
        <v>0.405023005106309</v>
      </c>
      <c r="S5586" s="38" t="n">
        <f aca="false">Sens!$S$5583-Sens!$S$5585</f>
        <v>6.80596660793636</v>
      </c>
      <c r="T5586" s="38" t="n">
        <f aca="false">Sens!$T$5583-Sens!$T$5585</f>
        <v>18.7309047919624</v>
      </c>
      <c r="U5586" s="38" t="n">
        <f aca="false">Sens!$U$5583-Sens!$U$5585</f>
        <v>38.3780115779455</v>
      </c>
      <c r="V5586" s="38" t="n">
        <f aca="false">Sens!$V$5583-Sens!$V$5585</f>
        <v>46.046581</v>
      </c>
      <c r="W5586" s="38" t="n">
        <f aca="false">Sens!$W$5583-Sens!$W$5585</f>
        <v>46.046581</v>
      </c>
      <c r="X5586" s="38" t="n">
        <f aca="false">Sens!$X$5583-Sens!$X$5585</f>
        <v>46.046581</v>
      </c>
      <c r="Y5586" s="38" t="n">
        <f aca="false">Sens!$Y$5583-Sens!$Y$5585</f>
        <v>46.046581</v>
      </c>
      <c r="Z5586" s="38" t="n">
        <f aca="false">Sens!$Z$5583-Sens!$Z$5585</f>
        <v>46.046581</v>
      </c>
      <c r="AA5586" s="38" t="n">
        <f aca="false">Sens!$AA$5583-Sens!$AA$5585</f>
        <v>46.046581</v>
      </c>
    </row>
    <row r="5587" customFormat="false" ht="17.15" hidden="false" customHeight="false" outlineLevel="0" collapsed="false">
      <c r="A5587" s="0" t="s">
        <v>591</v>
      </c>
      <c r="B5587" s="0" t="s">
        <v>73</v>
      </c>
      <c r="C5587" s="38" t="n">
        <f aca="false">Sens!$S$5587</f>
        <v>0.183212798365523</v>
      </c>
      <c r="D5587" s="38" t="n">
        <f aca="false">Sens!$T$5587</f>
        <v>3.2619025816657</v>
      </c>
      <c r="E5587" s="38" t="n">
        <f aca="false">Sens!$G$5587/2</f>
        <v>5.86742852741953</v>
      </c>
      <c r="F5587" s="38" t="n">
        <f aca="false">Sens!$G$5587/2</f>
        <v>5.86742852741953</v>
      </c>
      <c r="G5587" s="38" t="n">
        <f aca="false">Sens!$U$5587</f>
        <v>11.7348570548391</v>
      </c>
      <c r="H5587" s="38" t="n">
        <f aca="false">Sens!$V$5587</f>
        <v>32.0781968981833</v>
      </c>
      <c r="I5587" s="38" t="n">
        <f aca="false">Sens!$W$5587</f>
        <v>57.4989942223083</v>
      </c>
      <c r="J5587" s="38" t="n">
        <f aca="false">Sens!$X$5587</f>
        <v>83.932309040725</v>
      </c>
      <c r="K5587" s="38" t="n">
        <f aca="false">Sens!$Y$5587</f>
        <v>111.055205760776</v>
      </c>
      <c r="L5587" s="38" t="n">
        <f aca="false">Sens!$Z$5587</f>
        <v>136.155420195893</v>
      </c>
      <c r="M5587" s="38" t="n">
        <f aca="false">Sens!$AA$5587</f>
        <v>161.970932841136</v>
      </c>
      <c r="N5587" s="38" t="n">
        <f aca="false">Sens!$D$5587/2</f>
        <v>1.63095129083285</v>
      </c>
      <c r="O5587" s="38" t="n">
        <f aca="false">Sens!$D$5587/2</f>
        <v>1.63095129083285</v>
      </c>
      <c r="R5587" s="38" t="n">
        <f aca="false">SUMPRODUCT(--(Sens!$R$5554:$AA$5554&lt;Sens!R$5554),--(Sens!$R$5554:$AA$5554&gt;=Sens!R$5554-tk_life),Sens!$R$5585:$AA$5585)/tk_life</f>
        <v>0</v>
      </c>
      <c r="S5587" s="38" t="n">
        <f aca="false">SUMPRODUCT(--(Sens!$R$5554:$AA$5554&lt;Sens!S$5554),--(Sens!$R$5554:$AA$5554&gt;=Sens!S$5554-tk_life),Sens!$R$5585:$AA$5585)/tk_life</f>
        <v>0.183212798365523</v>
      </c>
      <c r="T5587" s="38" t="n">
        <f aca="false">SUMPRODUCT(--(Sens!$R$5554:$AA$5554&lt;Sens!T$5554),--(Sens!$R$5554:$AA$5554&gt;=Sens!T$5554-tk_life),Sens!$R$5585:$AA$5585)/tk_life</f>
        <v>3.2619025816657</v>
      </c>
      <c r="U5587" s="38" t="n">
        <f aca="false">SUMPRODUCT(--(Sens!$R$5554:$AA$5554&lt;Sens!U$5554),--(Sens!$R$5554:$AA$5554&gt;=Sens!U$5554-tk_life),Sens!$R$5585:$AA$5585)/tk_life</f>
        <v>11.7348570548391</v>
      </c>
      <c r="V5587" s="38" t="n">
        <f aca="false">SUMPRODUCT(--(Sens!$R$5554:$AA$5554&lt;Sens!V$5554),--(Sens!$R$5554:$AA$5554&gt;=Sens!V$5554-tk_life),Sens!$R$5585:$AA$5585)/tk_life</f>
        <v>32.0781968981833</v>
      </c>
      <c r="W5587" s="38" t="n">
        <f aca="false">SUMPRODUCT(--(Sens!$R$5554:$AA$5554&lt;Sens!W$5554),--(Sens!$R$5554:$AA$5554&gt;=Sens!W$5554-tk_life),Sens!$R$5585:$AA$5585)/tk_life</f>
        <v>57.4989942223083</v>
      </c>
      <c r="X5587" s="38" t="n">
        <f aca="false">SUMPRODUCT(--(Sens!$R$5554:$AA$5554&lt;Sens!X$5554),--(Sens!$R$5554:$AA$5554&gt;=Sens!X$5554-tk_life),Sens!$R$5585:$AA$5585)/tk_life</f>
        <v>83.932309040725</v>
      </c>
      <c r="Y5587" s="38" t="n">
        <f aca="false">SUMPRODUCT(--(Sens!$R$5554:$AA$5554&lt;Sens!Y$5554),--(Sens!$R$5554:$AA$5554&gt;=Sens!Y$5554-tk_life),Sens!$R$5585:$AA$5585)/tk_life</f>
        <v>111.055205760776</v>
      </c>
      <c r="Z5587" s="38" t="n">
        <f aca="false">SUMPRODUCT(--(Sens!$R$5554:$AA$5554&lt;Sens!Z$5554),--(Sens!$R$5554:$AA$5554&gt;=Sens!Z$5554-tk_life),Sens!$R$5585:$AA$5585)/tk_life</f>
        <v>136.155420195893</v>
      </c>
      <c r="AA5587" s="38" t="n">
        <f aca="false">SUMPRODUCT(--(Sens!$R$5554:$AA$5554&lt;Sens!AA$5554),--(Sens!$R$5554:$AA$5554&gt;=Sens!AA$5554-tk_life),Sens!$R$5585:$AA$5585)/tk_life</f>
        <v>161.970932841136</v>
      </c>
    </row>
    <row r="5588" customFormat="false" ht="17.15" hidden="false" customHeight="false" outlineLevel="0" collapsed="false">
      <c r="A5588" s="0" t="s">
        <v>592</v>
      </c>
      <c r="B5588" s="0" t="s">
        <v>73</v>
      </c>
      <c r="C5588" s="38" t="n">
        <f aca="false">Sens!$S$5588</f>
        <v>0.0202511502553155</v>
      </c>
      <c r="D5588" s="38" t="n">
        <f aca="false">Sens!$T$5588</f>
        <v>0.360549480652134</v>
      </c>
      <c r="E5588" s="38" t="n">
        <f aca="false">Sens!$G$5588/2</f>
        <v>0.648547360125127</v>
      </c>
      <c r="F5588" s="38" t="n">
        <f aca="false">Sens!$G$5588/2</f>
        <v>0.648547360125127</v>
      </c>
      <c r="G5588" s="38" t="n">
        <f aca="false">Sens!$U$5588</f>
        <v>1.29709472025025</v>
      </c>
      <c r="H5588" s="38" t="n">
        <f aca="false">Sens!$V$5588</f>
        <v>3.21599529914753</v>
      </c>
      <c r="I5588" s="38" t="n">
        <f aca="false">Sens!$W$5588</f>
        <v>5.51832434914753</v>
      </c>
      <c r="J5588" s="38" t="n">
        <f aca="false">Sens!$X$5588</f>
        <v>7.82065339914753</v>
      </c>
      <c r="K5588" s="38" t="n">
        <f aca="false">Sens!$Y$5588</f>
        <v>10.1229824491475</v>
      </c>
      <c r="L5588" s="38" t="n">
        <f aca="false">Sens!$Z$5588</f>
        <v>12.4253114991475</v>
      </c>
      <c r="M5588" s="38" t="n">
        <f aca="false">Sens!$AA$5588</f>
        <v>14.7276405491475</v>
      </c>
      <c r="N5588" s="38" t="n">
        <f aca="false">Sens!$D$5588/2</f>
        <v>0.180274740326067</v>
      </c>
      <c r="O5588" s="38" t="n">
        <f aca="false">Sens!$D$5588/2</f>
        <v>0.180274740326067</v>
      </c>
      <c r="R5588" s="38" t="n">
        <f aca="false">SUMPRODUCT(--(Sens!$R$5554:$AA$5554&lt;Sens!R$5554),Sens!$R$5586:$AA$5586)/fac_life</f>
        <v>0</v>
      </c>
      <c r="S5588" s="38" t="n">
        <f aca="false">SUMPRODUCT(--(Sens!$R$5554:$AA$5554&lt;Sens!S$5554),Sens!$R$5586:$AA$5586)/fac_life</f>
        <v>0.0202511502553155</v>
      </c>
      <c r="T5588" s="38" t="n">
        <f aca="false">SUMPRODUCT(--(Sens!$R$5554:$AA$5554&lt;Sens!T$5554),Sens!$R$5586:$AA$5586)/fac_life</f>
        <v>0.360549480652134</v>
      </c>
      <c r="U5588" s="38" t="n">
        <f aca="false">SUMPRODUCT(--(Sens!$R$5554:$AA$5554&lt;Sens!U$5554),Sens!$R$5586:$AA$5586)/fac_life</f>
        <v>1.29709472025025</v>
      </c>
      <c r="V5588" s="38" t="n">
        <f aca="false">SUMPRODUCT(--(Sens!$R$5554:$AA$5554&lt;Sens!V$5554),Sens!$R$5586:$AA$5586)/fac_life</f>
        <v>3.21599529914753</v>
      </c>
      <c r="W5588" s="38" t="n">
        <f aca="false">SUMPRODUCT(--(Sens!$R$5554:$AA$5554&lt;Sens!W$5554),Sens!$R$5586:$AA$5586)/fac_life</f>
        <v>5.51832434914753</v>
      </c>
      <c r="X5588" s="38" t="n">
        <f aca="false">SUMPRODUCT(--(Sens!$R$5554:$AA$5554&lt;Sens!X$5554),Sens!$R$5586:$AA$5586)/fac_life</f>
        <v>7.82065339914753</v>
      </c>
      <c r="Y5588" s="38" t="n">
        <f aca="false">SUMPRODUCT(--(Sens!$R$5554:$AA$5554&lt;Sens!Y$5554),Sens!$R$5586:$AA$5586)/fac_life</f>
        <v>10.1229824491475</v>
      </c>
      <c r="Z5588" s="38" t="n">
        <f aca="false">SUMPRODUCT(--(Sens!$R$5554:$AA$5554&lt;Sens!Z$5554),Sens!$R$5586:$AA$5586)/fac_life</f>
        <v>12.4253114991475</v>
      </c>
      <c r="AA5588" s="38" t="n">
        <f aca="false">SUMPRODUCT(--(Sens!$R$5554:$AA$5554&lt;Sens!AA$5554),Sens!$R$5586:$AA$5586)/fac_life</f>
        <v>14.7276405491475</v>
      </c>
    </row>
    <row r="5589" customFormat="false" ht="17.15" hidden="false" customHeight="false" outlineLevel="0" collapsed="false">
      <c r="A5589" s="1" t="s">
        <v>593</v>
      </c>
      <c r="B5589" s="8" t="s">
        <v>73</v>
      </c>
      <c r="C5589" s="38" t="n">
        <f aca="false">Sens!$C$5587+Sens!$C$5588</f>
        <v>0.203463948620839</v>
      </c>
      <c r="D5589" s="38" t="n">
        <f aca="false">Sens!$D$5587+Sens!$D$5588</f>
        <v>3.62245206231783</v>
      </c>
      <c r="E5589" s="38" t="n">
        <f aca="false">Sens!$E$5587+Sens!$E$5588</f>
        <v>6.51597588754466</v>
      </c>
      <c r="F5589" s="38" t="n">
        <f aca="false">Sens!$F$5587+Sens!$F$5588</f>
        <v>6.51597588754466</v>
      </c>
      <c r="G5589" s="38" t="n">
        <f aca="false">Sens!$G$5587+Sens!$G$5588</f>
        <v>13.0319517750893</v>
      </c>
      <c r="H5589" s="38" t="n">
        <f aca="false">Sens!$H$5587+Sens!$H$5588</f>
        <v>35.2941921973308</v>
      </c>
      <c r="I5589" s="38" t="n">
        <f aca="false">Sens!$I$5587+Sens!$I$5588</f>
        <v>63.0173185714558</v>
      </c>
      <c r="J5589" s="38" t="n">
        <f aca="false">Sens!$J$5587+Sens!$J$5588</f>
        <v>91.7529624398725</v>
      </c>
      <c r="K5589" s="38" t="n">
        <f aca="false">Sens!$K$5587+Sens!$K$5588</f>
        <v>121.178188209924</v>
      </c>
      <c r="L5589" s="38" t="n">
        <f aca="false">Sens!$L$5587+Sens!$L$5588</f>
        <v>148.58073169504</v>
      </c>
      <c r="M5589" s="38" t="n">
        <f aca="false">Sens!$M$5587+Sens!$M$5588</f>
        <v>176.698573390283</v>
      </c>
      <c r="N5589" s="38" t="n">
        <f aca="false">Sens!$N$5587+Sens!$N$5588</f>
        <v>1.81122603115892</v>
      </c>
      <c r="O5589" s="38" t="n">
        <f aca="false">Sens!$O$5587+Sens!$O$5588</f>
        <v>1.81122603115892</v>
      </c>
      <c r="R5589" s="38" t="n">
        <f aca="false">Sens!$R$5587+Sens!$R$5588</f>
        <v>0</v>
      </c>
      <c r="S5589" s="38" t="n">
        <f aca="false">Sens!$S$5587+Sens!$S$5588</f>
        <v>0.203463948620839</v>
      </c>
      <c r="T5589" s="38" t="n">
        <f aca="false">Sens!$T$5587+Sens!$T$5588</f>
        <v>3.62245206231783</v>
      </c>
      <c r="U5589" s="38" t="n">
        <f aca="false">Sens!$U$5587+Sens!$U$5588</f>
        <v>13.0319517750893</v>
      </c>
      <c r="V5589" s="38" t="n">
        <f aca="false">Sens!$V$5587+Sens!$V$5588</f>
        <v>35.2941921973308</v>
      </c>
      <c r="W5589" s="38" t="n">
        <f aca="false">Sens!$W$5587+Sens!$W$5588</f>
        <v>63.0173185714558</v>
      </c>
      <c r="X5589" s="38" t="n">
        <f aca="false">Sens!$X$5587+Sens!$X$5588</f>
        <v>91.7529624398725</v>
      </c>
      <c r="Y5589" s="38" t="n">
        <f aca="false">Sens!$Y$5587+Sens!$Y$5588</f>
        <v>121.178188209924</v>
      </c>
      <c r="Z5589" s="38" t="n">
        <f aca="false">Sens!$Z$5587+Sens!$Z$5588</f>
        <v>148.58073169504</v>
      </c>
      <c r="AA5589" s="38" t="n">
        <f aca="false">Sens!$AA$5587+Sens!$AA$5588</f>
        <v>176.698573390283</v>
      </c>
    </row>
    <row r="5590" customFormat="false" ht="17.15" hidden="false" customHeight="false" outlineLevel="0" collapsed="false">
      <c r="A5590" s="0" t="s">
        <v>594</v>
      </c>
      <c r="B5590" s="0" t="s">
        <v>73</v>
      </c>
      <c r="C5590" s="38" t="n">
        <f aca="false">Sens!$S$5590</f>
        <v>26.578941154416</v>
      </c>
      <c r="D5590" s="38" t="n">
        <f aca="false">Sens!$T$5590</f>
        <v>92.5251207231008</v>
      </c>
      <c r="G5590" s="38" t="n">
        <f aca="false">Sens!$U$5590</f>
        <v>239.931219586022</v>
      </c>
      <c r="H5590" s="38" t="n">
        <f aca="false">Sens!$V$5590</f>
        <v>403.208392333442</v>
      </c>
      <c r="I5590" s="38" t="n">
        <f aca="false">Sens!$W$5590</f>
        <v>544.837543672486</v>
      </c>
      <c r="J5590" s="38" t="n">
        <f aca="false">Sens!$X$5590</f>
        <v>662.967819343113</v>
      </c>
      <c r="K5590" s="38" t="n">
        <f aca="false">Sens!$Y$5590</f>
        <v>756.90963744369</v>
      </c>
      <c r="L5590" s="38" t="n">
        <f aca="false">Sens!$Z$5590</f>
        <v>860.10628945915</v>
      </c>
      <c r="M5590" s="38" t="n">
        <f aca="false">Sens!$AA$5590</f>
        <v>995.283560834616</v>
      </c>
      <c r="R5590" s="38" t="n">
        <f aca="false">SUM(Sens!$R$5583:$R$5583)-SUM(Sens!$R$5589:$R$5589)</f>
        <v>1.50429979529945</v>
      </c>
      <c r="S5590" s="38" t="n">
        <f aca="false">SUM(Sens!$R$5583:$S$5583)-SUM(Sens!$R$5589:$S$5589)</f>
        <v>26.578941154416</v>
      </c>
      <c r="T5590" s="38" t="n">
        <f aca="false">SUM(Sens!$R$5583:$T$5583)-SUM(Sens!$R$5589:$T$5589)</f>
        <v>92.5251207231008</v>
      </c>
      <c r="U5590" s="38" t="n">
        <f aca="false">SUM(Sens!$R$5583:$U$5583)-SUM(Sens!$R$5589:$U$5589)</f>
        <v>239.931219586022</v>
      </c>
      <c r="V5590" s="38" t="n">
        <f aca="false">SUM(Sens!$R$5583:$V$5583)-SUM(Sens!$R$5589:$V$5589)</f>
        <v>403.208392333442</v>
      </c>
      <c r="W5590" s="38" t="n">
        <f aca="false">SUM(Sens!$R$5583:$W$5583)-SUM(Sens!$R$5589:$W$5589)</f>
        <v>544.837543672486</v>
      </c>
      <c r="X5590" s="38" t="n">
        <f aca="false">SUM(Sens!$R$5583:$X$5583)-SUM(Sens!$R$5589:$X$5589)</f>
        <v>662.967819343113</v>
      </c>
      <c r="Y5590" s="38" t="n">
        <f aca="false">SUM(Sens!$R$5583:$Y$5583)-SUM(Sens!$R$5589:$Y$5589)</f>
        <v>756.90963744369</v>
      </c>
      <c r="Z5590" s="38" t="n">
        <f aca="false">SUM(Sens!$R$5583:$Z$5583)-SUM(Sens!$R$5589:$Z$5589)</f>
        <v>860.10628945915</v>
      </c>
      <c r="AA5590" s="38" t="n">
        <f aca="false">SUM(Sens!$R$5583:$AA$5583)-SUM(Sens!$R$5589:$AA$5589)</f>
        <v>995.283560834616</v>
      </c>
    </row>
    <row r="5591" customFormat="false" ht="17.15" hidden="false" customHeight="false" outlineLevel="0" collapsed="false">
      <c r="A5591" s="1" t="s">
        <v>595</v>
      </c>
    </row>
    <row r="5592" customFormat="false" ht="17.15" hidden="false" customHeight="false" outlineLevel="0" collapsed="false">
      <c r="A5592" s="0" t="s">
        <v>596</v>
      </c>
      <c r="B5592" s="0" t="s">
        <v>73</v>
      </c>
      <c r="C5592" s="38" t="n">
        <f aca="false">Sens!$C$5574-ext_sh*Sens!$C$5576</f>
        <v>1.80694998843362</v>
      </c>
      <c r="D5592" s="38" t="n">
        <f aca="false">Sens!$D$5574-ext_sh*Sens!$D$5576</f>
        <v>6.77606245662607</v>
      </c>
      <c r="E5592" s="38" t="n">
        <f aca="false">Sens!$E$5574-ext_sh*Sens!$E$5576</f>
        <v>6.62548329092326</v>
      </c>
      <c r="F5592" s="38" t="n">
        <f aca="false">Sens!$F$5574-ext_sh*Sens!$F$5576</f>
        <v>11.7200577158706</v>
      </c>
      <c r="G5592" s="38" t="n">
        <f aca="false">Sens!$G$5574-ext_sh*Sens!$G$5576</f>
        <v>18.3455410067939</v>
      </c>
      <c r="H5592" s="38" t="n">
        <f aca="false">Sens!$H$5574-ext_sh*Sens!$H$5576</f>
        <v>47.5171727060453</v>
      </c>
      <c r="I5592" s="38" t="n">
        <f aca="false">Sens!$I$5574-ext_sh*Sens!$I$5576</f>
        <v>80.5539692643667</v>
      </c>
      <c r="J5592" s="38" t="n">
        <f aca="false">Sens!$J$5574-ext_sh*Sens!$J$5576</f>
        <v>113.759316834883</v>
      </c>
      <c r="K5592" s="38" t="n">
        <f aca="false">Sens!$K$5574-ext_sh*Sens!$K$5576</f>
        <v>147.020848076132</v>
      </c>
      <c r="L5592" s="38" t="n">
        <f aca="false">Sens!$L$5574-ext_sh*Sens!$L$5576</f>
        <v>180.307917349531</v>
      </c>
      <c r="M5592" s="38" t="n">
        <f aca="false">Sens!$M$5574-ext_sh*Sens!$M$5576</f>
        <v>213.608737871012</v>
      </c>
      <c r="N5592" s="38" t="n">
        <f aca="false">Sens!$N$5574-ext_sh*Sens!$N$5576</f>
        <v>2.37162185981912</v>
      </c>
      <c r="O5592" s="38" t="n">
        <f aca="false">Sens!$O$5574-ext_sh*Sens!$O$5576</f>
        <v>4.40444059680694</v>
      </c>
    </row>
    <row r="5593" customFormat="false" ht="17.15" hidden="false" customHeight="false" outlineLevel="0" collapsed="false">
      <c r="A5593" s="1" t="s">
        <v>597</v>
      </c>
      <c r="B5593" s="8" t="s">
        <v>73</v>
      </c>
      <c r="C5593" s="38" t="n">
        <f aca="false">Sens!$C$5592-ext_sh*Sens!$C$5589</f>
        <v>1.64417882953695</v>
      </c>
      <c r="D5593" s="38" t="n">
        <f aca="false">Sens!$D$5592-ext_sh*Sens!$D$5589</f>
        <v>3.8781008067718</v>
      </c>
      <c r="E5593" s="38" t="n">
        <f aca="false">Sens!$E$5592-ext_sh*Sens!$E$5589</f>
        <v>1.41270258088753</v>
      </c>
      <c r="F5593" s="38" t="n">
        <f aca="false">Sens!$F$5592-ext_sh*Sens!$F$5589</f>
        <v>6.50727700583486</v>
      </c>
      <c r="G5593" s="38" t="n">
        <f aca="false">Sens!$G$5592-ext_sh*Sens!$G$5589</f>
        <v>7.9199795867224</v>
      </c>
      <c r="H5593" s="38" t="n">
        <f aca="false">Sens!$H$5592-ext_sh*Sens!$H$5589</f>
        <v>19.2818189481807</v>
      </c>
      <c r="I5593" s="38" t="n">
        <f aca="false">Sens!$I$5592-ext_sh*Sens!$I$5589</f>
        <v>30.140114407202</v>
      </c>
      <c r="J5593" s="38" t="n">
        <f aca="false">Sens!$J$5592-ext_sh*Sens!$J$5589</f>
        <v>40.3569468829854</v>
      </c>
      <c r="K5593" s="38" t="n">
        <f aca="false">Sens!$K$5592-ext_sh*Sens!$K$5589</f>
        <v>50.0782975081929</v>
      </c>
      <c r="L5593" s="38" t="n">
        <f aca="false">Sens!$L$5592-ext_sh*Sens!$L$5589</f>
        <v>61.443331993499</v>
      </c>
      <c r="M5593" s="38" t="n">
        <f aca="false">Sens!$M$5592-ext_sh*Sens!$M$5589</f>
        <v>72.2498791587849</v>
      </c>
      <c r="N5593" s="38" t="n">
        <f aca="false">Sens!$N$5592-ext_sh*Sens!$N$5589</f>
        <v>0.92264103489199</v>
      </c>
      <c r="O5593" s="38" t="n">
        <f aca="false">Sens!$O$5592-ext_sh*Sens!$O$5589</f>
        <v>2.95545977187981</v>
      </c>
    </row>
    <row r="5594" customFormat="false" ht="17.15" hidden="false" customHeight="false" outlineLevel="0" collapsed="false">
      <c r="A5594" s="0" t="s">
        <v>598</v>
      </c>
      <c r="B5594" s="0" t="s">
        <v>52</v>
      </c>
      <c r="C5594" s="12" t="n">
        <f aca="false">Sens!$C$5593/Sens!$C$5574</f>
        <v>0.708390794789371</v>
      </c>
      <c r="D5594" s="12" t="n">
        <f aca="false">Sens!$D$5593/Sens!$D$5574</f>
        <v>0.445565630441968</v>
      </c>
      <c r="E5594" s="12" t="n">
        <f aca="false">Sens!$E$5593/Sens!$E$5574</f>
        <v>0.165998118402711</v>
      </c>
      <c r="F5594" s="12" t="n">
        <f aca="false">Sens!$F$5593/Sens!$F$5574</f>
        <v>0.434878595403858</v>
      </c>
      <c r="G5594" s="12" t="n">
        <f aca="false">Sens!$G$5593/Sens!$G$5574</f>
        <v>0.3373967615381</v>
      </c>
      <c r="H5594" s="12" t="n">
        <f aca="false">Sens!$H$5593/Sens!$H$5574</f>
        <v>0.320477578041224</v>
      </c>
      <c r="I5594" s="12" t="n">
        <f aca="false">Sens!$I$5593/Sens!$I$5574</f>
        <v>0.296936118226494</v>
      </c>
      <c r="J5594" s="12" t="n">
        <f aca="false">Sens!$J$5593/Sens!$J$5574</f>
        <v>0.282166278613001</v>
      </c>
      <c r="K5594" s="12" t="n">
        <f aca="false">Sens!$K$5593/Sens!$K$5574</f>
        <v>0.271267685694333</v>
      </c>
      <c r="L5594" s="12" t="n">
        <f aca="false">Sens!$L$5593/Sens!$L$5574</f>
        <v>0.27160960915653</v>
      </c>
      <c r="M5594" s="12" t="n">
        <f aca="false">Sens!$M$5593/Sens!$M$5574</f>
        <v>0.26974494804234</v>
      </c>
      <c r="N5594" s="12" t="n">
        <f aca="false">Sens!$N$5593/Sens!$N$5574</f>
        <v>0.302870734830849</v>
      </c>
      <c r="O5594" s="12" t="n">
        <f aca="false">Sens!$O$5593/Sens!$O$5574</f>
        <v>0.52240134346334</v>
      </c>
    </row>
    <row r="5595" customFormat="false" ht="17.15" hidden="false" customHeight="false" outlineLevel="0" collapsed="false">
      <c r="A5595" s="5" t="s">
        <v>599</v>
      </c>
      <c r="B5595" s="0" t="s">
        <v>73</v>
      </c>
      <c r="C5595" s="38" t="n">
        <f aca="false">rd2*(1-ext_sh)/ext_sh*Sens!$C$5557*he_open*Sens!$C$5558/1000</f>
        <v>0</v>
      </c>
      <c r="D5595" s="38" t="n">
        <f aca="false">rd2*(1-ext_sh)/ext_sh*Sens!$D$5557*he_open*Sens!$D$5558/1000</f>
        <v>0</v>
      </c>
      <c r="E5595" s="38" t="n">
        <f aca="false">rd2*(1-ext_sh)/ext_sh*Sens!$E$5557*he_open*Sens!$E$5558/1000</f>
        <v>0</v>
      </c>
      <c r="F5595" s="38" t="n">
        <f aca="false">rd2*(1-ext_sh)/ext_sh*(mw_open*he_open+Sens!$F$5572*Sens!$F$5569)*Sens!$F$5558/1000</f>
        <v>0</v>
      </c>
      <c r="G5595" s="38" t="n">
        <f aca="false">Sens!$E$5595+Sens!$F$5595</f>
        <v>0</v>
      </c>
      <c r="H5595" s="38" t="n">
        <f aca="false">rd2*(1-ext_sh)/ext_sh*(mw_open*he_open+Sens!$H$5572*Sens!$H$5569)*Sens!$H$5558/1000</f>
        <v>0</v>
      </c>
      <c r="I5595" s="38" t="n">
        <f aca="false">rd2*(1-ext_sh)/ext_sh*(mw_open*he_open+Sens!$I$5572*Sens!$I$5569)*Sens!$I$5558/1000</f>
        <v>0</v>
      </c>
      <c r="J5595" s="38" t="n">
        <f aca="false">rd2*(1-ext_sh)/ext_sh*(mw_open*he_open+Sens!$J$5572*Sens!$J$5569)*Sens!$J$5558/1000</f>
        <v>0</v>
      </c>
      <c r="K5595" s="38" t="n">
        <f aca="false">rd2*(1-ext_sh)/ext_sh*(mw_open*he_open+Sens!$K$5572*Sens!$K$5569)*Sens!$K$5558/1000</f>
        <v>0</v>
      </c>
      <c r="L5595" s="38" t="n">
        <f aca="false">rd2*(1-ext_sh)/ext_sh*(mw_open*he_open+Sens!$L$5572*Sens!$L$5569)*Sens!$L$5558/1000</f>
        <v>0</v>
      </c>
      <c r="M5595" s="38" t="n">
        <f aca="false">rd2*(1-ext_sh)/ext_sh*(mw_open*he_open+Sens!$M$5572*Sens!$M$5569)*Sens!$M$5558/1000</f>
        <v>0</v>
      </c>
      <c r="N5595" s="38" t="n">
        <f aca="false">rd2*(1-ext_sh)/ext_sh*Sens!$N$5557*he_open*Sens!$N$5558/1000</f>
        <v>0</v>
      </c>
      <c r="O5595" s="38" t="n">
        <f aca="false">rd2*(1-ext_sh)/ext_sh*Sens!$O$5557*he_open*Sens!$O$5558/1000</f>
        <v>0</v>
      </c>
      <c r="P5595" s="8" t="s">
        <v>600</v>
      </c>
    </row>
    <row r="5596" customFormat="false" ht="17.15" hidden="false" customHeight="false" outlineLevel="0" collapsed="false">
      <c r="A5596" s="5" t="s">
        <v>601</v>
      </c>
      <c r="B5596" s="0" t="s">
        <v>73</v>
      </c>
      <c r="C5596" s="38" t="n">
        <f aca="false">(1-ext_sh)*(Sens!$C$5576+Sens!$C$5589)-Sens!$C$5595</f>
        <v>0.169206631859174</v>
      </c>
      <c r="D5596" s="38" t="n">
        <f aca="false">(1-ext_sh)*(Sens!$D$5576+Sens!$D$5589)-Sens!$D$5595</f>
        <v>1.20641732046984</v>
      </c>
      <c r="E5596" s="38" t="n">
        <f aca="false">(1-ext_sh)*(Sens!$E$5576+Sens!$E$5589)-Sens!$E$5595</f>
        <v>1.77441259867062</v>
      </c>
      <c r="F5596" s="38" t="n">
        <f aca="false">(1-ext_sh)*(Sens!$F$5576+Sens!$F$5589)-Sens!$F$5595</f>
        <v>2.1140391597214</v>
      </c>
      <c r="G5596" s="38" t="n">
        <f aca="false">(1-ext_sh)*(Sens!$G$5576+Sens!$G$5589)-Sens!$G$5595</f>
        <v>3.88845175839202</v>
      </c>
      <c r="H5596" s="38" t="n">
        <f aca="false">(1-ext_sh)*(Sens!$H$5576+Sens!$H$5589)-Sens!$H$5595</f>
        <v>10.2210179503985</v>
      </c>
      <c r="I5596" s="38" t="n">
        <f aca="false">(1-ext_sh)*(Sens!$I$5576+Sens!$I$5589)-Sens!$I$5595</f>
        <v>17.8408961823075</v>
      </c>
      <c r="J5596" s="38" t="n">
        <f aca="false">(1-ext_sh)*(Sens!$J$5576+Sens!$J$5589)-Sens!$J$5595</f>
        <v>25.6671150670732</v>
      </c>
      <c r="K5596" s="38" t="n">
        <f aca="false">(1-ext_sh)*(Sens!$K$5576+Sens!$K$5589)-Sens!$K$5595</f>
        <v>33.6325293834986</v>
      </c>
      <c r="L5596" s="38" t="n">
        <f aca="false">(1-ext_sh)*(Sens!$L$5576+Sens!$L$5589)-Sens!$L$5595</f>
        <v>41.1939886299065</v>
      </c>
      <c r="M5596" s="38" t="n">
        <f aca="false">(1-ext_sh)*(Sens!$M$5576+Sens!$M$5589)-Sens!$M$5595</f>
        <v>48.8988205728617</v>
      </c>
      <c r="N5596" s="38" t="n">
        <f aca="false">(1-ext_sh)*(Sens!$N$5576+Sens!$N$5589)-Sens!$N$5595</f>
        <v>0.530919624033979</v>
      </c>
      <c r="O5596" s="38" t="n">
        <f aca="false">(1-ext_sh)*(Sens!$O$5576+Sens!$O$5589)-Sens!$O$5595</f>
        <v>0.675497696435861</v>
      </c>
    </row>
    <row r="5597" customFormat="false" ht="17.15" hidden="false" customHeight="false" outlineLevel="0" collapsed="false">
      <c r="A5597" s="0" t="s">
        <v>602</v>
      </c>
      <c r="B5597" s="0" t="s">
        <v>73</v>
      </c>
      <c r="C5597" s="38" t="n">
        <f aca="false">Q!$D$24</f>
        <v>39.834</v>
      </c>
      <c r="D5597" s="38" t="n">
        <f aca="false">Q!$E$24</f>
        <v>45.606</v>
      </c>
      <c r="E5597" s="38" t="n">
        <f aca="false">Q!$P$24</f>
        <v>30.782</v>
      </c>
      <c r="N5597" s="38" t="n">
        <f aca="false">Q!$N$24</f>
        <v>21.707</v>
      </c>
      <c r="O5597" s="38" t="n">
        <f aca="false">Q!$O$24</f>
        <v>23.899</v>
      </c>
    </row>
    <row r="5598" customFormat="false" ht="17.15" hidden="false" customHeight="false" outlineLevel="0" collapsed="false">
      <c r="A5598" s="0" t="s">
        <v>603</v>
      </c>
      <c r="B5598" s="0" t="s">
        <v>73</v>
      </c>
      <c r="C5598" s="38" t="n">
        <f aca="false">Sens!$C$5597-Sens!$C$5593</f>
        <v>38.1898211704631</v>
      </c>
      <c r="D5598" s="38" t="n">
        <f aca="false">Sens!$D$5597-Sens!$D$5593</f>
        <v>41.7278991932282</v>
      </c>
      <c r="E5598" s="38" t="n">
        <f aca="false">Sens!$E$5597-Sens!$E$5593</f>
        <v>29.3692974191125</v>
      </c>
      <c r="F5598" s="38" t="n">
        <f aca="false">Sens!$F$5578*Sens!$F$5599</f>
        <v>29.458060516894</v>
      </c>
      <c r="G5598" s="38" t="n">
        <f aca="false">Sens!$E$5598+Sens!$F$5598</f>
        <v>58.8273579360065</v>
      </c>
      <c r="H5598" s="38" t="n">
        <f aca="false">Sens!$H$5578*Sens!$H$5599</f>
        <v>67.8004040185081</v>
      </c>
      <c r="I5598" s="38" t="n">
        <f aca="false">Sens!$I$5578*Sens!$I$5599</f>
        <v>78.9527630302702</v>
      </c>
      <c r="J5598" s="38" t="n">
        <f aca="false">Sens!$J$5578*Sens!$J$5599</f>
        <v>88.6042681781841</v>
      </c>
      <c r="K5598" s="38" t="n">
        <f aca="false">Sens!$K$5578*Sens!$K$5599</f>
        <v>95.6926096324389</v>
      </c>
      <c r="L5598" s="38" t="n">
        <f aca="false">Sens!$L$5578*Sens!$L$5599</f>
        <v>103.348018403034</v>
      </c>
      <c r="M5598" s="38" t="n">
        <f aca="false">Sens!$M$5578*Sens!$M$5599</f>
        <v>111.615859875277</v>
      </c>
      <c r="N5598" s="38" t="n">
        <f aca="false">Sens!$N$5597-Sens!$N$5593</f>
        <v>20.784358965108</v>
      </c>
      <c r="O5598" s="38" t="n">
        <f aca="false">Sens!$O$5597-Sens!$O$5593</f>
        <v>20.9435402281202</v>
      </c>
      <c r="P5598" s="5" t="s">
        <v>604</v>
      </c>
    </row>
    <row r="5599" customFormat="false" ht="17.15" hidden="false" customHeight="false" outlineLevel="0" collapsed="false">
      <c r="A5599" s="0" t="s">
        <v>605</v>
      </c>
      <c r="B5599" s="0" t="s">
        <v>52</v>
      </c>
      <c r="C5599" s="12" t="n">
        <f aca="false">Sens!$C$5598/Sens!$C$5578</f>
        <v>0.362900395443635</v>
      </c>
      <c r="D5599" s="12" t="n">
        <f aca="false">Sens!$D$5598/Sens!$D$5578</f>
        <v>0.34767098474203</v>
      </c>
      <c r="E5599" s="12" t="n">
        <f aca="false">Sens!$E$5598/Sens!$E$5578</f>
        <v>0.411861655558416</v>
      </c>
      <c r="F5599" s="12" t="n">
        <f aca="false">(Sens!$O$5598+Sens!$E$5598)/(Sens!$O$5578+Sens!$E$5578)</f>
        <v>0.37480827803158</v>
      </c>
      <c r="G5599" s="12" t="n">
        <f aca="false">Sens!$G$5598/Sens!$G$5578</f>
        <v>0.392434440489471</v>
      </c>
      <c r="H5599" s="12" t="n">
        <f aca="false">Sens!$F$5599</f>
        <v>0.37480827803158</v>
      </c>
      <c r="I5599" s="12" t="n">
        <f aca="false">Sens!$F$5599</f>
        <v>0.37480827803158</v>
      </c>
      <c r="J5599" s="12" t="n">
        <f aca="false">Sens!$F$5599</f>
        <v>0.37480827803158</v>
      </c>
      <c r="K5599" s="12" t="n">
        <f aca="false">Sens!$F$5599</f>
        <v>0.37480827803158</v>
      </c>
      <c r="L5599" s="12" t="n">
        <f aca="false">Sens!$F$5599</f>
        <v>0.37480827803158</v>
      </c>
      <c r="M5599" s="12" t="n">
        <f aca="false">Sens!$F$5599</f>
        <v>0.37480827803158</v>
      </c>
      <c r="N5599" s="12" t="n">
        <f aca="false">Sens!$N$5598/Sens!$N$5578</f>
        <v>0.364039571356823</v>
      </c>
      <c r="O5599" s="12" t="n">
        <f aca="false">Sens!$O$5598/Sens!$O$5578</f>
        <v>0.332819892300086</v>
      </c>
      <c r="P5599" s="8" t="s">
        <v>606</v>
      </c>
    </row>
    <row r="5600" customFormat="false" ht="17.15" hidden="false" customHeight="false" outlineLevel="0" collapsed="false">
      <c r="A5600" s="0" t="s">
        <v>607</v>
      </c>
      <c r="B5600" s="0" t="s">
        <v>52</v>
      </c>
      <c r="D5600" s="12" t="n">
        <f aca="false">(Q!$E$31-ext_sh*Sens!$D$5589)/Sens!$D$5578</f>
        <v>0.154572973163571</v>
      </c>
    </row>
    <row r="5601" customFormat="false" ht="17.15" hidden="false" customHeight="false" outlineLevel="0" collapsed="false">
      <c r="A5601" s="0" t="s">
        <v>608</v>
      </c>
      <c r="B5601" s="0" t="s">
        <v>73</v>
      </c>
      <c r="C5601" s="38" t="n">
        <f aca="false">Q!$D$31</f>
        <v>13.32</v>
      </c>
      <c r="D5601" s="38" t="n">
        <f aca="false">Q!$E$31</f>
        <v>21.45</v>
      </c>
      <c r="E5601" s="38" t="n">
        <f aca="false">Q!$P$31</f>
        <v>15.353</v>
      </c>
      <c r="F5601" s="38" t="n">
        <f aca="false">ext_sh*Sens!$F$5589+Sens!$D$5600*Sens!$F$5578</f>
        <v>17.3614451462707</v>
      </c>
      <c r="G5601" s="38" t="n">
        <f aca="false">Sens!$E$5601+Sens!$F$5601</f>
        <v>32.7144451462707</v>
      </c>
      <c r="H5601" s="38" t="n">
        <f aca="false">ext_sh*Sens!$H$5589+Sens!$D$5600*Sens!$H$5578</f>
        <v>56.1966092719415</v>
      </c>
      <c r="I5601" s="38" t="n">
        <f aca="false">ext_sh*Sens!$I$5589+Sens!$D$5600*Sens!$I$5578</f>
        <v>82.9744039068297</v>
      </c>
      <c r="J5601" s="38" t="n">
        <f aca="false">ext_sh*Sens!$J$5589+Sens!$D$5600*Sens!$J$5578</f>
        <v>109.943252237669</v>
      </c>
      <c r="K5601" s="38" t="n">
        <f aca="false">ext_sh*Sens!$K$5589+Sens!$D$5600*Sens!$K$5578</f>
        <v>136.406703436571</v>
      </c>
      <c r="L5601" s="38" t="n">
        <f aca="false">ext_sh*Sens!$L$5589+Sens!$D$5600*Sens!$L$5578</f>
        <v>161.485870454155</v>
      </c>
      <c r="M5601" s="38" t="n">
        <f aca="false">ext_sh*Sens!$M$5589+Sens!$D$5600*Sens!$M$5578</f>
        <v>187.389846618199</v>
      </c>
      <c r="N5601" s="38" t="n">
        <f aca="false">Q!$N$31</f>
        <v>9.234</v>
      </c>
      <c r="O5601" s="38" t="n">
        <f aca="false">Q!$O$31</f>
        <v>12.216</v>
      </c>
    </row>
    <row r="5602" customFormat="false" ht="17.15" hidden="false" customHeight="false" outlineLevel="0" collapsed="false">
      <c r="A5602" s="1" t="s">
        <v>609</v>
      </c>
    </row>
    <row r="5603" customFormat="false" ht="17.15" hidden="false" customHeight="false" outlineLevel="0" collapsed="false">
      <c r="A5603" s="14" t="s">
        <v>610</v>
      </c>
      <c r="B5603" s="13" t="s">
        <v>52</v>
      </c>
      <c r="C5603" s="13"/>
      <c r="D5603" s="13"/>
      <c r="E5603" s="13"/>
      <c r="F5603" s="13"/>
      <c r="G5603" s="16" t="n">
        <f aca="false">Sens!$G$5593*(1-tax)/(ext_sh*(Sens!$D$5590+Sens!$G$5590)/2)</f>
        <v>0.0492184452944045</v>
      </c>
      <c r="H5603" s="16" t="n">
        <f aca="false">Sens!$H$5593*(1-tax)/(ext_sh*(Sens!$G$5590+Sens!$H$5590)/2)</f>
        <v>0.0619414246858107</v>
      </c>
      <c r="I5603" s="16" t="n">
        <f aca="false">Sens!$I$5593*(1-tax)/(ext_sh*(Sens!$H$5590+Sens!$I$5590)/2)</f>
        <v>0.0656831488051666</v>
      </c>
      <c r="J5603" s="16" t="n">
        <f aca="false">Sens!$J$5593*(1-tax)/(ext_sh*(Sens!$I$5590+Sens!$J$5590)/2)</f>
        <v>0.0690334849962116</v>
      </c>
      <c r="K5603" s="16" t="n">
        <f aca="false">Sens!$K$5593*(1-tax)/(ext_sh*(Sens!$J$5590+Sens!$K$5590)/2)</f>
        <v>0.0728680488295485</v>
      </c>
      <c r="L5603" s="16" t="n">
        <f aca="false">Sens!$L$5593*(1-tax)/(ext_sh*(Sens!$K$5590+Sens!$L$5590)/2)</f>
        <v>0.0785052878122331</v>
      </c>
      <c r="M5603" s="16" t="n">
        <f aca="false">Sens!$M$5593*(1-tax)/(ext_sh*(Sens!$L$5590+Sens!$M$5590)/2)</f>
        <v>0.0804526580722741</v>
      </c>
      <c r="N5603" s="13"/>
      <c r="O5603" s="13"/>
      <c r="P5603" s="8" t="s">
        <v>611</v>
      </c>
    </row>
    <row r="5604" customFormat="false" ht="17.15" hidden="false" customHeight="false" outlineLevel="0" collapsed="false">
      <c r="A5604" s="5" t="s">
        <v>612</v>
      </c>
      <c r="B5604" s="0" t="s">
        <v>57</v>
      </c>
      <c r="H5604" s="36" t="n">
        <f aca="false">Sens!$H$5574*1000/(mw_open*he_open+Sens!$H$5572*Sens!$H$5569)</f>
        <v>0.991949006767191</v>
      </c>
      <c r="I5604" s="36" t="n">
        <f aca="false">Sens!$I$5574*1000/(mw_open*he_open+Sens!$I$5572*Sens!$I$5569)</f>
        <v>0.991949006767191</v>
      </c>
      <c r="J5604" s="36" t="n">
        <f aca="false">Sens!$J$5574*1000/(mw_open*he_open+Sens!$J$5572*Sens!$J$5569)</f>
        <v>0.991949006767191</v>
      </c>
      <c r="K5604" s="36" t="n">
        <f aca="false">Sens!$K$5574*1000/(mw_open*he_open+Sens!$K$5572*Sens!$K$5569)</f>
        <v>0.991949006767191</v>
      </c>
      <c r="L5604" s="36" t="n">
        <f aca="false">Sens!$L$5574*1000/(mw_open*he_open+Sens!$L$5572*Sens!$L$5569)</f>
        <v>0.991949006767191</v>
      </c>
      <c r="M5604" s="36" t="n">
        <f aca="false">Sens!$M$5574*1000/(mw_open*he_open+Sens!$M$5572*Sens!$M$5569)</f>
        <v>0.991949006767192</v>
      </c>
    </row>
    <row r="5605" customFormat="false" ht="17.15" hidden="false" customHeight="false" outlineLevel="0" collapsed="false">
      <c r="A5605" s="5" t="s">
        <v>613</v>
      </c>
      <c r="B5605" s="0" t="s">
        <v>57</v>
      </c>
      <c r="H5605" s="36" t="n">
        <f aca="false">Sens!$H$5604*(Sens!$H$5574+wacc*ext_sh*(Sens!$G$5590+Sens!$H$5590)/2/(1-tax)-Sens!$H$5593)/Sens!$H$5574</f>
        <v>1.3149781212103</v>
      </c>
      <c r="I5605" s="36" t="n">
        <f aca="false">Sens!$I$5604*(Sens!$I$5574+wacc*ext_sh*(Sens!$H$5590+Sens!$I$5590)/2/(1-tax)-Sens!$I$5593)/Sens!$I$5574</f>
        <v>1.25742005569107</v>
      </c>
      <c r="J5605" s="36" t="n">
        <f aca="false">Sens!$J$5604*(Sens!$J$5574+wacc*ext_sh*(Sens!$I$5590+Sens!$J$5590)/2/(1-tax)-Sens!$J$5593)/Sens!$J$5574</f>
        <v>1.21838845868559</v>
      </c>
      <c r="K5605" s="36" t="n">
        <f aca="false">Sens!$K$5604*(Sens!$K$5574+wacc*ext_sh*(Sens!$J$5590+Sens!$K$5590)/2/(1-tax)-Sens!$K$5593)/Sens!$K$5574</f>
        <v>1.18402644209548</v>
      </c>
      <c r="L5605" s="36" t="n">
        <f aca="false">Sens!$L$5604*(Sens!$L$5574+wacc*ext_sh*(Sens!$K$5590+Sens!$L$5590)/2/(1-tax)-Sens!$L$5593)/Sens!$L$5574</f>
        <v>1.15111215322059</v>
      </c>
      <c r="M5605" s="36" t="n">
        <f aca="false">Sens!$M$5604*(Sens!$M$5574+wacc*ext_sh*(Sens!$L$5590+Sens!$M$5590)/2/(1-tax)-Sens!$M$5593)/Sens!$M$5574</f>
        <v>1.1397166845677</v>
      </c>
    </row>
    <row r="5606" customFormat="false" ht="17.15" hidden="false" customHeight="false" outlineLevel="0" collapsed="false">
      <c r="A5606" s="5" t="s">
        <v>614</v>
      </c>
      <c r="B5606" s="0" t="s">
        <v>52</v>
      </c>
      <c r="C5606" s="12" t="n">
        <f aca="false">Sens!$C$5575/tk_pq</f>
        <v>0.195316432429398</v>
      </c>
      <c r="D5606" s="12" t="n">
        <f aca="false">Sens!$D$5575/tk_pq</f>
        <v>0.195316432429398</v>
      </c>
      <c r="E5606" s="12" t="n">
        <f aca="false">Sens!$E$5575/tk_pq</f>
        <v>0.195316432429398</v>
      </c>
      <c r="F5606" s="12" t="n">
        <f aca="false">Sens!$F$5575/tk_pq</f>
        <v>0.202241827274866</v>
      </c>
      <c r="G5606" s="12" t="n">
        <f aca="false">Sens!$G$5575/tk_pq</f>
        <v>0.199675016194063</v>
      </c>
      <c r="H5606" s="12" t="n">
        <f aca="false">Sens!$H$5575/tk_pq</f>
        <v>0.212647947710325</v>
      </c>
      <c r="I5606" s="12" t="n">
        <f aca="false">Sens!$I$5575/tk_pq</f>
        <v>0.219285125475351</v>
      </c>
      <c r="J5606" s="12" t="n">
        <f aca="false">Sens!$J$5575/tk_pq</f>
        <v>0.222492493217189</v>
      </c>
      <c r="K5606" s="12" t="n">
        <f aca="false">Sens!$K$5575/tk_pq</f>
        <v>0.224371415939166</v>
      </c>
      <c r="L5606" s="12" t="n">
        <f aca="false">Sens!$L$5575/tk_pq</f>
        <v>0.225603749825993</v>
      </c>
      <c r="M5606" s="12" t="n">
        <f aca="false">Sens!$M$5575/tk_pq</f>
        <v>0.22647376274628</v>
      </c>
      <c r="N5606" s="12" t="n">
        <f aca="false">Sens!$N$5575/tk_pq</f>
        <v>0.195316432429398</v>
      </c>
      <c r="O5606" s="12" t="n">
        <f aca="false">Sens!$O$5575/tk_pq</f>
        <v>0.195316432429398</v>
      </c>
      <c r="P5606" s="5" t="s">
        <v>615</v>
      </c>
    </row>
    <row r="5609" customFormat="false" ht="17.15" hidden="false" customHeight="false" outlineLevel="0" collapsed="false">
      <c r="A5609" s="1" t="s">
        <v>642</v>
      </c>
    </row>
    <row r="5610" customFormat="false" ht="17.15" hidden="false" customHeight="false" outlineLevel="0" collapsed="false">
      <c r="A5610" s="0" t="s">
        <v>643</v>
      </c>
      <c r="B5610" s="0" t="s">
        <v>73</v>
      </c>
      <c r="C5610" s="38" t="n">
        <f aca="false">Sens!$C$5574</f>
        <v>2.32100535697364</v>
      </c>
      <c r="D5610" s="38" t="n">
        <f aca="false">Sens!$D$5574</f>
        <v>8.70377008865116</v>
      </c>
      <c r="E5610" s="38" t="n">
        <f aca="false">Sens!$E$5574</f>
        <v>8.51035297557002</v>
      </c>
      <c r="F5610" s="38" t="n">
        <f aca="false">Sens!$F$5574</f>
        <v>14.9634336447205</v>
      </c>
      <c r="G5610" s="38" t="n">
        <f aca="false">Sens!$G$5574</f>
        <v>23.4737866202905</v>
      </c>
      <c r="H5610" s="38" t="n">
        <f aca="false">Sens!$H$5574</f>
        <v>60.1658907497746</v>
      </c>
      <c r="I5610" s="38" t="n">
        <f aca="false">Sens!$I$5574</f>
        <v>101.503699136432</v>
      </c>
      <c r="J5610" s="38" t="n">
        <f aca="false">Sens!$J$5574</f>
        <v>143.025407151278</v>
      </c>
      <c r="K5610" s="38" t="n">
        <f aca="false">Sens!$K$5574</f>
        <v>184.608415042187</v>
      </c>
      <c r="L5610" s="38" t="n">
        <f aca="false">Sens!$L$5574</f>
        <v>226.219286513125</v>
      </c>
      <c r="M5610" s="38" t="n">
        <f aca="false">Sens!$M$5574</f>
        <v>267.845161450232</v>
      </c>
      <c r="N5610" s="38" t="n">
        <f aca="false">Sens!$N$5574</f>
        <v>3.04631953102791</v>
      </c>
      <c r="O5610" s="38" t="n">
        <f aca="false">Sens!$O$5574</f>
        <v>5.65745055762326</v>
      </c>
      <c r="P5610" s="8" t="s">
        <v>644</v>
      </c>
    </row>
    <row r="5611" customFormat="false" ht="17.15" hidden="false" customHeight="false" outlineLevel="0" collapsed="false">
      <c r="A5611" s="0" t="s">
        <v>645</v>
      </c>
      <c r="B5611" s="0" t="s">
        <v>73</v>
      </c>
      <c r="C5611" s="38" t="n">
        <f aca="false">Sens!$C$5578</f>
        <v>105.234994643026</v>
      </c>
      <c r="D5611" s="38" t="n">
        <f aca="false">Sens!$D$5578</f>
        <v>120.021229911349</v>
      </c>
      <c r="E5611" s="38" t="n">
        <f aca="false">Sens!$E$5578</f>
        <v>71.30864702443</v>
      </c>
      <c r="F5611" s="38" t="n">
        <f aca="false">Sens!$F$5578</f>
        <v>78.5950104186653</v>
      </c>
      <c r="G5611" s="38" t="n">
        <f aca="false">Sens!$G$5578</f>
        <v>149.903657443095</v>
      </c>
      <c r="H5611" s="38" t="n">
        <f aca="false">Sens!$H$5578</f>
        <v>180.893560768142</v>
      </c>
      <c r="I5611" s="38" t="n">
        <f aca="false">Sens!$I$5578</f>
        <v>210.64839721501</v>
      </c>
      <c r="J5611" s="38" t="n">
        <f aca="false">Sens!$J$5578</f>
        <v>236.398909446495</v>
      </c>
      <c r="K5611" s="38" t="n">
        <f aca="false">Sens!$K$5578</f>
        <v>255.310822202215</v>
      </c>
      <c r="L5611" s="38" t="n">
        <f aca="false">Sens!$L$5578</f>
        <v>275.735687978392</v>
      </c>
      <c r="M5611" s="38" t="n">
        <f aca="false">Sens!$M$5578</f>
        <v>297.794543016663</v>
      </c>
      <c r="N5611" s="38" t="n">
        <f aca="false">Sens!$N$5578</f>
        <v>57.0936804689721</v>
      </c>
      <c r="O5611" s="38" t="n">
        <f aca="false">Sens!$O$5578</f>
        <v>62.9275494423768</v>
      </c>
      <c r="P5611" s="8" t="s">
        <v>644</v>
      </c>
    </row>
    <row r="5612" customFormat="false" ht="17.15" hidden="false" customHeight="false" outlineLevel="0" collapsed="false">
      <c r="A5612" s="1" t="s">
        <v>476</v>
      </c>
      <c r="B5612" s="8" t="s">
        <v>73</v>
      </c>
      <c r="C5612" s="38" t="n">
        <f aca="false">Q!$D$7</f>
        <v>107.556</v>
      </c>
      <c r="D5612" s="38" t="n">
        <f aca="false">Q!$E$7</f>
        <v>128.725</v>
      </c>
      <c r="E5612" s="38" t="n">
        <f aca="false">Q!$P$7</f>
        <v>79.819</v>
      </c>
      <c r="F5612" s="38" t="n">
        <f aca="false">Sens!$F$5610+Sens!$F$5611</f>
        <v>93.5584440633857</v>
      </c>
      <c r="G5612" s="38" t="n">
        <f aca="false">Sens!$G$5610+Sens!$G$5611</f>
        <v>173.377444063386</v>
      </c>
      <c r="H5612" s="38" t="n">
        <f aca="false">Sens!$H$5610+Sens!$H$5611</f>
        <v>241.059451517916</v>
      </c>
      <c r="I5612" s="38" t="n">
        <f aca="false">Sens!$I$5610+Sens!$I$5611</f>
        <v>312.152096351442</v>
      </c>
      <c r="J5612" s="38" t="n">
        <f aca="false">Sens!$J$5610+Sens!$J$5611</f>
        <v>379.424316597773</v>
      </c>
      <c r="K5612" s="38" t="n">
        <f aca="false">Sens!$K$5610+Sens!$K$5611</f>
        <v>439.919237244402</v>
      </c>
      <c r="L5612" s="38" t="n">
        <f aca="false">Sens!$L$5610+Sens!$L$5611</f>
        <v>501.954974491517</v>
      </c>
      <c r="M5612" s="38" t="n">
        <f aca="false">Sens!$M$5610+Sens!$M$5611</f>
        <v>565.639704466895</v>
      </c>
      <c r="N5612" s="38" t="n">
        <f aca="false">Q!$N$7</f>
        <v>60.14</v>
      </c>
      <c r="O5612" s="38" t="n">
        <f aca="false">Q!$O$7</f>
        <v>68.585</v>
      </c>
      <c r="P5612" s="5" t="s">
        <v>646</v>
      </c>
    </row>
    <row r="5613" customFormat="false" ht="15" hidden="false" customHeight="false" outlineLevel="0" collapsed="false">
      <c r="A5613" s="3" t="s">
        <v>647</v>
      </c>
      <c r="B5613" s="8" t="s">
        <v>73</v>
      </c>
      <c r="C5613" s="38" t="n">
        <f aca="false">Q!$D$8</f>
        <v>637.959</v>
      </c>
      <c r="D5613" s="38" t="n">
        <f aca="false">Q!$E$8</f>
        <v>716.924</v>
      </c>
      <c r="E5613" s="38" t="n">
        <f aca="false">Q!$P$8</f>
        <v>382.125</v>
      </c>
      <c r="F5613" s="38" t="n">
        <f aca="false">Sens!$F$5547+Sens!$F$5612</f>
        <v>450.494873271816</v>
      </c>
      <c r="G5613" s="38" t="n">
        <f aca="false">Sens!$G$5547+Sens!$G$5612</f>
        <v>832.619873271816</v>
      </c>
      <c r="H5613" s="38" t="n">
        <f aca="false">Sens!$H$5547+Sens!$H$5612</f>
        <v>970.995189139617</v>
      </c>
      <c r="I5613" s="38" t="n">
        <f aca="false">Sens!$I$5547+Sens!$I$5612</f>
        <v>1110.44766604932</v>
      </c>
      <c r="J5613" s="38" t="n">
        <f aca="false">Sens!$J$5547+Sens!$J$5612</f>
        <v>1241.16113892356</v>
      </c>
      <c r="K5613" s="38" t="n">
        <f aca="false">Sens!$K$5547+Sens!$K$5612</f>
        <v>1357.47672934633</v>
      </c>
      <c r="L5613" s="38" t="n">
        <f aca="false">Sens!$L$5547+Sens!$L$5612</f>
        <v>1479.24006423468</v>
      </c>
      <c r="M5613" s="38" t="n">
        <f aca="false">Sens!$M$5547+Sens!$M$5612</f>
        <v>1606.8537230104</v>
      </c>
      <c r="N5613" s="38" t="n">
        <f aca="false">Q!$N$8</f>
        <v>323.369</v>
      </c>
      <c r="O5613" s="38" t="n">
        <f aca="false">Q!$O$8</f>
        <v>393.555</v>
      </c>
    </row>
    <row r="5614" customFormat="false" ht="17.15" hidden="false" customHeight="false" outlineLevel="0" collapsed="false">
      <c r="A5614" s="24" t="s">
        <v>655</v>
      </c>
      <c r="B5614" s="25" t="s">
        <v>73</v>
      </c>
      <c r="C5614" s="39" t="n">
        <f aca="false">Sens!$C$5547-(Sens!$C$5549+Sens!$C$5550)</f>
        <v>0</v>
      </c>
      <c r="D5614" s="39" t="n">
        <f aca="false">Sens!$D$5547-(Sens!$D$5549+Sens!$D$5550)</f>
        <v>0</v>
      </c>
      <c r="E5614" s="39" t="n">
        <f aca="false">Sens!$E$5547-(Sens!$E$5549+Sens!$E$5550)</f>
        <v>0</v>
      </c>
      <c r="F5614" s="39" t="n">
        <f aca="false">Sens!$F$5547-(Sens!$F$5549+Sens!$F$5550)</f>
        <v>0</v>
      </c>
      <c r="G5614" s="39" t="n">
        <f aca="false">Sens!$G$5547-(Sens!$G$5549+Sens!$G$5550)</f>
        <v>0</v>
      </c>
      <c r="H5614" s="39" t="n">
        <f aca="false">Sens!$H$5547-(Sens!$H$5549+Sens!$H$5550)</f>
        <v>0</v>
      </c>
      <c r="I5614" s="39" t="n">
        <f aca="false">Sens!$I$5547-(Sens!$I$5549+Sens!$I$5550)</f>
        <v>0</v>
      </c>
      <c r="J5614" s="39" t="n">
        <f aca="false">Sens!$J$5547-(Sens!$J$5549+Sens!$J$5550)</f>
        <v>0</v>
      </c>
      <c r="K5614" s="39" t="n">
        <f aca="false">Sens!$K$5547-(Sens!$K$5549+Sens!$K$5550)</f>
        <v>0</v>
      </c>
      <c r="L5614" s="39" t="n">
        <f aca="false">Sens!$L$5547-(Sens!$L$5549+Sens!$L$5550)</f>
        <v>0</v>
      </c>
      <c r="M5614" s="39" t="n">
        <f aca="false">Sens!$M$5547-(Sens!$M$5549+Sens!$M$5550)</f>
        <v>0</v>
      </c>
      <c r="N5614" s="39" t="n">
        <f aca="false">Sens!$N$5547-(Sens!$N$5549+Sens!$N$5550)</f>
        <v>0</v>
      </c>
      <c r="O5614" s="39" t="n">
        <f aca="false">Sens!$O$5547-(Sens!$O$5549+Sens!$O$5550)</f>
        <v>0</v>
      </c>
    </row>
    <row r="5615" customFormat="false" ht="17.15" hidden="false" customHeight="false" outlineLevel="0" collapsed="false">
      <c r="A5615" s="24" t="s">
        <v>656</v>
      </c>
      <c r="B5615" s="25" t="s">
        <v>73</v>
      </c>
      <c r="C5615" s="39" t="n">
        <f aca="false">Sens!$C$5610+Sens!$C$5611-Sens!$C$5612</f>
        <v>0</v>
      </c>
      <c r="D5615" s="39" t="n">
        <f aca="false">Sens!$D$5610+Sens!$D$5611-Sens!$D$5612</f>
        <v>0</v>
      </c>
      <c r="E5615" s="39" t="n">
        <f aca="false">Sens!$E$5610+Sens!$E$5611-Sens!$E$5612</f>
        <v>0</v>
      </c>
      <c r="F5615" s="39" t="n">
        <f aca="false">Sens!$F$5610+Sens!$F$5611-Sens!$F$5612</f>
        <v>0</v>
      </c>
      <c r="G5615" s="39" t="n">
        <f aca="false">Sens!$G$5610+Sens!$G$5611-Sens!$G$5612</f>
        <v>0</v>
      </c>
      <c r="H5615" s="39" t="n">
        <f aca="false">Sens!$H$5610+Sens!$H$5611-Sens!$H$5612</f>
        <v>0</v>
      </c>
      <c r="I5615" s="39" t="n">
        <f aca="false">Sens!$I$5610+Sens!$I$5611-Sens!$I$5612</f>
        <v>0</v>
      </c>
      <c r="J5615" s="39" t="n">
        <f aca="false">Sens!$J$5610+Sens!$J$5611-Sens!$J$5612</f>
        <v>0</v>
      </c>
      <c r="K5615" s="39" t="n">
        <f aca="false">Sens!$K$5610+Sens!$K$5611-Sens!$K$5612</f>
        <v>0</v>
      </c>
      <c r="L5615" s="39" t="n">
        <f aca="false">Sens!$L$5610+Sens!$L$5611-Sens!$L$5612</f>
        <v>0</v>
      </c>
      <c r="M5615" s="39" t="n">
        <f aca="false">Sens!$M$5610+Sens!$M$5611-Sens!$M$5612</f>
        <v>0</v>
      </c>
      <c r="N5615" s="39" t="n">
        <f aca="false">Sens!$N$5610+Sens!$N$5611-Sens!$N$5612</f>
        <v>0</v>
      </c>
      <c r="O5615" s="39" t="n">
        <f aca="false">Sens!$O$5610+Sens!$O$5611-Sens!$O$5612</f>
        <v>0</v>
      </c>
    </row>
    <row r="5616" customFormat="false" ht="17.15" hidden="false" customHeight="false" outlineLevel="0" collapsed="false">
      <c r="A5616" s="24" t="s">
        <v>657</v>
      </c>
      <c r="B5616" s="25" t="s">
        <v>73</v>
      </c>
      <c r="C5616" s="39" t="n">
        <f aca="false">Sens!$C$5549+Sens!$C$5550+Sens!$C$5612-Sens!$C$5613</f>
        <v>0</v>
      </c>
      <c r="D5616" s="39" t="n">
        <f aca="false">Sens!$D$5549+Sens!$D$5550+Sens!$D$5612-Sens!$D$5613</f>
        <v>0</v>
      </c>
      <c r="E5616" s="39" t="n">
        <f aca="false">Sens!$E$5549+Sens!$E$5550+Sens!$E$5612-Sens!$E$5613</f>
        <v>0</v>
      </c>
      <c r="F5616" s="39" t="n">
        <f aca="false">Sens!$F$5549+Sens!$F$5550+Sens!$F$5612-Sens!$F$5613</f>
        <v>0</v>
      </c>
      <c r="G5616" s="39" t="n">
        <f aca="false">Sens!$G$5549+Sens!$G$5550+Sens!$G$5612-Sens!$G$5613</f>
        <v>0</v>
      </c>
      <c r="H5616" s="39" t="n">
        <f aca="false">Sens!$H$5549+Sens!$H$5550+Sens!$H$5612-Sens!$H$5613</f>
        <v>0</v>
      </c>
      <c r="I5616" s="39" t="n">
        <f aca="false">Sens!$I$5549+Sens!$I$5550+Sens!$I$5612-Sens!$I$5613</f>
        <v>0</v>
      </c>
      <c r="J5616" s="39" t="n">
        <f aca="false">Sens!$J$5549+Sens!$J$5550+Sens!$J$5612-Sens!$J$5613</f>
        <v>0</v>
      </c>
      <c r="K5616" s="39" t="n">
        <f aca="false">Sens!$K$5549+Sens!$K$5550+Sens!$K$5612-Sens!$K$5613</f>
        <v>0</v>
      </c>
      <c r="L5616" s="39" t="n">
        <f aca="false">Sens!$L$5549+Sens!$L$5550+Sens!$L$5612-Sens!$L$5613</f>
        <v>0</v>
      </c>
      <c r="M5616" s="39" t="n">
        <f aca="false">Sens!$M$5549+Sens!$M$5550+Sens!$M$5612-Sens!$M$5613</f>
        <v>0</v>
      </c>
      <c r="N5616" s="39" t="n">
        <f aca="false">Sens!$N$5549+Sens!$N$5550+Sens!$N$5612-Sens!$N$5613</f>
        <v>0</v>
      </c>
      <c r="O5616" s="39" t="n">
        <f aca="false">Sens!$O$5549+Sens!$O$5550+Sens!$O$5612-Sens!$O$5613</f>
        <v>0</v>
      </c>
    </row>
    <row r="5617" customFormat="false" ht="15" hidden="false" customHeight="false" outlineLevel="0" collapsed="false">
      <c r="A5617" s="5" t="s">
        <v>651</v>
      </c>
      <c r="B5617" s="0" t="s">
        <v>52</v>
      </c>
      <c r="G5617" s="12" t="n">
        <f aca="false">Sens!$G$5613/Sens!$D$5613-1</f>
        <v>0.161378156222718</v>
      </c>
      <c r="H5617" s="12" t="n">
        <f aca="false">Sens!$H$5613/Sens!$G$5613-1</f>
        <v>0.166192665236357</v>
      </c>
      <c r="I5617" s="12" t="n">
        <f aca="false">Sens!$I$5613/Sens!$H$5613-1</f>
        <v>0.143618092519351</v>
      </c>
      <c r="J5617" s="12" t="n">
        <f aca="false">Sens!$J$5613/Sens!$I$5613-1</f>
        <v>0.117712411733268</v>
      </c>
      <c r="K5617" s="12" t="n">
        <f aca="false">Sens!$K$5613/Sens!$J$5613-1</f>
        <v>0.0937151404237868</v>
      </c>
      <c r="L5617" s="12" t="n">
        <f aca="false">Sens!$L$5613/Sens!$K$5613-1</f>
        <v>0.0896982852494186</v>
      </c>
      <c r="M5617" s="12" t="n">
        <f aca="false">Sens!$M$5613/Sens!$L$5613-1</f>
        <v>0.0862697420528154</v>
      </c>
    </row>
    <row r="5618" customFormat="false" ht="17.15" hidden="false" customHeight="false" outlineLevel="0" collapsed="false">
      <c r="A5618" s="0" t="s">
        <v>652</v>
      </c>
      <c r="B5618" s="0" t="s">
        <v>52</v>
      </c>
      <c r="C5618" s="12" t="n">
        <f aca="false">Sens!$C$5612/Sens!$C$5613</f>
        <v>0.168593906504964</v>
      </c>
      <c r="D5618" s="12" t="n">
        <f aca="false">Sens!$D$5612/Sens!$D$5613</f>
        <v>0.179551807444025</v>
      </c>
      <c r="E5618" s="12" t="n">
        <f aca="false">Sens!$E$5612/Sens!$E$5613</f>
        <v>0.208881910369643</v>
      </c>
      <c r="F5618" s="12" t="n">
        <f aca="false">Sens!$F$5612/Sens!$F$5613</f>
        <v>0.207679264769203</v>
      </c>
      <c r="G5618" s="12" t="n">
        <f aca="false">Sens!$G$5612/Sens!$G$5613</f>
        <v>0.208231210458731</v>
      </c>
      <c r="H5618" s="12" t="n">
        <f aca="false">Sens!$H$5612/Sens!$H$5613</f>
        <v>0.248260191414043</v>
      </c>
      <c r="I5618" s="12" t="n">
        <f aca="false">Sens!$I$5612/Sens!$I$5613</f>
        <v>0.28110473450946</v>
      </c>
      <c r="J5618" s="12" t="n">
        <f aca="false">Sens!$J$5612/Sens!$J$5613</f>
        <v>0.30570109287086</v>
      </c>
      <c r="K5618" s="12" t="n">
        <f aca="false">Sens!$K$5612/Sens!$K$5613</f>
        <v>0.324071291782835</v>
      </c>
      <c r="L5618" s="12" t="n">
        <f aca="false">Sens!$L$5612/Sens!$L$5613</f>
        <v>0.339333003903741</v>
      </c>
      <c r="M5618" s="12" t="n">
        <f aca="false">Sens!$M$5612/Sens!$M$5613</f>
        <v>0.3520169237354</v>
      </c>
      <c r="N5618" s="12" t="n">
        <f aca="false">Sens!$N$5612/Sens!$N$5613</f>
        <v>0.185979484737251</v>
      </c>
      <c r="O5618" s="12" t="n">
        <f aca="false">Sens!$O$5612/Sens!$O$5613</f>
        <v>0.174270432341096</v>
      </c>
    </row>
    <row r="5619" customFormat="false" ht="17.15" hidden="false" customHeight="false" outlineLevel="0" collapsed="false">
      <c r="A5619" s="0" t="s">
        <v>653</v>
      </c>
      <c r="B5619" s="0" t="s">
        <v>52</v>
      </c>
      <c r="C5619" s="12" t="n">
        <f aca="false">Sens!$C$5610/Sens!$C$5612</f>
        <v>0.0215795060896058</v>
      </c>
      <c r="D5619" s="12" t="n">
        <f aca="false">Sens!$D$5610/Sens!$D$5612</f>
        <v>0.0676152269462122</v>
      </c>
      <c r="E5619" s="12" t="n">
        <f aca="false">Sens!$E$5610/Sens!$E$5612</f>
        <v>0.106620641395783</v>
      </c>
      <c r="F5619" s="12" t="n">
        <f aca="false">Sens!$F$5610/Sens!$F$5612</f>
        <v>0.159936751776064</v>
      </c>
      <c r="G5619" s="12" t="n">
        <f aca="false">Sens!$G$5610/Sens!$G$5612</f>
        <v>0.135391237003751</v>
      </c>
      <c r="H5619" s="12" t="n">
        <f aca="false">Sens!$H$5610/Sens!$H$5612</f>
        <v>0.249589428545194</v>
      </c>
      <c r="I5619" s="12" t="n">
        <f aca="false">Sens!$I$5610/Sens!$I$5612</f>
        <v>0.325173850577483</v>
      </c>
      <c r="J5619" s="12" t="n">
        <f aca="false">Sens!$J$5610/Sens!$J$5612</f>
        <v>0.376953718817392</v>
      </c>
      <c r="K5619" s="12" t="n">
        <f aca="false">Sens!$K$5610/Sens!$K$5612</f>
        <v>0.419641605578676</v>
      </c>
      <c r="L5619" s="12" t="n">
        <f aca="false">Sens!$L$5610/Sens!$L$5612</f>
        <v>0.450676451094615</v>
      </c>
      <c r="M5619" s="12" t="n">
        <f aca="false">Sens!$M$5610/Sens!$M$5612</f>
        <v>0.473526096798086</v>
      </c>
      <c r="N5619" s="12" t="n">
        <f aca="false">Sens!$N$5610/Sens!$N$5612</f>
        <v>0.0506537999838362</v>
      </c>
      <c r="O5619" s="12" t="n">
        <f aca="false">Sens!$O$5610/Sens!$O$5612</f>
        <v>0.0824881615167056</v>
      </c>
    </row>
    <row r="5622" customFormat="false" ht="19.4" hidden="false" customHeight="false" outlineLevel="0" collapsed="false">
      <c r="A5622" s="31" t="s">
        <v>1165</v>
      </c>
    </row>
    <row r="5623" customFormat="false" ht="17.15" hidden="false" customHeight="false" outlineLevel="0" collapsed="false">
      <c r="A5623" s="6" t="s">
        <v>16</v>
      </c>
      <c r="B5623" s="6" t="s">
        <v>17</v>
      </c>
      <c r="C5623" s="20" t="s">
        <v>457</v>
      </c>
      <c r="D5623" s="20" t="s">
        <v>458</v>
      </c>
      <c r="E5623" s="20" t="s">
        <v>540</v>
      </c>
      <c r="F5623" s="20" t="s">
        <v>541</v>
      </c>
      <c r="G5623" s="20" t="s">
        <v>542</v>
      </c>
      <c r="H5623" s="20" t="s">
        <v>543</v>
      </c>
      <c r="I5623" s="20" t="s">
        <v>544</v>
      </c>
      <c r="J5623" s="20" t="s">
        <v>545</v>
      </c>
      <c r="K5623" s="20" t="s">
        <v>546</v>
      </c>
      <c r="L5623" s="20" t="s">
        <v>547</v>
      </c>
      <c r="M5623" s="20" t="s">
        <v>548</v>
      </c>
      <c r="N5623" s="20" t="s">
        <v>549</v>
      </c>
      <c r="O5623" s="20" t="s">
        <v>550</v>
      </c>
      <c r="P5623" s="6" t="s">
        <v>23</v>
      </c>
      <c r="R5623" s="20" t="n">
        <v>2023</v>
      </c>
      <c r="S5623" s="20" t="n">
        <v>2024</v>
      </c>
      <c r="T5623" s="20" t="n">
        <v>2025</v>
      </c>
      <c r="U5623" s="20" t="n">
        <v>2026</v>
      </c>
      <c r="V5623" s="20" t="n">
        <v>2027</v>
      </c>
      <c r="W5623" s="20" t="n">
        <v>2028</v>
      </c>
      <c r="X5623" s="20" t="n">
        <v>2029</v>
      </c>
      <c r="Y5623" s="20" t="n">
        <v>2030</v>
      </c>
      <c r="Z5623" s="20" t="n">
        <v>2031</v>
      </c>
      <c r="AA5623" s="20" t="n">
        <v>2032</v>
      </c>
    </row>
    <row r="5624" customFormat="false" ht="17.15" hidden="false" customHeight="false" outlineLevel="0" collapsed="false">
      <c r="A5624" s="1" t="s">
        <v>668</v>
      </c>
    </row>
    <row r="5625" customFormat="false" ht="15" hidden="false" customHeight="false" outlineLevel="0" collapsed="false">
      <c r="A5625" s="0" t="s">
        <v>479</v>
      </c>
      <c r="B5625" s="0" t="s">
        <v>73</v>
      </c>
      <c r="C5625" s="38" t="n">
        <f aca="false">Sens!$C$5535</f>
        <v>247.029</v>
      </c>
      <c r="D5625" s="38" t="n">
        <f aca="false">Sens!$D$5535</f>
        <v>269.287</v>
      </c>
      <c r="E5625" s="38" t="n">
        <f aca="false">Sens!$E$5535</f>
        <v>134.686</v>
      </c>
      <c r="F5625" s="38" t="n">
        <f aca="false">Sens!$F$5535</f>
        <v>160.728085930082</v>
      </c>
      <c r="G5625" s="38" t="n">
        <f aca="false">Sens!$G$5535</f>
        <v>295.414085930082</v>
      </c>
      <c r="H5625" s="38" t="n">
        <f aca="false">Sens!$H$5535</f>
        <v>320.828163943375</v>
      </c>
      <c r="I5625" s="38" t="n">
        <f aca="false">Sens!$I$5535</f>
        <v>344.575578072228</v>
      </c>
      <c r="J5625" s="38" t="n">
        <f aca="false">Sens!$J$5535</f>
        <v>365.942555779681</v>
      </c>
      <c r="K5625" s="38" t="n">
        <f aca="false">Sens!$K$5535</f>
        <v>384.239683568665</v>
      </c>
      <c r="L5625" s="38" t="n">
        <f aca="false">Sens!$L$5535</f>
        <v>403.451667747098</v>
      </c>
      <c r="M5625" s="38" t="n">
        <f aca="false">Sens!$M$5535</f>
        <v>423.624251134453</v>
      </c>
      <c r="N5625" s="38" t="n">
        <f aca="false">Sens!$N$5535</f>
        <v>118.892</v>
      </c>
      <c r="O5625" s="38" t="n">
        <f aca="false">Sens!$O$5535</f>
        <v>150.395</v>
      </c>
    </row>
    <row r="5626" customFormat="false" ht="15" hidden="false" customHeight="false" outlineLevel="0" collapsed="false">
      <c r="A5626" s="0" t="s">
        <v>480</v>
      </c>
      <c r="B5626" s="0" t="s">
        <v>73</v>
      </c>
      <c r="C5626" s="38" t="n">
        <f aca="false">Sens!$C$5537</f>
        <v>21.215</v>
      </c>
      <c r="D5626" s="38" t="n">
        <f aca="false">Sens!$D$5537</f>
        <v>22.561</v>
      </c>
      <c r="E5626" s="38" t="n">
        <f aca="false">Sens!$E$5537</f>
        <v>11.579</v>
      </c>
      <c r="F5626" s="38" t="n">
        <f aca="false">Sens!$F$5537</f>
        <v>12.0952613121125</v>
      </c>
      <c r="G5626" s="38" t="n">
        <f aca="false">Sens!$G$5537</f>
        <v>23.6742613121125</v>
      </c>
      <c r="H5626" s="38" t="n">
        <f aca="false">Sens!$H$5537</f>
        <v>24.8803243963206</v>
      </c>
      <c r="I5626" s="38" t="n">
        <f aca="false">Sens!$I$5537</f>
        <v>25.9741308664154</v>
      </c>
      <c r="J5626" s="38" t="n">
        <f aca="false">Sens!$J$5537</f>
        <v>26.9346894124267</v>
      </c>
      <c r="K5626" s="38" t="n">
        <f aca="false">Sens!$K$5537</f>
        <v>27.7427300947995</v>
      </c>
      <c r="L5626" s="38" t="n">
        <f aca="false">Sens!$L$5537</f>
        <v>28.5750119976435</v>
      </c>
      <c r="M5626" s="38" t="n">
        <f aca="false">Sens!$M$5537</f>
        <v>29.4322623575728</v>
      </c>
      <c r="N5626" s="38" t="n">
        <f aca="false">Sens!$N$5537</f>
        <v>11.128</v>
      </c>
      <c r="O5626" s="38" t="n">
        <f aca="false">Sens!$O$5537</f>
        <v>11.433</v>
      </c>
    </row>
    <row r="5627" customFormat="false" ht="15" hidden="false" customHeight="false" outlineLevel="0" collapsed="false">
      <c r="A5627" s="0" t="s">
        <v>481</v>
      </c>
      <c r="B5627" s="0" t="s">
        <v>73</v>
      </c>
      <c r="C5627" s="38" t="n">
        <f aca="false">Sens!$C$5539</f>
        <v>156.146</v>
      </c>
      <c r="D5627" s="38" t="n">
        <f aca="false">Sens!$D$5539</f>
        <v>172.162</v>
      </c>
      <c r="E5627" s="38" t="n">
        <f aca="false">Sens!$E$5539</f>
        <v>88.358</v>
      </c>
      <c r="F5627" s="38" t="n">
        <f aca="false">Sens!$F$5539</f>
        <v>103.62028337149</v>
      </c>
      <c r="G5627" s="38" t="n">
        <f aca="false">Sens!$G$5539</f>
        <v>191.97828337149</v>
      </c>
      <c r="H5627" s="38" t="n">
        <f aca="false">Sens!$H$5539</f>
        <v>212.128608444755</v>
      </c>
      <c r="I5627" s="38" t="n">
        <f aca="false">Sens!$I$5539</f>
        <v>231.92183134134</v>
      </c>
      <c r="J5627" s="38" t="n">
        <f aca="false">Sens!$J$5539</f>
        <v>250.859136487863</v>
      </c>
      <c r="K5627" s="38" t="n">
        <f aca="false">Sens!$K$5539</f>
        <v>268.419276042014</v>
      </c>
      <c r="L5627" s="38" t="n">
        <f aca="false">Sens!$L$5539</f>
        <v>287.208625364954</v>
      </c>
      <c r="M5627" s="38" t="n">
        <f aca="false">Sens!$M$5539</f>
        <v>307.313229140501</v>
      </c>
      <c r="N5627" s="38" t="n">
        <f aca="false">Sens!$N$5539</f>
        <v>76.86</v>
      </c>
      <c r="O5627" s="38" t="n">
        <f aca="false">Sens!$O$5539</f>
        <v>95.302</v>
      </c>
    </row>
    <row r="5628" customFormat="false" ht="15" hidden="false" customHeight="false" outlineLevel="0" collapsed="false">
      <c r="A5628" s="0" t="s">
        <v>482</v>
      </c>
      <c r="B5628" s="0" t="s">
        <v>73</v>
      </c>
      <c r="C5628" s="38" t="n">
        <f aca="false">Sens!$C$5541</f>
        <v>56.214</v>
      </c>
      <c r="D5628" s="38" t="n">
        <f aca="false">Sens!$D$5541</f>
        <v>68.635</v>
      </c>
      <c r="E5628" s="38" t="n">
        <f aca="false">Sens!$E$5541</f>
        <v>37.052</v>
      </c>
      <c r="F5628" s="38" t="n">
        <f aca="false">Sens!$F$5541</f>
        <v>48.1533381827382</v>
      </c>
      <c r="G5628" s="38" t="n">
        <f aca="false">Sens!$G$5541</f>
        <v>85.2053381827382</v>
      </c>
      <c r="H5628" s="38" t="n">
        <f aca="false">Sens!$H$5541</f>
        <v>102.29336185894</v>
      </c>
      <c r="I5628" s="38" t="n">
        <f aca="false">Sens!$I$5541</f>
        <v>119.379837585241</v>
      </c>
      <c r="J5628" s="38" t="n">
        <f aca="false">Sens!$J$5541</f>
        <v>135.319079048844</v>
      </c>
      <c r="K5628" s="38" t="n">
        <f aca="false">Sens!$K$5541</f>
        <v>148.850986953729</v>
      </c>
      <c r="L5628" s="38" t="n">
        <f aca="false">Sens!$L$5541</f>
        <v>163.736085649102</v>
      </c>
      <c r="M5628" s="38" t="n">
        <f aca="false">Sens!$M$5541</f>
        <v>180.109694214012</v>
      </c>
      <c r="N5628" s="38" t="n">
        <f aca="false">Sens!$N$5541</f>
        <v>29.615</v>
      </c>
      <c r="O5628" s="38" t="n">
        <f aca="false">Sens!$O$5541</f>
        <v>39.02</v>
      </c>
    </row>
    <row r="5629" customFormat="false" ht="15" hidden="false" customHeight="false" outlineLevel="0" collapsed="false">
      <c r="A5629" s="0" t="s">
        <v>483</v>
      </c>
      <c r="B5629" s="0" t="s">
        <v>73</v>
      </c>
      <c r="C5629" s="38" t="n">
        <f aca="false">Sens!$C$5543</f>
        <v>44.374</v>
      </c>
      <c r="D5629" s="38" t="n">
        <f aca="false">Sens!$D$5543</f>
        <v>49.619</v>
      </c>
      <c r="E5629" s="38" t="n">
        <f aca="false">Sens!$E$5543</f>
        <v>27.157</v>
      </c>
      <c r="F5629" s="38" t="n">
        <f aca="false">Sens!$F$5543</f>
        <v>28.9776360923374</v>
      </c>
      <c r="G5629" s="38" t="n">
        <f aca="false">Sens!$G$5543</f>
        <v>56.1346360923374</v>
      </c>
      <c r="H5629" s="38" t="n">
        <f aca="false">Sens!$H$5543</f>
        <v>62.4937078946075</v>
      </c>
      <c r="I5629" s="38" t="n">
        <f aca="false">Sens!$I$5543</f>
        <v>68.6715233062498</v>
      </c>
      <c r="J5629" s="38" t="n">
        <f aca="false">Sens!$J$5543</f>
        <v>74.4692882949818</v>
      </c>
      <c r="K5629" s="38" t="n">
        <f aca="false">Sens!$K$5543</f>
        <v>79.6821384756306</v>
      </c>
      <c r="L5629" s="38" t="n">
        <f aca="false">Sens!$L$5543</f>
        <v>85.2598881689247</v>
      </c>
      <c r="M5629" s="38" t="n">
        <f aca="false">Sens!$M$5543</f>
        <v>91.2280803407494</v>
      </c>
      <c r="N5629" s="38" t="n">
        <f aca="false">Sens!$N$5543</f>
        <v>23.923</v>
      </c>
      <c r="O5629" s="38" t="n">
        <f aca="false">Sens!$O$5543</f>
        <v>25.696</v>
      </c>
    </row>
    <row r="5630" customFormat="false" ht="15" hidden="false" customHeight="false" outlineLevel="0" collapsed="false">
      <c r="A5630" s="0" t="s">
        <v>484</v>
      </c>
      <c r="B5630" s="0" t="s">
        <v>73</v>
      </c>
      <c r="C5630" s="38" t="n">
        <f aca="false">Sens!$C$5545</f>
        <v>5.425</v>
      </c>
      <c r="D5630" s="38" t="n">
        <f aca="false">Sens!$D$5545</f>
        <v>5.935</v>
      </c>
      <c r="E5630" s="38" t="n">
        <f aca="false">Sens!$E$5545</f>
        <v>3.474</v>
      </c>
      <c r="F5630" s="38" t="n">
        <f aca="false">Sens!$F$5545</f>
        <v>3.36182431966931</v>
      </c>
      <c r="G5630" s="38" t="n">
        <f aca="false">Sens!$G$5545</f>
        <v>6.83582431966931</v>
      </c>
      <c r="H5630" s="38" t="n">
        <f aca="false">Sens!$H$5545</f>
        <v>7.31157108370141</v>
      </c>
      <c r="I5630" s="38" t="n">
        <f aca="false">Sens!$I$5545</f>
        <v>7.77266852639815</v>
      </c>
      <c r="J5630" s="38" t="n">
        <f aca="false">Sens!$J$5545</f>
        <v>8.2120733019884</v>
      </c>
      <c r="K5630" s="38" t="n">
        <f aca="false">Sens!$K$5545</f>
        <v>8.62267696708783</v>
      </c>
      <c r="L5630" s="38" t="n">
        <f aca="false">Sens!$L$5545</f>
        <v>9.05381081544222</v>
      </c>
      <c r="M5630" s="38" t="n">
        <f aca="false">Sens!$M$5545</f>
        <v>9.50650135621433</v>
      </c>
      <c r="N5630" s="38" t="n">
        <f aca="false">Sens!$N$5545</f>
        <v>2.811</v>
      </c>
      <c r="O5630" s="38" t="n">
        <f aca="false">Sens!$O$5545</f>
        <v>3.124</v>
      </c>
    </row>
    <row r="5631" customFormat="false" ht="17.15" hidden="false" customHeight="false" outlineLevel="0" collapsed="false">
      <c r="A5631" s="0" t="s">
        <v>669</v>
      </c>
      <c r="B5631" s="0" t="s">
        <v>73</v>
      </c>
      <c r="C5631" s="38" t="n">
        <f aca="false">Sens!$C$5612</f>
        <v>107.556</v>
      </c>
      <c r="D5631" s="38" t="n">
        <f aca="false">Sens!$D$5612</f>
        <v>128.725</v>
      </c>
      <c r="E5631" s="38" t="n">
        <f aca="false">Sens!$E$5612</f>
        <v>79.819</v>
      </c>
      <c r="F5631" s="38" t="n">
        <f aca="false">Sens!$F$5612</f>
        <v>93.5584440633857</v>
      </c>
      <c r="G5631" s="38" t="n">
        <f aca="false">Sens!$G$5612</f>
        <v>173.377444063386</v>
      </c>
      <c r="H5631" s="38" t="n">
        <f aca="false">Sens!$H$5612</f>
        <v>241.059451517916</v>
      </c>
      <c r="I5631" s="38" t="n">
        <f aca="false">Sens!$I$5612</f>
        <v>312.152096351442</v>
      </c>
      <c r="J5631" s="38" t="n">
        <f aca="false">Sens!$J$5612</f>
        <v>379.424316597773</v>
      </c>
      <c r="K5631" s="38" t="n">
        <f aca="false">Sens!$K$5612</f>
        <v>439.919237244402</v>
      </c>
      <c r="L5631" s="38" t="n">
        <f aca="false">Sens!$L$5612</f>
        <v>501.954974491517</v>
      </c>
      <c r="M5631" s="38" t="n">
        <f aca="false">Sens!$M$5612</f>
        <v>565.639704466895</v>
      </c>
      <c r="N5631" s="38" t="n">
        <f aca="false">Sens!$N$5612</f>
        <v>60.14</v>
      </c>
      <c r="O5631" s="38" t="n">
        <f aca="false">Sens!$O$5612</f>
        <v>68.585</v>
      </c>
    </row>
    <row r="5632" customFormat="false" ht="15" hidden="false" customHeight="false" outlineLevel="0" collapsed="false">
      <c r="A5632" s="1" t="s">
        <v>472</v>
      </c>
      <c r="B5632" s="8" t="s">
        <v>73</v>
      </c>
      <c r="C5632" s="38" t="n">
        <f aca="false">Sens!$C$5549</f>
        <v>387.497</v>
      </c>
      <c r="D5632" s="38" t="n">
        <f aca="false">Sens!$D$5549</f>
        <v>426.305</v>
      </c>
      <c r="E5632" s="38" t="n">
        <f aca="false">Sens!$E$5549</f>
        <v>220.32</v>
      </c>
      <c r="F5632" s="38" t="n">
        <f aca="false">Sens!$F$5549</f>
        <v>256.304015003807</v>
      </c>
      <c r="G5632" s="38" t="n">
        <f aca="false">Sens!$G$5549</f>
        <v>476.624015003807</v>
      </c>
      <c r="H5632" s="38" t="n">
        <f aca="false">Sens!$H$5549</f>
        <v>527.734391091543</v>
      </c>
      <c r="I5632" s="38" t="n">
        <f aca="false">Sens!$I$5549</f>
        <v>577.157693029577</v>
      </c>
      <c r="J5632" s="38" t="n">
        <f aca="false">Sens!$J$5549</f>
        <v>623.024923663827</v>
      </c>
      <c r="K5632" s="38" t="n">
        <f aca="false">Sens!$K$5549</f>
        <v>663.382568393781</v>
      </c>
      <c r="L5632" s="38" t="n">
        <f aca="false">Sens!$L$5549</f>
        <v>706.564873010432</v>
      </c>
      <c r="M5632" s="38" t="n">
        <f aca="false">Sens!$M$5549</f>
        <v>752.784687406019</v>
      </c>
      <c r="N5632" s="38" t="n">
        <f aca="false">Sens!$N$5549</f>
        <v>192.955</v>
      </c>
      <c r="O5632" s="38" t="n">
        <f aca="false">Sens!$O$5549</f>
        <v>233.35</v>
      </c>
    </row>
    <row r="5633" customFormat="false" ht="15" hidden="false" customHeight="false" outlineLevel="0" collapsed="false">
      <c r="A5633" s="1" t="s">
        <v>475</v>
      </c>
      <c r="B5633" s="8" t="s">
        <v>73</v>
      </c>
      <c r="C5633" s="38" t="n">
        <f aca="false">Sens!$C$5550</f>
        <v>142.906</v>
      </c>
      <c r="D5633" s="38" t="n">
        <f aca="false">Sens!$D$5550</f>
        <v>161.894</v>
      </c>
      <c r="E5633" s="38" t="n">
        <f aca="false">Sens!$E$5550</f>
        <v>81.986</v>
      </c>
      <c r="F5633" s="38" t="n">
        <f aca="false">Sens!$F$5550</f>
        <v>100.632414204623</v>
      </c>
      <c r="G5633" s="38" t="n">
        <f aca="false">Sens!$G$5550</f>
        <v>182.618414204623</v>
      </c>
      <c r="H5633" s="38" t="n">
        <f aca="false">Sens!$H$5550</f>
        <v>202.201346530158</v>
      </c>
      <c r="I5633" s="38" t="n">
        <f aca="false">Sens!$I$5550</f>
        <v>221.137876668296</v>
      </c>
      <c r="J5633" s="38" t="n">
        <f aca="false">Sens!$J$5550</f>
        <v>238.711898661958</v>
      </c>
      <c r="K5633" s="38" t="n">
        <f aca="false">Sens!$K$5550</f>
        <v>254.174923708144</v>
      </c>
      <c r="L5633" s="38" t="n">
        <f aca="false">Sens!$L$5550</f>
        <v>270.720216732733</v>
      </c>
      <c r="M5633" s="38" t="n">
        <f aca="false">Sens!$M$5550</f>
        <v>288.429331137484</v>
      </c>
      <c r="N5633" s="38" t="n">
        <f aca="false">Sens!$N$5550</f>
        <v>70.274</v>
      </c>
      <c r="O5633" s="38" t="n">
        <f aca="false">Sens!$O$5550</f>
        <v>91.62</v>
      </c>
    </row>
    <row r="5634" customFormat="false" ht="15" hidden="false" customHeight="false" outlineLevel="0" collapsed="false">
      <c r="A5634" s="1" t="s">
        <v>476</v>
      </c>
      <c r="B5634" s="8" t="s">
        <v>73</v>
      </c>
      <c r="C5634" s="38" t="n">
        <f aca="false">Sens!$C$5612</f>
        <v>107.556</v>
      </c>
      <c r="D5634" s="38" t="n">
        <f aca="false">Sens!$D$5612</f>
        <v>128.725</v>
      </c>
      <c r="E5634" s="38" t="n">
        <f aca="false">Sens!$E$5612</f>
        <v>79.819</v>
      </c>
      <c r="F5634" s="38" t="n">
        <f aca="false">Sens!$F$5612</f>
        <v>93.5584440633857</v>
      </c>
      <c r="G5634" s="38" t="n">
        <f aca="false">Sens!$G$5612</f>
        <v>173.377444063386</v>
      </c>
      <c r="H5634" s="38" t="n">
        <f aca="false">Sens!$H$5612</f>
        <v>241.059451517916</v>
      </c>
      <c r="I5634" s="38" t="n">
        <f aca="false">Sens!$I$5612</f>
        <v>312.152096351442</v>
      </c>
      <c r="J5634" s="38" t="n">
        <f aca="false">Sens!$J$5612</f>
        <v>379.424316597773</v>
      </c>
      <c r="K5634" s="38" t="n">
        <f aca="false">Sens!$K$5612</f>
        <v>439.919237244402</v>
      </c>
      <c r="L5634" s="38" t="n">
        <f aca="false">Sens!$L$5612</f>
        <v>501.954974491517</v>
      </c>
      <c r="M5634" s="38" t="n">
        <f aca="false">Sens!$M$5612</f>
        <v>565.639704466895</v>
      </c>
      <c r="N5634" s="38" t="n">
        <f aca="false">Sens!$N$5612</f>
        <v>60.14</v>
      </c>
      <c r="O5634" s="38" t="n">
        <f aca="false">Sens!$O$5612</f>
        <v>68.585</v>
      </c>
    </row>
    <row r="5635" customFormat="false" ht="17.15" hidden="false" customHeight="false" outlineLevel="0" collapsed="false">
      <c r="A5635" s="0" t="s">
        <v>643</v>
      </c>
      <c r="B5635" s="0" t="s">
        <v>73</v>
      </c>
      <c r="C5635" s="38" t="n">
        <f aca="false">Sens!$C$5610</f>
        <v>2.32100535697364</v>
      </c>
      <c r="D5635" s="38" t="n">
        <f aca="false">Sens!$D$5610</f>
        <v>8.70377008865116</v>
      </c>
      <c r="E5635" s="38" t="n">
        <f aca="false">Sens!$E$5610</f>
        <v>8.51035297557002</v>
      </c>
      <c r="F5635" s="38" t="n">
        <f aca="false">Sens!$F$5610</f>
        <v>14.9634336447205</v>
      </c>
      <c r="G5635" s="38" t="n">
        <f aca="false">Sens!$G$5610</f>
        <v>23.4737866202905</v>
      </c>
      <c r="H5635" s="38" t="n">
        <f aca="false">Sens!$H$5610</f>
        <v>60.1658907497746</v>
      </c>
      <c r="I5635" s="38" t="n">
        <f aca="false">Sens!$I$5610</f>
        <v>101.503699136432</v>
      </c>
      <c r="J5635" s="38" t="n">
        <f aca="false">Sens!$J$5610</f>
        <v>143.025407151278</v>
      </c>
      <c r="K5635" s="38" t="n">
        <f aca="false">Sens!$K$5610</f>
        <v>184.608415042187</v>
      </c>
      <c r="L5635" s="38" t="n">
        <f aca="false">Sens!$L$5610</f>
        <v>226.219286513125</v>
      </c>
      <c r="M5635" s="38" t="n">
        <f aca="false">Sens!$M$5610</f>
        <v>267.845161450232</v>
      </c>
      <c r="N5635" s="38" t="n">
        <f aca="false">Sens!$N$5610</f>
        <v>3.04631953102791</v>
      </c>
      <c r="O5635" s="38" t="n">
        <f aca="false">Sens!$O$5610</f>
        <v>5.65745055762326</v>
      </c>
    </row>
    <row r="5636" customFormat="false" ht="17.15" hidden="false" customHeight="false" outlineLevel="0" collapsed="false">
      <c r="A5636" s="0" t="s">
        <v>645</v>
      </c>
      <c r="B5636" s="0" t="s">
        <v>73</v>
      </c>
      <c r="C5636" s="38" t="n">
        <f aca="false">Sens!$C$5611</f>
        <v>105.234994643026</v>
      </c>
      <c r="D5636" s="38" t="n">
        <f aca="false">Sens!$D$5611</f>
        <v>120.021229911349</v>
      </c>
      <c r="E5636" s="38" t="n">
        <f aca="false">Sens!$E$5611</f>
        <v>71.30864702443</v>
      </c>
      <c r="F5636" s="38" t="n">
        <f aca="false">Sens!$F$5611</f>
        <v>78.5950104186653</v>
      </c>
      <c r="G5636" s="38" t="n">
        <f aca="false">Sens!$G$5611</f>
        <v>149.903657443095</v>
      </c>
      <c r="H5636" s="38" t="n">
        <f aca="false">Sens!$H$5611</f>
        <v>180.893560768142</v>
      </c>
      <c r="I5636" s="38" t="n">
        <f aca="false">Sens!$I$5611</f>
        <v>210.64839721501</v>
      </c>
      <c r="J5636" s="38" t="n">
        <f aca="false">Sens!$J$5611</f>
        <v>236.398909446495</v>
      </c>
      <c r="K5636" s="38" t="n">
        <f aca="false">Sens!$K$5611</f>
        <v>255.310822202215</v>
      </c>
      <c r="L5636" s="38" t="n">
        <f aca="false">Sens!$L$5611</f>
        <v>275.735687978392</v>
      </c>
      <c r="M5636" s="38" t="n">
        <f aca="false">Sens!$M$5611</f>
        <v>297.794543016663</v>
      </c>
      <c r="N5636" s="38" t="n">
        <f aca="false">Sens!$N$5611</f>
        <v>57.0936804689721</v>
      </c>
      <c r="O5636" s="38" t="n">
        <f aca="false">Sens!$O$5611</f>
        <v>62.9275494423768</v>
      </c>
    </row>
    <row r="5637" customFormat="false" ht="15" hidden="false" customHeight="false" outlineLevel="0" collapsed="false">
      <c r="A5637" s="3" t="s">
        <v>477</v>
      </c>
      <c r="B5637" s="8" t="s">
        <v>73</v>
      </c>
      <c r="C5637" s="38" t="n">
        <f aca="false">Sens!$C$5613</f>
        <v>637.959</v>
      </c>
      <c r="D5637" s="38" t="n">
        <f aca="false">Sens!$D$5613</f>
        <v>716.924</v>
      </c>
      <c r="E5637" s="38" t="n">
        <f aca="false">Sens!$E$5613</f>
        <v>382.125</v>
      </c>
      <c r="F5637" s="38" t="n">
        <f aca="false">Sens!$F$5613</f>
        <v>450.494873271816</v>
      </c>
      <c r="G5637" s="38" t="n">
        <f aca="false">Sens!$G$5613</f>
        <v>832.619873271816</v>
      </c>
      <c r="H5637" s="38" t="n">
        <f aca="false">Sens!$H$5613</f>
        <v>970.995189139617</v>
      </c>
      <c r="I5637" s="38" t="n">
        <f aca="false">Sens!$I$5613</f>
        <v>1110.44766604932</v>
      </c>
      <c r="J5637" s="38" t="n">
        <f aca="false">Sens!$J$5613</f>
        <v>1241.16113892356</v>
      </c>
      <c r="K5637" s="38" t="n">
        <f aca="false">Sens!$K$5613</f>
        <v>1357.47672934633</v>
      </c>
      <c r="L5637" s="38" t="n">
        <f aca="false">Sens!$L$5613</f>
        <v>1479.24006423468</v>
      </c>
      <c r="M5637" s="38" t="n">
        <f aca="false">Sens!$M$5613</f>
        <v>1606.8537230104</v>
      </c>
      <c r="N5637" s="38" t="n">
        <f aca="false">Sens!$N$5613</f>
        <v>323.369</v>
      </c>
      <c r="O5637" s="38" t="n">
        <f aca="false">Sens!$O$5613</f>
        <v>393.555</v>
      </c>
    </row>
    <row r="5638" customFormat="false" ht="17.15" hidden="false" customHeight="false" outlineLevel="0" collapsed="false">
      <c r="A5638" s="24" t="s">
        <v>655</v>
      </c>
      <c r="B5638" s="25" t="s">
        <v>73</v>
      </c>
      <c r="C5638" s="39" t="n">
        <f aca="false">Sens!$C$5625+Sens!$C$5626+Sens!$C$5627+Sens!$C$5628+Sens!$C$5629+Sens!$C$5630-(Sens!$C$5632+Sens!$C$5633)</f>
        <v>0</v>
      </c>
      <c r="D5638" s="39" t="n">
        <f aca="false">Sens!$D$5625+Sens!$D$5626+Sens!$D$5627+Sens!$D$5628+Sens!$D$5629+Sens!$D$5630-(Sens!$D$5632+Sens!$D$5633)</f>
        <v>0</v>
      </c>
      <c r="E5638" s="39" t="n">
        <f aca="false">Sens!$E$5625+Sens!$E$5626+Sens!$E$5627+Sens!$E$5628+Sens!$E$5629+Sens!$E$5630-(Sens!$E$5632+Sens!$E$5633)</f>
        <v>0</v>
      </c>
      <c r="F5638" s="39" t="n">
        <f aca="false">Sens!$F$5625+Sens!$F$5626+Sens!$F$5627+Sens!$F$5628+Sens!$F$5629+Sens!$F$5630-(Sens!$F$5632+Sens!$F$5633)</f>
        <v>0</v>
      </c>
      <c r="G5638" s="39" t="n">
        <f aca="false">Sens!$G$5625+Sens!$G$5626+Sens!$G$5627+Sens!$G$5628+Sens!$G$5629+Sens!$G$5630-(Sens!$G$5632+Sens!$G$5633)</f>
        <v>0</v>
      </c>
      <c r="H5638" s="39" t="n">
        <f aca="false">Sens!$H$5625+Sens!$H$5626+Sens!$H$5627+Sens!$H$5628+Sens!$H$5629+Sens!$H$5630-(Sens!$H$5632+Sens!$H$5633)</f>
        <v>0</v>
      </c>
      <c r="I5638" s="39" t="n">
        <f aca="false">Sens!$I$5625+Sens!$I$5626+Sens!$I$5627+Sens!$I$5628+Sens!$I$5629+Sens!$I$5630-(Sens!$I$5632+Sens!$I$5633)</f>
        <v>0</v>
      </c>
      <c r="J5638" s="39" t="n">
        <f aca="false">Sens!$J$5625+Sens!$J$5626+Sens!$J$5627+Sens!$J$5628+Sens!$J$5629+Sens!$J$5630-(Sens!$J$5632+Sens!$J$5633)</f>
        <v>0</v>
      </c>
      <c r="K5638" s="39" t="n">
        <f aca="false">Sens!$K$5625+Sens!$K$5626+Sens!$K$5627+Sens!$K$5628+Sens!$K$5629+Sens!$K$5630-(Sens!$K$5632+Sens!$K$5633)</f>
        <v>0</v>
      </c>
      <c r="L5638" s="39" t="n">
        <f aca="false">Sens!$L$5625+Sens!$L$5626+Sens!$L$5627+Sens!$L$5628+Sens!$L$5629+Sens!$L$5630-(Sens!$L$5632+Sens!$L$5633)</f>
        <v>0</v>
      </c>
      <c r="M5638" s="39" t="n">
        <f aca="false">Sens!$M$5625+Sens!$M$5626+Sens!$M$5627+Sens!$M$5628+Sens!$M$5629+Sens!$M$5630-(Sens!$M$5632+Sens!$M$5633)</f>
        <v>0</v>
      </c>
      <c r="N5638" s="39" t="n">
        <f aca="false">Sens!$N$5625+Sens!$N$5626+Sens!$N$5627+Sens!$N$5628+Sens!$N$5629+Sens!$N$5630-(Sens!$N$5632+Sens!$N$5633)</f>
        <v>0</v>
      </c>
      <c r="O5638" s="39" t="n">
        <f aca="false">Sens!$O$5625+Sens!$O$5626+Sens!$O$5627+Sens!$O$5628+Sens!$O$5629+Sens!$O$5630-(Sens!$O$5632+Sens!$O$5633)</f>
        <v>0</v>
      </c>
    </row>
    <row r="5639" customFormat="false" ht="17.15" hidden="false" customHeight="false" outlineLevel="0" collapsed="false">
      <c r="A5639" s="24" t="s">
        <v>656</v>
      </c>
      <c r="B5639" s="25" t="s">
        <v>73</v>
      </c>
      <c r="C5639" s="39" t="n">
        <f aca="false">Sens!$C$5635+Sens!$C$5636-Sens!$C$5634</f>
        <v>0</v>
      </c>
      <c r="D5639" s="39" t="n">
        <f aca="false">Sens!$D$5635+Sens!$D$5636-Sens!$D$5634</f>
        <v>0</v>
      </c>
      <c r="E5639" s="39" t="n">
        <f aca="false">Sens!$E$5635+Sens!$E$5636-Sens!$E$5634</f>
        <v>0</v>
      </c>
      <c r="F5639" s="39" t="n">
        <f aca="false">Sens!$F$5635+Sens!$F$5636-Sens!$F$5634</f>
        <v>0</v>
      </c>
      <c r="G5639" s="39" t="n">
        <f aca="false">Sens!$G$5635+Sens!$G$5636-Sens!$G$5634</f>
        <v>0</v>
      </c>
      <c r="H5639" s="39" t="n">
        <f aca="false">Sens!$H$5635+Sens!$H$5636-Sens!$H$5634</f>
        <v>0</v>
      </c>
      <c r="I5639" s="39" t="n">
        <f aca="false">Sens!$I$5635+Sens!$I$5636-Sens!$I$5634</f>
        <v>0</v>
      </c>
      <c r="J5639" s="39" t="n">
        <f aca="false">Sens!$J$5635+Sens!$J$5636-Sens!$J$5634</f>
        <v>0</v>
      </c>
      <c r="K5639" s="39" t="n">
        <f aca="false">Sens!$K$5635+Sens!$K$5636-Sens!$K$5634</f>
        <v>0</v>
      </c>
      <c r="L5639" s="39" t="n">
        <f aca="false">Sens!$L$5635+Sens!$L$5636-Sens!$L$5634</f>
        <v>0</v>
      </c>
      <c r="M5639" s="39" t="n">
        <f aca="false">Sens!$M$5635+Sens!$M$5636-Sens!$M$5634</f>
        <v>0</v>
      </c>
      <c r="N5639" s="39" t="n">
        <f aca="false">Sens!$N$5635+Sens!$N$5636-Sens!$N$5634</f>
        <v>0</v>
      </c>
      <c r="O5639" s="39" t="n">
        <f aca="false">Sens!$O$5635+Sens!$O$5636-Sens!$O$5634</f>
        <v>0</v>
      </c>
    </row>
    <row r="5640" customFormat="false" ht="17.15" hidden="false" customHeight="false" outlineLevel="0" collapsed="false">
      <c r="A5640" s="24" t="s">
        <v>710</v>
      </c>
      <c r="B5640" s="25" t="s">
        <v>73</v>
      </c>
      <c r="C5640" s="39" t="n">
        <f aca="false">Sens!$C$5625+Sens!$C$5626+Sens!$C$5627+Sens!$C$5628+Sens!$C$5629+Sens!$C$5630+Sens!$C$5631-Sens!$C$5637</f>
        <v>0</v>
      </c>
      <c r="D5640" s="39" t="n">
        <f aca="false">Sens!$D$5625+Sens!$D$5626+Sens!$D$5627+Sens!$D$5628+Sens!$D$5629+Sens!$D$5630+Sens!$D$5631-Sens!$D$5637</f>
        <v>0</v>
      </c>
      <c r="E5640" s="39" t="n">
        <f aca="false">Sens!$E$5625+Sens!$E$5626+Sens!$E$5627+Sens!$E$5628+Sens!$E$5629+Sens!$E$5630+Sens!$E$5631-Sens!$E$5637</f>
        <v>0</v>
      </c>
      <c r="F5640" s="39" t="n">
        <f aca="false">Sens!$F$5625+Sens!$F$5626+Sens!$F$5627+Sens!$F$5628+Sens!$F$5629+Sens!$F$5630+Sens!$F$5631-Sens!$F$5637</f>
        <v>0</v>
      </c>
      <c r="G5640" s="39" t="n">
        <f aca="false">Sens!$G$5625+Sens!$G$5626+Sens!$G$5627+Sens!$G$5628+Sens!$G$5629+Sens!$G$5630+Sens!$G$5631-Sens!$G$5637</f>
        <v>0</v>
      </c>
      <c r="H5640" s="39" t="n">
        <f aca="false">Sens!$H$5625+Sens!$H$5626+Sens!$H$5627+Sens!$H$5628+Sens!$H$5629+Sens!$H$5630+Sens!$H$5631-Sens!$H$5637</f>
        <v>0</v>
      </c>
      <c r="I5640" s="39" t="n">
        <f aca="false">Sens!$I$5625+Sens!$I$5626+Sens!$I$5627+Sens!$I$5628+Sens!$I$5629+Sens!$I$5630+Sens!$I$5631-Sens!$I$5637</f>
        <v>0</v>
      </c>
      <c r="J5640" s="39" t="n">
        <f aca="false">Sens!$J$5625+Sens!$J$5626+Sens!$J$5627+Sens!$J$5628+Sens!$J$5629+Sens!$J$5630+Sens!$J$5631-Sens!$J$5637</f>
        <v>0</v>
      </c>
      <c r="K5640" s="39" t="n">
        <f aca="false">Sens!$K$5625+Sens!$K$5626+Sens!$K$5627+Sens!$K$5628+Sens!$K$5629+Sens!$K$5630+Sens!$K$5631-Sens!$K$5637</f>
        <v>0</v>
      </c>
      <c r="L5640" s="39" t="n">
        <f aca="false">Sens!$L$5625+Sens!$L$5626+Sens!$L$5627+Sens!$L$5628+Sens!$L$5629+Sens!$L$5630+Sens!$L$5631-Sens!$L$5637</f>
        <v>0</v>
      </c>
      <c r="M5640" s="39" t="n">
        <f aca="false">Sens!$M$5625+Sens!$M$5626+Sens!$M$5627+Sens!$M$5628+Sens!$M$5629+Sens!$M$5630+Sens!$M$5631-Sens!$M$5637</f>
        <v>0</v>
      </c>
      <c r="N5640" s="39" t="n">
        <f aca="false">Sens!$N$5625+Sens!$N$5626+Sens!$N$5627+Sens!$N$5628+Sens!$N$5629+Sens!$N$5630+Sens!$N$5631-Sens!$N$5637</f>
        <v>0</v>
      </c>
      <c r="O5640" s="39" t="n">
        <f aca="false">Sens!$O$5625+Sens!$O$5626+Sens!$O$5627+Sens!$O$5628+Sens!$O$5629+Sens!$O$5630+Sens!$O$5631-Sens!$O$5637</f>
        <v>0</v>
      </c>
    </row>
    <row r="5641" customFormat="false" ht="17.15" hidden="false" customHeight="false" outlineLevel="0" collapsed="false">
      <c r="A5641" s="24" t="s">
        <v>657</v>
      </c>
      <c r="B5641" s="25" t="s">
        <v>73</v>
      </c>
      <c r="C5641" s="39" t="n">
        <f aca="false">Sens!$C$5632+Sens!$C$5633+Sens!$C$5634-Sens!$C$5637</f>
        <v>0</v>
      </c>
      <c r="D5641" s="39" t="n">
        <f aca="false">Sens!$D$5632+Sens!$D$5633+Sens!$D$5634-Sens!$D$5637</f>
        <v>0</v>
      </c>
      <c r="E5641" s="39" t="n">
        <f aca="false">Sens!$E$5632+Sens!$E$5633+Sens!$E$5634-Sens!$E$5637</f>
        <v>0</v>
      </c>
      <c r="F5641" s="39" t="n">
        <f aca="false">Sens!$F$5632+Sens!$F$5633+Sens!$F$5634-Sens!$F$5637</f>
        <v>0</v>
      </c>
      <c r="G5641" s="39" t="n">
        <f aca="false">Sens!$G$5632+Sens!$G$5633+Sens!$G$5634-Sens!$G$5637</f>
        <v>0</v>
      </c>
      <c r="H5641" s="39" t="n">
        <f aca="false">Sens!$H$5632+Sens!$H$5633+Sens!$H$5634-Sens!$H$5637</f>
        <v>0</v>
      </c>
      <c r="I5641" s="39" t="n">
        <f aca="false">Sens!$I$5632+Sens!$I$5633+Sens!$I$5634-Sens!$I$5637</f>
        <v>0</v>
      </c>
      <c r="J5641" s="39" t="n">
        <f aca="false">Sens!$J$5632+Sens!$J$5633+Sens!$J$5634-Sens!$J$5637</f>
        <v>0</v>
      </c>
      <c r="K5641" s="39" t="n">
        <f aca="false">Sens!$K$5632+Sens!$K$5633+Sens!$K$5634-Sens!$K$5637</f>
        <v>0</v>
      </c>
      <c r="L5641" s="39" t="n">
        <f aca="false">Sens!$L$5632+Sens!$L$5633+Sens!$L$5634-Sens!$L$5637</f>
        <v>0</v>
      </c>
      <c r="M5641" s="39" t="n">
        <f aca="false">Sens!$M$5632+Sens!$M$5633+Sens!$M$5634-Sens!$M$5637</f>
        <v>0</v>
      </c>
      <c r="N5641" s="39" t="n">
        <f aca="false">Sens!$N$5632+Sens!$N$5633+Sens!$N$5634-Sens!$N$5637</f>
        <v>0</v>
      </c>
      <c r="O5641" s="39" t="n">
        <f aca="false">Sens!$O$5632+Sens!$O$5633+Sens!$O$5634-Sens!$O$5637</f>
        <v>0</v>
      </c>
    </row>
    <row r="5642" customFormat="false" ht="17.15" hidden="false" customHeight="false" outlineLevel="0" collapsed="false">
      <c r="A5642" s="1" t="s">
        <v>671</v>
      </c>
    </row>
    <row r="5643" customFormat="false" ht="17.15" hidden="false" customHeight="false" outlineLevel="0" collapsed="false">
      <c r="A5643" s="0" t="s">
        <v>672</v>
      </c>
      <c r="B5643" s="0" t="s">
        <v>73</v>
      </c>
      <c r="C5643" s="38" t="n">
        <f aca="false">Sens!$C$5551*m_ad</f>
        <v>20.5341564414228</v>
      </c>
      <c r="D5643" s="38" t="n">
        <f aca="false">Sens!$D$5551*m_ad</f>
        <v>24.8720617299587</v>
      </c>
      <c r="E5643" s="38" t="n">
        <f aca="false">Sens!$E$5551*m_ad</f>
        <v>13.5017112462207</v>
      </c>
      <c r="F5643" s="38" t="n">
        <f aca="false">Sens!$F$5551*m_ad</f>
        <v>17.2886442824599</v>
      </c>
      <c r="G5643" s="38" t="n">
        <f aca="false">Sens!$G$5551*m_ad</f>
        <v>30.8011958765886</v>
      </c>
      <c r="H5643" s="38" t="n">
        <f aca="false">Sens!$H$5551*m_ad</f>
        <v>36.978409366026</v>
      </c>
      <c r="I5643" s="38" t="n">
        <f aca="false">Sens!$I$5551*m_ad</f>
        <v>43.155063281273</v>
      </c>
      <c r="J5643" s="38" t="n">
        <f aca="false">Sens!$J$5551*m_ad</f>
        <v>48.9169991988532</v>
      </c>
      <c r="K5643" s="38" t="n">
        <f aca="false">Sens!$K$5551*m_ad</f>
        <v>53.8086991187386</v>
      </c>
      <c r="L5643" s="38" t="n">
        <f aca="false">Sens!$L$5551*m_ad</f>
        <v>59.1895690306124</v>
      </c>
      <c r="M5643" s="38" t="n">
        <f aca="false">Sens!$M$5551*m_ad</f>
        <v>65.1085259336737</v>
      </c>
      <c r="N5643" s="38" t="n">
        <f aca="false">Sens!$N$5551*m_ad</f>
        <v>10.8543555706248</v>
      </c>
      <c r="O5643" s="38" t="n">
        <f aca="false">Sens!$O$5551*m_ad</f>
        <v>14.0094731821399</v>
      </c>
    </row>
    <row r="5644" customFormat="false" ht="17.15" hidden="false" customHeight="false" outlineLevel="0" collapsed="false">
      <c r="A5644" s="0" t="s">
        <v>673</v>
      </c>
      <c r="B5644" s="0" t="s">
        <v>73</v>
      </c>
      <c r="C5644" s="38" t="n">
        <f aca="false">Sens!$C$5549-Sens!$C$5551</f>
        <v>346.428687117154</v>
      </c>
      <c r="D5644" s="38" t="n">
        <f aca="false">Sens!$D$5549-Sens!$D$5551</f>
        <v>376.560876540083</v>
      </c>
      <c r="E5644" s="38" t="n">
        <f aca="false">Sens!$E$5549-Sens!$E$5551</f>
        <v>193.316577507559</v>
      </c>
      <c r="F5644" s="38" t="n">
        <f aca="false">Sens!$F$5549-Sens!$F$5551</f>
        <v>221.726726438887</v>
      </c>
      <c r="G5644" s="38" t="n">
        <f aca="false">Sens!$G$5549-Sens!$G$5551</f>
        <v>415.02162325063</v>
      </c>
      <c r="H5644" s="38" t="n">
        <f aca="false">Sens!$H$5549-Sens!$H$5551</f>
        <v>453.777572359491</v>
      </c>
      <c r="I5644" s="38" t="n">
        <f aca="false">Sens!$I$5549-Sens!$I$5551</f>
        <v>490.847566467031</v>
      </c>
      <c r="J5644" s="38" t="n">
        <f aca="false">Sens!$J$5549-Sens!$J$5551</f>
        <v>525.190925266121</v>
      </c>
      <c r="K5644" s="38" t="n">
        <f aca="false">Sens!$K$5549-Sens!$K$5551</f>
        <v>555.765170156304</v>
      </c>
      <c r="L5644" s="38" t="n">
        <f aca="false">Sens!$L$5549-Sens!$L$5551</f>
        <v>588.185734949207</v>
      </c>
      <c r="M5644" s="38" t="n">
        <f aca="false">Sens!$M$5549-Sens!$M$5551</f>
        <v>622.567635538672</v>
      </c>
      <c r="N5644" s="38" t="n">
        <f aca="false">Sens!$N$5549-Sens!$N$5551</f>
        <v>171.24628885875</v>
      </c>
      <c r="O5644" s="38" t="n">
        <f aca="false">Sens!$O$5549-Sens!$O$5551</f>
        <v>205.33105363572</v>
      </c>
    </row>
    <row r="5645" customFormat="false" ht="17.15" hidden="false" customHeight="false" outlineLevel="0" collapsed="false">
      <c r="A5645" s="0" t="s">
        <v>674</v>
      </c>
      <c r="B5645" s="0" t="s">
        <v>73</v>
      </c>
      <c r="C5645" s="38" t="n">
        <f aca="false">Sens!$C$5596*Sens!$C$5548</f>
        <v>0.123617442257179</v>
      </c>
      <c r="D5645" s="38" t="n">
        <f aca="false">Sens!$D$5596*Sens!$D$5548</f>
        <v>0.874366899302609</v>
      </c>
      <c r="E5645" s="38" t="n">
        <f aca="false">Sens!$E$5596*Sens!$E$5548</f>
        <v>1.29318830502574</v>
      </c>
      <c r="F5645" s="38" t="n">
        <f aca="false">Sens!$F$5596*Sens!$F$5548</f>
        <v>1.51802024162534</v>
      </c>
      <c r="G5645" s="38" t="n">
        <f aca="false">Sens!$G$5596*Sens!$G$5548</f>
        <v>2.81130189308167</v>
      </c>
      <c r="H5645" s="38" t="n">
        <f aca="false">Sens!$H$5596*Sens!$H$5548</f>
        <v>7.38966789318209</v>
      </c>
      <c r="I5645" s="38" t="n">
        <f aca="false">Sens!$I$5596*Sens!$I$5548</f>
        <v>12.8987443661473</v>
      </c>
      <c r="J5645" s="38" t="n">
        <f aca="false">Sens!$J$5596*Sens!$J$5548</f>
        <v>18.5570025453645</v>
      </c>
      <c r="K5645" s="38" t="n">
        <f aca="false">Sens!$K$5596*Sens!$K$5548</f>
        <v>24.3158972773405</v>
      </c>
      <c r="L5645" s="38" t="n">
        <f aca="false">Sens!$L$5596*Sens!$L$5548</f>
        <v>29.7827375558674</v>
      </c>
      <c r="M5645" s="38" t="n">
        <f aca="false">Sens!$M$5596*Sens!$M$5548</f>
        <v>35.3532344973194</v>
      </c>
      <c r="N5645" s="38" t="n">
        <f aca="false">Sens!$N$5596*Sens!$N$5548</f>
        <v>0.389180508437431</v>
      </c>
      <c r="O5645" s="38" t="n">
        <f aca="false">Sens!$O$5596*Sens!$O$5548</f>
        <v>0.485052120082802</v>
      </c>
    </row>
    <row r="5646" customFormat="false" ht="17.15" hidden="false" customHeight="false" outlineLevel="0" collapsed="false">
      <c r="A5646" s="0" t="s">
        <v>675</v>
      </c>
      <c r="B5646" s="0" t="s">
        <v>52</v>
      </c>
      <c r="C5646" s="28" t="n">
        <f aca="false">(Sens!$C$5647-Sens!$C$5643+Sens!$C$5645)/Sens!$C$5644</f>
        <v>0.0131526665379575</v>
      </c>
      <c r="D5646" s="28" t="n">
        <f aca="false">(Sens!$D$5647-Sens!$D$5643+Sens!$D$5645)/Sens!$D$5644</f>
        <v>0.0149280116962589</v>
      </c>
      <c r="E5646" s="28" t="n">
        <f aca="false">(Sens!$E$5647-Sens!$E$5643+Sens!$E$5645)/Sens!$E$5644</f>
        <v>0.0268030663774938</v>
      </c>
      <c r="F5646" s="28" t="n">
        <f aca="false">Sens!$O$5646+(Sens!$E$5646-Sens!$N$5646)</f>
        <v>0.0232379346966962</v>
      </c>
      <c r="G5646" s="28" t="n">
        <f aca="false">(Sens!$G$5647-Sens!$G$5643+Sens!$G$5645)/Sens!$G$5644</f>
        <v>0.0248738876928168</v>
      </c>
      <c r="H5646" s="28" t="n">
        <f aca="false">Sens!$G$5646+step_na</f>
        <v>0.0278738876928168</v>
      </c>
      <c r="I5646" s="28" t="n">
        <f aca="false">Sens!$H$5646+step_na</f>
        <v>0.0308738876928168</v>
      </c>
      <c r="J5646" s="28" t="n">
        <f aca="false">Sens!$I$5646+step_na</f>
        <v>0.0338738876928168</v>
      </c>
      <c r="K5646" s="28" t="n">
        <f aca="false">Sens!$J$5646+step_na</f>
        <v>0.0368738876928168</v>
      </c>
      <c r="L5646" s="28" t="n">
        <f aca="false">Sens!$K$5646</f>
        <v>0.0368738876928168</v>
      </c>
      <c r="M5646" s="28" t="n">
        <f aca="false">Sens!$L$5646</f>
        <v>0.0368738876928168</v>
      </c>
      <c r="N5646" s="28" t="n">
        <f aca="false">(Sens!$N$5647-Sens!$N$5643+Sens!$N$5645)/Sens!$N$5644</f>
        <v>0.0168927744775755</v>
      </c>
      <c r="O5646" s="28" t="n">
        <f aca="false">(Sens!$O$5647-Sens!$O$5643+Sens!$O$5645)/Sens!$O$5644</f>
        <v>0.0133276427967779</v>
      </c>
      <c r="P5646" s="8" t="s">
        <v>676</v>
      </c>
    </row>
    <row r="5647" customFormat="false" ht="17.15" hidden="false" customHeight="false" outlineLevel="0" collapsed="false">
      <c r="A5647" s="1" t="s">
        <v>677</v>
      </c>
      <c r="B5647" s="8" t="s">
        <v>73</v>
      </c>
      <c r="C5647" s="38" t="n">
        <f aca="false">Q!$D$22</f>
        <v>24.967</v>
      </c>
      <c r="D5647" s="38" t="n">
        <f aca="false">Q!$E$22</f>
        <v>29.619</v>
      </c>
      <c r="E5647" s="38" t="n">
        <f aca="false">Q!$P$22</f>
        <v>17.39</v>
      </c>
      <c r="F5647" s="38" t="n">
        <f aca="false">Sens!$F$5643+Sens!$F$5644*Sens!$F$5646-Sens!$F$5645</f>
        <v>20.9230952303336</v>
      </c>
      <c r="G5647" s="38" t="n">
        <f aca="false">Sens!$E$5647+Sens!$F$5647</f>
        <v>38.3130952303336</v>
      </c>
      <c r="H5647" s="38" t="n">
        <f aca="false">Sens!$H$5643+Sens!$H$5644*Sens!$H$5646-Sens!$H$5645</f>
        <v>42.2372865623114</v>
      </c>
      <c r="I5647" s="38" t="n">
        <f aca="false">Sens!$I$5643+Sens!$I$5644*Sens!$I$5646-Sens!$I$5645</f>
        <v>45.4106915565213</v>
      </c>
      <c r="J5647" s="38" t="n">
        <f aca="false">Sens!$J$5643+Sens!$J$5644*Sens!$J$5646-Sens!$J$5645</f>
        <v>48.1502550732398</v>
      </c>
      <c r="K5647" s="38" t="n">
        <f aca="false">Sens!$K$5643+Sens!$K$5644*Sens!$K$5646-Sens!$K$5645</f>
        <v>49.9860243093208</v>
      </c>
      <c r="L5647" s="38" t="n">
        <f aca="false">Sens!$L$5643+Sens!$L$5644*Sens!$L$5646-Sens!$L$5645</f>
        <v>51.095526207779</v>
      </c>
      <c r="M5647" s="38" t="n">
        <f aca="false">Sens!$M$5643+Sens!$M$5644*Sens!$M$5646-Sens!$M$5645</f>
        <v>52.7117805103898</v>
      </c>
      <c r="N5647" s="38" t="n">
        <f aca="false">Q!$N$22</f>
        <v>13.358</v>
      </c>
      <c r="O5647" s="38" t="n">
        <f aca="false">Q!$O$22</f>
        <v>16.261</v>
      </c>
    </row>
    <row r="5648" customFormat="false" ht="17.15" hidden="false" customHeight="false" outlineLevel="0" collapsed="false">
      <c r="A5648" s="0" t="s">
        <v>678</v>
      </c>
      <c r="B5648" s="0" t="s">
        <v>73</v>
      </c>
      <c r="C5648" s="38" t="n">
        <f aca="false">Sens!$C$5552*m_ad</f>
        <v>7.57284355857716</v>
      </c>
      <c r="D5648" s="38" t="n">
        <f aca="false">Sens!$D$5552*m_ad</f>
        <v>9.44543827004127</v>
      </c>
      <c r="E5648" s="38" t="n">
        <f aca="false">Sens!$E$5552*m_ad</f>
        <v>5.02428875377928</v>
      </c>
      <c r="F5648" s="38" t="n">
        <f aca="false">Sens!$F$5552*m_ad</f>
        <v>6.78802480890925</v>
      </c>
      <c r="G5648" s="38" t="n">
        <f aca="false">Sens!$G$5552*m_ad</f>
        <v>11.8014732147805</v>
      </c>
      <c r="H5648" s="38" t="n">
        <f aca="false">Sens!$H$5552*m_ad</f>
        <v>14.1682715634442</v>
      </c>
      <c r="I5648" s="38" t="n">
        <f aca="false">Sens!$I$5552*m_ad</f>
        <v>16.5348555113474</v>
      </c>
      <c r="J5648" s="38" t="n">
        <f aca="false">Sens!$J$5552*m_ad</f>
        <v>18.7425403255689</v>
      </c>
      <c r="K5648" s="38" t="n">
        <f aca="false">Sens!$K$5552*m_ad</f>
        <v>20.6167943581258</v>
      </c>
      <c r="L5648" s="38" t="n">
        <f aca="false">Sens!$L$5552*m_ad</f>
        <v>22.6784737939383</v>
      </c>
      <c r="M5648" s="38" t="n">
        <f aca="false">Sens!$M$5552*m_ad</f>
        <v>24.9463211733322</v>
      </c>
      <c r="N5648" s="38" t="n">
        <f aca="false">Sens!$N$5552*m_ad</f>
        <v>3.95314442937518</v>
      </c>
      <c r="O5648" s="38" t="n">
        <f aca="false">Sens!$O$5552*m_ad</f>
        <v>5.50052681786011</v>
      </c>
    </row>
    <row r="5649" customFormat="false" ht="17.15" hidden="false" customHeight="false" outlineLevel="0" collapsed="false">
      <c r="A5649" s="0" t="s">
        <v>679</v>
      </c>
      <c r="B5649" s="0" t="s">
        <v>73</v>
      </c>
      <c r="C5649" s="38" t="n">
        <f aca="false">Sens!$C$5550-Sens!$C$5552</f>
        <v>127.760312882846</v>
      </c>
      <c r="D5649" s="38" t="n">
        <f aca="false">Sens!$D$5550-Sens!$D$5552</f>
        <v>143.003123459917</v>
      </c>
      <c r="E5649" s="38" t="n">
        <f aca="false">Sens!$E$5550-Sens!$E$5552</f>
        <v>71.9374224924414</v>
      </c>
      <c r="F5649" s="38" t="n">
        <f aca="false">Sens!$F$5550-Sens!$F$5552</f>
        <v>87.0563645868046</v>
      </c>
      <c r="G5649" s="38" t="n">
        <f aca="false">Sens!$G$5550-Sens!$G$5552</f>
        <v>159.015467775062</v>
      </c>
      <c r="H5649" s="38" t="n">
        <f aca="false">Sens!$H$5550-Sens!$H$5552</f>
        <v>173.864803403269</v>
      </c>
      <c r="I5649" s="38" t="n">
        <f aca="false">Sens!$I$5550-Sens!$I$5552</f>
        <v>188.068165645601</v>
      </c>
      <c r="J5649" s="38" t="n">
        <f aca="false">Sens!$J$5550-Sens!$J$5552</f>
        <v>201.22681801082</v>
      </c>
      <c r="K5649" s="38" t="n">
        <f aca="false">Sens!$K$5550-Sens!$K$5552</f>
        <v>212.941334991893</v>
      </c>
      <c r="L5649" s="38" t="n">
        <f aca="false">Sens!$L$5550-Sens!$L$5552</f>
        <v>225.363269144856</v>
      </c>
      <c r="M5649" s="38" t="n">
        <f aca="false">Sens!$M$5550-Sens!$M$5552</f>
        <v>238.536688790819</v>
      </c>
      <c r="N5649" s="38" t="n">
        <f aca="false">Sens!$N$5550-Sens!$N$5552</f>
        <v>62.3677111412496</v>
      </c>
      <c r="O5649" s="38" t="n">
        <f aca="false">Sens!$O$5550-Sens!$O$5552</f>
        <v>80.6189463642798</v>
      </c>
    </row>
    <row r="5650" customFormat="false" ht="17.15" hidden="false" customHeight="false" outlineLevel="0" collapsed="false">
      <c r="A5650" s="0" t="s">
        <v>680</v>
      </c>
      <c r="B5650" s="0" t="s">
        <v>73</v>
      </c>
      <c r="C5650" s="38" t="n">
        <f aca="false">Sens!$C$5596*(1-Sens!$C$5548)</f>
        <v>0.0455891896019953</v>
      </c>
      <c r="D5650" s="38" t="n">
        <f aca="false">Sens!$D$5596*(1-Sens!$D$5548)</f>
        <v>0.332050421167231</v>
      </c>
      <c r="E5650" s="38" t="n">
        <f aca="false">Sens!$E$5596*(1-Sens!$E$5548)</f>
        <v>0.481224293644882</v>
      </c>
      <c r="F5650" s="38" t="n">
        <f aca="false">Sens!$F$5596*(1-Sens!$F$5548)</f>
        <v>0.596018918096053</v>
      </c>
      <c r="G5650" s="38" t="n">
        <f aca="false">Sens!$G$5596*(1-Sens!$G$5548)</f>
        <v>1.07714986531035</v>
      </c>
      <c r="H5650" s="38" t="n">
        <f aca="false">Sens!$H$5596*(1-Sens!$H$5548)</f>
        <v>2.83135005721638</v>
      </c>
      <c r="I5650" s="38" t="n">
        <f aca="false">Sens!$I$5596*(1-Sens!$I$5548)</f>
        <v>4.9421518161602</v>
      </c>
      <c r="J5650" s="38" t="n">
        <f aca="false">Sens!$J$5596*(1-Sens!$J$5548)</f>
        <v>7.11011252170866</v>
      </c>
      <c r="K5650" s="38" t="n">
        <f aca="false">Sens!$K$5596*(1-Sens!$K$5548)</f>
        <v>9.31663210615807</v>
      </c>
      <c r="L5650" s="38" t="n">
        <f aca="false">Sens!$L$5596*(1-Sens!$L$5548)</f>
        <v>11.411251074039</v>
      </c>
      <c r="M5650" s="38" t="n">
        <f aca="false">Sens!$M$5596*(1-Sens!$M$5548)</f>
        <v>13.5455860755423</v>
      </c>
      <c r="N5650" s="38" t="n">
        <f aca="false">Sens!$N$5596*(1-Sens!$N$5548)</f>
        <v>0.141739115596548</v>
      </c>
      <c r="O5650" s="38" t="n">
        <f aca="false">Sens!$O$5596*(1-Sens!$O$5548)</f>
        <v>0.190445576353059</v>
      </c>
    </row>
    <row r="5651" customFormat="false" ht="17.15" hidden="false" customHeight="false" outlineLevel="0" collapsed="false">
      <c r="A5651" s="0" t="s">
        <v>681</v>
      </c>
      <c r="B5651" s="0" t="s">
        <v>52</v>
      </c>
      <c r="C5651" s="28" t="n">
        <f aca="false">(Sens!$C$5652-Sens!$C$5648+Sens!$C$5650)/Sens!$C$5649</f>
        <v>-0.0292364215826579</v>
      </c>
      <c r="D5651" s="28" t="n">
        <f aca="false">(Sens!$D$5652-Sens!$D$5648+Sens!$D$5650)/Sens!$D$5649</f>
        <v>-0.0305125352740778</v>
      </c>
      <c r="E5651" s="28" t="n">
        <f aca="false">(Sens!$E$5652-Sens!$E$5648+Sens!$E$5650)/Sens!$E$5649</f>
        <v>-0.019490056934994</v>
      </c>
      <c r="F5651" s="28" t="n">
        <f aca="false">Sens!$O$5651+(Sens!$E$5651-Sens!$N$5651)</f>
        <v>-0.0367332293992226</v>
      </c>
      <c r="G5651" s="28" t="n">
        <f aca="false">(Sens!$G$5652-Sens!$G$5648+Sens!$G$5650)/Sens!$G$5649</f>
        <v>-0.0288599526442178</v>
      </c>
      <c r="H5651" s="28" t="n">
        <f aca="false">Sens!$G$5651+step_in</f>
        <v>-0.0288599526442178</v>
      </c>
      <c r="I5651" s="28" t="n">
        <f aca="false">Sens!$H$5651+step_in</f>
        <v>-0.0288599526442178</v>
      </c>
      <c r="J5651" s="28" t="n">
        <f aca="false">Sens!$I$5651+step_in</f>
        <v>-0.0288599526442178</v>
      </c>
      <c r="K5651" s="28" t="n">
        <f aca="false">Sens!$J$5651+step_in</f>
        <v>-0.0288599526442178</v>
      </c>
      <c r="L5651" s="28" t="n">
        <f aca="false">Sens!$K$5651</f>
        <v>-0.0288599526442178</v>
      </c>
      <c r="M5651" s="28" t="n">
        <f aca="false">Sens!$L$5651</f>
        <v>-0.0288599526442178</v>
      </c>
      <c r="N5651" s="28" t="n">
        <f aca="false">(Sens!$N$5652-Sens!$N$5648+Sens!$N$5650)/Sens!$N$5649</f>
        <v>-0.02085061789158</v>
      </c>
      <c r="O5651" s="28" t="n">
        <f aca="false">(Sens!$O$5652-Sens!$O$5648+Sens!$O$5650)/Sens!$O$5649</f>
        <v>-0.0380937903558086</v>
      </c>
      <c r="P5651" s="8" t="s">
        <v>676</v>
      </c>
    </row>
    <row r="5652" customFormat="false" ht="17.15" hidden="false" customHeight="false" outlineLevel="0" collapsed="false">
      <c r="A5652" s="1" t="s">
        <v>682</v>
      </c>
      <c r="B5652" s="8" t="s">
        <v>73</v>
      </c>
      <c r="C5652" s="38" t="n">
        <f aca="false">Q!$D$23</f>
        <v>3.792</v>
      </c>
      <c r="D5652" s="38" t="n">
        <f aca="false">Q!$E$23</f>
        <v>4.75</v>
      </c>
      <c r="E5652" s="38" t="n">
        <f aca="false">Q!$P$23</f>
        <v>3.141</v>
      </c>
      <c r="F5652" s="38" t="n">
        <f aca="false">Sens!$F$5648+Sens!$F$5649*Sens!$F$5651-Sens!$F$5650</f>
        <v>2.99414447978375</v>
      </c>
      <c r="G5652" s="38" t="n">
        <f aca="false">Sens!$E$5652+Sens!$F$5652</f>
        <v>6.13514447978375</v>
      </c>
      <c r="H5652" s="38" t="n">
        <f aca="false">Sens!$H$5648+Sens!$H$5649*Sens!$H$5651-Sens!$H$5650</f>
        <v>6.31919151351322</v>
      </c>
      <c r="I5652" s="38" t="n">
        <f aca="false">Sens!$I$5648+Sens!$I$5649*Sens!$I$5651-Sens!$I$5650</f>
        <v>6.16506534077027</v>
      </c>
      <c r="J5652" s="38" t="n">
        <f aca="false">Sens!$J$5648+Sens!$J$5649*Sens!$J$5651-Sens!$J$5650</f>
        <v>5.8250313653213</v>
      </c>
      <c r="K5652" s="38" t="n">
        <f aca="false">Sens!$K$5648+Sens!$K$5649*Sens!$K$5651-Sens!$K$5650</f>
        <v>5.15468540810514</v>
      </c>
      <c r="L5652" s="38" t="n">
        <f aca="false">Sens!$L$5648+Sens!$L$5649*Sens!$L$5651-Sens!$L$5650</f>
        <v>4.76324944463266</v>
      </c>
      <c r="M5652" s="38" t="n">
        <f aca="false">Sens!$M$5648+Sens!$M$5649*Sens!$M$5651-Sens!$M$5650</f>
        <v>4.51657755537829</v>
      </c>
      <c r="N5652" s="38" t="n">
        <f aca="false">Q!$N$23</f>
        <v>2.511</v>
      </c>
      <c r="O5652" s="38" t="n">
        <f aca="false">Q!$O$23</f>
        <v>2.239</v>
      </c>
    </row>
    <row r="5653" customFormat="false" ht="17.15" hidden="false" customHeight="false" outlineLevel="0" collapsed="false">
      <c r="A5653" s="0" t="s">
        <v>683</v>
      </c>
      <c r="B5653" s="0" t="s">
        <v>73</v>
      </c>
      <c r="C5653" s="38" t="n">
        <f aca="false">Sens!$C$5593</f>
        <v>1.64417882953695</v>
      </c>
      <c r="D5653" s="38" t="n">
        <f aca="false">Sens!$D$5593</f>
        <v>3.8781008067718</v>
      </c>
      <c r="E5653" s="38" t="n">
        <f aca="false">Sens!$E$5593</f>
        <v>1.41270258088753</v>
      </c>
      <c r="F5653" s="38" t="n">
        <f aca="false">Sens!$F$5593</f>
        <v>6.50727700583486</v>
      </c>
      <c r="G5653" s="38" t="n">
        <f aca="false">Sens!$G$5593</f>
        <v>7.9199795867224</v>
      </c>
      <c r="H5653" s="38" t="n">
        <f aca="false">Sens!$H$5593</f>
        <v>19.2818189481807</v>
      </c>
      <c r="I5653" s="38" t="n">
        <f aca="false">Sens!$I$5593</f>
        <v>30.140114407202</v>
      </c>
      <c r="J5653" s="38" t="n">
        <f aca="false">Sens!$J$5593</f>
        <v>40.3569468829854</v>
      </c>
      <c r="K5653" s="38" t="n">
        <f aca="false">Sens!$K$5593</f>
        <v>50.0782975081929</v>
      </c>
      <c r="L5653" s="38" t="n">
        <f aca="false">Sens!$L$5593</f>
        <v>61.443331993499</v>
      </c>
      <c r="M5653" s="38" t="n">
        <f aca="false">Sens!$M$5593</f>
        <v>72.2498791587849</v>
      </c>
      <c r="N5653" s="38" t="n">
        <f aca="false">Sens!$N$5593</f>
        <v>0.92264103489199</v>
      </c>
      <c r="O5653" s="38" t="n">
        <f aca="false">Sens!$O$5593</f>
        <v>2.95545977187981</v>
      </c>
    </row>
    <row r="5654" customFormat="false" ht="17.15" hidden="false" customHeight="false" outlineLevel="0" collapsed="false">
      <c r="A5654" s="0" t="s">
        <v>603</v>
      </c>
      <c r="B5654" s="0" t="s">
        <v>73</v>
      </c>
      <c r="C5654" s="38" t="n">
        <f aca="false">Sens!$C$5598</f>
        <v>38.1898211704631</v>
      </c>
      <c r="D5654" s="38" t="n">
        <f aca="false">Sens!$D$5598</f>
        <v>41.7278991932282</v>
      </c>
      <c r="E5654" s="38" t="n">
        <f aca="false">Sens!$E$5598</f>
        <v>29.3692974191125</v>
      </c>
      <c r="F5654" s="38" t="n">
        <f aca="false">Sens!$F$5598</f>
        <v>29.458060516894</v>
      </c>
      <c r="G5654" s="38" t="n">
        <f aca="false">Sens!$G$5598</f>
        <v>58.8273579360065</v>
      </c>
      <c r="H5654" s="38" t="n">
        <f aca="false">Sens!$H$5598</f>
        <v>67.8004040185081</v>
      </c>
      <c r="I5654" s="38" t="n">
        <f aca="false">Sens!$I$5598</f>
        <v>78.9527630302702</v>
      </c>
      <c r="J5654" s="38" t="n">
        <f aca="false">Sens!$J$5598</f>
        <v>88.6042681781841</v>
      </c>
      <c r="K5654" s="38" t="n">
        <f aca="false">Sens!$K$5598</f>
        <v>95.6926096324389</v>
      </c>
      <c r="L5654" s="38" t="n">
        <f aca="false">Sens!$L$5598</f>
        <v>103.348018403034</v>
      </c>
      <c r="M5654" s="38" t="n">
        <f aca="false">Sens!$M$5598</f>
        <v>111.615859875277</v>
      </c>
      <c r="N5654" s="38" t="n">
        <f aca="false">Sens!$N$5598</f>
        <v>20.784358965108</v>
      </c>
      <c r="O5654" s="38" t="n">
        <f aca="false">Sens!$O$5598</f>
        <v>20.9435402281202</v>
      </c>
    </row>
    <row r="5655" customFormat="false" ht="17.15" hidden="false" customHeight="false" outlineLevel="0" collapsed="false">
      <c r="A5655" s="1" t="s">
        <v>684</v>
      </c>
      <c r="B5655" s="8" t="s">
        <v>73</v>
      </c>
      <c r="C5655" s="38" t="n">
        <f aca="false">Q!$D$24</f>
        <v>39.834</v>
      </c>
      <c r="D5655" s="38" t="n">
        <f aca="false">Q!$E$24</f>
        <v>45.606</v>
      </c>
      <c r="E5655" s="38" t="n">
        <f aca="false">Q!$P$24</f>
        <v>30.782</v>
      </c>
      <c r="F5655" s="38" t="n">
        <f aca="false">Sens!$F$5653+Sens!$F$5654</f>
        <v>35.9653375227289</v>
      </c>
      <c r="G5655" s="38" t="n">
        <f aca="false">Sens!$G$5653+Sens!$G$5654</f>
        <v>66.7473375227289</v>
      </c>
      <c r="H5655" s="38" t="n">
        <f aca="false">Sens!$H$5653+Sens!$H$5654</f>
        <v>87.0822229666888</v>
      </c>
      <c r="I5655" s="38" t="n">
        <f aca="false">Sens!$I$5653+Sens!$I$5654</f>
        <v>109.092877437472</v>
      </c>
      <c r="J5655" s="38" t="n">
        <f aca="false">Sens!$J$5653+Sens!$J$5654</f>
        <v>128.96121506117</v>
      </c>
      <c r="K5655" s="38" t="n">
        <f aca="false">Sens!$K$5653+Sens!$K$5654</f>
        <v>145.770907140632</v>
      </c>
      <c r="L5655" s="38" t="n">
        <f aca="false">Sens!$L$5653+Sens!$L$5654</f>
        <v>164.791350396533</v>
      </c>
      <c r="M5655" s="38" t="n">
        <f aca="false">Sens!$M$5653+Sens!$M$5654</f>
        <v>183.865739034062</v>
      </c>
      <c r="N5655" s="38" t="n">
        <f aca="false">Q!$N$24</f>
        <v>21.707</v>
      </c>
      <c r="O5655" s="38" t="n">
        <f aca="false">Q!$O$24</f>
        <v>23.899</v>
      </c>
    </row>
    <row r="5656" customFormat="false" ht="17.15" hidden="false" customHeight="false" outlineLevel="0" collapsed="false">
      <c r="A5656" s="5" t="s">
        <v>685</v>
      </c>
      <c r="B5656" s="0" t="s">
        <v>73</v>
      </c>
      <c r="C5656" s="38" t="n">
        <f aca="false">Q!$D$26</f>
        <v>0</v>
      </c>
      <c r="D5656" s="38" t="n">
        <f aca="false">Q!$E$26</f>
        <v>0</v>
      </c>
      <c r="E5656" s="38" t="n">
        <f aca="false">Q!$P$26</f>
        <v>0</v>
      </c>
      <c r="F5656" s="41" t="n">
        <v>0</v>
      </c>
      <c r="G5656" s="38" t="n">
        <f aca="false">Sens!$E$5656+Sens!$F$5656</f>
        <v>0</v>
      </c>
      <c r="H5656" s="41" t="n">
        <v>0</v>
      </c>
      <c r="I5656" s="41" t="n">
        <v>0</v>
      </c>
      <c r="J5656" s="41" t="n">
        <v>0</v>
      </c>
      <c r="K5656" s="41" t="n">
        <v>0</v>
      </c>
      <c r="L5656" s="41" t="n">
        <v>0</v>
      </c>
      <c r="M5656" s="41" t="n">
        <v>0</v>
      </c>
      <c r="N5656" s="38" t="n">
        <f aca="false">Q!$N$26</f>
        <v>0</v>
      </c>
      <c r="O5656" s="38" t="n">
        <f aca="false">Q!$O$26</f>
        <v>0</v>
      </c>
    </row>
    <row r="5657" customFormat="false" ht="15" hidden="false" customHeight="false" outlineLevel="0" collapsed="false">
      <c r="A5657" s="3" t="s">
        <v>494</v>
      </c>
      <c r="B5657" s="8" t="s">
        <v>73</v>
      </c>
      <c r="C5657" s="38" t="n">
        <f aca="false">Q!$D$25</f>
        <v>68.593</v>
      </c>
      <c r="D5657" s="38" t="n">
        <f aca="false">Q!$E$25</f>
        <v>79.975</v>
      </c>
      <c r="E5657" s="38" t="n">
        <f aca="false">Q!$P$25</f>
        <v>51.313</v>
      </c>
      <c r="F5657" s="38" t="n">
        <f aca="false">Sens!$F$5647+Sens!$F$5652+Sens!$F$5655+Sens!$F$5656</f>
        <v>59.8825772328462</v>
      </c>
      <c r="G5657" s="38" t="n">
        <f aca="false">Sens!$G$5647+Sens!$G$5652+Sens!$G$5655+Sens!$G$5656</f>
        <v>111.195577232846</v>
      </c>
      <c r="H5657" s="38" t="n">
        <f aca="false">Sens!$H$5647+Sens!$H$5652+Sens!$H$5655+Sens!$H$5656</f>
        <v>135.638701042513</v>
      </c>
      <c r="I5657" s="38" t="n">
        <f aca="false">Sens!$I$5647+Sens!$I$5652+Sens!$I$5655+Sens!$I$5656</f>
        <v>160.668634334764</v>
      </c>
      <c r="J5657" s="38" t="n">
        <f aca="false">Sens!$J$5647+Sens!$J$5652+Sens!$J$5655+Sens!$J$5656</f>
        <v>182.936501499731</v>
      </c>
      <c r="K5657" s="38" t="n">
        <f aca="false">Sens!$K$5647+Sens!$K$5652+Sens!$K$5655+Sens!$K$5656</f>
        <v>200.911616858058</v>
      </c>
      <c r="L5657" s="38" t="n">
        <f aca="false">Sens!$L$5647+Sens!$L$5652+Sens!$L$5655+Sens!$L$5656</f>
        <v>220.650126048945</v>
      </c>
      <c r="M5657" s="38" t="n">
        <f aca="false">Sens!$M$5647+Sens!$M$5652+Sens!$M$5655+Sens!$M$5656</f>
        <v>241.09409709983</v>
      </c>
      <c r="N5657" s="38" t="n">
        <f aca="false">Q!$N$25</f>
        <v>37.576</v>
      </c>
      <c r="O5657" s="38" t="n">
        <f aca="false">Q!$O$25</f>
        <v>42.399</v>
      </c>
    </row>
    <row r="5658" customFormat="false" ht="17.15" hidden="false" customHeight="false" outlineLevel="0" collapsed="false">
      <c r="A5658" s="24" t="s">
        <v>711</v>
      </c>
      <c r="B5658" s="25" t="s">
        <v>73</v>
      </c>
      <c r="C5658" s="39" t="n">
        <f aca="false">Sens!$C$5647+Sens!$C$5652+Sens!$C$5655+Sens!$C$5656-Sens!$C$5657</f>
        <v>0</v>
      </c>
      <c r="D5658" s="39" t="n">
        <f aca="false">Sens!$D$5647+Sens!$D$5652+Sens!$D$5655+Sens!$D$5656-Sens!$D$5657</f>
        <v>0</v>
      </c>
      <c r="E5658" s="39" t="n">
        <f aca="false">Sens!$E$5647+Sens!$E$5652+Sens!$E$5655+Sens!$E$5656-Sens!$E$5657</f>
        <v>0</v>
      </c>
      <c r="F5658" s="39" t="n">
        <f aca="false">Sens!$F$5647+Sens!$F$5652+Sens!$F$5655+Sens!$F$5656-Sens!$F$5657</f>
        <v>0</v>
      </c>
      <c r="G5658" s="39" t="n">
        <f aca="false">Sens!$G$5647+Sens!$G$5652+Sens!$G$5655+Sens!$G$5656-Sens!$G$5657</f>
        <v>0</v>
      </c>
      <c r="H5658" s="39" t="n">
        <f aca="false">Sens!$H$5647+Sens!$H$5652+Sens!$H$5655+Sens!$H$5656-Sens!$H$5657</f>
        <v>0</v>
      </c>
      <c r="I5658" s="39" t="n">
        <f aca="false">Sens!$I$5647+Sens!$I$5652+Sens!$I$5655+Sens!$I$5656-Sens!$I$5657</f>
        <v>0</v>
      </c>
      <c r="J5658" s="39" t="n">
        <f aca="false">Sens!$J$5647+Sens!$J$5652+Sens!$J$5655+Sens!$J$5656-Sens!$J$5657</f>
        <v>0</v>
      </c>
      <c r="K5658" s="39" t="n">
        <f aca="false">Sens!$K$5647+Sens!$K$5652+Sens!$K$5655+Sens!$K$5656-Sens!$K$5657</f>
        <v>0</v>
      </c>
      <c r="L5658" s="39" t="n">
        <f aca="false">Sens!$L$5647+Sens!$L$5652+Sens!$L$5655+Sens!$L$5656-Sens!$L$5657</f>
        <v>0</v>
      </c>
      <c r="M5658" s="39" t="n">
        <f aca="false">Sens!$M$5647+Sens!$M$5652+Sens!$M$5655+Sens!$M$5656-Sens!$M$5657</f>
        <v>0</v>
      </c>
      <c r="N5658" s="39" t="n">
        <f aca="false">Sens!$N$5647+Sens!$N$5652+Sens!$N$5655+Sens!$N$5656-Sens!$N$5657</f>
        <v>0</v>
      </c>
      <c r="O5658" s="39" t="n">
        <f aca="false">Sens!$O$5647+Sens!$O$5652+Sens!$O$5655+Sens!$O$5656-Sens!$O$5657</f>
        <v>0</v>
      </c>
    </row>
    <row r="5659" customFormat="false" ht="17.15" hidden="false" customHeight="false" outlineLevel="0" collapsed="false">
      <c r="A5659" s="0" t="s">
        <v>687</v>
      </c>
      <c r="B5659" s="0" t="s">
        <v>52</v>
      </c>
      <c r="C5659" s="12" t="n">
        <f aca="false">Sens!$C$5647/Sens!$C$5632</f>
        <v>0.0644314665661928</v>
      </c>
      <c r="D5659" s="12" t="n">
        <f aca="false">Sens!$D$5647/Sens!$D$5632</f>
        <v>0.0694784250712518</v>
      </c>
      <c r="E5659" s="12" t="n">
        <f aca="false">Sens!$E$5647/Sens!$E$5632</f>
        <v>0.0789306463326071</v>
      </c>
      <c r="F5659" s="12" t="n">
        <f aca="false">Sens!$F$5647/Sens!$F$5632</f>
        <v>0.0816338957078875</v>
      </c>
      <c r="G5659" s="12" t="n">
        <f aca="false">Sens!$G$5647/Sens!$G$5632</f>
        <v>0.080384315570057</v>
      </c>
      <c r="H5659" s="12" t="n">
        <f aca="false">Sens!$H$5647/Sens!$H$5632</f>
        <v>0.080035122355679</v>
      </c>
      <c r="I5659" s="12" t="n">
        <f aca="false">Sens!$I$5647/Sens!$I$5632</f>
        <v>0.0786798687862144</v>
      </c>
      <c r="J5659" s="12" t="n">
        <f aca="false">Sens!$J$5647/Sens!$J$5632</f>
        <v>0.0772846370095153</v>
      </c>
      <c r="K5659" s="12" t="n">
        <f aca="false">Sens!$K$5647/Sens!$K$5632</f>
        <v>0.0753502227686655</v>
      </c>
      <c r="L5659" s="12" t="n">
        <f aca="false">Sens!$L$5647/Sens!$L$5632</f>
        <v>0.0723154067793922</v>
      </c>
      <c r="M5659" s="12" t="n">
        <f aca="false">Sens!$M$5647/Sens!$M$5632</f>
        <v>0.070022386735876</v>
      </c>
      <c r="N5659" s="12" t="n">
        <f aca="false">Sens!$N$5647/Sens!$N$5632</f>
        <v>0.069228576611127</v>
      </c>
      <c r="O5659" s="12" t="n">
        <f aca="false">Sens!$O$5647/Sens!$O$5632</f>
        <v>0.069685022498393</v>
      </c>
    </row>
    <row r="5660" customFormat="false" ht="17.15" hidden="false" customHeight="false" outlineLevel="0" collapsed="false">
      <c r="A5660" s="0" t="s">
        <v>688</v>
      </c>
      <c r="B5660" s="0" t="s">
        <v>52</v>
      </c>
      <c r="C5660" s="12" t="n">
        <f aca="false">Sens!$C$5652/Sens!$C$5633</f>
        <v>0.026534925055631</v>
      </c>
      <c r="D5660" s="12" t="n">
        <f aca="false">Sens!$D$5652/Sens!$D$5633</f>
        <v>0.0293401855535103</v>
      </c>
      <c r="E5660" s="12" t="n">
        <f aca="false">Sens!$E$5652/Sens!$E$5633</f>
        <v>0.03831141902276</v>
      </c>
      <c r="F5660" s="12" t="n">
        <f aca="false">Sens!$F$5652/Sens!$F$5633</f>
        <v>0.0297532808235678</v>
      </c>
      <c r="G5660" s="12" t="n">
        <f aca="false">Sens!$G$5652/Sens!$G$5633</f>
        <v>0.0335954317997163</v>
      </c>
      <c r="H5660" s="12" t="n">
        <f aca="false">Sens!$H$5652/Sens!$H$5633</f>
        <v>0.0312519754292078</v>
      </c>
      <c r="I5660" s="12" t="n">
        <f aca="false">Sens!$I$5652/Sens!$I$5633</f>
        <v>0.0278788303191397</v>
      </c>
      <c r="J5660" s="12" t="n">
        <f aca="false">Sens!$J$5652/Sens!$J$5633</f>
        <v>0.0244019313573061</v>
      </c>
      <c r="K5660" s="12" t="n">
        <f aca="false">Sens!$K$5652/Sens!$K$5633</f>
        <v>0.020280070641524</v>
      </c>
      <c r="L5660" s="12" t="n">
        <f aca="false">Sens!$L$5652/Sens!$L$5633</f>
        <v>0.0175947312030086</v>
      </c>
      <c r="M5660" s="12" t="n">
        <f aca="false">Sens!$M$5652/Sens!$M$5633</f>
        <v>0.0156592172424565</v>
      </c>
      <c r="N5660" s="12" t="n">
        <f aca="false">Sens!$N$5652/Sens!$N$5633</f>
        <v>0.0357315650169337</v>
      </c>
      <c r="O5660" s="12" t="n">
        <f aca="false">Sens!$O$5652/Sens!$O$5633</f>
        <v>0.0244378956559703</v>
      </c>
    </row>
    <row r="5661" customFormat="false" ht="17.15" hidden="false" customHeight="false" outlineLevel="0" collapsed="false">
      <c r="A5661" s="13" t="s">
        <v>689</v>
      </c>
      <c r="B5661" s="13" t="s">
        <v>52</v>
      </c>
      <c r="C5661" s="16" t="n">
        <f aca="false">Sens!$C$5655/Sens!$C$5634</f>
        <v>0.370355907620217</v>
      </c>
      <c r="D5661" s="16" t="n">
        <f aca="false">Sens!$D$5655/Sens!$D$5634</f>
        <v>0.35429015342785</v>
      </c>
      <c r="E5661" s="16" t="n">
        <f aca="false">Sens!$E$5655/Sens!$E$5634</f>
        <v>0.385647527531039</v>
      </c>
      <c r="F5661" s="16" t="n">
        <f aca="false">Sens!$F$5655/Sens!$F$5634</f>
        <v>0.384415729470259</v>
      </c>
      <c r="G5661" s="16" t="n">
        <f aca="false">Sens!$G$5655/Sens!$G$5634</f>
        <v>0.38498282105443</v>
      </c>
      <c r="H5661" s="16" t="n">
        <f aca="false">Sens!$H$5655/Sens!$H$5634</f>
        <v>0.361247909668527</v>
      </c>
      <c r="I5661" s="16" t="n">
        <f aca="false">Sens!$I$5655/Sens!$I$5634</f>
        <v>0.349486287974975</v>
      </c>
      <c r="J5661" s="16" t="n">
        <f aca="false">Sens!$J$5655/Sens!$J$5634</f>
        <v>0.339886531832068</v>
      </c>
      <c r="K5661" s="16" t="n">
        <f aca="false">Sens!$K$5655/Sens!$K$5634</f>
        <v>0.33135833762061</v>
      </c>
      <c r="L5661" s="16" t="n">
        <f aca="false">Sens!$L$5655/Sens!$L$5634</f>
        <v>0.328299068185284</v>
      </c>
      <c r="M5661" s="16" t="n">
        <f aca="false">Sens!$M$5655/Sens!$M$5634</f>
        <v>0.325058049465166</v>
      </c>
      <c r="N5661" s="16" t="n">
        <f aca="false">Sens!$N$5655/Sens!$N$5634</f>
        <v>0.360941137346192</v>
      </c>
      <c r="O5661" s="16" t="n">
        <f aca="false">Sens!$O$5655/Sens!$O$5634</f>
        <v>0.348458117664212</v>
      </c>
    </row>
    <row r="5662" customFormat="false" ht="17.15" hidden="false" customHeight="false" outlineLevel="0" collapsed="false">
      <c r="A5662" s="0" t="s">
        <v>690</v>
      </c>
      <c r="B5662" s="0" t="s">
        <v>52</v>
      </c>
      <c r="C5662" s="12" t="n">
        <f aca="false">Sens!$C$5653/Sens!$C$5635</f>
        <v>0.708390794789371</v>
      </c>
      <c r="D5662" s="12" t="n">
        <f aca="false">Sens!$D$5653/Sens!$D$5635</f>
        <v>0.445565630441968</v>
      </c>
      <c r="E5662" s="12" t="n">
        <f aca="false">Sens!$E$5653/Sens!$E$5635</f>
        <v>0.165998118402711</v>
      </c>
      <c r="F5662" s="12" t="n">
        <f aca="false">Sens!$F$5653/Sens!$F$5635</f>
        <v>0.434878595403858</v>
      </c>
      <c r="G5662" s="12" t="n">
        <f aca="false">Sens!$G$5653/Sens!$G$5635</f>
        <v>0.3373967615381</v>
      </c>
      <c r="H5662" s="12" t="n">
        <f aca="false">Sens!$H$5653/Sens!$H$5635</f>
        <v>0.320477578041224</v>
      </c>
      <c r="I5662" s="12" t="n">
        <f aca="false">Sens!$I$5653/Sens!$I$5635</f>
        <v>0.296936118226494</v>
      </c>
      <c r="J5662" s="12" t="n">
        <f aca="false">Sens!$J$5653/Sens!$J$5635</f>
        <v>0.282166278613001</v>
      </c>
      <c r="K5662" s="12" t="n">
        <f aca="false">Sens!$K$5653/Sens!$K$5635</f>
        <v>0.271267685694333</v>
      </c>
      <c r="L5662" s="12" t="n">
        <f aca="false">Sens!$L$5653/Sens!$L$5635</f>
        <v>0.27160960915653</v>
      </c>
      <c r="M5662" s="12" t="n">
        <f aca="false">Sens!$M$5653/Sens!$M$5635</f>
        <v>0.26974494804234</v>
      </c>
      <c r="N5662" s="12" t="n">
        <f aca="false">Sens!$N$5653/Sens!$N$5635</f>
        <v>0.302870734830849</v>
      </c>
      <c r="O5662" s="12" t="n">
        <f aca="false">Sens!$O$5653/Sens!$O$5635</f>
        <v>0.52240134346334</v>
      </c>
    </row>
    <row r="5663" customFormat="false" ht="15" hidden="false" customHeight="false" outlineLevel="0" collapsed="false">
      <c r="A5663" s="5" t="s">
        <v>691</v>
      </c>
      <c r="B5663" s="0" t="s">
        <v>52</v>
      </c>
      <c r="C5663" s="12" t="n">
        <f aca="false">Sens!$C$5657/Sens!$C$5637</f>
        <v>0.107519448742004</v>
      </c>
      <c r="D5663" s="12" t="n">
        <f aca="false">Sens!$D$5657/Sens!$D$5637</f>
        <v>0.111552967957552</v>
      </c>
      <c r="E5663" s="12" t="n">
        <f aca="false">Sens!$E$5657/Sens!$E$5637</f>
        <v>0.13428328426562</v>
      </c>
      <c r="F5663" s="12" t="n">
        <f aca="false">Sens!$F$5657/Sens!$F$5637</f>
        <v>0.132926212451512</v>
      </c>
      <c r="G5663" s="12" t="n">
        <f aca="false">Sens!$G$5657/Sens!$G$5637</f>
        <v>0.133549030959228</v>
      </c>
      <c r="H5663" s="12" t="n">
        <f aca="false">Sens!$H$5657/Sens!$H$5637</f>
        <v>0.139690394514416</v>
      </c>
      <c r="I5663" s="12" t="n">
        <f aca="false">Sens!$I$5657/Sens!$I$5637</f>
        <v>0.144688164284573</v>
      </c>
      <c r="J5663" s="12" t="n">
        <f aca="false">Sens!$J$5657/Sens!$J$5637</f>
        <v>0.147391419021054</v>
      </c>
      <c r="K5663" s="12" t="n">
        <f aca="false">Sens!$K$5657/Sens!$K$5637</f>
        <v>0.148003728177944</v>
      </c>
      <c r="L5663" s="12" t="n">
        <f aca="false">Sens!$L$5657/Sens!$L$5637</f>
        <v>0.149164514525979</v>
      </c>
      <c r="M5663" s="12" t="n">
        <f aca="false">Sens!$M$5657/Sens!$M$5637</f>
        <v>0.150041098108262</v>
      </c>
      <c r="N5663" s="12" t="n">
        <f aca="false">Sens!$N$5657/Sens!$N$5637</f>
        <v>0.116201614873411</v>
      </c>
      <c r="O5663" s="12" t="n">
        <f aca="false">Sens!$O$5657/Sens!$O$5637</f>
        <v>0.107733353660861</v>
      </c>
    </row>
    <row r="5664" customFormat="false" ht="17.15" hidden="false" customHeight="false" outlineLevel="0" collapsed="false">
      <c r="A5664" s="1" t="s">
        <v>692</v>
      </c>
    </row>
    <row r="5665" customFormat="false" ht="17.15" hidden="false" customHeight="false" outlineLevel="0" collapsed="false">
      <c r="A5665" s="5" t="s">
        <v>693</v>
      </c>
      <c r="B5665" s="0" t="s">
        <v>52</v>
      </c>
      <c r="D5665" s="28" t="n">
        <f aca="false">(Q!$E$29+Q!$E$30-(1-ext_sh)*Sens!$D$5589)/Sens!$D$5547</f>
        <v>0.0334674312393194</v>
      </c>
    </row>
    <row r="5666" customFormat="false" ht="17.15" hidden="false" customHeight="false" outlineLevel="0" collapsed="false">
      <c r="A5666" s="0" t="s">
        <v>498</v>
      </c>
      <c r="B5666" s="0" t="s">
        <v>73</v>
      </c>
      <c r="C5666" s="38" t="n">
        <f aca="false">Q!$D$29</f>
        <v>14.285</v>
      </c>
      <c r="D5666" s="38" t="n">
        <f aca="false">Q!$E$29</f>
        <v>15.503</v>
      </c>
      <c r="E5666" s="38" t="n">
        <f aca="false">Q!$P$29</f>
        <v>8.78</v>
      </c>
      <c r="F5666" s="38" t="n">
        <f aca="false">(Sens!$D$5665*Sens!$F$5547+(1-ext_sh)*Sens!$F$5589)*Sens!$F$5548</f>
        <v>9.51361751569285</v>
      </c>
      <c r="G5666" s="38" t="n">
        <f aca="false">Sens!$E$5666+Sens!$F$5666</f>
        <v>18.2936175156929</v>
      </c>
      <c r="H5666" s="38" t="n">
        <f aca="false">(Sens!$D$5665*Sens!$H$5547+(1-ext_sh)*Sens!$H$5589)*Sens!$H$5548</f>
        <v>22.7653661801943</v>
      </c>
      <c r="I5666" s="38" t="n">
        <f aca="false">(Sens!$D$5665*Sens!$I$5547+(1-ext_sh)*Sens!$I$5589)*Sens!$I$5548</f>
        <v>28.4281317305062</v>
      </c>
      <c r="J5666" s="38" t="n">
        <f aca="false">(Sens!$D$5665*Sens!$J$5547+(1-ext_sh)*Sens!$J$5589)*Sens!$J$5548</f>
        <v>34.1182922009732</v>
      </c>
      <c r="K5666" s="38" t="n">
        <f aca="false">(Sens!$D$5665*Sens!$K$5547+(1-ext_sh)*Sens!$K$5589)*Sens!$K$5548</f>
        <v>39.7237727987046</v>
      </c>
      <c r="L5666" s="38" t="n">
        <f aca="false">(Sens!$D$5665*Sens!$L$5547+(1-ext_sh)*Sens!$L$5589)*Sens!$L$5548</f>
        <v>45.1313127180263</v>
      </c>
      <c r="M5666" s="38" t="n">
        <f aca="false">(Sens!$D$5665*Sens!$M$5547+(1-ext_sh)*Sens!$M$5589)*Sens!$M$5548</f>
        <v>50.743940615442</v>
      </c>
      <c r="N5666" s="38" t="n">
        <f aca="false">Q!$N$29</f>
        <v>7.272</v>
      </c>
      <c r="O5666" s="38" t="n">
        <f aca="false">Q!$O$29</f>
        <v>8.231</v>
      </c>
    </row>
    <row r="5667" customFormat="false" ht="17.15" hidden="false" customHeight="false" outlineLevel="0" collapsed="false">
      <c r="A5667" s="0" t="s">
        <v>500</v>
      </c>
      <c r="B5667" s="0" t="s">
        <v>73</v>
      </c>
      <c r="C5667" s="38" t="n">
        <f aca="false">Q!$D$30</f>
        <v>4.462</v>
      </c>
      <c r="D5667" s="38" t="n">
        <f aca="false">Q!$E$30</f>
        <v>4.907</v>
      </c>
      <c r="E5667" s="38" t="n">
        <f aca="false">Q!$P$30</f>
        <v>2.57</v>
      </c>
      <c r="F5667" s="38" t="n">
        <f aca="false">(Sens!$D$5665*Sens!$F$5547+(1-ext_sh)*Sens!$F$5589)*(1-Sens!$F$5548)</f>
        <v>3.7353230631574</v>
      </c>
      <c r="G5667" s="38" t="n">
        <f aca="false">Sens!$E$5667+Sens!$F$5667</f>
        <v>6.3053230631574</v>
      </c>
      <c r="H5667" s="38" t="n">
        <f aca="false">(Sens!$D$5665*Sens!$H$5547+(1-ext_sh)*Sens!$H$5589)*(1-Sens!$H$5548)</f>
        <v>8.72254636724805</v>
      </c>
      <c r="I5667" s="38" t="n">
        <f aca="false">(Sens!$D$5665*Sens!$I$5547+(1-ext_sh)*Sens!$I$5589)*(1-Sens!$I$5548)</f>
        <v>10.8922340713019</v>
      </c>
      <c r="J5667" s="38" t="n">
        <f aca="false">(Sens!$D$5665*Sens!$J$5547+(1-ext_sh)*Sens!$J$5589)*(1-Sens!$J$5548)</f>
        <v>13.0724181345791</v>
      </c>
      <c r="K5667" s="38" t="n">
        <f aca="false">(Sens!$D$5665*Sens!$K$5547+(1-ext_sh)*Sens!$K$5589)*(1-Sens!$K$5548)</f>
        <v>15.2201571183236</v>
      </c>
      <c r="L5667" s="38" t="n">
        <f aca="false">(Sens!$D$5665*Sens!$L$5547+(1-ext_sh)*Sens!$L$5589)*(1-Sens!$L$5548)</f>
        <v>17.2920551631732</v>
      </c>
      <c r="M5667" s="38" t="n">
        <f aca="false">(Sens!$D$5665*Sens!$M$5547+(1-ext_sh)*Sens!$M$5589)*(1-Sens!$M$5548)</f>
        <v>19.4425326336348</v>
      </c>
      <c r="N5667" s="38" t="n">
        <f aca="false">Q!$N$30</f>
        <v>2.316</v>
      </c>
      <c r="O5667" s="38" t="n">
        <f aca="false">Q!$O$30</f>
        <v>2.591</v>
      </c>
    </row>
    <row r="5668" customFormat="false" ht="17.15" hidden="false" customHeight="false" outlineLevel="0" collapsed="false">
      <c r="A5668" s="0" t="s">
        <v>501</v>
      </c>
      <c r="B5668" s="0" t="s">
        <v>73</v>
      </c>
      <c r="C5668" s="38" t="n">
        <f aca="false">Sens!$C$5601</f>
        <v>13.32</v>
      </c>
      <c r="D5668" s="38" t="n">
        <f aca="false">Sens!$D$5601</f>
        <v>21.45</v>
      </c>
      <c r="E5668" s="38" t="n">
        <f aca="false">Sens!$E$5601</f>
        <v>15.353</v>
      </c>
      <c r="F5668" s="38" t="n">
        <f aca="false">Sens!$F$5601</f>
        <v>17.3614451462707</v>
      </c>
      <c r="G5668" s="38" t="n">
        <f aca="false">Sens!$G$5601</f>
        <v>32.7144451462707</v>
      </c>
      <c r="H5668" s="38" t="n">
        <f aca="false">Sens!$H$5601</f>
        <v>56.1966092719415</v>
      </c>
      <c r="I5668" s="38" t="n">
        <f aca="false">Sens!$I$5601</f>
        <v>82.9744039068297</v>
      </c>
      <c r="J5668" s="38" t="n">
        <f aca="false">Sens!$J$5601</f>
        <v>109.943252237669</v>
      </c>
      <c r="K5668" s="38" t="n">
        <f aca="false">Sens!$K$5601</f>
        <v>136.406703436571</v>
      </c>
      <c r="L5668" s="38" t="n">
        <f aca="false">Sens!$L$5601</f>
        <v>161.485870454155</v>
      </c>
      <c r="M5668" s="38" t="n">
        <f aca="false">Sens!$M$5601</f>
        <v>187.389846618199</v>
      </c>
      <c r="N5668" s="38" t="n">
        <f aca="false">Sens!$N$5601</f>
        <v>9.234</v>
      </c>
      <c r="O5668" s="38" t="n">
        <f aca="false">Sens!$O$5601</f>
        <v>12.216</v>
      </c>
    </row>
    <row r="5669" customFormat="false" ht="17.15" hidden="false" customHeight="false" outlineLevel="0" collapsed="false">
      <c r="A5669" s="5" t="s">
        <v>694</v>
      </c>
      <c r="B5669" s="0" t="s">
        <v>73</v>
      </c>
      <c r="C5669" s="38" t="n">
        <f aca="false">Sens!$C$5666+Sens!$C$5667+Sens!$C$5668</f>
        <v>32.067</v>
      </c>
      <c r="D5669" s="38" t="n">
        <f aca="false">Sens!$D$5666+Sens!$D$5667+Sens!$D$5668</f>
        <v>41.86</v>
      </c>
      <c r="E5669" s="38" t="n">
        <f aca="false">Sens!$E$5666+Sens!$E$5667+Sens!$E$5668</f>
        <v>26.703</v>
      </c>
      <c r="F5669" s="38" t="n">
        <f aca="false">Sens!$F$5666+Sens!$F$5667+Sens!$F$5668</f>
        <v>30.6103857251209</v>
      </c>
      <c r="G5669" s="38" t="n">
        <f aca="false">Sens!$G$5666+Sens!$G$5667+Sens!$G$5668</f>
        <v>57.3133857251209</v>
      </c>
      <c r="H5669" s="38" t="n">
        <f aca="false">Sens!$H$5666+Sens!$H$5667+Sens!$H$5668</f>
        <v>87.6845218193838</v>
      </c>
      <c r="I5669" s="38" t="n">
        <f aca="false">Sens!$I$5666+Sens!$I$5667+Sens!$I$5668</f>
        <v>122.294769708638</v>
      </c>
      <c r="J5669" s="38" t="n">
        <f aca="false">Sens!$J$5666+Sens!$J$5667+Sens!$J$5668</f>
        <v>157.133962573221</v>
      </c>
      <c r="K5669" s="38" t="n">
        <f aca="false">Sens!$K$5666+Sens!$K$5667+Sens!$K$5668</f>
        <v>191.350633353599</v>
      </c>
      <c r="L5669" s="38" t="n">
        <f aca="false">Sens!$L$5666+Sens!$L$5667+Sens!$L$5668</f>
        <v>223.909238335354</v>
      </c>
      <c r="M5669" s="38" t="n">
        <f aca="false">Sens!$M$5666+Sens!$M$5667+Sens!$M$5668</f>
        <v>257.576319867276</v>
      </c>
      <c r="N5669" s="38" t="n">
        <f aca="false">Sens!$N$5666+Sens!$N$5667+Sens!$N$5668</f>
        <v>18.822</v>
      </c>
      <c r="O5669" s="38" t="n">
        <f aca="false">Sens!$O$5666+Sens!$O$5667+Sens!$O$5668</f>
        <v>23.038</v>
      </c>
    </row>
    <row r="5670" customFormat="false" ht="17.15" hidden="false" customHeight="false" outlineLevel="0" collapsed="false">
      <c r="A5670" s="0" t="s">
        <v>695</v>
      </c>
      <c r="B5670" s="0" t="s">
        <v>73</v>
      </c>
      <c r="C5670" s="38" t="n">
        <f aca="false">Sens!$C$5643+Sens!$C$5648</f>
        <v>28.107</v>
      </c>
      <c r="D5670" s="38" t="n">
        <f aca="false">Sens!$D$5643+Sens!$D$5648</f>
        <v>34.3175</v>
      </c>
      <c r="E5670" s="38" t="n">
        <f aca="false">Sens!$E$5643+Sens!$E$5648</f>
        <v>18.526</v>
      </c>
      <c r="F5670" s="38" t="n">
        <f aca="false">Sens!$F$5643+Sens!$F$5648</f>
        <v>24.0766690913691</v>
      </c>
      <c r="G5670" s="38" t="n">
        <f aca="false">Sens!$G$5643+Sens!$G$5648</f>
        <v>42.6026690913691</v>
      </c>
      <c r="H5670" s="38" t="n">
        <f aca="false">Sens!$H$5643+Sens!$H$5648</f>
        <v>51.1466809294702</v>
      </c>
      <c r="I5670" s="38" t="n">
        <f aca="false">Sens!$I$5643+Sens!$I$5648</f>
        <v>59.6899187926205</v>
      </c>
      <c r="J5670" s="38" t="n">
        <f aca="false">Sens!$J$5643+Sens!$J$5648</f>
        <v>67.6595395244221</v>
      </c>
      <c r="K5670" s="38" t="n">
        <f aca="false">Sens!$K$5643+Sens!$K$5648</f>
        <v>74.4254934768643</v>
      </c>
      <c r="L5670" s="38" t="n">
        <f aca="false">Sens!$L$5643+Sens!$L$5648</f>
        <v>81.8680428245508</v>
      </c>
      <c r="M5670" s="38" t="n">
        <f aca="false">Sens!$M$5643+Sens!$M$5648</f>
        <v>90.0548471070059</v>
      </c>
      <c r="N5670" s="38" t="n">
        <f aca="false">Sens!$N$5643+Sens!$N$5648</f>
        <v>14.8075</v>
      </c>
      <c r="O5670" s="38" t="n">
        <f aca="false">Sens!$O$5643+Sens!$O$5648</f>
        <v>19.51</v>
      </c>
    </row>
    <row r="5671" customFormat="false" ht="17.15" hidden="false" customHeight="false" outlineLevel="0" collapsed="false">
      <c r="A5671" s="0" t="s">
        <v>696</v>
      </c>
      <c r="B5671" s="0" t="s">
        <v>73</v>
      </c>
      <c r="C5671" s="38" t="n">
        <f aca="false">Sens!$C$5647+Sens!$C$5652+Sens!$C$5666+Sens!$C$5667-Sens!$C$5670</f>
        <v>19.399</v>
      </c>
      <c r="D5671" s="38" t="n">
        <f aca="false">Sens!$D$5647+Sens!$D$5652+Sens!$D$5666+Sens!$D$5667-Sens!$D$5670</f>
        <v>20.4615</v>
      </c>
      <c r="E5671" s="38" t="n">
        <f aca="false">Sens!$E$5647+Sens!$E$5652+Sens!$E$5666+Sens!$E$5667-Sens!$E$5670</f>
        <v>13.355</v>
      </c>
      <c r="F5671" s="38" t="n">
        <f aca="false">Sens!$F$5647+Sens!$F$5652+Sens!$F$5666+Sens!$F$5667-Sens!$F$5670</f>
        <v>13.0895111975985</v>
      </c>
      <c r="G5671" s="38" t="n">
        <f aca="false">Sens!$G$5647+Sens!$G$5652+Sens!$G$5666+Sens!$G$5667-Sens!$G$5670</f>
        <v>26.4445111975985</v>
      </c>
      <c r="H5671" s="38" t="n">
        <f aca="false">Sens!$H$5647+Sens!$H$5652+Sens!$H$5666+Sens!$H$5667-Sens!$H$5670</f>
        <v>28.8977096937968</v>
      </c>
      <c r="I5671" s="38" t="n">
        <f aca="false">Sens!$I$5647+Sens!$I$5652+Sens!$I$5666+Sens!$I$5667-Sens!$I$5670</f>
        <v>31.2062039064791</v>
      </c>
      <c r="J5671" s="38" t="n">
        <f aca="false">Sens!$J$5647+Sens!$J$5652+Sens!$J$5666+Sens!$J$5667-Sens!$J$5670</f>
        <v>33.5064572496913</v>
      </c>
      <c r="K5671" s="38" t="n">
        <f aca="false">Sens!$K$5647+Sens!$K$5652+Sens!$K$5666+Sens!$K$5667-Sens!$K$5670</f>
        <v>35.6591461575899</v>
      </c>
      <c r="L5671" s="38" t="n">
        <f aca="false">Sens!$L$5647+Sens!$L$5652+Sens!$L$5666+Sens!$L$5667-Sens!$L$5670</f>
        <v>36.4141007090604</v>
      </c>
      <c r="M5671" s="38" t="n">
        <f aca="false">Sens!$M$5647+Sens!$M$5652+Sens!$M$5666+Sens!$M$5667-Sens!$M$5670</f>
        <v>37.359984207839</v>
      </c>
      <c r="N5671" s="38" t="n">
        <f aca="false">Sens!$N$5647+Sens!$N$5652+Sens!$N$5666+Sens!$N$5667-Sens!$N$5670</f>
        <v>10.6495</v>
      </c>
      <c r="O5671" s="38" t="n">
        <f aca="false">Sens!$O$5647+Sens!$O$5652+Sens!$O$5666+Sens!$O$5667-Sens!$O$5670</f>
        <v>9.81200000000001</v>
      </c>
    </row>
    <row r="5672" customFormat="false" ht="17.15" hidden="false" customHeight="false" outlineLevel="0" collapsed="false">
      <c r="A5672" s="0" t="s">
        <v>697</v>
      </c>
      <c r="B5672" s="0" t="s">
        <v>73</v>
      </c>
      <c r="C5672" s="38" t="n">
        <f aca="false">Sens!$C$5654+Sens!$C$5668-ext_sh*Sens!$C$5589</f>
        <v>51.3470500115664</v>
      </c>
      <c r="D5672" s="38" t="n">
        <f aca="false">Sens!$D$5654+Sens!$D$5668-ext_sh*Sens!$D$5589</f>
        <v>60.2799375433739</v>
      </c>
      <c r="E5672" s="38" t="n">
        <f aca="false">Sens!$E$5654+Sens!$E$5668-ext_sh*Sens!$E$5589</f>
        <v>39.5095167090767</v>
      </c>
      <c r="F5672" s="38" t="n">
        <f aca="false">Sens!$F$5654+Sens!$F$5668-ext_sh*Sens!$F$5589</f>
        <v>41.606724953129</v>
      </c>
      <c r="G5672" s="38" t="n">
        <f aca="false">Sens!$G$5654+Sens!$G$5668-ext_sh*Sens!$G$5589</f>
        <v>81.1162416622057</v>
      </c>
      <c r="H5672" s="38" t="n">
        <f aca="false">Sens!$H$5654+Sens!$H$5668-ext_sh*Sens!$H$5589</f>
        <v>95.7616595325849</v>
      </c>
      <c r="I5672" s="38" t="n">
        <f aca="false">Sens!$I$5654+Sens!$I$5668-ext_sh*Sens!$I$5589</f>
        <v>111.513312079935</v>
      </c>
      <c r="J5672" s="38" t="n">
        <f aca="false">Sens!$J$5654+Sens!$J$5668-ext_sh*Sens!$J$5589</f>
        <v>125.145150463955</v>
      </c>
      <c r="K5672" s="38" t="n">
        <f aca="false">Sens!$K$5654+Sens!$K$5668-ext_sh*Sens!$K$5589</f>
        <v>135.156762501071</v>
      </c>
      <c r="L5672" s="38" t="n">
        <f aca="false">Sens!$L$5654+Sens!$L$5668-ext_sh*Sens!$L$5589</f>
        <v>145.969303501157</v>
      </c>
      <c r="M5672" s="38" t="n">
        <f aca="false">Sens!$M$5654+Sens!$M$5668-ext_sh*Sens!$M$5589</f>
        <v>157.646847781249</v>
      </c>
      <c r="N5672" s="38" t="n">
        <f aca="false">Sens!$N$5654+Sens!$N$5668-ext_sh*Sens!$N$5589</f>
        <v>28.5693781401809</v>
      </c>
      <c r="O5672" s="38" t="n">
        <f aca="false">Sens!$O$5654+Sens!$O$5668-ext_sh*Sens!$O$5589</f>
        <v>31.7105594031931</v>
      </c>
    </row>
    <row r="5673" customFormat="false" ht="17.15" hidden="false" customHeight="false" outlineLevel="0" collapsed="false">
      <c r="A5673" s="0" t="s">
        <v>698</v>
      </c>
      <c r="B5673" s="0" t="s">
        <v>73</v>
      </c>
      <c r="C5673" s="38" t="n">
        <f aca="false">Sens!$C$5592</f>
        <v>1.80694998843362</v>
      </c>
      <c r="D5673" s="38" t="n">
        <f aca="false">Sens!$D$5592</f>
        <v>6.77606245662607</v>
      </c>
      <c r="E5673" s="38" t="n">
        <f aca="false">Sens!$E$5592</f>
        <v>6.62548329092326</v>
      </c>
      <c r="F5673" s="38" t="n">
        <f aca="false">Sens!$F$5592</f>
        <v>11.7200577158706</v>
      </c>
      <c r="G5673" s="38" t="n">
        <f aca="false">Sens!$G$5592</f>
        <v>18.3455410067939</v>
      </c>
      <c r="H5673" s="38" t="n">
        <f aca="false">Sens!$H$5592</f>
        <v>47.5171727060453</v>
      </c>
      <c r="I5673" s="38" t="n">
        <f aca="false">Sens!$I$5592</f>
        <v>80.5539692643667</v>
      </c>
      <c r="J5673" s="38" t="n">
        <f aca="false">Sens!$J$5592</f>
        <v>113.759316834883</v>
      </c>
      <c r="K5673" s="38" t="n">
        <f aca="false">Sens!$K$5592</f>
        <v>147.020848076132</v>
      </c>
      <c r="L5673" s="38" t="n">
        <f aca="false">Sens!$L$5592</f>
        <v>180.307917349531</v>
      </c>
      <c r="M5673" s="38" t="n">
        <f aca="false">Sens!$M$5592</f>
        <v>213.608737871012</v>
      </c>
      <c r="N5673" s="38" t="n">
        <f aca="false">Sens!$N$5592</f>
        <v>2.37162185981912</v>
      </c>
      <c r="O5673" s="38" t="n">
        <f aca="false">Sens!$O$5592</f>
        <v>4.40444059680694</v>
      </c>
    </row>
    <row r="5674" customFormat="false" ht="17.15" hidden="false" customHeight="false" outlineLevel="0" collapsed="false">
      <c r="A5674" s="0" t="s">
        <v>699</v>
      </c>
      <c r="B5674" s="0" t="s">
        <v>73</v>
      </c>
      <c r="C5674" s="38" t="n">
        <f aca="false">Sens!$C$5657+Sens!$C$5669</f>
        <v>100.66</v>
      </c>
      <c r="D5674" s="38" t="n">
        <f aca="false">Sens!$D$5657+Sens!$D$5669</f>
        <v>121.835</v>
      </c>
      <c r="E5674" s="38" t="n">
        <f aca="false">Sens!$E$5657+Sens!$E$5669</f>
        <v>78.016</v>
      </c>
      <c r="F5674" s="38" t="n">
        <f aca="false">Sens!$F$5657+Sens!$F$5669</f>
        <v>90.4929629579672</v>
      </c>
      <c r="G5674" s="38" t="n">
        <f aca="false">Sens!$G$5657+Sens!$G$5669</f>
        <v>168.508962957967</v>
      </c>
      <c r="H5674" s="38" t="n">
        <f aca="false">Sens!$H$5657+Sens!$H$5669</f>
        <v>223.323222861897</v>
      </c>
      <c r="I5674" s="38" t="n">
        <f aca="false">Sens!$I$5657+Sens!$I$5669</f>
        <v>282.963404043402</v>
      </c>
      <c r="J5674" s="38" t="n">
        <f aca="false">Sens!$J$5657+Sens!$J$5669</f>
        <v>340.070464072952</v>
      </c>
      <c r="K5674" s="38" t="n">
        <f aca="false">Sens!$K$5657+Sens!$K$5669</f>
        <v>392.262250211657</v>
      </c>
      <c r="L5674" s="38" t="n">
        <f aca="false">Sens!$L$5657+Sens!$L$5669</f>
        <v>444.559364384299</v>
      </c>
      <c r="M5674" s="38" t="n">
        <f aca="false">Sens!$M$5657+Sens!$M$5669</f>
        <v>498.670416967106</v>
      </c>
      <c r="N5674" s="38" t="n">
        <f aca="false">Sens!$N$5657+Sens!$N$5669</f>
        <v>56.398</v>
      </c>
      <c r="O5674" s="38" t="n">
        <f aca="false">Sens!$O$5657+Sens!$O$5669</f>
        <v>65.437</v>
      </c>
    </row>
    <row r="5675" customFormat="false" ht="17.15" hidden="false" customHeight="false" outlineLevel="0" collapsed="false">
      <c r="A5675" s="1" t="s">
        <v>700</v>
      </c>
    </row>
    <row r="5676" customFormat="false" ht="15" hidden="false" customHeight="false" outlineLevel="0" collapsed="false">
      <c r="A5676" s="5" t="s">
        <v>504</v>
      </c>
      <c r="B5676" s="0" t="s">
        <v>73</v>
      </c>
      <c r="C5676" s="38" t="n">
        <f aca="false">Q!$D$34</f>
        <v>2.406</v>
      </c>
      <c r="D5676" s="38" t="n">
        <f aca="false">Q!$E$34</f>
        <v>2.274</v>
      </c>
      <c r="E5676" s="38" t="n">
        <f aca="false">Q!$P$34</f>
        <v>2.114</v>
      </c>
      <c r="F5676" s="38" t="n">
        <f aca="false">Sens!$F$5712</f>
        <v>3.24888964316061</v>
      </c>
      <c r="G5676" s="38" t="n">
        <f aca="false">Sens!$E$5676+Sens!$F$5676</f>
        <v>5.36288964316061</v>
      </c>
      <c r="H5676" s="38" t="n">
        <f aca="false">Sens!$H$5712</f>
        <v>7.42354178632123</v>
      </c>
      <c r="I5676" s="38" t="n">
        <f aca="false">Sens!$I$5712</f>
        <v>7.51827597635917</v>
      </c>
      <c r="J5676" s="38" t="n">
        <f aca="false">Sens!$J$5712</f>
        <v>7.76994062068418</v>
      </c>
      <c r="K5676" s="38" t="n">
        <f aca="false">Sens!$K$5712</f>
        <v>7.76994062068418</v>
      </c>
      <c r="L5676" s="38" t="n">
        <f aca="false">Sens!$L$5712</f>
        <v>7.76994062068418</v>
      </c>
      <c r="M5676" s="38" t="n">
        <f aca="false">Sens!$M$5712</f>
        <v>7.76994062068418</v>
      </c>
      <c r="N5676" s="38" t="n">
        <f aca="false">Q!$N$34</f>
        <v>1.057</v>
      </c>
      <c r="O5676" s="38" t="n">
        <f aca="false">Q!$O$34</f>
        <v>1.217</v>
      </c>
    </row>
    <row r="5677" customFormat="false" ht="15" hidden="false" customHeight="false" outlineLevel="0" collapsed="false">
      <c r="A5677" s="5" t="s">
        <v>701</v>
      </c>
      <c r="B5677" s="0" t="s">
        <v>73</v>
      </c>
      <c r="F5677" s="38" t="n">
        <f aca="false">Sens!$F$5713</f>
        <v>2.59</v>
      </c>
      <c r="H5677" s="38" t="n">
        <f aca="false">Sens!$H$5713</f>
        <v>4.00971603121774</v>
      </c>
      <c r="I5677" s="38" t="n">
        <f aca="false">Sens!$I$5713</f>
        <v>2.10589651022864</v>
      </c>
      <c r="J5677" s="38" t="n">
        <f aca="false">Sens!$J$5713</f>
        <v>2.10589651022864</v>
      </c>
      <c r="K5677" s="38" t="n">
        <f aca="false">Sens!$K$5713</f>
        <v>3.77985822695893</v>
      </c>
      <c r="L5677" s="38" t="n">
        <f aca="false">Sens!$L$5713</f>
        <v>7.24081936505971</v>
      </c>
      <c r="M5677" s="38" t="n">
        <f aca="false">Sens!$M$5713</f>
        <v>11.205150593419</v>
      </c>
    </row>
    <row r="5678" customFormat="false" ht="17.15" hidden="false" customHeight="false" outlineLevel="0" collapsed="false">
      <c r="A5678" s="5" t="s">
        <v>702</v>
      </c>
      <c r="B5678" s="0" t="s">
        <v>73</v>
      </c>
      <c r="C5678" s="38" t="n">
        <f aca="false">Q!$D$39</f>
        <v>2.427</v>
      </c>
      <c r="D5678" s="38" t="n">
        <f aca="false">Q!$E$39</f>
        <v>19.61</v>
      </c>
      <c r="E5678" s="38" t="n">
        <f aca="false">Q!$P$39</f>
        <v>71.492</v>
      </c>
      <c r="F5678" s="41" t="n">
        <v>0</v>
      </c>
      <c r="G5678" s="38" t="n">
        <f aca="false">Sens!$E$5678+Sens!$F$5678</f>
        <v>71.492</v>
      </c>
      <c r="H5678" s="41" t="n">
        <v>0</v>
      </c>
      <c r="I5678" s="41" t="n">
        <v>0</v>
      </c>
      <c r="J5678" s="41" t="n">
        <v>0</v>
      </c>
      <c r="K5678" s="41" t="n">
        <v>0</v>
      </c>
      <c r="L5678" s="41" t="n">
        <v>0</v>
      </c>
      <c r="M5678" s="41" t="n">
        <v>0</v>
      </c>
      <c r="N5678" s="38" t="n">
        <f aca="false">Q!$N$39</f>
        <v>6.017</v>
      </c>
      <c r="O5678" s="38" t="n">
        <f aca="false">Q!$O$39</f>
        <v>13.593</v>
      </c>
      <c r="P5678" s="5" t="s">
        <v>703</v>
      </c>
    </row>
    <row r="5679" customFormat="false" ht="15" hidden="false" customHeight="false" outlineLevel="0" collapsed="false">
      <c r="A5679" s="5" t="s">
        <v>507</v>
      </c>
      <c r="B5679" s="0" t="s">
        <v>73</v>
      </c>
      <c r="C5679" s="38" t="n">
        <f aca="false">Q!$D$36</f>
        <v>68.614</v>
      </c>
      <c r="D5679" s="38" t="n">
        <f aca="false">Q!$E$36</f>
        <v>97.311</v>
      </c>
      <c r="E5679" s="38" t="n">
        <f aca="false">Q!$P$36</f>
        <v>120.691</v>
      </c>
      <c r="F5679" s="38" t="n">
        <f aca="false">Sens!$F$5657-Sens!$F$5676+Sens!$F$5677+Sens!$F$5678</f>
        <v>59.2236875896856</v>
      </c>
      <c r="G5679" s="38" t="n">
        <f aca="false">Sens!$E$5679+Sens!$F$5679</f>
        <v>179.914687589686</v>
      </c>
      <c r="H5679" s="38" t="n">
        <f aca="false">Sens!$H$5657-Sens!$H$5676+Sens!$H$5677+Sens!$H$5678</f>
        <v>132.22487528741</v>
      </c>
      <c r="I5679" s="38" t="n">
        <f aca="false">Sens!$I$5657-Sens!$I$5676+Sens!$I$5677+Sens!$I$5678</f>
        <v>155.256254868633</v>
      </c>
      <c r="J5679" s="38" t="n">
        <f aca="false">Sens!$J$5657-Sens!$J$5676+Sens!$J$5677+Sens!$J$5678</f>
        <v>177.272457389275</v>
      </c>
      <c r="K5679" s="38" t="n">
        <f aca="false">Sens!$K$5657-Sens!$K$5676+Sens!$K$5677+Sens!$K$5678</f>
        <v>196.921534464333</v>
      </c>
      <c r="L5679" s="38" t="n">
        <f aca="false">Sens!$L$5657-Sens!$L$5676+Sens!$L$5677+Sens!$L$5678</f>
        <v>220.12100479332</v>
      </c>
      <c r="M5679" s="38" t="n">
        <f aca="false">Sens!$M$5657-Sens!$M$5676+Sens!$M$5677+Sens!$M$5678</f>
        <v>244.529307072564</v>
      </c>
      <c r="N5679" s="38" t="n">
        <f aca="false">Q!$N$36</f>
        <v>42.536</v>
      </c>
      <c r="O5679" s="38" t="n">
        <f aca="false">Q!$O$36</f>
        <v>54.775</v>
      </c>
    </row>
    <row r="5680" customFormat="false" ht="15" hidden="false" customHeight="false" outlineLevel="0" collapsed="false">
      <c r="A5680" s="5" t="s">
        <v>508</v>
      </c>
      <c r="B5680" s="0" t="s">
        <v>73</v>
      </c>
      <c r="C5680" s="38" t="n">
        <f aca="false">Q!$D$37</f>
        <v>9.265</v>
      </c>
      <c r="D5680" s="38" t="n">
        <f aca="false">Q!$E$37</f>
        <v>19.087</v>
      </c>
      <c r="E5680" s="38" t="n">
        <f aca="false">Q!$P$37</f>
        <v>27.759</v>
      </c>
      <c r="F5680" s="38" t="n">
        <f aca="false">Sens!$F$5679*tax</f>
        <v>10.2803157750071</v>
      </c>
      <c r="G5680" s="38" t="n">
        <f aca="false">Sens!$E$5680+Sens!$F$5680</f>
        <v>38.0393157750071</v>
      </c>
      <c r="H5680" s="38" t="n">
        <f aca="false">Sens!$H$5679*tax</f>
        <v>22.9521923842892</v>
      </c>
      <c r="I5680" s="38" t="n">
        <f aca="false">Sens!$I$5679*tax</f>
        <v>26.9500835063251</v>
      </c>
      <c r="J5680" s="38" t="n">
        <f aca="false">Sens!$J$5679*tax</f>
        <v>30.7717555988633</v>
      </c>
      <c r="K5680" s="38" t="n">
        <f aca="false">Sens!$K$5679*tax</f>
        <v>34.1825313414772</v>
      </c>
      <c r="L5680" s="38" t="n">
        <f aca="false">Sens!$L$5679*tax</f>
        <v>38.209600416393</v>
      </c>
      <c r="M5680" s="38" t="n">
        <f aca="false">Sens!$M$5679*tax</f>
        <v>42.4465040131586</v>
      </c>
      <c r="N5680" s="38" t="n">
        <f aca="false">Q!$N$37</f>
        <v>7.231</v>
      </c>
      <c r="O5680" s="38" t="n">
        <f aca="false">Q!$O$37</f>
        <v>11.856</v>
      </c>
    </row>
    <row r="5681" customFormat="false" ht="15" hidden="false" customHeight="false" outlineLevel="0" collapsed="false">
      <c r="A5681" s="3" t="s">
        <v>509</v>
      </c>
      <c r="B5681" s="8" t="s">
        <v>73</v>
      </c>
      <c r="C5681" s="38" t="n">
        <f aca="false">Q!$D$38</f>
        <v>59.248</v>
      </c>
      <c r="D5681" s="38" t="n">
        <f aca="false">Q!$E$38</f>
        <v>77.67</v>
      </c>
      <c r="E5681" s="38" t="n">
        <f aca="false">Q!$P$38</f>
        <v>92.902</v>
      </c>
      <c r="F5681" s="38" t="n">
        <f aca="false">Sens!$F$5679-Sens!$F$5680</f>
        <v>48.9433718146785</v>
      </c>
      <c r="G5681" s="38" t="n">
        <f aca="false">Sens!$E$5681+Sens!$F$5681</f>
        <v>141.845371814679</v>
      </c>
      <c r="H5681" s="38" t="n">
        <f aca="false">Sens!$H$5679-Sens!$H$5680</f>
        <v>109.272682903121</v>
      </c>
      <c r="I5681" s="38" t="n">
        <f aca="false">Sens!$I$5679-Sens!$I$5680</f>
        <v>128.306171362308</v>
      </c>
      <c r="J5681" s="38" t="n">
        <f aca="false">Sens!$J$5679-Sens!$J$5680</f>
        <v>146.500701790412</v>
      </c>
      <c r="K5681" s="38" t="n">
        <f aca="false">Sens!$K$5679-Sens!$K$5680</f>
        <v>162.739003122855</v>
      </c>
      <c r="L5681" s="38" t="n">
        <f aca="false">Sens!$L$5679-Sens!$L$5680</f>
        <v>181.911404376927</v>
      </c>
      <c r="M5681" s="38" t="n">
        <f aca="false">Sens!$M$5679-Sens!$M$5680</f>
        <v>202.082803059406</v>
      </c>
      <c r="N5681" s="38" t="n">
        <f aca="false">Q!$N$38</f>
        <v>35.291</v>
      </c>
      <c r="O5681" s="38" t="n">
        <f aca="false">Q!$O$38</f>
        <v>42.379</v>
      </c>
    </row>
    <row r="5682" customFormat="false" ht="17.15" hidden="false" customHeight="false" outlineLevel="0" collapsed="false">
      <c r="A5682" s="5" t="s">
        <v>512</v>
      </c>
      <c r="B5682" s="5" t="s">
        <v>33</v>
      </c>
      <c r="C5682" s="22" t="n">
        <f aca="false">Q!$D$41</f>
        <v>10.721</v>
      </c>
      <c r="D5682" s="22" t="n">
        <f aca="false">Q!$E$41</f>
        <v>10.827</v>
      </c>
      <c r="E5682" s="22" t="n">
        <f aca="false">(Q!$L$41+Q!$M$41)/2</f>
        <v>10.8885</v>
      </c>
      <c r="F5682" s="22" t="n">
        <f aca="false">Sens!$G$5682</f>
        <v>10.924806</v>
      </c>
      <c r="G5682" s="22" t="n">
        <f aca="false">Q!$M$41*(1+sh_g*0.25)</f>
        <v>10.924806</v>
      </c>
      <c r="H5682" s="22" t="n">
        <f aca="false">Sens!$G$5682*(1+sh_g)</f>
        <v>11.012204448</v>
      </c>
      <c r="I5682" s="22" t="n">
        <f aca="false">Sens!$H$5682*(1+sh_g)</f>
        <v>11.100302083584</v>
      </c>
      <c r="J5682" s="22" t="n">
        <f aca="false">Sens!$I$5682*(1+sh_g)</f>
        <v>11.1891045002527</v>
      </c>
      <c r="K5682" s="22" t="n">
        <f aca="false">Sens!$J$5682*(1+sh_g)</f>
        <v>11.2786173362547</v>
      </c>
      <c r="L5682" s="22" t="n">
        <f aca="false">Sens!$K$5682*(1+sh_g)</f>
        <v>11.3688462749447</v>
      </c>
      <c r="M5682" s="22" t="n">
        <f aca="false">Sens!$L$5682*(1+sh_g)</f>
        <v>11.4597970451443</v>
      </c>
      <c r="P5682" s="5" t="s">
        <v>704</v>
      </c>
    </row>
    <row r="5683" customFormat="false" ht="17.15" hidden="false" customHeight="false" outlineLevel="0" collapsed="false">
      <c r="A5683" s="42" t="s">
        <v>705</v>
      </c>
      <c r="B5683" s="13" t="s">
        <v>27</v>
      </c>
      <c r="C5683" s="43" t="n">
        <f aca="false">Sens!$C$5681/Sens!$C$5682</f>
        <v>5.52635015390355</v>
      </c>
      <c r="D5683" s="43" t="n">
        <f aca="false">Sens!$D$5681/Sens!$D$5682</f>
        <v>7.1737323358271</v>
      </c>
      <c r="E5683" s="43" t="n">
        <f aca="false">Sens!$E$5681/Sens!$E$5682</f>
        <v>8.53212104513937</v>
      </c>
      <c r="F5683" s="13"/>
      <c r="G5683" s="43" t="n">
        <f aca="false">Sens!$G$5681/Sens!$G$5682</f>
        <v>12.9837886196495</v>
      </c>
      <c r="H5683" s="43" t="n">
        <f aca="false">Sens!$H$5681/Sens!$H$5682</f>
        <v>9.92287088558062</v>
      </c>
      <c r="I5683" s="43" t="n">
        <f aca="false">Sens!$I$5681/Sens!$I$5682</f>
        <v>11.5587999674403</v>
      </c>
      <c r="J5683" s="43" t="n">
        <f aca="false">Sens!$J$5681/Sens!$J$5682</f>
        <v>13.0931569892035</v>
      </c>
      <c r="K5683" s="43" t="n">
        <f aca="false">Sens!$K$5681/Sens!$K$5682</f>
        <v>14.4289852444711</v>
      </c>
      <c r="L5683" s="43" t="n">
        <f aca="false">Sens!$L$5681/Sens!$L$5682</f>
        <v>16.0008676322621</v>
      </c>
      <c r="M5683" s="43" t="n">
        <f aca="false">Sens!$M$5681/Sens!$M$5682</f>
        <v>17.6340647450673</v>
      </c>
      <c r="N5683" s="13"/>
      <c r="O5683" s="13"/>
    </row>
    <row r="5684" customFormat="false" ht="17.15" hidden="false" customHeight="false" outlineLevel="0" collapsed="false">
      <c r="A5684" s="0" t="s">
        <v>706</v>
      </c>
      <c r="B5684" s="0" t="s">
        <v>27</v>
      </c>
      <c r="C5684" s="30" t="n">
        <f aca="false">(Sens!$C$5681-Sens!$C$5678*(1-tax))/Sens!$C$5682</f>
        <v>5.33926775917445</v>
      </c>
      <c r="D5684" s="30" t="n">
        <f aca="false">(Sens!$D$5681-Sens!$D$5678*(1-tax))/Sens!$D$5682</f>
        <v>5.67691812755503</v>
      </c>
      <c r="E5684" s="30" t="n">
        <f aca="false">(Sens!$E$5681-Sens!$E$5678*(1-tax))/Sens!$E$5682</f>
        <v>3.10602057006846</v>
      </c>
      <c r="G5684" s="30" t="n">
        <f aca="false">(Sens!$G$5681-Sens!$G$5678*(1-tax))/Sens!$G$5682</f>
        <v>7.57572050175252</v>
      </c>
      <c r="H5684" s="30" t="n">
        <f aca="false">(Sens!$H$5681-Sens!$H$5678*(1-tax))/Sens!$H$5682</f>
        <v>9.92287088558062</v>
      </c>
      <c r="I5684" s="30" t="n">
        <f aca="false">(Sens!$I$5681-Sens!$I$5678*(1-tax))/Sens!$I$5682</f>
        <v>11.5587999674403</v>
      </c>
      <c r="J5684" s="30" t="n">
        <f aca="false">(Sens!$J$5681-Sens!$J$5678*(1-tax))/Sens!$J$5682</f>
        <v>13.0931569892035</v>
      </c>
      <c r="K5684" s="30" t="n">
        <f aca="false">(Sens!$K$5681-Sens!$K$5678*(1-tax))/Sens!$K$5682</f>
        <v>14.4289852444711</v>
      </c>
      <c r="L5684" s="30" t="n">
        <f aca="false">(Sens!$L$5681-Sens!$L$5678*(1-tax))/Sens!$L$5682</f>
        <v>16.0008676322621</v>
      </c>
      <c r="M5684" s="30" t="n">
        <f aca="false">(Sens!$M$5681-Sens!$M$5678*(1-tax))/Sens!$M$5682</f>
        <v>17.6340647450673</v>
      </c>
      <c r="P5684" s="5" t="s">
        <v>707</v>
      </c>
    </row>
    <row r="5685" customFormat="false" ht="17.15" hidden="false" customHeight="false" outlineLevel="0" collapsed="false">
      <c r="A5685" s="0" t="s">
        <v>708</v>
      </c>
      <c r="B5685" s="0" t="s">
        <v>52</v>
      </c>
      <c r="H5685" s="12" t="n">
        <f aca="false">Sens!$H$5683/Sens!$G$5683-1</f>
        <v>-0.23574919645846</v>
      </c>
      <c r="I5685" s="12" t="n">
        <f aca="false">Sens!$I$5683/Sens!$H$5683-1</f>
        <v>0.164864493423664</v>
      </c>
      <c r="J5685" s="12" t="n">
        <f aca="false">Sens!$J$5683/Sens!$I$5683-1</f>
        <v>0.132743626162345</v>
      </c>
      <c r="K5685" s="12" t="n">
        <f aca="false">Sens!$K$5683/Sens!$J$5683-1</f>
        <v>0.102024917013454</v>
      </c>
      <c r="L5685" s="12" t="n">
        <f aca="false">Sens!$L$5683/Sens!$K$5683-1</f>
        <v>0.108939219297719</v>
      </c>
      <c r="M5685" s="12" t="n">
        <f aca="false">Sens!$M$5683/Sens!$L$5683-1</f>
        <v>0.102069284637555</v>
      </c>
    </row>
    <row r="5688" customFormat="false" ht="19.4" hidden="false" customHeight="false" outlineLevel="0" collapsed="false">
      <c r="A5688" s="31" t="s">
        <v>1166</v>
      </c>
    </row>
    <row r="5689" customFormat="false" ht="17.15" hidden="false" customHeight="false" outlineLevel="0" collapsed="false">
      <c r="A5689" s="6" t="s">
        <v>16</v>
      </c>
      <c r="B5689" s="6" t="s">
        <v>17</v>
      </c>
      <c r="C5689" s="20" t="s">
        <v>457</v>
      </c>
      <c r="D5689" s="20" t="s">
        <v>458</v>
      </c>
      <c r="E5689" s="20" t="s">
        <v>540</v>
      </c>
      <c r="F5689" s="20" t="s">
        <v>541</v>
      </c>
      <c r="G5689" s="20" t="s">
        <v>542</v>
      </c>
      <c r="H5689" s="20" t="s">
        <v>543</v>
      </c>
      <c r="I5689" s="20" t="s">
        <v>544</v>
      </c>
      <c r="J5689" s="20" t="s">
        <v>545</v>
      </c>
      <c r="K5689" s="20" t="s">
        <v>546</v>
      </c>
      <c r="L5689" s="20" t="s">
        <v>547</v>
      </c>
      <c r="M5689" s="20" t="s">
        <v>548</v>
      </c>
      <c r="N5689" s="20" t="s">
        <v>549</v>
      </c>
      <c r="O5689" s="20" t="s">
        <v>550</v>
      </c>
      <c r="P5689" s="6" t="s">
        <v>23</v>
      </c>
      <c r="R5689" s="20" t="n">
        <v>2023</v>
      </c>
      <c r="S5689" s="20" t="n">
        <v>2024</v>
      </c>
      <c r="T5689" s="20" t="n">
        <v>2025</v>
      </c>
      <c r="U5689" s="20" t="n">
        <v>2026</v>
      </c>
      <c r="V5689" s="20" t="n">
        <v>2027</v>
      </c>
      <c r="W5689" s="20" t="n">
        <v>2028</v>
      </c>
      <c r="X5689" s="20" t="n">
        <v>2029</v>
      </c>
      <c r="Y5689" s="20" t="n">
        <v>2030</v>
      </c>
      <c r="Z5689" s="20" t="n">
        <v>2031</v>
      </c>
      <c r="AA5689" s="20" t="n">
        <v>2032</v>
      </c>
    </row>
    <row r="5690" customFormat="false" ht="15" hidden="false" customHeight="false" outlineLevel="0" collapsed="false">
      <c r="A5690" s="5" t="s">
        <v>509</v>
      </c>
      <c r="B5690" s="0" t="s">
        <v>73</v>
      </c>
      <c r="C5690" s="38" t="n">
        <f aca="false">Sens!$C$5681</f>
        <v>59.248</v>
      </c>
      <c r="D5690" s="38" t="n">
        <f aca="false">Sens!$D$5681</f>
        <v>77.67</v>
      </c>
      <c r="E5690" s="38" t="n">
        <f aca="false">Sens!$E$5681</f>
        <v>92.902</v>
      </c>
      <c r="F5690" s="38" t="n">
        <f aca="false">Sens!$F$5681</f>
        <v>48.9433718146785</v>
      </c>
      <c r="G5690" s="38" t="n">
        <f aca="false">Sens!$G$5681</f>
        <v>141.845371814679</v>
      </c>
      <c r="H5690" s="38" t="n">
        <f aca="false">Sens!$H$5681</f>
        <v>109.272682903121</v>
      </c>
      <c r="I5690" s="38" t="n">
        <f aca="false">Sens!$I$5681</f>
        <v>128.306171362308</v>
      </c>
      <c r="J5690" s="38" t="n">
        <f aca="false">Sens!$J$5681</f>
        <v>146.500701790412</v>
      </c>
      <c r="K5690" s="38" t="n">
        <f aca="false">Sens!$K$5681</f>
        <v>162.739003122855</v>
      </c>
      <c r="L5690" s="38" t="n">
        <f aca="false">Sens!$L$5681</f>
        <v>181.911404376927</v>
      </c>
      <c r="M5690" s="38" t="n">
        <f aca="false">Sens!$M$5681</f>
        <v>202.082803059406</v>
      </c>
    </row>
    <row r="5691" customFormat="false" ht="17.15" hidden="false" customHeight="false" outlineLevel="0" collapsed="false">
      <c r="A5691" s="5" t="s">
        <v>730</v>
      </c>
      <c r="B5691" s="0" t="s">
        <v>73</v>
      </c>
      <c r="C5691" s="38" t="n">
        <f aca="false">Sens!$C$5669</f>
        <v>32.067</v>
      </c>
      <c r="D5691" s="38" t="n">
        <f aca="false">Sens!$D$5669</f>
        <v>41.86</v>
      </c>
      <c r="E5691" s="38" t="n">
        <f aca="false">Sens!$E$5669</f>
        <v>26.703</v>
      </c>
      <c r="F5691" s="38" t="n">
        <f aca="false">Sens!$F$5669</f>
        <v>30.6103857251209</v>
      </c>
      <c r="G5691" s="38" t="n">
        <f aca="false">Sens!$G$5669</f>
        <v>57.3133857251209</v>
      </c>
      <c r="H5691" s="38" t="n">
        <f aca="false">Sens!$H$5669</f>
        <v>87.6845218193838</v>
      </c>
      <c r="I5691" s="38" t="n">
        <f aca="false">Sens!$I$5669</f>
        <v>122.294769708638</v>
      </c>
      <c r="J5691" s="38" t="n">
        <f aca="false">Sens!$J$5669</f>
        <v>157.133962573221</v>
      </c>
      <c r="K5691" s="38" t="n">
        <f aca="false">Sens!$K$5669</f>
        <v>191.350633353599</v>
      </c>
      <c r="L5691" s="38" t="n">
        <f aca="false">Sens!$L$5669</f>
        <v>223.909238335354</v>
      </c>
      <c r="M5691" s="38" t="n">
        <f aca="false">Sens!$M$5669</f>
        <v>257.576319867276</v>
      </c>
    </row>
    <row r="5692" customFormat="false" ht="15" hidden="false" customHeight="false" outlineLevel="0" collapsed="false">
      <c r="A5692" s="5" t="s">
        <v>731</v>
      </c>
      <c r="B5692" s="0" t="s">
        <v>73</v>
      </c>
      <c r="C5692" s="38" t="n">
        <f aca="false">Q!$D$48</f>
        <v>22.011</v>
      </c>
      <c r="D5692" s="38" t="n">
        <f aca="false">Q!$E$48</f>
        <v>19.467</v>
      </c>
      <c r="E5692" s="38" t="n">
        <f aca="false">Q!$P$48</f>
        <v>10.07</v>
      </c>
      <c r="F5692" s="38" t="n">
        <f aca="false">sbc_r*Sens!$F$5613</f>
        <v>11.2170714500462</v>
      </c>
      <c r="G5692" s="38" t="n">
        <f aca="false">Sens!$E$5692+Sens!$F$5692</f>
        <v>21.2870714500462</v>
      </c>
      <c r="H5692" s="38" t="n">
        <f aca="false">sbc_r*Sens!$H$5613</f>
        <v>24.1772394325528</v>
      </c>
      <c r="I5692" s="38" t="n">
        <f aca="false">sbc_r*Sens!$I$5613</f>
        <v>27.6495284422397</v>
      </c>
      <c r="J5692" s="38" t="n">
        <f aca="false">sbc_r*Sens!$J$5613</f>
        <v>30.9042211184633</v>
      </c>
      <c r="K5692" s="38" t="n">
        <f aca="false">sbc_r*Sens!$K$5613</f>
        <v>33.8004145402678</v>
      </c>
      <c r="L5692" s="38" t="n">
        <f aca="false">sbc_r*Sens!$L$5613</f>
        <v>36.8322537652494</v>
      </c>
      <c r="M5692" s="38" t="n">
        <f aca="false">sbc_r*Sens!$M$5613</f>
        <v>40.0097627968013</v>
      </c>
    </row>
    <row r="5693" customFormat="false" ht="17.15" hidden="false" customHeight="false" outlineLevel="0" collapsed="false">
      <c r="A5693" s="5" t="s">
        <v>732</v>
      </c>
      <c r="B5693" s="0" t="s">
        <v>73</v>
      </c>
      <c r="C5693" s="38" t="n">
        <f aca="false">Q!$D$44-Sens!$C$5690-Sens!$C$5691-Sens!$C$5692</f>
        <v>2.551</v>
      </c>
      <c r="D5693" s="38" t="n">
        <f aca="false">Q!$E$44-Sens!$D$5690-Sens!$D$5691-Sens!$D$5692</f>
        <v>0.51700000000001</v>
      </c>
      <c r="E5693" s="38" t="n">
        <f aca="false">Q!$P$44-Sens!$E$5690-Sens!$E$5691-Sens!$E$5692</f>
        <v>-58.256</v>
      </c>
      <c r="F5693" s="38" t="n">
        <f aca="false">wc_2h26+oth_r*Sens!$F$5613</f>
        <v>7.34599241893378</v>
      </c>
      <c r="G5693" s="38" t="n">
        <f aca="false">Sens!$E$5693+Sens!$F$5693</f>
        <v>-50.9100075810662</v>
      </c>
      <c r="H5693" s="38" t="n">
        <f aca="false">oth_r*Sens!$H$5613</f>
        <v>11.6369707537667</v>
      </c>
      <c r="I5693" s="38" t="n">
        <f aca="false">oth_r*Sens!$I$5613</f>
        <v>13.3082502961262</v>
      </c>
      <c r="J5693" s="38" t="n">
        <f aca="false">oth_r*Sens!$J$5613</f>
        <v>14.8747965344332</v>
      </c>
      <c r="K5693" s="38" t="n">
        <f aca="false">oth_r*Sens!$K$5613</f>
        <v>16.2687901804328</v>
      </c>
      <c r="L5693" s="38" t="n">
        <f aca="false">oth_r*Sens!$L$5613</f>
        <v>17.7280727627002</v>
      </c>
      <c r="M5693" s="38" t="n">
        <f aca="false">oth_r*Sens!$M$5613</f>
        <v>19.2574690270319</v>
      </c>
      <c r="P5693" s="8" t="s">
        <v>733</v>
      </c>
    </row>
    <row r="5694" customFormat="false" ht="15" hidden="false" customHeight="false" outlineLevel="0" collapsed="false">
      <c r="A5694" s="3" t="s">
        <v>515</v>
      </c>
      <c r="B5694" s="8" t="s">
        <v>73</v>
      </c>
      <c r="C5694" s="38" t="n">
        <f aca="false">Q!$D$44</f>
        <v>115.877</v>
      </c>
      <c r="D5694" s="38" t="n">
        <f aca="false">Q!$E$44</f>
        <v>139.514</v>
      </c>
      <c r="E5694" s="38" t="n">
        <f aca="false">Q!$P$44</f>
        <v>71.419</v>
      </c>
      <c r="F5694" s="38" t="n">
        <f aca="false">Sens!$F$5690+Sens!$F$5691+Sens!$F$5692+Sens!$F$5693</f>
        <v>98.1168214087795</v>
      </c>
      <c r="G5694" s="38" t="n">
        <f aca="false">Sens!$E$5694+Sens!$F$5694</f>
        <v>169.535821408779</v>
      </c>
      <c r="H5694" s="38" t="n">
        <f aca="false">Sens!$H$5690+Sens!$H$5691+Sens!$H$5692+Sens!$H$5693</f>
        <v>232.771414908824</v>
      </c>
      <c r="I5694" s="38" t="n">
        <f aca="false">Sens!$I$5690+Sens!$I$5691+Sens!$I$5692+Sens!$I$5693</f>
        <v>291.558719809312</v>
      </c>
      <c r="J5694" s="38" t="n">
        <f aca="false">Sens!$J$5690+Sens!$J$5691+Sens!$J$5692+Sens!$J$5693</f>
        <v>349.413682016529</v>
      </c>
      <c r="K5694" s="38" t="n">
        <f aca="false">Sens!$K$5690+Sens!$K$5691+Sens!$K$5692+Sens!$K$5693</f>
        <v>404.158841197156</v>
      </c>
      <c r="L5694" s="38" t="n">
        <f aca="false">Sens!$L$5690+Sens!$L$5691+Sens!$L$5692+Sens!$L$5693</f>
        <v>460.380969240231</v>
      </c>
      <c r="M5694" s="38" t="n">
        <f aca="false">Sens!$M$5690+Sens!$M$5691+Sens!$M$5692+Sens!$M$5693</f>
        <v>518.926354750515</v>
      </c>
    </row>
    <row r="5695" customFormat="false" ht="17.15" hidden="false" customHeight="false" outlineLevel="0" collapsed="false">
      <c r="A5695" s="5" t="s">
        <v>734</v>
      </c>
      <c r="B5695" s="0" t="s">
        <v>73</v>
      </c>
      <c r="C5695" s="38" t="n">
        <f aca="false">Sens!$C$5583</f>
        <v>25.2781053077374</v>
      </c>
      <c r="D5695" s="38" t="n">
        <f aca="false">Sens!$D$5583</f>
        <v>69.5686316310026</v>
      </c>
      <c r="E5695" s="38" t="n">
        <f aca="false">Sens!$E$5583</f>
        <v>64.1899206485108</v>
      </c>
      <c r="F5695" s="38" t="n">
        <f aca="false">Sens!$F$5583</f>
        <v>96.2481299895</v>
      </c>
      <c r="G5695" s="38" t="n">
        <f aca="false">Sens!$G$5583</f>
        <v>160.438050638011</v>
      </c>
      <c r="H5695" s="38" t="n">
        <f aca="false">Sens!$H$5583</f>
        <v>198.57136494475</v>
      </c>
      <c r="I5695" s="38" t="n">
        <f aca="false">Sens!$I$5583</f>
        <v>204.6464699105</v>
      </c>
      <c r="J5695" s="38" t="n">
        <f aca="false">Sens!$J$5583</f>
        <v>209.8832381105</v>
      </c>
      <c r="K5695" s="38" t="n">
        <f aca="false">Sens!$K$5583</f>
        <v>215.1200063105</v>
      </c>
      <c r="L5695" s="38" t="n">
        <f aca="false">Sens!$L$5583</f>
        <v>251.7773837105</v>
      </c>
      <c r="M5695" s="38" t="n">
        <f aca="false">Sens!$M$5583</f>
        <v>311.87584476575</v>
      </c>
    </row>
    <row r="5696" customFormat="false" ht="17.15" hidden="false" customHeight="false" outlineLevel="0" collapsed="false">
      <c r="A5696" s="5" t="s">
        <v>735</v>
      </c>
      <c r="B5696" s="0" t="s">
        <v>73</v>
      </c>
      <c r="C5696" s="38" t="n">
        <f aca="false">cx_awso*Sens!$C$5611</f>
        <v>21.0469989286053</v>
      </c>
      <c r="D5696" s="38" t="n">
        <f aca="false">cx_awso*Sens!$D$5611</f>
        <v>24.0042459822698</v>
      </c>
      <c r="E5696" s="38" t="n">
        <f aca="false">cx_awso*Sens!$E$5611</f>
        <v>14.261729404886</v>
      </c>
      <c r="F5696" s="38" t="n">
        <f aca="false">cx_awso*Sens!$F$5611</f>
        <v>15.7190020837331</v>
      </c>
      <c r="G5696" s="38" t="n">
        <f aca="false">Sens!$E$5696+Sens!$F$5696</f>
        <v>29.9807314886191</v>
      </c>
      <c r="H5696" s="38" t="n">
        <f aca="false">cx_awso*Sens!$H$5611</f>
        <v>36.1787121536283</v>
      </c>
      <c r="I5696" s="38" t="n">
        <f aca="false">cx_awso*Sens!$I$5611</f>
        <v>42.1296794430021</v>
      </c>
      <c r="J5696" s="38" t="n">
        <f aca="false">cx_awso*Sens!$J$5611</f>
        <v>47.279781889299</v>
      </c>
      <c r="K5696" s="38" t="n">
        <f aca="false">cx_awso*Sens!$K$5611</f>
        <v>51.0621644404429</v>
      </c>
      <c r="L5696" s="38" t="n">
        <f aca="false">cx_awso*Sens!$L$5611</f>
        <v>55.1471375956783</v>
      </c>
      <c r="M5696" s="38" t="n">
        <f aca="false">cx_awso*Sens!$M$5611</f>
        <v>59.5589086033326</v>
      </c>
    </row>
    <row r="5697" customFormat="false" ht="17.15" hidden="false" customHeight="false" outlineLevel="0" collapsed="false">
      <c r="A5697" s="5" t="s">
        <v>736</v>
      </c>
      <c r="B5697" s="0" t="s">
        <v>73</v>
      </c>
      <c r="C5697" s="38" t="n">
        <f aca="false">Q!$D$46-Sens!$C$5695-Sens!$C$5696</f>
        <v>31.3328957636573</v>
      </c>
      <c r="D5697" s="38" t="n">
        <f aca="false">Q!$E$46-Sens!$D$5695-Sens!$D$5696</f>
        <v>34.7471223867276</v>
      </c>
      <c r="E5697" s="38" t="n">
        <f aca="false">Q!$P$46-Sens!$E$5695-Sens!$E$5696</f>
        <v>17.8583499466032</v>
      </c>
      <c r="F5697" s="38" t="n">
        <f aca="false">cx_rt*Sens!$F$5547</f>
        <v>21.0855744229195</v>
      </c>
      <c r="G5697" s="38" t="n">
        <f aca="false">Sens!$E$5697+Sens!$F$5697</f>
        <v>38.9439243695228</v>
      </c>
      <c r="H5697" s="38" t="n">
        <f aca="false">cx_rt*Sens!$H$5547</f>
        <v>43.1200434029767</v>
      </c>
      <c r="I5697" s="38" t="n">
        <f aca="false">cx_rt*Sens!$I$5547</f>
        <v>47.1583152318763</v>
      </c>
      <c r="J5697" s="38" t="n">
        <f aca="false">cx_rt*Sens!$J$5547</f>
        <v>50.9060281137911</v>
      </c>
      <c r="K5697" s="38" t="n">
        <f aca="false">cx_rt*Sens!$K$5547</f>
        <v>54.2035645673053</v>
      </c>
      <c r="L5697" s="38" t="n">
        <f aca="false">cx_rt*Sens!$L$5547</f>
        <v>57.7318979121519</v>
      </c>
      <c r="M5697" s="38" t="n">
        <f aca="false">cx_rt*Sens!$M$5547</f>
        <v>61.5084196557756</v>
      </c>
    </row>
    <row r="5698" customFormat="false" ht="15" hidden="false" customHeight="false" outlineLevel="0" collapsed="false">
      <c r="A5698" s="3" t="s">
        <v>737</v>
      </c>
      <c r="B5698" s="8" t="s">
        <v>73</v>
      </c>
      <c r="C5698" s="38" t="n">
        <f aca="false">Q!$D$46</f>
        <v>77.658</v>
      </c>
      <c r="D5698" s="38" t="n">
        <f aca="false">Q!$E$46</f>
        <v>128.32</v>
      </c>
      <c r="E5698" s="38" t="n">
        <f aca="false">Q!$P$46</f>
        <v>96.31</v>
      </c>
      <c r="F5698" s="38" t="n">
        <f aca="false">Sens!$F$5695+Sens!$F$5696+Sens!$F$5697</f>
        <v>133.052706496153</v>
      </c>
      <c r="G5698" s="38" t="n">
        <f aca="false">Sens!$E$5698+Sens!$F$5698</f>
        <v>229.362706496153</v>
      </c>
      <c r="H5698" s="38" t="n">
        <f aca="false">Sens!$H$5695+Sens!$H$5696+Sens!$H$5697</f>
        <v>277.870120501355</v>
      </c>
      <c r="I5698" s="38" t="n">
        <f aca="false">Sens!$I$5695+Sens!$I$5696+Sens!$I$5697</f>
        <v>293.934464585378</v>
      </c>
      <c r="J5698" s="38" t="n">
        <f aca="false">Sens!$J$5695+Sens!$J$5696+Sens!$J$5697</f>
        <v>308.06904811359</v>
      </c>
      <c r="K5698" s="38" t="n">
        <f aca="false">Sens!$K$5695+Sens!$K$5696+Sens!$K$5697</f>
        <v>320.385735318248</v>
      </c>
      <c r="L5698" s="38" t="n">
        <f aca="false">Sens!$L$5695+Sens!$L$5696+Sens!$L$5697</f>
        <v>364.65641921833</v>
      </c>
      <c r="M5698" s="38" t="n">
        <f aca="false">Sens!$M$5695+Sens!$M$5696+Sens!$M$5697</f>
        <v>432.943173024858</v>
      </c>
    </row>
    <row r="5699" customFormat="false" ht="17.15" hidden="false" customHeight="false" outlineLevel="0" collapsed="false">
      <c r="A5699" s="5" t="s">
        <v>523</v>
      </c>
      <c r="B5699" s="0" t="s">
        <v>73</v>
      </c>
      <c r="C5699" s="38" t="n">
        <f aca="false">Q!$D$50</f>
        <v>2.043</v>
      </c>
      <c r="D5699" s="38" t="n">
        <f aca="false">Q!$E$50</f>
        <v>1.557</v>
      </c>
      <c r="E5699" s="38" t="n">
        <f aca="false">lease_pr/2</f>
        <v>0.8</v>
      </c>
      <c r="F5699" s="38" t="n">
        <f aca="false">lease_pr/2</f>
        <v>0.8</v>
      </c>
      <c r="G5699" s="38" t="n">
        <f aca="false">Sens!$E$5699+Sens!$F$5699</f>
        <v>1.6</v>
      </c>
      <c r="H5699" s="38" t="n">
        <f aca="false">lease_pr</f>
        <v>1.6</v>
      </c>
      <c r="I5699" s="38" t="n">
        <f aca="false">lease_pr</f>
        <v>1.6</v>
      </c>
      <c r="J5699" s="38" t="n">
        <f aca="false">lease_pr</f>
        <v>1.6</v>
      </c>
      <c r="K5699" s="38" t="n">
        <f aca="false">lease_pr</f>
        <v>1.6</v>
      </c>
      <c r="L5699" s="38" t="n">
        <f aca="false">lease_pr</f>
        <v>1.6</v>
      </c>
      <c r="M5699" s="38" t="n">
        <f aca="false">lease_pr</f>
        <v>1.6</v>
      </c>
      <c r="P5699" s="8" t="s">
        <v>738</v>
      </c>
    </row>
    <row r="5700" customFormat="false" ht="15" hidden="false" customHeight="false" outlineLevel="0" collapsed="false">
      <c r="A5700" s="46" t="s">
        <v>739</v>
      </c>
      <c r="B5700" s="13" t="s">
        <v>73</v>
      </c>
      <c r="C5700" s="47" t="n">
        <f aca="false">Sens!$C$5694-Sens!$C$5698-Sens!$C$5699</f>
        <v>36.176</v>
      </c>
      <c r="D5700" s="47" t="n">
        <f aca="false">Sens!$D$5694-Sens!$D$5698-Sens!$D$5699</f>
        <v>9.63700000000002</v>
      </c>
      <c r="E5700" s="47" t="n">
        <f aca="false">Sens!$E$5694-Sens!$E$5698-Sens!$E$5699</f>
        <v>-25.691</v>
      </c>
      <c r="F5700" s="47" t="n">
        <f aca="false">Sens!$F$5694-Sens!$F$5698-Sens!$F$5699</f>
        <v>-35.7358850873731</v>
      </c>
      <c r="G5700" s="47" t="n">
        <f aca="false">Sens!$G$5694-Sens!$G$5698-Sens!$G$5699</f>
        <v>-61.4268850873731</v>
      </c>
      <c r="H5700" s="47" t="n">
        <f aca="false">Sens!$H$5694-Sens!$H$5698-Sens!$H$5699</f>
        <v>-46.6987055925312</v>
      </c>
      <c r="I5700" s="47" t="n">
        <f aca="false">Sens!$I$5694-Sens!$I$5698-Sens!$I$5699</f>
        <v>-3.97574477606648</v>
      </c>
      <c r="J5700" s="47" t="n">
        <f aca="false">Sens!$J$5694-Sens!$J$5698-Sens!$J$5699</f>
        <v>39.7446339029391</v>
      </c>
      <c r="K5700" s="47" t="n">
        <f aca="false">Sens!$K$5694-Sens!$K$5698-Sens!$K$5699</f>
        <v>82.1731058789073</v>
      </c>
      <c r="L5700" s="47" t="n">
        <f aca="false">Sens!$L$5694-Sens!$L$5698-Sens!$L$5699</f>
        <v>94.1245500219009</v>
      </c>
      <c r="M5700" s="47" t="n">
        <f aca="false">Sens!$M$5694-Sens!$M$5698-Sens!$M$5699</f>
        <v>84.3831817256571</v>
      </c>
      <c r="N5700" s="13"/>
      <c r="O5700" s="13"/>
    </row>
    <row r="5701" customFormat="false" ht="17.15" hidden="false" customHeight="false" outlineLevel="0" collapsed="false">
      <c r="A5701" s="5" t="s">
        <v>740</v>
      </c>
      <c r="B5701" s="0" t="s">
        <v>73</v>
      </c>
      <c r="C5701" s="38" t="n">
        <f aca="false">dps*Sens!$C$5682</f>
        <v>0</v>
      </c>
      <c r="D5701" s="38" t="n">
        <f aca="false">dps*Sens!$D$5682</f>
        <v>0</v>
      </c>
      <c r="E5701" s="38" t="n">
        <f aca="false">dps*Sens!$E$5682</f>
        <v>0</v>
      </c>
      <c r="F5701" s="38" t="n">
        <f aca="false">0</f>
        <v>0</v>
      </c>
      <c r="G5701" s="38" t="n">
        <f aca="false">dps*Sens!$G$5682</f>
        <v>0</v>
      </c>
      <c r="H5701" s="38" t="n">
        <f aca="false">dps*Sens!$H$5682</f>
        <v>0</v>
      </c>
      <c r="I5701" s="38" t="n">
        <f aca="false">dps*Sens!$I$5682</f>
        <v>0</v>
      </c>
      <c r="J5701" s="38" t="n">
        <f aca="false">dps*Sens!$J$5682</f>
        <v>0</v>
      </c>
      <c r="K5701" s="38" t="n">
        <f aca="false">dps*Sens!$K$5682</f>
        <v>0</v>
      </c>
      <c r="L5701" s="38" t="n">
        <f aca="false">dps*Sens!$L$5682</f>
        <v>0</v>
      </c>
      <c r="M5701" s="38" t="n">
        <f aca="false">dps*Sens!$M$5682</f>
        <v>0</v>
      </c>
      <c r="P5701" s="8" t="s">
        <v>741</v>
      </c>
    </row>
    <row r="5702" customFormat="false" ht="17.15" hidden="false" customHeight="false" outlineLevel="0" collapsed="false">
      <c r="A5702" s="5" t="s">
        <v>742</v>
      </c>
      <c r="B5702" s="0" t="s">
        <v>73</v>
      </c>
      <c r="C5702" s="38" t="n">
        <f aca="false">0</f>
        <v>0</v>
      </c>
      <c r="D5702" s="38" t="n">
        <f aca="false">0</f>
        <v>0</v>
      </c>
      <c r="E5702" s="38" t="n">
        <f aca="false">0</f>
        <v>0</v>
      </c>
      <c r="F5702" s="38" t="n">
        <f aca="false">0</f>
        <v>0</v>
      </c>
      <c r="G5702" s="38" t="n">
        <f aca="false">0</f>
        <v>0</v>
      </c>
      <c r="H5702" s="38" t="n">
        <f aca="false">0</f>
        <v>0</v>
      </c>
      <c r="I5702" s="38" t="n">
        <f aca="false">0</f>
        <v>0</v>
      </c>
      <c r="J5702" s="38" t="n">
        <f aca="false">0</f>
        <v>0</v>
      </c>
      <c r="K5702" s="38" t="n">
        <f aca="false">0</f>
        <v>0</v>
      </c>
      <c r="L5702" s="38" t="n">
        <f aca="false">0</f>
        <v>0</v>
      </c>
      <c r="M5702" s="38" t="n">
        <f aca="false">0</f>
        <v>0</v>
      </c>
      <c r="P5702" s="8" t="s">
        <v>743</v>
      </c>
    </row>
    <row r="5703" customFormat="false" ht="15" hidden="false" customHeight="false" outlineLevel="0" collapsed="false">
      <c r="A5703" s="3" t="s">
        <v>744</v>
      </c>
      <c r="B5703" s="8" t="s">
        <v>73</v>
      </c>
      <c r="C5703" s="38" t="n">
        <f aca="false">Sens!$C$5700-Sens!$C$5701</f>
        <v>36.176</v>
      </c>
      <c r="D5703" s="38" t="n">
        <f aca="false">Sens!$D$5700-Sens!$D$5701</f>
        <v>9.63700000000002</v>
      </c>
      <c r="E5703" s="38" t="n">
        <f aca="false">Sens!$E$5700-Sens!$E$5701</f>
        <v>-25.691</v>
      </c>
      <c r="F5703" s="38" t="n">
        <f aca="false">Sens!$F$5700-Sens!$F$5701</f>
        <v>-35.7358850873731</v>
      </c>
      <c r="G5703" s="38" t="n">
        <f aca="false">Sens!$G$5700-Sens!$G$5701</f>
        <v>-61.4268850873731</v>
      </c>
      <c r="H5703" s="38" t="n">
        <f aca="false">Sens!$H$5700-Sens!$H$5701</f>
        <v>-46.6987055925312</v>
      </c>
      <c r="I5703" s="38" t="n">
        <f aca="false">Sens!$I$5700-Sens!$I$5701</f>
        <v>-3.97574477606648</v>
      </c>
      <c r="J5703" s="38" t="n">
        <f aca="false">Sens!$J$5700-Sens!$J$5701</f>
        <v>39.7446339029391</v>
      </c>
      <c r="K5703" s="38" t="n">
        <f aca="false">Sens!$K$5700-Sens!$K$5701</f>
        <v>82.1731058789073</v>
      </c>
      <c r="L5703" s="38" t="n">
        <f aca="false">Sens!$L$5700-Sens!$L$5701</f>
        <v>94.1245500219009</v>
      </c>
      <c r="M5703" s="38" t="n">
        <f aca="false">Sens!$M$5700-Sens!$M$5701</f>
        <v>84.3831817256571</v>
      </c>
    </row>
    <row r="5704" customFormat="false" ht="17.15" hidden="false" customHeight="false" outlineLevel="0" collapsed="false">
      <c r="A5704" s="5" t="s">
        <v>745</v>
      </c>
      <c r="B5704" s="0" t="s">
        <v>73</v>
      </c>
      <c r="E5704" s="38" t="n">
        <f aca="false">Q!$P$53</f>
        <v>39.767</v>
      </c>
      <c r="F5704" s="38" t="n">
        <f aca="false">inv_2h26</f>
        <v>21.3</v>
      </c>
      <c r="G5704" s="38" t="n">
        <f aca="false">Sens!$E$5704+Sens!$F$5704</f>
        <v>61.067</v>
      </c>
      <c r="H5704" s="41" t="n">
        <v>0</v>
      </c>
      <c r="I5704" s="41" t="n">
        <v>0</v>
      </c>
      <c r="J5704" s="41" t="n">
        <v>0</v>
      </c>
      <c r="K5704" s="41" t="n">
        <v>0</v>
      </c>
      <c r="L5704" s="41" t="n">
        <v>0</v>
      </c>
      <c r="M5704" s="41" t="n">
        <v>0</v>
      </c>
    </row>
    <row r="5705" customFormat="false" ht="17.15" hidden="false" customHeight="false" outlineLevel="0" collapsed="false">
      <c r="A5705" s="5" t="s">
        <v>746</v>
      </c>
      <c r="B5705" s="0" t="s">
        <v>73</v>
      </c>
      <c r="F5705" s="38" t="n">
        <f aca="false">iss_2h26</f>
        <v>29.25</v>
      </c>
      <c r="G5705" s="38" t="n">
        <f aca="false">Sens!$F$5705</f>
        <v>29.25</v>
      </c>
      <c r="H5705" s="41" t="n">
        <v>0</v>
      </c>
      <c r="I5705" s="41" t="n">
        <v>0</v>
      </c>
      <c r="J5705" s="41" t="n">
        <v>0</v>
      </c>
      <c r="K5705" s="41" t="n">
        <v>0</v>
      </c>
      <c r="L5705" s="41" t="n">
        <v>0</v>
      </c>
      <c r="M5705" s="41" t="n">
        <v>0</v>
      </c>
    </row>
    <row r="5706" customFormat="false" ht="17.15" hidden="false" customHeight="false" outlineLevel="0" collapsed="false">
      <c r="A5706" s="5" t="s">
        <v>747</v>
      </c>
      <c r="B5706" s="0" t="s">
        <v>73</v>
      </c>
      <c r="F5706" s="38" t="n">
        <f aca="false">cash_q2</f>
        <v>122.988</v>
      </c>
      <c r="G5706" s="38" t="n">
        <f aca="false">cash_q2</f>
        <v>122.988</v>
      </c>
      <c r="H5706" s="38" t="n">
        <f aca="false">Sens!$G$5709</f>
        <v>95.2021149126269</v>
      </c>
      <c r="I5706" s="38" t="n">
        <f aca="false">Sens!$H$5709</f>
        <v>50</v>
      </c>
      <c r="J5706" s="38" t="n">
        <f aca="false">Sens!$I$5709</f>
        <v>50</v>
      </c>
      <c r="K5706" s="38" t="n">
        <f aca="false">Sens!$J$5709</f>
        <v>89.7446339029391</v>
      </c>
      <c r="L5706" s="38" t="n">
        <f aca="false">Sens!$K$5709</f>
        <v>171.917739781846</v>
      </c>
      <c r="M5706" s="38" t="n">
        <f aca="false">Sens!$L$5709</f>
        <v>266.042289803747</v>
      </c>
    </row>
    <row r="5707" customFormat="false" ht="15" hidden="false" customHeight="false" outlineLevel="0" collapsed="false">
      <c r="A5707" s="5" t="s">
        <v>748</v>
      </c>
      <c r="B5707" s="0" t="s">
        <v>73</v>
      </c>
      <c r="F5707" s="38" t="n">
        <f aca="false">Sens!$F$5706+Sens!$F$5703-Sens!$F$5702-Sens!$F$5704+Sens!$F$5705</f>
        <v>95.2021149126269</v>
      </c>
      <c r="H5707" s="38" t="n">
        <f aca="false">Sens!$H$5706+Sens!$H$5703-Sens!$H$5702-Sens!$H$5704+Sens!$H$5705</f>
        <v>48.5034093200957</v>
      </c>
      <c r="I5707" s="38" t="n">
        <f aca="false">Sens!$I$5706+Sens!$I$5703-Sens!$I$5702-Sens!$I$5704+Sens!$I$5705</f>
        <v>46.0242552239335</v>
      </c>
      <c r="J5707" s="38" t="n">
        <f aca="false">Sens!$J$5706+Sens!$J$5703-Sens!$J$5702-Sens!$J$5704+Sens!$J$5705</f>
        <v>89.7446339029391</v>
      </c>
      <c r="K5707" s="38" t="n">
        <f aca="false">Sens!$K$5706+Sens!$K$5703-Sens!$K$5702-Sens!$K$5704+Sens!$K$5705</f>
        <v>171.917739781846</v>
      </c>
      <c r="L5707" s="38" t="n">
        <f aca="false">Sens!$L$5706+Sens!$L$5703-Sens!$L$5702-Sens!$L$5704+Sens!$L$5705</f>
        <v>266.042289803747</v>
      </c>
      <c r="M5707" s="38" t="n">
        <f aca="false">Sens!$M$5706+Sens!$M$5703-Sens!$M$5702-Sens!$M$5704+Sens!$M$5705</f>
        <v>350.425471529404</v>
      </c>
    </row>
    <row r="5708" customFormat="false" ht="17.15" hidden="false" customHeight="false" outlineLevel="0" collapsed="false">
      <c r="A5708" s="5" t="s">
        <v>749</v>
      </c>
      <c r="B5708" s="0" t="s">
        <v>73</v>
      </c>
      <c r="F5708" s="38" t="n">
        <f aca="false">MAX(0,min_cash-Sens!$F$5707)</f>
        <v>0</v>
      </c>
      <c r="G5708" s="38" t="n">
        <f aca="false">Sens!$F$5708</f>
        <v>0</v>
      </c>
      <c r="H5708" s="38" t="n">
        <f aca="false">MAX(0,min_cash-Sens!$H$5707)</f>
        <v>1.49659067990431</v>
      </c>
      <c r="I5708" s="38" t="n">
        <f aca="false">MAX(0,min_cash-Sens!$I$5707)</f>
        <v>3.97574477606648</v>
      </c>
      <c r="J5708" s="38" t="n">
        <f aca="false">MAX(0,min_cash-Sens!$J$5707)</f>
        <v>0</v>
      </c>
      <c r="K5708" s="38" t="n">
        <f aca="false">MAX(0,min_cash-Sens!$K$5707)</f>
        <v>0</v>
      </c>
      <c r="L5708" s="38" t="n">
        <f aca="false">MAX(0,min_cash-Sens!$L$5707)</f>
        <v>0</v>
      </c>
      <c r="M5708" s="38" t="n">
        <f aca="false">MAX(0,min_cash-Sens!$M$5707)</f>
        <v>0</v>
      </c>
      <c r="P5708" s="5" t="s">
        <v>750</v>
      </c>
    </row>
    <row r="5709" customFormat="false" ht="15" hidden="false" customHeight="false" outlineLevel="0" collapsed="false">
      <c r="A5709" s="5" t="s">
        <v>751</v>
      </c>
      <c r="B5709" s="0" t="s">
        <v>73</v>
      </c>
      <c r="D5709" s="38" t="n">
        <f aca="false">Q!$E$61</f>
        <v>123.029</v>
      </c>
      <c r="E5709" s="38" t="n">
        <f aca="false">Q!$M$61</f>
        <v>122.988</v>
      </c>
      <c r="F5709" s="38" t="n">
        <f aca="false">Sens!$F$5707+Sens!$F$5708</f>
        <v>95.2021149126269</v>
      </c>
      <c r="G5709" s="38" t="n">
        <f aca="false">Sens!$F$5709</f>
        <v>95.2021149126269</v>
      </c>
      <c r="H5709" s="38" t="n">
        <f aca="false">Sens!$H$5707+Sens!$H$5708</f>
        <v>50</v>
      </c>
      <c r="I5709" s="38" t="n">
        <f aca="false">Sens!$I$5707+Sens!$I$5708</f>
        <v>50</v>
      </c>
      <c r="J5709" s="38" t="n">
        <f aca="false">Sens!$J$5707+Sens!$J$5708</f>
        <v>89.7446339029391</v>
      </c>
      <c r="K5709" s="38" t="n">
        <f aca="false">Sens!$K$5707+Sens!$K$5708</f>
        <v>171.917739781846</v>
      </c>
      <c r="L5709" s="38" t="n">
        <f aca="false">Sens!$L$5707+Sens!$L$5708</f>
        <v>266.042289803747</v>
      </c>
      <c r="M5709" s="38" t="n">
        <f aca="false">Sens!$M$5707+Sens!$M$5708</f>
        <v>350.425471529404</v>
      </c>
    </row>
    <row r="5710" customFormat="false" ht="15" hidden="false" customHeight="false" outlineLevel="0" collapsed="false">
      <c r="A5710" s="5" t="s">
        <v>752</v>
      </c>
      <c r="B5710" s="0" t="s">
        <v>73</v>
      </c>
      <c r="D5710" s="38" t="n">
        <f aca="false">Q!$E$62</f>
        <v>68.836</v>
      </c>
      <c r="E5710" s="38" t="n">
        <f aca="false">Q!$M$62</f>
        <v>132.995</v>
      </c>
      <c r="F5710" s="38" t="n">
        <f aca="false">debt_q2+Sens!$F$5705+Sens!$F$5708</f>
        <v>162.245</v>
      </c>
      <c r="G5710" s="38" t="n">
        <f aca="false">Sens!$F$5710</f>
        <v>162.245</v>
      </c>
      <c r="H5710" s="38" t="n">
        <f aca="false">Sens!$G$5710+Sens!$H$5708</f>
        <v>163.741590679904</v>
      </c>
      <c r="I5710" s="38" t="n">
        <f aca="false">Sens!$H$5710+Sens!$I$5708</f>
        <v>167.717335455971</v>
      </c>
      <c r="J5710" s="38" t="n">
        <f aca="false">Sens!$I$5710+Sens!$J$5708</f>
        <v>167.717335455971</v>
      </c>
      <c r="K5710" s="38" t="n">
        <f aca="false">Sens!$J$5710+Sens!$K$5708</f>
        <v>167.717335455971</v>
      </c>
      <c r="L5710" s="38" t="n">
        <f aca="false">Sens!$K$5710+Sens!$L$5708</f>
        <v>167.717335455971</v>
      </c>
      <c r="M5710" s="38" t="n">
        <f aca="false">Sens!$L$5710+Sens!$M$5708</f>
        <v>167.717335455971</v>
      </c>
    </row>
    <row r="5711" customFormat="false" ht="15" hidden="false" customHeight="false" outlineLevel="0" collapsed="false">
      <c r="A5711" s="5" t="s">
        <v>753</v>
      </c>
      <c r="B5711" s="0" t="s">
        <v>73</v>
      </c>
      <c r="D5711" s="38" t="n">
        <f aca="false">Sens!$D$5710-Sens!$D$5709</f>
        <v>-54.193</v>
      </c>
      <c r="E5711" s="38" t="n">
        <f aca="false">Sens!$E$5710-Sens!$E$5709</f>
        <v>10.007</v>
      </c>
      <c r="F5711" s="38" t="n">
        <f aca="false">Sens!$F$5710-Sens!$F$5709</f>
        <v>67.0428850873731</v>
      </c>
      <c r="G5711" s="38" t="n">
        <f aca="false">Sens!$G$5710-Sens!$G$5709</f>
        <v>67.0428850873731</v>
      </c>
      <c r="H5711" s="38" t="n">
        <f aca="false">Sens!$H$5710-Sens!$H$5709</f>
        <v>113.741590679904</v>
      </c>
      <c r="I5711" s="38" t="n">
        <f aca="false">Sens!$I$5710-Sens!$I$5709</f>
        <v>117.717335455971</v>
      </c>
      <c r="J5711" s="38" t="n">
        <f aca="false">Sens!$J$5710-Sens!$J$5709</f>
        <v>77.9727015530317</v>
      </c>
      <c r="K5711" s="38" t="n">
        <f aca="false">Sens!$K$5710-Sens!$K$5709</f>
        <v>-4.20040432587558</v>
      </c>
      <c r="L5711" s="38" t="n">
        <f aca="false">Sens!$L$5710-Sens!$L$5709</f>
        <v>-98.3249543477765</v>
      </c>
      <c r="M5711" s="38" t="n">
        <f aca="false">Sens!$M$5710-Sens!$M$5709</f>
        <v>-182.708136073434</v>
      </c>
    </row>
    <row r="5712" customFormat="false" ht="17.15" hidden="false" customHeight="false" outlineLevel="0" collapsed="false">
      <c r="A5712" s="5" t="s">
        <v>754</v>
      </c>
      <c r="B5712" s="0" t="s">
        <v>73</v>
      </c>
      <c r="F5712" s="38" t="n">
        <f aca="false">debt_q2*kd_book*0.5+iss_2h26*kd_new*0.25</f>
        <v>3.24888964316061</v>
      </c>
      <c r="H5712" s="38" t="n">
        <f aca="false">debt_q2*kd_book+(Sens!$G$5710-debt_q2)*kd_new</f>
        <v>7.42354178632123</v>
      </c>
      <c r="I5712" s="38" t="n">
        <f aca="false">debt_q2*kd_book+(Sens!$H$5710-debt_q2)*kd_new</f>
        <v>7.51827597635917</v>
      </c>
      <c r="J5712" s="38" t="n">
        <f aca="false">debt_q2*kd_book+(Sens!$I$5710-debt_q2)*kd_new</f>
        <v>7.76994062068418</v>
      </c>
      <c r="K5712" s="38" t="n">
        <f aca="false">debt_q2*kd_book+(Sens!$J$5710-debt_q2)*kd_new</f>
        <v>7.76994062068418</v>
      </c>
      <c r="L5712" s="38" t="n">
        <f aca="false">debt_q2*kd_book+(Sens!$K$5710-debt_q2)*kd_new</f>
        <v>7.76994062068418</v>
      </c>
      <c r="M5712" s="38" t="n">
        <f aca="false">debt_q2*kd_book+(Sens!$L$5710-debt_q2)*kd_new</f>
        <v>7.76994062068418</v>
      </c>
    </row>
    <row r="5713" customFormat="false" ht="17.15" hidden="false" customHeight="false" outlineLevel="0" collapsed="false">
      <c r="A5713" s="5" t="s">
        <v>755</v>
      </c>
      <c r="B5713" s="0" t="s">
        <v>73</v>
      </c>
      <c r="F5713" s="38" t="n">
        <f aca="false">cash_q2*y_cash*0.5</f>
        <v>2.59</v>
      </c>
      <c r="H5713" s="38" t="n">
        <f aca="false">Sens!$G$5709*y_cash</f>
        <v>4.00971603121774</v>
      </c>
      <c r="I5713" s="38" t="n">
        <f aca="false">Sens!$H$5709*y_cash</f>
        <v>2.10589651022864</v>
      </c>
      <c r="J5713" s="38" t="n">
        <f aca="false">Sens!$I$5709*y_cash</f>
        <v>2.10589651022864</v>
      </c>
      <c r="K5713" s="38" t="n">
        <f aca="false">Sens!$J$5709*y_cash</f>
        <v>3.77985822695893</v>
      </c>
      <c r="L5713" s="38" t="n">
        <f aca="false">Sens!$K$5709*y_cash</f>
        <v>7.24081936505971</v>
      </c>
      <c r="M5713" s="38" t="n">
        <f aca="false">Sens!$L$5709*y_cash</f>
        <v>11.205150593419</v>
      </c>
    </row>
    <row r="5714" customFormat="false" ht="17.15" hidden="false" customHeight="false" outlineLevel="0" collapsed="false">
      <c r="A5714" s="46" t="s">
        <v>756</v>
      </c>
      <c r="B5714" s="13" t="s">
        <v>73</v>
      </c>
      <c r="C5714" s="13"/>
      <c r="D5714" s="13"/>
      <c r="E5714" s="13"/>
      <c r="F5714" s="13"/>
      <c r="G5714" s="47" t="n">
        <f aca="false">SUM(Sens!$G$5703:$K$5703)</f>
        <v>9.81640432587554</v>
      </c>
      <c r="H5714" s="13"/>
      <c r="I5714" s="13"/>
      <c r="J5714" s="13"/>
      <c r="K5714" s="13"/>
      <c r="L5714" s="13"/>
      <c r="M5714" s="13"/>
      <c r="N5714" s="13"/>
      <c r="O5714" s="13"/>
    </row>
    <row r="5715" customFormat="false" ht="17.15" hidden="false" customHeight="false" outlineLevel="0" collapsed="false">
      <c r="A5715" s="0" t="s">
        <v>723</v>
      </c>
      <c r="B5715" s="0" t="s">
        <v>73</v>
      </c>
      <c r="G5715" s="38" t="n">
        <f aca="false">SUM(Sens!$G$5708:$K$5708)</f>
        <v>5.47233545597079</v>
      </c>
    </row>
    <row r="5718" customFormat="false" ht="19.4" hidden="false" customHeight="false" outlineLevel="0" collapsed="false">
      <c r="A5718" s="31" t="s">
        <v>1167</v>
      </c>
    </row>
    <row r="5719" customFormat="false" ht="17.15" hidden="false" customHeight="false" outlineLevel="0" collapsed="false">
      <c r="A5719" s="6" t="s">
        <v>16</v>
      </c>
      <c r="B5719" s="6" t="s">
        <v>17</v>
      </c>
      <c r="C5719" s="20" t="s">
        <v>457</v>
      </c>
      <c r="D5719" s="20" t="s">
        <v>458</v>
      </c>
      <c r="E5719" s="20" t="s">
        <v>540</v>
      </c>
      <c r="F5719" s="20" t="s">
        <v>541</v>
      </c>
      <c r="G5719" s="20" t="s">
        <v>542</v>
      </c>
      <c r="H5719" s="20" t="s">
        <v>543</v>
      </c>
      <c r="I5719" s="20" t="s">
        <v>544</v>
      </c>
      <c r="J5719" s="20" t="s">
        <v>545</v>
      </c>
      <c r="K5719" s="20" t="s">
        <v>546</v>
      </c>
      <c r="L5719" s="20" t="s">
        <v>547</v>
      </c>
      <c r="M5719" s="20" t="s">
        <v>548</v>
      </c>
      <c r="N5719" s="20" t="s">
        <v>549</v>
      </c>
      <c r="O5719" s="20" t="s">
        <v>550</v>
      </c>
      <c r="P5719" s="6" t="s">
        <v>23</v>
      </c>
      <c r="R5719" s="20" t="n">
        <v>2023</v>
      </c>
      <c r="S5719" s="20" t="n">
        <v>2024</v>
      </c>
      <c r="T5719" s="20" t="n">
        <v>2025</v>
      </c>
      <c r="U5719" s="20" t="n">
        <v>2026</v>
      </c>
      <c r="V5719" s="20" t="n">
        <v>2027</v>
      </c>
      <c r="W5719" s="20" t="n">
        <v>2028</v>
      </c>
      <c r="X5719" s="20" t="n">
        <v>2029</v>
      </c>
      <c r="Y5719" s="20" t="n">
        <v>2030</v>
      </c>
      <c r="Z5719" s="20" t="n">
        <v>2031</v>
      </c>
      <c r="AA5719" s="20" t="n">
        <v>2032</v>
      </c>
    </row>
    <row r="5720" customFormat="false" ht="17.15" hidden="false" customHeight="false" outlineLevel="0" collapsed="false">
      <c r="A5720" s="1" t="s">
        <v>851</v>
      </c>
    </row>
    <row r="5721" customFormat="false" ht="17.15" hidden="false" customHeight="false" outlineLevel="0" collapsed="false">
      <c r="A5721" s="0" t="s">
        <v>852</v>
      </c>
      <c r="B5721" s="0" t="s">
        <v>73</v>
      </c>
      <c r="H5721" s="38" t="n">
        <f aca="false">Sens!$H$5657*(1-tax)</f>
        <v>112.093921330558</v>
      </c>
      <c r="I5721" s="38" t="n">
        <f aca="false">Sens!$I$5657*(1-tax)</f>
        <v>132.779045500917</v>
      </c>
      <c r="J5721" s="38" t="n">
        <f aca="false">Sens!$J$5657*(1-tax)</f>
        <v>151.181555485193</v>
      </c>
      <c r="K5721" s="38" t="n">
        <f aca="false">Sens!$K$5657*(1-tax)</f>
        <v>166.036468953087</v>
      </c>
      <c r="L5721" s="38" t="n">
        <f aca="false">Sens!$L$5657*(1-tax)</f>
        <v>182.348678369869</v>
      </c>
      <c r="M5721" s="38" t="n">
        <f aca="false">Sens!$M$5657*(1-tax)</f>
        <v>199.243892383632</v>
      </c>
    </row>
    <row r="5722" customFormat="false" ht="15" hidden="false" customHeight="false" outlineLevel="0" collapsed="false">
      <c r="A5722" s="5" t="s">
        <v>853</v>
      </c>
      <c r="B5722" s="0" t="s">
        <v>73</v>
      </c>
      <c r="H5722" s="38" t="n">
        <f aca="false">Sens!$H$5669</f>
        <v>87.6845218193838</v>
      </c>
      <c r="I5722" s="38" t="n">
        <f aca="false">Sens!$I$5669</f>
        <v>122.294769708638</v>
      </c>
      <c r="J5722" s="38" t="n">
        <f aca="false">Sens!$J$5669</f>
        <v>157.133962573221</v>
      </c>
      <c r="K5722" s="38" t="n">
        <f aca="false">Sens!$K$5669</f>
        <v>191.350633353599</v>
      </c>
      <c r="L5722" s="38" t="n">
        <f aca="false">Sens!$L$5669</f>
        <v>223.909238335354</v>
      </c>
      <c r="M5722" s="38" t="n">
        <f aca="false">Sens!$M$5669</f>
        <v>257.576319867276</v>
      </c>
    </row>
    <row r="5723" customFormat="false" ht="15" hidden="false" customHeight="false" outlineLevel="0" collapsed="false">
      <c r="A5723" s="5" t="s">
        <v>854</v>
      </c>
      <c r="B5723" s="0" t="s">
        <v>73</v>
      </c>
      <c r="H5723" s="38" t="n">
        <f aca="false">Sens!$H$5698</f>
        <v>277.870120501355</v>
      </c>
      <c r="I5723" s="38" t="n">
        <f aca="false">Sens!$I$5698</f>
        <v>293.934464585378</v>
      </c>
      <c r="J5723" s="38" t="n">
        <f aca="false">Sens!$J$5698</f>
        <v>308.06904811359</v>
      </c>
      <c r="K5723" s="38" t="n">
        <f aca="false">Sens!$K$5698</f>
        <v>320.385735318248</v>
      </c>
      <c r="L5723" s="38" t="n">
        <f aca="false">Sens!$L$5698</f>
        <v>364.65641921833</v>
      </c>
      <c r="M5723" s="38" t="n">
        <f aca="false">Sens!$M$5698</f>
        <v>432.943173024858</v>
      </c>
    </row>
    <row r="5724" customFormat="false" ht="15" hidden="false" customHeight="false" outlineLevel="0" collapsed="false">
      <c r="A5724" s="5" t="s">
        <v>855</v>
      </c>
      <c r="B5724" s="0" t="s">
        <v>73</v>
      </c>
      <c r="H5724" s="38" t="n">
        <f aca="false">Sens!$H$5699</f>
        <v>1.6</v>
      </c>
      <c r="I5724" s="38" t="n">
        <f aca="false">Sens!$I$5699</f>
        <v>1.6</v>
      </c>
      <c r="J5724" s="38" t="n">
        <f aca="false">Sens!$J$5699</f>
        <v>1.6</v>
      </c>
      <c r="K5724" s="38" t="n">
        <f aca="false">Sens!$K$5699</f>
        <v>1.6</v>
      </c>
      <c r="L5724" s="38" t="n">
        <f aca="false">Sens!$L$5699</f>
        <v>1.6</v>
      </c>
      <c r="M5724" s="38" t="n">
        <f aca="false">Sens!$M$5699</f>
        <v>1.6</v>
      </c>
    </row>
    <row r="5725" customFormat="false" ht="15" hidden="false" customHeight="false" outlineLevel="0" collapsed="false">
      <c r="A5725" s="5" t="s">
        <v>856</v>
      </c>
      <c r="B5725" s="0" t="s">
        <v>73</v>
      </c>
      <c r="H5725" s="38" t="n">
        <f aca="false">Sens!$H$5693</f>
        <v>11.6369707537667</v>
      </c>
      <c r="I5725" s="38" t="n">
        <f aca="false">Sens!$I$5693</f>
        <v>13.3082502961262</v>
      </c>
      <c r="J5725" s="38" t="n">
        <f aca="false">Sens!$J$5693</f>
        <v>14.8747965344332</v>
      </c>
      <c r="K5725" s="38" t="n">
        <f aca="false">Sens!$K$5693</f>
        <v>16.2687901804328</v>
      </c>
      <c r="L5725" s="38" t="n">
        <f aca="false">Sens!$L$5693</f>
        <v>17.7280727627002</v>
      </c>
      <c r="M5725" s="38" t="n">
        <f aca="false">Sens!$M$5693</f>
        <v>19.2574690270319</v>
      </c>
    </row>
    <row r="5726" customFormat="false" ht="17.15" hidden="false" customHeight="false" outlineLevel="0" collapsed="false">
      <c r="A5726" s="1" t="s">
        <v>857</v>
      </c>
      <c r="B5726" s="8" t="s">
        <v>73</v>
      </c>
      <c r="H5726" s="38" t="n">
        <f aca="false">Sens!$H$5721+Sens!$H$5722-Sens!$H$5723-Sens!$H$5724+Sens!$H$5725</f>
        <v>-68.0547065976468</v>
      </c>
      <c r="I5726" s="38" t="n">
        <f aca="false">Sens!$I$5721+Sens!$I$5722-Sens!$I$5723-Sens!$I$5724+Sens!$I$5725</f>
        <v>-27.1523990796972</v>
      </c>
      <c r="J5726" s="38" t="n">
        <f aca="false">Sens!$J$5721+Sens!$J$5722-Sens!$J$5723-Sens!$J$5724+Sens!$J$5725</f>
        <v>13.5212664792573</v>
      </c>
      <c r="K5726" s="38" t="n">
        <f aca="false">Sens!$K$5721+Sens!$K$5722-Sens!$K$5723-Sens!$K$5724+Sens!$K$5725</f>
        <v>51.6701571688709</v>
      </c>
      <c r="L5726" s="38" t="n">
        <f aca="false">Sens!$L$5721+Sens!$L$5722-Sens!$L$5723-Sens!$L$5724+Sens!$L$5725</f>
        <v>57.7295702495933</v>
      </c>
      <c r="M5726" s="38" t="n">
        <f aca="false">Sens!$M$5721+Sens!$M$5722-Sens!$M$5723-Sens!$M$5724+Sens!$M$5725</f>
        <v>41.534508253082</v>
      </c>
    </row>
    <row r="5727" customFormat="false" ht="15" hidden="false" customHeight="false" outlineLevel="0" collapsed="false">
      <c r="A5727" s="5" t="s">
        <v>858</v>
      </c>
      <c r="B5727" s="0" t="s">
        <v>57</v>
      </c>
      <c r="H5727" s="51" t="n">
        <f aca="false">1/(1+wacc)^(2027-2026-0.5)</f>
        <v>0.942858177653364</v>
      </c>
      <c r="I5727" s="51" t="n">
        <f aca="false">1/(1+wacc)^(2028-2026-0.5)</f>
        <v>0.838183517758688</v>
      </c>
      <c r="J5727" s="51" t="n">
        <f aca="false">1/(1+wacc)^(2029-2026-0.5)</f>
        <v>0.745129677074952</v>
      </c>
      <c r="K5727" s="51" t="n">
        <f aca="false">1/(1+wacc)^(2030-2026-0.5)</f>
        <v>0.662406530186232</v>
      </c>
      <c r="L5727" s="51" t="n">
        <f aca="false">1/(1+wacc)^(2031-2026-0.5)</f>
        <v>0.588867179409399</v>
      </c>
      <c r="M5727" s="51" t="n">
        <f aca="false">1/(1+wacc)^(2032-2026-0.5)</f>
        <v>0.52349205387225</v>
      </c>
    </row>
    <row r="5728" customFormat="false" ht="15" hidden="false" customHeight="false" outlineLevel="0" collapsed="false">
      <c r="A5728" s="5" t="s">
        <v>859</v>
      </c>
      <c r="B5728" s="0" t="s">
        <v>73</v>
      </c>
      <c r="H5728" s="38" t="n">
        <f aca="false">Sens!$H$5726*Sens!$H$5727</f>
        <v>-64.1659366433916</v>
      </c>
      <c r="I5728" s="38" t="n">
        <f aca="false">Sens!$I$5726*Sens!$I$5727</f>
        <v>-22.7586933762084</v>
      </c>
      <c r="J5728" s="38" t="n">
        <f aca="false">Sens!$J$5726*Sens!$J$5727</f>
        <v>10.0750969253334</v>
      </c>
      <c r="K5728" s="38" t="n">
        <f aca="false">Sens!$K$5726*Sens!$K$5727</f>
        <v>34.226649524409</v>
      </c>
      <c r="L5728" s="38" t="n">
        <f aca="false">Sens!$L$5726*Sens!$L$5727</f>
        <v>33.9950492013948</v>
      </c>
      <c r="M5728" s="38" t="n">
        <f aca="false">Sens!$M$5726*Sens!$M$5727</f>
        <v>21.7429850319798</v>
      </c>
    </row>
    <row r="5729" customFormat="false" ht="15" hidden="false" customHeight="false" outlineLevel="0" collapsed="false">
      <c r="A5729" s="5" t="s">
        <v>860</v>
      </c>
      <c r="B5729" s="0" t="s">
        <v>73</v>
      </c>
      <c r="C5729" s="38" t="n">
        <f aca="false">SUM(Sens!$H$5728:$M$5728)</f>
        <v>13.115150663517</v>
      </c>
    </row>
    <row r="5730" customFormat="false" ht="17.15" hidden="false" customHeight="false" outlineLevel="0" collapsed="false">
      <c r="A5730" s="5" t="s">
        <v>861</v>
      </c>
      <c r="B5730" s="0" t="s">
        <v>73</v>
      </c>
      <c r="C5730" s="38" t="n">
        <f aca="false">Sens!$M$5721*(1+tg)*(1-tg/ronic)/(wacc-tg)</f>
        <v>1643.3111431308</v>
      </c>
    </row>
    <row r="5731" customFormat="false" ht="15" hidden="false" customHeight="false" outlineLevel="0" collapsed="false">
      <c r="A5731" s="5" t="s">
        <v>862</v>
      </c>
      <c r="B5731" s="0" t="s">
        <v>73</v>
      </c>
      <c r="C5731" s="38" t="n">
        <f aca="false">Sens!$C$5730/(1+wacc)^6</f>
        <v>811.103482778908</v>
      </c>
    </row>
    <row r="5732" customFormat="false" ht="17.15" hidden="false" customHeight="false" outlineLevel="0" collapsed="false">
      <c r="A5732" s="5" t="s">
        <v>863</v>
      </c>
      <c r="B5732" s="0" t="s">
        <v>73</v>
      </c>
      <c r="C5732" s="38" t="n">
        <f aca="false">Sens!$C$5729+Sens!$C$5731</f>
        <v>824.218633442425</v>
      </c>
    </row>
    <row r="5733" customFormat="false" ht="17.15" hidden="false" customHeight="false" outlineLevel="0" collapsed="false">
      <c r="A5733" s="5" t="s">
        <v>864</v>
      </c>
      <c r="B5733" s="0" t="s">
        <v>52</v>
      </c>
      <c r="C5733" s="12" t="n">
        <f aca="false">Sens!$C$5731/Sens!$C$5732</f>
        <v>0.984087777039521</v>
      </c>
    </row>
    <row r="5734" customFormat="false" ht="17.15" hidden="false" customHeight="false" outlineLevel="0" collapsed="false">
      <c r="A5734" s="5" t="s">
        <v>865</v>
      </c>
      <c r="B5734" s="0" t="s">
        <v>73</v>
      </c>
      <c r="C5734" s="38" t="n">
        <f aca="false">Sens!$G$5711</f>
        <v>67.0428850873731</v>
      </c>
    </row>
    <row r="5735" customFormat="false" ht="17.15" hidden="false" customHeight="false" outlineLevel="0" collapsed="false">
      <c r="A5735" s="5" t="s">
        <v>866</v>
      </c>
      <c r="B5735" s="0" t="s">
        <v>73</v>
      </c>
      <c r="C5735" s="38" t="n">
        <f aca="false">(ant_val*ant_sh+oai_val*oai_sh)*(1-liq_disc)</f>
        <v>178.944</v>
      </c>
    </row>
    <row r="5736" customFormat="false" ht="15" hidden="false" customHeight="false" outlineLevel="0" collapsed="false">
      <c r="A5736" s="5" t="s">
        <v>867</v>
      </c>
      <c r="B5736" s="0" t="s">
        <v>73</v>
      </c>
      <c r="C5736" s="38" t="n">
        <f aca="false">Sens!$C$5732-Sens!$C$5734+Sens!$C$5735</f>
        <v>936.119748355051</v>
      </c>
    </row>
    <row r="5737" customFormat="false" ht="17.15" hidden="false" customHeight="false" outlineLevel="0" collapsed="false">
      <c r="A5737" s="5" t="s">
        <v>868</v>
      </c>
      <c r="B5737" s="0" t="s">
        <v>27</v>
      </c>
      <c r="C5737" s="30" t="n">
        <f aca="false">Sens!$C$5736/sh_val</f>
        <v>84.8679147624493</v>
      </c>
    </row>
    <row r="5738" customFormat="false" ht="17.15" hidden="false" customHeight="false" outlineLevel="0" collapsed="false">
      <c r="A5738" s="1" t="s">
        <v>869</v>
      </c>
      <c r="B5738" s="8" t="s">
        <v>27</v>
      </c>
      <c r="C5738" s="30" t="n">
        <f aca="false">Sens!$C$5737*(1+ke)^tp_yf</f>
        <v>93.7319373662158</v>
      </c>
    </row>
    <row r="5739" customFormat="false" ht="17.15" hidden="false" customHeight="false" outlineLevel="0" collapsed="false">
      <c r="A5739" s="3" t="s">
        <v>870</v>
      </c>
    </row>
    <row r="5740" customFormat="false" ht="17.15" hidden="false" customHeight="false" outlineLevel="0" collapsed="false">
      <c r="A5740" s="5" t="s">
        <v>871</v>
      </c>
      <c r="B5740" s="0" t="s">
        <v>73</v>
      </c>
      <c r="C5740" s="38" t="n">
        <f aca="false">0.25*Sens!$H$5670+0.75*Sens!$I$5670</f>
        <v>57.5541093268329</v>
      </c>
    </row>
    <row r="5741" customFormat="false" ht="15" hidden="false" customHeight="false" outlineLevel="0" collapsed="false">
      <c r="A5741" s="5" t="s">
        <v>872</v>
      </c>
      <c r="B5741" s="0" t="s">
        <v>57</v>
      </c>
      <c r="C5741" s="30" t="n">
        <f aca="false">m_ads*m_x_lo</f>
        <v>7.288</v>
      </c>
    </row>
    <row r="5742" customFormat="false" ht="17.15" hidden="false" customHeight="false" outlineLevel="0" collapsed="false">
      <c r="A5742" s="5" t="s">
        <v>873</v>
      </c>
      <c r="B5742" s="0" t="s">
        <v>73</v>
      </c>
      <c r="C5742" s="38" t="n">
        <f aca="false">Sens!$C$5740*Sens!$C$5741</f>
        <v>419.454348773958</v>
      </c>
    </row>
    <row r="5743" customFormat="false" ht="17.15" hidden="false" customHeight="false" outlineLevel="0" collapsed="false">
      <c r="A5743" s="5" t="s">
        <v>874</v>
      </c>
      <c r="B5743" s="0" t="s">
        <v>73</v>
      </c>
      <c r="C5743" s="38" t="n">
        <f aca="false">0.25*Sens!$H$5671+0.75*Sens!$I$5671</f>
        <v>30.6290803533085</v>
      </c>
    </row>
    <row r="5744" customFormat="false" ht="15" hidden="false" customHeight="false" outlineLevel="0" collapsed="false">
      <c r="A5744" s="5" t="s">
        <v>875</v>
      </c>
      <c r="B5744" s="0" t="s">
        <v>57</v>
      </c>
      <c r="C5744" s="30" t="n">
        <f aca="false">m_retail*m_x_lo</f>
        <v>14.176</v>
      </c>
    </row>
    <row r="5745" customFormat="false" ht="17.15" hidden="false" customHeight="false" outlineLevel="0" collapsed="false">
      <c r="A5745" s="5" t="s">
        <v>876</v>
      </c>
      <c r="B5745" s="0" t="s">
        <v>73</v>
      </c>
      <c r="C5745" s="38" t="n">
        <f aca="false">Sens!$C$5743*Sens!$C$5744</f>
        <v>434.197843088502</v>
      </c>
    </row>
    <row r="5746" customFormat="false" ht="17.15" hidden="false" customHeight="false" outlineLevel="0" collapsed="false">
      <c r="A5746" s="0" t="s">
        <v>877</v>
      </c>
      <c r="B5746" s="0" t="s">
        <v>73</v>
      </c>
      <c r="C5746" s="38" t="n">
        <f aca="false">0.25*Sens!$H$5672+0.75*Sens!$I$5672</f>
        <v>107.575398943098</v>
      </c>
    </row>
    <row r="5747" customFormat="false" ht="17.15" hidden="false" customHeight="false" outlineLevel="0" collapsed="false">
      <c r="A5747" s="0" t="s">
        <v>878</v>
      </c>
      <c r="B5747" s="0" t="s">
        <v>57</v>
      </c>
      <c r="C5747" s="30" t="n">
        <f aca="false">m_cloud*m_x_lo</f>
        <v>11.056</v>
      </c>
    </row>
    <row r="5748" customFormat="false" ht="17.15" hidden="false" customHeight="false" outlineLevel="0" collapsed="false">
      <c r="A5748" s="0" t="s">
        <v>879</v>
      </c>
      <c r="B5748" s="0" t="s">
        <v>73</v>
      </c>
      <c r="C5748" s="38" t="n">
        <f aca="false">Sens!$C$5746*Sens!$C$5747</f>
        <v>1189.35361071489</v>
      </c>
    </row>
    <row r="5749" customFormat="false" ht="17.15" hidden="false" customHeight="false" outlineLevel="0" collapsed="false">
      <c r="A5749" s="0" t="s">
        <v>880</v>
      </c>
      <c r="B5749" s="0" t="s">
        <v>73</v>
      </c>
      <c r="C5749" s="38" t="n">
        <f aca="false">0.25*Sens!$H$5673+0.75*Sens!$I$5673</f>
        <v>72.2947701247864</v>
      </c>
    </row>
    <row r="5750" customFormat="false" ht="17.15" hidden="false" customHeight="false" outlineLevel="0" collapsed="false">
      <c r="A5750" s="0" t="s">
        <v>881</v>
      </c>
      <c r="B5750" s="0" t="s">
        <v>57</v>
      </c>
      <c r="C5750" s="30" t="n">
        <f aca="false">m_ai</f>
        <v>6</v>
      </c>
    </row>
    <row r="5751" customFormat="false" ht="17.15" hidden="false" customHeight="false" outlineLevel="0" collapsed="false">
      <c r="A5751" s="0" t="s">
        <v>882</v>
      </c>
      <c r="B5751" s="0" t="s">
        <v>73</v>
      </c>
      <c r="C5751" s="38" t="n">
        <f aca="false">Sens!$C$5749*Sens!$C$5750</f>
        <v>433.768620748718</v>
      </c>
    </row>
    <row r="5752" customFormat="false" ht="17.15" hidden="false" customHeight="false" outlineLevel="0" collapsed="false">
      <c r="A5752" s="5" t="s">
        <v>883</v>
      </c>
      <c r="B5752" s="0" t="s">
        <v>73</v>
      </c>
      <c r="C5752" s="38" t="n">
        <f aca="false">Sens!$C$5742+Sens!$C$5745+Sens!$C$5748+Sens!$C$5751</f>
        <v>2476.77442332607</v>
      </c>
    </row>
    <row r="5753" customFormat="false" ht="17.15" hidden="false" customHeight="false" outlineLevel="0" collapsed="false">
      <c r="A5753" s="5" t="s">
        <v>884</v>
      </c>
      <c r="B5753" s="0" t="s">
        <v>73</v>
      </c>
      <c r="C5753" s="38" t="n">
        <f aca="false">Sens!$H$5711</f>
        <v>113.741590679904</v>
      </c>
    </row>
    <row r="5754" customFormat="false" ht="15" hidden="false" customHeight="false" outlineLevel="0" collapsed="false">
      <c r="A5754" s="5" t="s">
        <v>885</v>
      </c>
      <c r="B5754" s="0" t="s">
        <v>73</v>
      </c>
      <c r="C5754" s="38" t="n">
        <f aca="false">Sens!$C$5752-Sens!$C$5753+Sens!$C$5735</f>
        <v>2541.97683264616</v>
      </c>
    </row>
    <row r="5755" customFormat="false" ht="15" hidden="false" customHeight="false" outlineLevel="0" collapsed="false">
      <c r="A5755" s="3" t="s">
        <v>886</v>
      </c>
      <c r="B5755" s="8" t="s">
        <v>27</v>
      </c>
      <c r="C5755" s="30" t="n">
        <f aca="false">Sens!$C$5754/sh_val</f>
        <v>230.453714431535</v>
      </c>
    </row>
    <row r="5756" customFormat="false" ht="17.15" hidden="false" customHeight="false" outlineLevel="0" collapsed="false">
      <c r="A5756" s="46" t="s">
        <v>887</v>
      </c>
      <c r="B5756" s="13" t="s">
        <v>27</v>
      </c>
      <c r="C5756" s="43" t="n">
        <f aca="false">w_dcf*Sens!$C$5738+(1-w_dcf)*Sens!$C$5755</f>
        <v>162.092825898875</v>
      </c>
      <c r="D5756" s="13"/>
      <c r="E5756" s="13"/>
      <c r="F5756" s="13"/>
      <c r="G5756" s="13"/>
      <c r="H5756" s="13"/>
      <c r="I5756" s="13"/>
      <c r="J5756" s="13"/>
      <c r="K5756" s="13"/>
      <c r="L5756" s="13"/>
      <c r="M5756" s="13"/>
      <c r="N5756" s="13"/>
      <c r="O5756" s="13"/>
    </row>
    <row r="5757" customFormat="false" ht="17.15" hidden="false" customHeight="false" outlineLevel="0" collapsed="false">
      <c r="A5757" s="5" t="s">
        <v>888</v>
      </c>
      <c r="B5757" s="0" t="s">
        <v>27</v>
      </c>
      <c r="C5757" s="30" t="n">
        <f aca="false">0.45*Sens!$C$5738+0.55*Sens!$C$5755</f>
        <v>168.928914752141</v>
      </c>
    </row>
    <row r="5760" customFormat="false" ht="19.4" hidden="false" customHeight="false" outlineLevel="0" collapsed="false">
      <c r="A5760" s="31" t="s">
        <v>1168</v>
      </c>
    </row>
    <row r="5761" customFormat="false" ht="17.15" hidden="false" customHeight="false" outlineLevel="0" collapsed="false">
      <c r="A5761" s="6" t="s">
        <v>16</v>
      </c>
      <c r="B5761" s="6" t="s">
        <v>17</v>
      </c>
      <c r="C5761" s="20" t="s">
        <v>457</v>
      </c>
      <c r="D5761" s="20" t="s">
        <v>458</v>
      </c>
      <c r="E5761" s="20" t="s">
        <v>540</v>
      </c>
      <c r="F5761" s="20" t="s">
        <v>541</v>
      </c>
      <c r="G5761" s="20" t="s">
        <v>542</v>
      </c>
      <c r="H5761" s="20" t="s">
        <v>543</v>
      </c>
      <c r="I5761" s="20" t="s">
        <v>544</v>
      </c>
      <c r="J5761" s="20" t="s">
        <v>545</v>
      </c>
      <c r="K5761" s="20" t="s">
        <v>546</v>
      </c>
      <c r="L5761" s="20" t="s">
        <v>547</v>
      </c>
      <c r="M5761" s="20" t="s">
        <v>548</v>
      </c>
      <c r="N5761" s="20" t="s">
        <v>549</v>
      </c>
      <c r="O5761" s="20" t="s">
        <v>550</v>
      </c>
      <c r="P5761" s="6" t="s">
        <v>23</v>
      </c>
      <c r="R5761" s="20" t="n">
        <v>2023</v>
      </c>
      <c r="S5761" s="20" t="n">
        <v>2024</v>
      </c>
      <c r="T5761" s="20" t="n">
        <v>2025</v>
      </c>
      <c r="U5761" s="20" t="n">
        <v>2026</v>
      </c>
      <c r="V5761" s="20" t="n">
        <v>2027</v>
      </c>
      <c r="W5761" s="20" t="n">
        <v>2028</v>
      </c>
      <c r="X5761" s="20" t="n">
        <v>2029</v>
      </c>
      <c r="Y5761" s="20" t="n">
        <v>2030</v>
      </c>
      <c r="Z5761" s="20" t="n">
        <v>2031</v>
      </c>
      <c r="AA5761" s="20" t="n">
        <v>2032</v>
      </c>
    </row>
    <row r="5762" customFormat="false" ht="17.15" hidden="false" customHeight="false" outlineLevel="0" collapsed="false">
      <c r="A5762" s="1" t="s">
        <v>620</v>
      </c>
    </row>
    <row r="5763" customFormat="false" ht="17.15" hidden="false" customHeight="false" outlineLevel="0" collapsed="false">
      <c r="A5763" s="0" t="s">
        <v>479</v>
      </c>
      <c r="B5763" s="0" t="s">
        <v>73</v>
      </c>
      <c r="C5763" s="38" t="n">
        <f aca="false">Q!$D$10</f>
        <v>247.029</v>
      </c>
      <c r="D5763" s="38" t="n">
        <f aca="false">Q!$E$10</f>
        <v>269.287</v>
      </c>
      <c r="E5763" s="38" t="n">
        <f aca="false">Q!$P$10</f>
        <v>134.686</v>
      </c>
      <c r="F5763" s="38" t="n">
        <f aca="false">Sens!$O$5763*(1+Sens!$F$5764)-pd_amt*Q!$O$10/(Q!$O$10+Q!$O$12)</f>
        <v>160.728085930082</v>
      </c>
      <c r="G5763" s="38" t="n">
        <f aca="false">Sens!$E$5763+Sens!$F$5763</f>
        <v>295.414085930082</v>
      </c>
      <c r="H5763" s="38" t="n">
        <f aca="false">Sens!$G$5763*(1+Sens!$H$5764)</f>
        <v>320.828163943375</v>
      </c>
      <c r="I5763" s="38" t="n">
        <f aca="false">Sens!$H$5763*(1+Sens!$I$5764)</f>
        <v>344.575578072228</v>
      </c>
      <c r="J5763" s="38" t="n">
        <f aca="false">Sens!$I$5763*(1+Sens!$J$5764)</f>
        <v>365.942555779681</v>
      </c>
      <c r="K5763" s="38" t="n">
        <f aca="false">Sens!$J$5763*(1+Sens!$K$5764)</f>
        <v>384.239683568665</v>
      </c>
      <c r="L5763" s="38" t="n">
        <f aca="false">Sens!$K$5763*(1+Sens!$L$5764)</f>
        <v>403.451667747098</v>
      </c>
      <c r="M5763" s="38" t="n">
        <f aca="false">Sens!$L$5763*(1+Sens!$M$5764)</f>
        <v>423.624251134453</v>
      </c>
      <c r="N5763" s="38" t="n">
        <f aca="false">Q!$N$10</f>
        <v>118.892</v>
      </c>
      <c r="O5763" s="38" t="n">
        <f aca="false">Q!$O$10</f>
        <v>150.395</v>
      </c>
      <c r="P5763" s="8" t="s">
        <v>621</v>
      </c>
    </row>
    <row r="5764" customFormat="false" ht="17.15" hidden="false" customHeight="false" outlineLevel="0" collapsed="false">
      <c r="A5764" s="0" t="s">
        <v>622</v>
      </c>
      <c r="B5764" s="0" t="s">
        <v>52</v>
      </c>
      <c r="E5764" s="12" t="n">
        <f aca="false">Sens!$E$5763/Sens!$N$5763-1</f>
        <v>0.132843252699929</v>
      </c>
      <c r="F5764" s="12" t="n">
        <f aca="false">Sens!$O$5763/(Q!$F$10+Q!$G$10)-1</f>
        <v>0.0980382135842941</v>
      </c>
      <c r="G5764" s="12" t="n">
        <f aca="false">Sens!$G$5763/Sens!$D$5763-1</f>
        <v>0.0970231980380869</v>
      </c>
      <c r="H5764" s="12" t="n">
        <f aca="false">Sens!$F$5764+(g_os-Sens!$F$5764)*1/4</f>
        <v>0.0860286601882206</v>
      </c>
      <c r="I5764" s="12" t="n">
        <f aca="false">Sens!$F$5764+(g_os-Sens!$F$5764)*2/4</f>
        <v>0.074019106792147</v>
      </c>
      <c r="J5764" s="12" t="n">
        <f aca="false">Sens!$F$5764+(g_os-Sens!$F$5764)*3/4</f>
        <v>0.0620095533960735</v>
      </c>
      <c r="K5764" s="12" t="n">
        <f aca="false">Sens!$F$5764+(g_os-Sens!$F$5764)*4/4</f>
        <v>0.05</v>
      </c>
      <c r="L5764" s="12" t="n">
        <f aca="false">g_os</f>
        <v>0.05</v>
      </c>
      <c r="M5764" s="12" t="n">
        <f aca="false">g_os</f>
        <v>0.05</v>
      </c>
      <c r="P5764" s="8" t="s">
        <v>623</v>
      </c>
    </row>
    <row r="5765" customFormat="false" ht="17.15" hidden="false" customHeight="false" outlineLevel="0" collapsed="false">
      <c r="A5765" s="0" t="s">
        <v>480</v>
      </c>
      <c r="B5765" s="0" t="s">
        <v>73</v>
      </c>
      <c r="C5765" s="38" t="n">
        <f aca="false">Q!$D$11</f>
        <v>21.215</v>
      </c>
      <c r="D5765" s="38" t="n">
        <f aca="false">Q!$E$11</f>
        <v>22.561</v>
      </c>
      <c r="E5765" s="38" t="n">
        <f aca="false">Q!$P$11</f>
        <v>11.579</v>
      </c>
      <c r="F5765" s="38" t="n">
        <f aca="false">Sens!$O$5765*(1+Sens!$F$5766)</f>
        <v>12.0952613121125</v>
      </c>
      <c r="G5765" s="38" t="n">
        <f aca="false">Sens!$E$5765+Sens!$F$5765</f>
        <v>23.6742613121125</v>
      </c>
      <c r="H5765" s="38" t="n">
        <f aca="false">Sens!$G$5765*(1+Sens!$H$5766)</f>
        <v>24.8803243963206</v>
      </c>
      <c r="I5765" s="38" t="n">
        <f aca="false">Sens!$H$5765*(1+Sens!$I$5766)</f>
        <v>25.9741308664154</v>
      </c>
      <c r="J5765" s="38" t="n">
        <f aca="false">Sens!$I$5765*(1+Sens!$J$5766)</f>
        <v>26.9346894124267</v>
      </c>
      <c r="K5765" s="38" t="n">
        <f aca="false">Sens!$J$5765*(1+Sens!$K$5766)</f>
        <v>27.7427300947995</v>
      </c>
      <c r="L5765" s="38" t="n">
        <f aca="false">Sens!$K$5765*(1+Sens!$L$5766)</f>
        <v>28.5750119976435</v>
      </c>
      <c r="M5765" s="38" t="n">
        <f aca="false">Sens!$L$5765*(1+Sens!$M$5766)</f>
        <v>29.4322623575728</v>
      </c>
      <c r="N5765" s="38" t="n">
        <f aca="false">Q!$N$11</f>
        <v>11.128</v>
      </c>
      <c r="O5765" s="38" t="n">
        <f aca="false">Q!$O$11</f>
        <v>11.433</v>
      </c>
      <c r="P5765" s="8" t="s">
        <v>621</v>
      </c>
    </row>
    <row r="5766" customFormat="false" ht="17.15" hidden="false" customHeight="false" outlineLevel="0" collapsed="false">
      <c r="A5766" s="0" t="s">
        <v>624</v>
      </c>
      <c r="B5766" s="0" t="s">
        <v>52</v>
      </c>
      <c r="E5766" s="12" t="n">
        <f aca="false">Sens!$E$5765/Sens!$N$5765-1</f>
        <v>0.0405283968368082</v>
      </c>
      <c r="F5766" s="12" t="n">
        <f aca="false">Sens!$O$5765/(Q!$F$11+Q!$G$11)-1</f>
        <v>0.0579254187100955</v>
      </c>
      <c r="G5766" s="12" t="n">
        <f aca="false">Sens!$G$5765/Sens!$D$5765-1</f>
        <v>0.0493445021103904</v>
      </c>
      <c r="H5766" s="12" t="n">
        <f aca="false">Sens!$F$5766+(g_ps-Sens!$F$5766)*1/4</f>
        <v>0.0509440640325716</v>
      </c>
      <c r="I5766" s="12" t="n">
        <f aca="false">Sens!$F$5766+(g_ps-Sens!$F$5766)*2/4</f>
        <v>0.0439627093550477</v>
      </c>
      <c r="J5766" s="12" t="n">
        <f aca="false">Sens!$F$5766+(g_ps-Sens!$F$5766)*3/4</f>
        <v>0.0369813546775239</v>
      </c>
      <c r="K5766" s="12" t="n">
        <f aca="false">Sens!$F$5766+(g_ps-Sens!$F$5766)*4/4</f>
        <v>0.03</v>
      </c>
      <c r="L5766" s="12" t="n">
        <f aca="false">g_ps</f>
        <v>0.03</v>
      </c>
      <c r="M5766" s="12" t="n">
        <f aca="false">g_ps</f>
        <v>0.03</v>
      </c>
      <c r="P5766" s="8" t="s">
        <v>625</v>
      </c>
    </row>
    <row r="5767" customFormat="false" ht="17.15" hidden="false" customHeight="false" outlineLevel="0" collapsed="false">
      <c r="A5767" s="0" t="s">
        <v>481</v>
      </c>
      <c r="B5767" s="0" t="s">
        <v>73</v>
      </c>
      <c r="C5767" s="38" t="n">
        <f aca="false">Q!$D$12</f>
        <v>156.146</v>
      </c>
      <c r="D5767" s="38" t="n">
        <f aca="false">Q!$E$12</f>
        <v>172.162</v>
      </c>
      <c r="E5767" s="38" t="n">
        <f aca="false">Q!$P$12</f>
        <v>88.358</v>
      </c>
      <c r="F5767" s="38" t="n">
        <f aca="false">Sens!$O$5767*(1+Sens!$F$5768)-pd_amt*Q!$O$12/(Q!$O$10+Q!$O$12)</f>
        <v>103.62028337149</v>
      </c>
      <c r="G5767" s="38" t="n">
        <f aca="false">Sens!$E$5767+Sens!$F$5767</f>
        <v>191.97828337149</v>
      </c>
      <c r="H5767" s="38" t="n">
        <f aca="false">Sens!$G$5767*(1+Sens!$H$5768)</f>
        <v>212.128608444755</v>
      </c>
      <c r="I5767" s="38" t="n">
        <f aca="false">Sens!$H$5767*(1+Sens!$I$5768)</f>
        <v>231.92183134134</v>
      </c>
      <c r="J5767" s="38" t="n">
        <f aca="false">Sens!$I$5767*(1+Sens!$J$5768)</f>
        <v>250.859136487863</v>
      </c>
      <c r="K5767" s="38" t="n">
        <f aca="false">Sens!$J$5767*(1+Sens!$K$5768)</f>
        <v>268.419276042014</v>
      </c>
      <c r="L5767" s="38" t="n">
        <f aca="false">Sens!$K$5767*(1+Sens!$L$5768)</f>
        <v>287.208625364954</v>
      </c>
      <c r="M5767" s="38" t="n">
        <f aca="false">Sens!$L$5767*(1+Sens!$M$5768)</f>
        <v>307.313229140501</v>
      </c>
      <c r="N5767" s="38" t="n">
        <f aca="false">Q!$N$12</f>
        <v>76.86</v>
      </c>
      <c r="O5767" s="38" t="n">
        <f aca="false">Q!$O$12</f>
        <v>95.302</v>
      </c>
      <c r="P5767" s="8" t="s">
        <v>621</v>
      </c>
    </row>
    <row r="5768" customFormat="false" ht="17.15" hidden="false" customHeight="false" outlineLevel="0" collapsed="false">
      <c r="A5768" s="0" t="s">
        <v>626</v>
      </c>
      <c r="B5768" s="0" t="s">
        <v>52</v>
      </c>
      <c r="E5768" s="12" t="n">
        <f aca="false">Sens!$E$5767/Sens!$N$5767-1</f>
        <v>0.1495966692688</v>
      </c>
      <c r="F5768" s="12" t="n">
        <f aca="false">Sens!$O$5767/(Q!$F$12+Q!$G$12)-1</f>
        <v>0.11661530890813</v>
      </c>
      <c r="G5768" s="12" t="n">
        <f aca="false">Sens!$G$5767/Sens!$D$5767-1</f>
        <v>0.115102539303041</v>
      </c>
      <c r="H5768" s="12" t="n">
        <f aca="false">Sens!$F$5768+(g_sp-Sens!$F$5768)*1/4</f>
        <v>0.104961481681098</v>
      </c>
      <c r="I5768" s="12" t="n">
        <f aca="false">Sens!$F$5768+(g_sp-Sens!$F$5768)*2/4</f>
        <v>0.0933076544540651</v>
      </c>
      <c r="J5768" s="12" t="n">
        <f aca="false">Sens!$F$5768+(g_sp-Sens!$F$5768)*3/4</f>
        <v>0.0816538272270325</v>
      </c>
      <c r="K5768" s="12" t="n">
        <f aca="false">Sens!$F$5768+(g_sp-Sens!$F$5768)*4/4</f>
        <v>0.07</v>
      </c>
      <c r="L5768" s="12" t="n">
        <f aca="false">g_sp</f>
        <v>0.07</v>
      </c>
      <c r="M5768" s="12" t="n">
        <f aca="false">g_sp</f>
        <v>0.07</v>
      </c>
      <c r="P5768" s="8" t="s">
        <v>627</v>
      </c>
    </row>
    <row r="5769" customFormat="false" ht="17.15" hidden="false" customHeight="false" outlineLevel="0" collapsed="false">
      <c r="A5769" s="0" t="s">
        <v>482</v>
      </c>
      <c r="B5769" s="0" t="s">
        <v>73</v>
      </c>
      <c r="C5769" s="38" t="n">
        <f aca="false">Q!$D$13</f>
        <v>56.214</v>
      </c>
      <c r="D5769" s="38" t="n">
        <f aca="false">Q!$E$13</f>
        <v>68.635</v>
      </c>
      <c r="E5769" s="38" t="n">
        <f aca="false">Q!$P$13</f>
        <v>37.052</v>
      </c>
      <c r="F5769" s="38" t="n">
        <f aca="false">Sens!$O$5769*(1+Sens!$F$5770)</f>
        <v>48.1533381827382</v>
      </c>
      <c r="G5769" s="38" t="n">
        <f aca="false">Sens!$E$5769+Sens!$F$5769</f>
        <v>85.2053381827382</v>
      </c>
      <c r="H5769" s="38" t="n">
        <f aca="false">Sens!$G$5769*(1+Sens!$H$5770)</f>
        <v>102.29336185894</v>
      </c>
      <c r="I5769" s="38" t="n">
        <f aca="false">Sens!$H$5769*(1+Sens!$I$5770)</f>
        <v>119.379837585241</v>
      </c>
      <c r="J5769" s="38" t="n">
        <f aca="false">Sens!$I$5769*(1+Sens!$J$5770)</f>
        <v>135.319079048844</v>
      </c>
      <c r="K5769" s="38" t="n">
        <f aca="false">Sens!$J$5769*(1+Sens!$K$5770)</f>
        <v>148.850986953729</v>
      </c>
      <c r="L5769" s="38" t="n">
        <f aca="false">Sens!$K$5769*(1+Sens!$L$5770)</f>
        <v>163.736085649102</v>
      </c>
      <c r="M5769" s="38" t="n">
        <f aca="false">Sens!$L$5769*(1+Sens!$M$5770)</f>
        <v>180.109694214012</v>
      </c>
      <c r="N5769" s="38" t="n">
        <f aca="false">Q!$N$13</f>
        <v>29.615</v>
      </c>
      <c r="O5769" s="38" t="n">
        <f aca="false">Q!$O$13</f>
        <v>39.02</v>
      </c>
      <c r="P5769" s="8" t="s">
        <v>621</v>
      </c>
    </row>
    <row r="5770" customFormat="false" ht="17.15" hidden="false" customHeight="false" outlineLevel="0" collapsed="false">
      <c r="A5770" s="0" t="s">
        <v>628</v>
      </c>
      <c r="B5770" s="0" t="s">
        <v>52</v>
      </c>
      <c r="E5770" s="12" t="n">
        <f aca="false">Sens!$E$5769/Sens!$N$5769-1</f>
        <v>0.25112274185379</v>
      </c>
      <c r="F5770" s="12" t="n">
        <f aca="false">Sens!$O$5769/(Q!$F$13+Q!$G$13)-1</f>
        <v>0.234068123596572</v>
      </c>
      <c r="G5770" s="12" t="n">
        <f aca="false">Sens!$G$5769/Sens!$D$5769-1</f>
        <v>0.241426942270536</v>
      </c>
      <c r="H5770" s="12" t="n">
        <f aca="false">Sens!$F$5770+(g_ad-Sens!$F$5770)*1/4</f>
        <v>0.200551092697429</v>
      </c>
      <c r="I5770" s="12" t="n">
        <f aca="false">Sens!$F$5770+(g_ad-Sens!$F$5770)*2/4</f>
        <v>0.167034061798286</v>
      </c>
      <c r="J5770" s="12" t="n">
        <f aca="false">Sens!$F$5770+(g_ad-Sens!$F$5770)*3/4</f>
        <v>0.133517030899143</v>
      </c>
      <c r="K5770" s="12" t="n">
        <f aca="false">Sens!$F$5770+(g_ad-Sens!$F$5770)*4/4</f>
        <v>0.1</v>
      </c>
      <c r="L5770" s="12" t="n">
        <f aca="false">g_ad</f>
        <v>0.1</v>
      </c>
      <c r="M5770" s="12" t="n">
        <f aca="false">g_ad</f>
        <v>0.1</v>
      </c>
      <c r="P5770" s="8" t="s">
        <v>629</v>
      </c>
    </row>
    <row r="5771" customFormat="false" ht="17.15" hidden="false" customHeight="false" outlineLevel="0" collapsed="false">
      <c r="A5771" s="0" t="s">
        <v>483</v>
      </c>
      <c r="B5771" s="0" t="s">
        <v>73</v>
      </c>
      <c r="C5771" s="38" t="n">
        <f aca="false">Q!$D$14</f>
        <v>44.374</v>
      </c>
      <c r="D5771" s="38" t="n">
        <f aca="false">Q!$E$14</f>
        <v>49.619</v>
      </c>
      <c r="E5771" s="38" t="n">
        <f aca="false">Q!$P$14</f>
        <v>27.157</v>
      </c>
      <c r="F5771" s="38" t="n">
        <f aca="false">Sens!$O$5771*(1+Sens!$F$5772)</f>
        <v>28.9776360923374</v>
      </c>
      <c r="G5771" s="38" t="n">
        <f aca="false">Sens!$E$5771+Sens!$F$5771</f>
        <v>56.1346360923374</v>
      </c>
      <c r="H5771" s="38" t="n">
        <f aca="false">Sens!$G$5771*(1+Sens!$H$5772)</f>
        <v>62.4937078946075</v>
      </c>
      <c r="I5771" s="38" t="n">
        <f aca="false">Sens!$H$5771*(1+Sens!$I$5772)</f>
        <v>68.6715233062498</v>
      </c>
      <c r="J5771" s="38" t="n">
        <f aca="false">Sens!$I$5771*(1+Sens!$J$5772)</f>
        <v>74.4692882949818</v>
      </c>
      <c r="K5771" s="38" t="n">
        <f aca="false">Sens!$J$5771*(1+Sens!$K$5772)</f>
        <v>79.6821384756306</v>
      </c>
      <c r="L5771" s="38" t="n">
        <f aca="false">Sens!$K$5771*(1+Sens!$L$5772)</f>
        <v>85.2598881689247</v>
      </c>
      <c r="M5771" s="38" t="n">
        <f aca="false">Sens!$L$5771*(1+Sens!$M$5772)</f>
        <v>91.2280803407494</v>
      </c>
      <c r="N5771" s="38" t="n">
        <f aca="false">Q!$N$14</f>
        <v>23.923</v>
      </c>
      <c r="O5771" s="38" t="n">
        <f aca="false">Q!$O$14</f>
        <v>25.696</v>
      </c>
      <c r="P5771" s="8" t="s">
        <v>621</v>
      </c>
    </row>
    <row r="5772" customFormat="false" ht="17.15" hidden="false" customHeight="false" outlineLevel="0" collapsed="false">
      <c r="A5772" s="0" t="s">
        <v>630</v>
      </c>
      <c r="B5772" s="0" t="s">
        <v>52</v>
      </c>
      <c r="E5772" s="12" t="n">
        <f aca="false">Sens!$E$5771/Sens!$N$5771-1</f>
        <v>0.135183714417088</v>
      </c>
      <c r="F5772" s="12" t="n">
        <f aca="false">Sens!$O$5771/(Q!$F$14+Q!$G$14)-1</f>
        <v>0.127709997366804</v>
      </c>
      <c r="G5772" s="12" t="n">
        <f aca="false">Sens!$G$5771/Sens!$D$5771-1</f>
        <v>0.131313329416905</v>
      </c>
      <c r="H5772" s="12" t="n">
        <f aca="false">Sens!$F$5772+(g_sub-Sens!$F$5772)*1/4</f>
        <v>0.113282498025103</v>
      </c>
      <c r="I5772" s="12" t="n">
        <f aca="false">Sens!$F$5772+(g_sub-Sens!$F$5772)*2/4</f>
        <v>0.0988549986834021</v>
      </c>
      <c r="J5772" s="12" t="n">
        <f aca="false">Sens!$F$5772+(g_sub-Sens!$F$5772)*3/4</f>
        <v>0.084427499341701</v>
      </c>
      <c r="K5772" s="12" t="n">
        <f aca="false">Sens!$F$5772+(g_sub-Sens!$F$5772)*4/4</f>
        <v>0.07</v>
      </c>
      <c r="L5772" s="12" t="n">
        <f aca="false">g_sub</f>
        <v>0.07</v>
      </c>
      <c r="M5772" s="12" t="n">
        <f aca="false">g_sub</f>
        <v>0.07</v>
      </c>
      <c r="P5772" s="8" t="s">
        <v>631</v>
      </c>
    </row>
    <row r="5773" customFormat="false" ht="17.15" hidden="false" customHeight="false" outlineLevel="0" collapsed="false">
      <c r="A5773" s="0" t="s">
        <v>484</v>
      </c>
      <c r="B5773" s="0" t="s">
        <v>73</v>
      </c>
      <c r="C5773" s="38" t="n">
        <f aca="false">Q!$D$15</f>
        <v>5.425</v>
      </c>
      <c r="D5773" s="38" t="n">
        <f aca="false">Q!$E$15</f>
        <v>5.935</v>
      </c>
      <c r="E5773" s="38" t="n">
        <f aca="false">Q!$P$15</f>
        <v>3.474</v>
      </c>
      <c r="F5773" s="38" t="n">
        <f aca="false">Sens!$O$5773*(1+Sens!$F$5774)</f>
        <v>3.36182431966931</v>
      </c>
      <c r="G5773" s="38" t="n">
        <f aca="false">Sens!$E$5773+Sens!$F$5773</f>
        <v>6.83582431966931</v>
      </c>
      <c r="H5773" s="38" t="n">
        <f aca="false">Sens!$G$5773*(1+Sens!$H$5774)</f>
        <v>7.31157108370141</v>
      </c>
      <c r="I5773" s="38" t="n">
        <f aca="false">Sens!$H$5773*(1+Sens!$I$5774)</f>
        <v>7.77266852639815</v>
      </c>
      <c r="J5773" s="38" t="n">
        <f aca="false">Sens!$I$5773*(1+Sens!$J$5774)</f>
        <v>8.2120733019884</v>
      </c>
      <c r="K5773" s="38" t="n">
        <f aca="false">Sens!$J$5773*(1+Sens!$K$5774)</f>
        <v>8.62267696708783</v>
      </c>
      <c r="L5773" s="38" t="n">
        <f aca="false">Sens!$K$5773*(1+Sens!$L$5774)</f>
        <v>9.05381081544222</v>
      </c>
      <c r="M5773" s="38" t="n">
        <f aca="false">Sens!$L$5773*(1+Sens!$M$5774)</f>
        <v>9.50650135621433</v>
      </c>
      <c r="N5773" s="38" t="n">
        <f aca="false">Q!$N$15</f>
        <v>2.811</v>
      </c>
      <c r="O5773" s="38" t="n">
        <f aca="false">Q!$O$15</f>
        <v>3.124</v>
      </c>
      <c r="P5773" s="8" t="s">
        <v>621</v>
      </c>
    </row>
    <row r="5774" customFormat="false" ht="17.15" hidden="false" customHeight="false" outlineLevel="0" collapsed="false">
      <c r="A5774" s="0" t="s">
        <v>632</v>
      </c>
      <c r="B5774" s="0" t="s">
        <v>52</v>
      </c>
      <c r="E5774" s="12" t="n">
        <f aca="false">Sens!$E$5773/Sens!$N$5773-1</f>
        <v>0.235859124866596</v>
      </c>
      <c r="F5774" s="12" t="n">
        <f aca="false">Sens!$O$5773/(Q!$F$15+Q!$G$15)-1</f>
        <v>0.0761281433000345</v>
      </c>
      <c r="G5774" s="12" t="n">
        <f aca="false">Sens!$G$5773/Sens!$D$5773-1</f>
        <v>0.151781688234087</v>
      </c>
      <c r="H5774" s="12" t="n">
        <f aca="false">Sens!$F$5774+(g_ot-Sens!$F$5774)*1/4</f>
        <v>0.0695961074750259</v>
      </c>
      <c r="I5774" s="12" t="n">
        <f aca="false">Sens!$F$5774+(g_ot-Sens!$F$5774)*2/4</f>
        <v>0.0630640716500172</v>
      </c>
      <c r="J5774" s="12" t="n">
        <f aca="false">Sens!$F$5774+(g_ot-Sens!$F$5774)*3/4</f>
        <v>0.0565320358250086</v>
      </c>
      <c r="K5774" s="12" t="n">
        <f aca="false">Sens!$F$5774+(g_ot-Sens!$F$5774)*4/4</f>
        <v>0.05</v>
      </c>
      <c r="L5774" s="12" t="n">
        <f aca="false">g_ot</f>
        <v>0.05</v>
      </c>
      <c r="M5774" s="12" t="n">
        <f aca="false">g_ot</f>
        <v>0.05</v>
      </c>
      <c r="P5774" s="8" t="s">
        <v>633</v>
      </c>
    </row>
    <row r="5775" customFormat="false" ht="17.15" hidden="false" customHeight="false" outlineLevel="0" collapsed="false">
      <c r="A5775" s="3" t="s">
        <v>634</v>
      </c>
      <c r="B5775" s="8" t="s">
        <v>73</v>
      </c>
      <c r="C5775" s="38" t="n">
        <f aca="false">Sens!$C$5763+Sens!$C$5765+Sens!$C$5767+Sens!$C$5769+Sens!$C$5771+Sens!$C$5773</f>
        <v>530.403</v>
      </c>
      <c r="D5775" s="38" t="n">
        <f aca="false">Sens!$D$5763+Sens!$D$5765+Sens!$D$5767+Sens!$D$5769+Sens!$D$5771+Sens!$D$5773</f>
        <v>588.199</v>
      </c>
      <c r="E5775" s="38" t="n">
        <f aca="false">Sens!$E$5763+Sens!$E$5765+Sens!$E$5767+Sens!$E$5769+Sens!$E$5771+Sens!$E$5773</f>
        <v>302.306</v>
      </c>
      <c r="F5775" s="38" t="n">
        <f aca="false">Sens!$F$5763+Sens!$F$5765+Sens!$F$5767+Sens!$F$5769+Sens!$F$5771+Sens!$F$5773</f>
        <v>356.93642920843</v>
      </c>
      <c r="G5775" s="38" t="n">
        <f aca="false">Sens!$G$5763+Sens!$G$5765+Sens!$G$5767+Sens!$G$5769+Sens!$G$5771+Sens!$G$5773</f>
        <v>659.24242920843</v>
      </c>
      <c r="H5775" s="38" t="n">
        <f aca="false">Sens!$H$5763+Sens!$H$5765+Sens!$H$5767+Sens!$H$5769+Sens!$H$5771+Sens!$H$5773</f>
        <v>729.935737621701</v>
      </c>
      <c r="I5775" s="38" t="n">
        <f aca="false">Sens!$I$5763+Sens!$I$5765+Sens!$I$5767+Sens!$I$5769+Sens!$I$5771+Sens!$I$5773</f>
        <v>798.295569697873</v>
      </c>
      <c r="J5775" s="38" t="n">
        <f aca="false">Sens!$J$5763+Sens!$J$5765+Sens!$J$5767+Sens!$J$5769+Sens!$J$5771+Sens!$J$5773</f>
        <v>861.736822325785</v>
      </c>
      <c r="K5775" s="38" t="n">
        <f aca="false">Sens!$K$5763+Sens!$K$5765+Sens!$K$5767+Sens!$K$5769+Sens!$K$5771+Sens!$K$5773</f>
        <v>917.557492101925</v>
      </c>
      <c r="L5775" s="38" t="n">
        <f aca="false">Sens!$L$5763+Sens!$L$5765+Sens!$L$5767+Sens!$L$5769+Sens!$L$5771+Sens!$L$5773</f>
        <v>977.285089743165</v>
      </c>
      <c r="M5775" s="38" t="n">
        <f aca="false">Sens!$M$5763+Sens!$M$5765+Sens!$M$5767+Sens!$M$5769+Sens!$M$5771+Sens!$M$5773</f>
        <v>1041.2140185435</v>
      </c>
      <c r="N5775" s="38" t="n">
        <f aca="false">Sens!$N$5763+Sens!$N$5765+Sens!$N$5767+Sens!$N$5769+Sens!$N$5771+Sens!$N$5773</f>
        <v>263.229</v>
      </c>
      <c r="O5775" s="38" t="n">
        <f aca="false">Sens!$O$5763+Sens!$O$5765+Sens!$O$5767+Sens!$O$5769+Sens!$O$5771+Sens!$O$5773</f>
        <v>324.97</v>
      </c>
    </row>
    <row r="5776" customFormat="false" ht="17.15" hidden="false" customHeight="false" outlineLevel="0" collapsed="false">
      <c r="A5776" s="5" t="s">
        <v>635</v>
      </c>
      <c r="B5776" s="0" t="s">
        <v>52</v>
      </c>
      <c r="C5776" s="12" t="n">
        <f aca="false">Q!$D$5/(Q!$D$5+Q!$D$6)</f>
        <v>0.730570905519011</v>
      </c>
      <c r="D5776" s="12" t="n">
        <f aca="false">Q!$E$5/(Q!$E$5+Q!$E$6)</f>
        <v>0.724763217890544</v>
      </c>
      <c r="E5776" s="12" t="n">
        <f aca="false">Q!$P$5/(Q!$P$5+Q!$P$6)</f>
        <v>0.728797972914861</v>
      </c>
      <c r="F5776" s="12" t="n">
        <f aca="false">Sens!$O$5776</f>
        <v>0.718066283041511</v>
      </c>
      <c r="G5776" s="12" t="n">
        <f aca="false">Sens!$G$5777/Sens!$G$5775</f>
        <v>0.722987468473627</v>
      </c>
      <c r="H5776" s="12" t="n">
        <f aca="false">Sens!$G$5776</f>
        <v>0.722987468473627</v>
      </c>
      <c r="I5776" s="12" t="n">
        <f aca="false">Sens!$G$5776</f>
        <v>0.722987468473627</v>
      </c>
      <c r="J5776" s="12" t="n">
        <f aca="false">Sens!$G$5776</f>
        <v>0.722987468473627</v>
      </c>
      <c r="K5776" s="12" t="n">
        <f aca="false">Sens!$G$5776</f>
        <v>0.722987468473627</v>
      </c>
      <c r="L5776" s="12" t="n">
        <f aca="false">Sens!$G$5776</f>
        <v>0.722987468473627</v>
      </c>
      <c r="M5776" s="12" t="n">
        <f aca="false">Sens!$G$5776</f>
        <v>0.722987468473627</v>
      </c>
      <c r="N5776" s="12" t="n">
        <f aca="false">Q!$N$5/(Q!$N$5+Q!$N$6)</f>
        <v>0.733030935041352</v>
      </c>
      <c r="O5776" s="12" t="n">
        <f aca="false">Q!$O$5/(Q!$O$5+Q!$O$6)</f>
        <v>0.718066283041511</v>
      </c>
      <c r="P5776" s="8" t="s">
        <v>636</v>
      </c>
    </row>
    <row r="5777" customFormat="false" ht="17.15" hidden="false" customHeight="false" outlineLevel="0" collapsed="false">
      <c r="A5777" s="1" t="s">
        <v>472</v>
      </c>
      <c r="B5777" s="8" t="s">
        <v>73</v>
      </c>
      <c r="C5777" s="38" t="n">
        <f aca="false">Q!$D$5</f>
        <v>387.497</v>
      </c>
      <c r="D5777" s="38" t="n">
        <f aca="false">Q!$E$5</f>
        <v>426.305</v>
      </c>
      <c r="E5777" s="38" t="n">
        <f aca="false">Q!$P$5</f>
        <v>220.32</v>
      </c>
      <c r="F5777" s="38" t="n">
        <f aca="false">Sens!$F$5775*Sens!$F$5776</f>
        <v>256.304015003807</v>
      </c>
      <c r="G5777" s="38" t="n">
        <f aca="false">Sens!$E$5777+Sens!$F$5777</f>
        <v>476.624015003807</v>
      </c>
      <c r="H5777" s="38" t="n">
        <f aca="false">Sens!$H$5775*Sens!$H$5776</f>
        <v>527.734391091543</v>
      </c>
      <c r="I5777" s="38" t="n">
        <f aca="false">Sens!$I$5775*Sens!$I$5776</f>
        <v>577.157693029577</v>
      </c>
      <c r="J5777" s="38" t="n">
        <f aca="false">Sens!$J$5775*Sens!$J$5776</f>
        <v>623.024923663827</v>
      </c>
      <c r="K5777" s="38" t="n">
        <f aca="false">Sens!$K$5775*Sens!$K$5776</f>
        <v>663.382568393781</v>
      </c>
      <c r="L5777" s="38" t="n">
        <f aca="false">Sens!$L$5775*Sens!$L$5776</f>
        <v>706.564873010432</v>
      </c>
      <c r="M5777" s="38" t="n">
        <f aca="false">Sens!$M$5775*Sens!$M$5776</f>
        <v>752.784687406019</v>
      </c>
      <c r="N5777" s="38" t="n">
        <f aca="false">Q!$N$5</f>
        <v>192.955</v>
      </c>
      <c r="O5777" s="38" t="n">
        <f aca="false">Q!$O$5</f>
        <v>233.35</v>
      </c>
      <c r="P5777" s="5" t="s">
        <v>637</v>
      </c>
    </row>
    <row r="5778" customFormat="false" ht="17.15" hidden="false" customHeight="false" outlineLevel="0" collapsed="false">
      <c r="A5778" s="1" t="s">
        <v>475</v>
      </c>
      <c r="B5778" s="8" t="s">
        <v>73</v>
      </c>
      <c r="C5778" s="38" t="n">
        <f aca="false">Q!$D$6</f>
        <v>142.906</v>
      </c>
      <c r="D5778" s="38" t="n">
        <f aca="false">Q!$E$6</f>
        <v>161.894</v>
      </c>
      <c r="E5778" s="38" t="n">
        <f aca="false">Q!$P$6</f>
        <v>81.986</v>
      </c>
      <c r="F5778" s="38" t="n">
        <f aca="false">Sens!$F$5775*(1-Sens!$F$5776)</f>
        <v>100.632414204623</v>
      </c>
      <c r="G5778" s="38" t="n">
        <f aca="false">Sens!$E$5778+Sens!$F$5778</f>
        <v>182.618414204623</v>
      </c>
      <c r="H5778" s="38" t="n">
        <f aca="false">Sens!$H$5775*(1-Sens!$H$5776)</f>
        <v>202.201346530158</v>
      </c>
      <c r="I5778" s="38" t="n">
        <f aca="false">Sens!$I$5775*(1-Sens!$I$5776)</f>
        <v>221.137876668296</v>
      </c>
      <c r="J5778" s="38" t="n">
        <f aca="false">Sens!$J$5775*(1-Sens!$J$5776)</f>
        <v>238.711898661958</v>
      </c>
      <c r="K5778" s="38" t="n">
        <f aca="false">Sens!$K$5775*(1-Sens!$K$5776)</f>
        <v>254.174923708144</v>
      </c>
      <c r="L5778" s="38" t="n">
        <f aca="false">Sens!$L$5775*(1-Sens!$L$5776)</f>
        <v>270.720216732733</v>
      </c>
      <c r="M5778" s="38" t="n">
        <f aca="false">Sens!$M$5775*(1-Sens!$M$5776)</f>
        <v>288.429331137484</v>
      </c>
      <c r="N5778" s="38" t="n">
        <f aca="false">Q!$N$6</f>
        <v>70.274</v>
      </c>
      <c r="O5778" s="38" t="n">
        <f aca="false">Q!$O$6</f>
        <v>91.62</v>
      </c>
      <c r="P5778" s="5" t="s">
        <v>638</v>
      </c>
    </row>
    <row r="5779" customFormat="false" ht="17.15" hidden="false" customHeight="false" outlineLevel="0" collapsed="false">
      <c r="A5779" s="5" t="s">
        <v>639</v>
      </c>
      <c r="B5779" s="0" t="s">
        <v>73</v>
      </c>
      <c r="C5779" s="38" t="n">
        <f aca="false">Sens!$C$5769*Sens!$C$5776</f>
        <v>41.0683128828457</v>
      </c>
      <c r="D5779" s="38" t="n">
        <f aca="false">Sens!$D$5769*Sens!$D$5776</f>
        <v>49.7441234599175</v>
      </c>
      <c r="E5779" s="38" t="n">
        <f aca="false">Sens!$E$5769*Sens!$E$5776</f>
        <v>27.0034224924414</v>
      </c>
      <c r="F5779" s="38" t="n">
        <f aca="false">Sens!$F$5769*Sens!$F$5776</f>
        <v>34.5772885649197</v>
      </c>
      <c r="G5779" s="38" t="n">
        <f aca="false">Sens!$G$5769*Sens!$G$5776</f>
        <v>61.6023917531772</v>
      </c>
      <c r="H5779" s="38" t="n">
        <f aca="false">Sens!$H$5769*Sens!$H$5776</f>
        <v>73.9568187320519</v>
      </c>
      <c r="I5779" s="38" t="n">
        <f aca="false">Sens!$I$5769*Sens!$I$5776</f>
        <v>86.3101265625461</v>
      </c>
      <c r="J5779" s="38" t="n">
        <f aca="false">Sens!$J$5769*Sens!$J$5776</f>
        <v>97.8339983977065</v>
      </c>
      <c r="K5779" s="38" t="n">
        <f aca="false">Sens!$K$5769*Sens!$K$5776</f>
        <v>107.617398237477</v>
      </c>
      <c r="L5779" s="38" t="n">
        <f aca="false">Sens!$L$5769*Sens!$L$5776</f>
        <v>118.379138061225</v>
      </c>
      <c r="M5779" s="38" t="n">
        <f aca="false">Sens!$M$5769*Sens!$M$5776</f>
        <v>130.217051867347</v>
      </c>
      <c r="N5779" s="38" t="n">
        <f aca="false">Sens!$N$5769*Sens!$N$5776</f>
        <v>21.7087111412496</v>
      </c>
      <c r="O5779" s="38" t="n">
        <f aca="false">Sens!$O$5769*Sens!$O$5776</f>
        <v>28.0189463642798</v>
      </c>
      <c r="P5779" s="5" t="s">
        <v>640</v>
      </c>
    </row>
    <row r="5780" customFormat="false" ht="15" hidden="false" customHeight="false" outlineLevel="0" collapsed="false">
      <c r="A5780" s="5" t="s">
        <v>641</v>
      </c>
      <c r="B5780" s="0" t="s">
        <v>73</v>
      </c>
      <c r="C5780" s="38" t="n">
        <f aca="false">Sens!$C$5769-Sens!$C$5779</f>
        <v>15.1456871171543</v>
      </c>
      <c r="D5780" s="38" t="n">
        <f aca="false">Sens!$D$5769-Sens!$D$5779</f>
        <v>18.8908765400825</v>
      </c>
      <c r="E5780" s="38" t="n">
        <f aca="false">Sens!$E$5769-Sens!$E$5779</f>
        <v>10.0485775075586</v>
      </c>
      <c r="F5780" s="38" t="n">
        <f aca="false">Sens!$F$5769-Sens!$F$5779</f>
        <v>13.5760496178185</v>
      </c>
      <c r="G5780" s="38" t="n">
        <f aca="false">Sens!$G$5769-Sens!$G$5779</f>
        <v>23.6029464295611</v>
      </c>
      <c r="H5780" s="38" t="n">
        <f aca="false">Sens!$H$5769-Sens!$H$5779</f>
        <v>28.3365431268884</v>
      </c>
      <c r="I5780" s="38" t="n">
        <f aca="false">Sens!$I$5769-Sens!$I$5779</f>
        <v>33.0697110226949</v>
      </c>
      <c r="J5780" s="38" t="n">
        <f aca="false">Sens!$J$5769-Sens!$J$5779</f>
        <v>37.4850806511378</v>
      </c>
      <c r="K5780" s="38" t="n">
        <f aca="false">Sens!$K$5769-Sens!$K$5779</f>
        <v>41.2335887162515</v>
      </c>
      <c r="L5780" s="38" t="n">
        <f aca="false">Sens!$L$5769-Sens!$L$5779</f>
        <v>45.3569475878767</v>
      </c>
      <c r="M5780" s="38" t="n">
        <f aca="false">Sens!$M$5769-Sens!$M$5779</f>
        <v>49.8926423466644</v>
      </c>
      <c r="N5780" s="38" t="n">
        <f aca="false">Sens!$N$5769-Sens!$N$5779</f>
        <v>7.90628885875037</v>
      </c>
      <c r="O5780" s="38" t="n">
        <f aca="false">Sens!$O$5769-Sens!$O$5779</f>
        <v>11.0010536357202</v>
      </c>
    </row>
    <row r="5781" customFormat="false" ht="19.4" hidden="false" customHeight="false" outlineLevel="0" collapsed="false">
      <c r="A5781" s="31" t="s">
        <v>1169</v>
      </c>
    </row>
    <row r="5782" customFormat="false" ht="17.15" hidden="false" customHeight="false" outlineLevel="0" collapsed="false">
      <c r="A5782" s="6" t="s">
        <v>16</v>
      </c>
      <c r="B5782" s="6" t="s">
        <v>17</v>
      </c>
      <c r="C5782" s="20" t="s">
        <v>457</v>
      </c>
      <c r="D5782" s="20" t="s">
        <v>458</v>
      </c>
      <c r="E5782" s="20" t="s">
        <v>540</v>
      </c>
      <c r="F5782" s="20" t="s">
        <v>541</v>
      </c>
      <c r="G5782" s="20" t="s">
        <v>542</v>
      </c>
      <c r="H5782" s="20" t="s">
        <v>543</v>
      </c>
      <c r="I5782" s="20" t="s">
        <v>544</v>
      </c>
      <c r="J5782" s="20" t="s">
        <v>545</v>
      </c>
      <c r="K5782" s="20" t="s">
        <v>546</v>
      </c>
      <c r="L5782" s="20" t="s">
        <v>547</v>
      </c>
      <c r="M5782" s="20" t="s">
        <v>548</v>
      </c>
      <c r="N5782" s="20" t="s">
        <v>549</v>
      </c>
      <c r="O5782" s="20" t="s">
        <v>550</v>
      </c>
      <c r="P5782" s="6" t="s">
        <v>23</v>
      </c>
      <c r="R5782" s="20" t="n">
        <v>2023</v>
      </c>
      <c r="S5782" s="20" t="n">
        <v>2024</v>
      </c>
      <c r="T5782" s="20" t="n">
        <v>2025</v>
      </c>
      <c r="U5782" s="20" t="n">
        <v>2026</v>
      </c>
      <c r="V5782" s="20" t="n">
        <v>2027</v>
      </c>
      <c r="W5782" s="20" t="n">
        <v>2028</v>
      </c>
      <c r="X5782" s="20" t="n">
        <v>2029</v>
      </c>
      <c r="Y5782" s="20" t="n">
        <v>2030</v>
      </c>
      <c r="Z5782" s="20" t="n">
        <v>2031</v>
      </c>
      <c r="AA5782" s="20" t="n">
        <v>2032</v>
      </c>
    </row>
    <row r="5783" customFormat="false" ht="17.15" hidden="false" customHeight="false" outlineLevel="0" collapsed="false">
      <c r="A5783" s="1" t="s">
        <v>551</v>
      </c>
    </row>
    <row r="5784" customFormat="false" ht="17.15" hidden="false" customHeight="false" outlineLevel="0" collapsed="false">
      <c r="A5784" s="14" t="s">
        <v>552</v>
      </c>
      <c r="B5784" s="13" t="s">
        <v>108</v>
      </c>
      <c r="C5784" s="32" t="n">
        <f aca="false">mw_ye24</f>
        <v>360</v>
      </c>
      <c r="D5784" s="32" t="n">
        <f aca="false">mw_ye25</f>
        <v>1440</v>
      </c>
      <c r="E5784" s="32" t="n">
        <f aca="false">mw_open</f>
        <v>2080</v>
      </c>
      <c r="F5784" s="32" t="n">
        <f aca="false">Sens!$E$5784+pace_B*0.5</f>
        <v>3897.15</v>
      </c>
      <c r="G5784" s="32" t="n">
        <f aca="false">Sens!$F$5784</f>
        <v>3897.15</v>
      </c>
      <c r="H5784" s="32" t="n">
        <f aca="false">Sens!$G$5784+pace_B</f>
        <v>7531.45</v>
      </c>
      <c r="I5784" s="32" t="n">
        <f aca="false">Sens!$H$5784+pace_B</f>
        <v>11165.75</v>
      </c>
      <c r="J5784" s="32" t="n">
        <f aca="false">Sens!$I$5784+pace_B</f>
        <v>14800.05</v>
      </c>
      <c r="K5784" s="32" t="n">
        <f aca="false">Sens!$J$5784+pace_B</f>
        <v>18434.35</v>
      </c>
      <c r="L5784" s="32" t="n">
        <f aca="false">Sens!$K$5784+pace_B</f>
        <v>22068.65</v>
      </c>
      <c r="M5784" s="32" t="n">
        <f aca="false">Sens!$L$5784+pace_B</f>
        <v>25702.95</v>
      </c>
      <c r="N5784" s="32" t="n">
        <f aca="false">(mw_ye24+mw_ye25)/2</f>
        <v>900</v>
      </c>
      <c r="O5784" s="32" t="n">
        <f aca="false">mw_ye25</f>
        <v>1440</v>
      </c>
      <c r="P5784" s="5" t="s">
        <v>553</v>
      </c>
    </row>
    <row r="5785" customFormat="false" ht="17.15" hidden="false" customHeight="false" outlineLevel="0" collapsed="false">
      <c r="A5785" s="5" t="s">
        <v>554</v>
      </c>
      <c r="B5785" s="0" t="s">
        <v>108</v>
      </c>
      <c r="C5785" s="33" t="n">
        <f aca="false">(mw_ye23+mw_ye24)/2</f>
        <v>240</v>
      </c>
      <c r="D5785" s="33" t="n">
        <f aca="false">(Sens!$C$5784+Sens!$D$5784)/2</f>
        <v>900</v>
      </c>
      <c r="E5785" s="33" t="n">
        <f aca="false">(Sens!$D$5784+Sens!$E$5784)/2</f>
        <v>1760</v>
      </c>
      <c r="F5785" s="33" t="n">
        <f aca="false">(Sens!$E$5784+Sens!$F$5784)/2</f>
        <v>2988.575</v>
      </c>
      <c r="G5785" s="33" t="n">
        <f aca="false">(Sens!$E$5785+Sens!$F$5785)/2</f>
        <v>2374.2875</v>
      </c>
      <c r="H5785" s="33" t="n">
        <f aca="false">(Sens!$G$5784+Sens!$H$5784)/2</f>
        <v>5714.3</v>
      </c>
      <c r="I5785" s="33" t="n">
        <f aca="false">(Sens!$H$5784+Sens!$I$5784)/2</f>
        <v>9348.6</v>
      </c>
      <c r="J5785" s="33" t="n">
        <f aca="false">(Sens!$I$5784+Sens!$J$5784)/2</f>
        <v>12982.9</v>
      </c>
      <c r="K5785" s="33" t="n">
        <f aca="false">(Sens!$J$5784+Sens!$K$5784)/2</f>
        <v>16617.2</v>
      </c>
      <c r="L5785" s="33" t="n">
        <f aca="false">(Sens!$K$5784+Sens!$L$5784)/2</f>
        <v>20251.5</v>
      </c>
      <c r="M5785" s="33" t="n">
        <f aca="false">(Sens!$L$5784+Sens!$M$5784)/2</f>
        <v>23885.8</v>
      </c>
      <c r="N5785" s="33" t="n">
        <f aca="false">(Sens!$C$5784+Sens!$N$5784)/2</f>
        <v>630</v>
      </c>
      <c r="O5785" s="33" t="n">
        <f aca="false">(Sens!$N$5784+Sens!$O$5784)/2</f>
        <v>1170</v>
      </c>
    </row>
    <row r="5786" customFormat="false" ht="15" hidden="false" customHeight="false" outlineLevel="0" collapsed="false">
      <c r="A5786" s="5" t="s">
        <v>555</v>
      </c>
      <c r="B5786" s="5" t="s">
        <v>102</v>
      </c>
      <c r="C5786" s="34" t="n">
        <v>1</v>
      </c>
      <c r="D5786" s="34" t="n">
        <v>1</v>
      </c>
      <c r="E5786" s="34" t="n">
        <v>0.5</v>
      </c>
      <c r="F5786" s="34" t="n">
        <v>0.5</v>
      </c>
      <c r="G5786" s="34" t="n">
        <v>1</v>
      </c>
      <c r="H5786" s="34" t="n">
        <v>1</v>
      </c>
      <c r="I5786" s="34" t="n">
        <v>1</v>
      </c>
      <c r="J5786" s="34" t="n">
        <v>1</v>
      </c>
      <c r="K5786" s="34" t="n">
        <v>1</v>
      </c>
      <c r="L5786" s="34" t="n">
        <v>1</v>
      </c>
      <c r="M5786" s="34" t="n">
        <v>1</v>
      </c>
      <c r="N5786" s="34" t="n">
        <v>0.5</v>
      </c>
      <c r="O5786" s="34" t="n">
        <v>0.5</v>
      </c>
    </row>
    <row r="5787" customFormat="false" ht="17.15" hidden="false" customHeight="false" outlineLevel="0" collapsed="false">
      <c r="A5787" s="5" t="s">
        <v>556</v>
      </c>
      <c r="B5787" s="0" t="s">
        <v>108</v>
      </c>
      <c r="C5787" s="33" t="n">
        <f aca="false">Sens!$C$5784-mw_ye23</f>
        <v>240</v>
      </c>
      <c r="D5787" s="33" t="n">
        <f aca="false">Sens!$D$5784-Sens!$C$5784</f>
        <v>1080</v>
      </c>
      <c r="E5787" s="33" t="n">
        <f aca="false">Sens!$E$5784-Sens!$D$5784</f>
        <v>640</v>
      </c>
      <c r="F5787" s="33" t="n">
        <f aca="false">Sens!$F$5784-Sens!$E$5784</f>
        <v>1817.15</v>
      </c>
      <c r="G5787" s="33" t="n">
        <f aca="false">Sens!$E$5787+Sens!$F$5787</f>
        <v>2457.15</v>
      </c>
      <c r="H5787" s="33" t="n">
        <f aca="false">Sens!$H$5784-Sens!$G$5784</f>
        <v>3634.3</v>
      </c>
      <c r="I5787" s="33" t="n">
        <f aca="false">Sens!$I$5784-Sens!$H$5784</f>
        <v>3634.3</v>
      </c>
      <c r="J5787" s="33" t="n">
        <f aca="false">Sens!$J$5784-Sens!$I$5784</f>
        <v>3634.3</v>
      </c>
      <c r="K5787" s="33" t="n">
        <f aca="false">Sens!$K$5784-Sens!$J$5784</f>
        <v>3634.3</v>
      </c>
      <c r="L5787" s="33" t="n">
        <f aca="false">Sens!$L$5784-Sens!$K$5784</f>
        <v>3634.3</v>
      </c>
      <c r="M5787" s="33" t="n">
        <f aca="false">Sens!$M$5784-Sens!$L$5784</f>
        <v>3634.3</v>
      </c>
      <c r="N5787" s="33" t="n">
        <f aca="false">Sens!$N$5784-Sens!$C$5784</f>
        <v>540</v>
      </c>
      <c r="O5787" s="33" t="n">
        <f aca="false">Sens!$O$5784-Sens!$N$5784</f>
        <v>540</v>
      </c>
    </row>
    <row r="5788" customFormat="false" ht="17.15" hidden="false" customHeight="false" outlineLevel="0" collapsed="false">
      <c r="A5788" s="5" t="s">
        <v>557</v>
      </c>
      <c r="B5788" s="0" t="s">
        <v>108</v>
      </c>
      <c r="C5788" s="33" t="n">
        <f aca="false">Sens!$C$5787/ext_sh</f>
        <v>300</v>
      </c>
      <c r="D5788" s="33" t="n">
        <f aca="false">Sens!$D$5787/ext_sh</f>
        <v>1350</v>
      </c>
      <c r="E5788" s="33" t="n">
        <f aca="false">Sens!$E$5787/ext_sh</f>
        <v>800</v>
      </c>
      <c r="F5788" s="33" t="n">
        <f aca="false">Sens!$F$5787/ext_sh</f>
        <v>2271.4375</v>
      </c>
      <c r="G5788" s="33" t="n">
        <f aca="false">Sens!$G$5787/ext_sh</f>
        <v>3071.4375</v>
      </c>
      <c r="H5788" s="33" t="n">
        <f aca="false">Sens!$H$5787/ext_sh</f>
        <v>4542.875</v>
      </c>
      <c r="I5788" s="33" t="n">
        <f aca="false">Sens!$I$5787/ext_sh</f>
        <v>4542.875</v>
      </c>
      <c r="J5788" s="33" t="n">
        <f aca="false">Sens!$J$5787/ext_sh</f>
        <v>4542.875</v>
      </c>
      <c r="K5788" s="33" t="n">
        <f aca="false">Sens!$K$5787/ext_sh</f>
        <v>4542.875</v>
      </c>
      <c r="L5788" s="33" t="n">
        <f aca="false">Sens!$L$5787/ext_sh</f>
        <v>4542.875</v>
      </c>
      <c r="M5788" s="33" t="n">
        <f aca="false">Sens!$M$5787/ext_sh</f>
        <v>4542.875</v>
      </c>
      <c r="N5788" s="33" t="n">
        <f aca="false">Sens!$N$5787/ext_sh</f>
        <v>675</v>
      </c>
      <c r="O5788" s="33" t="n">
        <f aca="false">Sens!$O$5787/ext_sh</f>
        <v>675</v>
      </c>
      <c r="P5788" s="8" t="s">
        <v>558</v>
      </c>
      <c r="R5788" s="33" t="n">
        <f aca="false">mw_ye23/ext_sh</f>
        <v>150</v>
      </c>
      <c r="S5788" s="33" t="n">
        <f aca="false">Sens!$C$5788</f>
        <v>300</v>
      </c>
      <c r="T5788" s="33" t="n">
        <f aca="false">Sens!$D$5788</f>
        <v>1350</v>
      </c>
      <c r="U5788" s="33" t="n">
        <f aca="false">Sens!$G$5788</f>
        <v>3071.4375</v>
      </c>
      <c r="V5788" s="33" t="n">
        <f aca="false">Sens!$H$5788</f>
        <v>4542.875</v>
      </c>
      <c r="W5788" s="33" t="n">
        <f aca="false">Sens!$I$5788</f>
        <v>4542.875</v>
      </c>
      <c r="X5788" s="33" t="n">
        <f aca="false">Sens!$J$5788</f>
        <v>4542.875</v>
      </c>
      <c r="Y5788" s="33" t="n">
        <f aca="false">Sens!$K$5788</f>
        <v>4542.875</v>
      </c>
      <c r="Z5788" s="33" t="n">
        <f aca="false">Sens!$L$5788</f>
        <v>4542.875</v>
      </c>
      <c r="AA5788" s="33" t="n">
        <f aca="false">Sens!$M$5788</f>
        <v>4542.875</v>
      </c>
    </row>
    <row r="5789" customFormat="false" ht="17.15" hidden="false" customHeight="false" outlineLevel="0" collapsed="false">
      <c r="A5789" s="1" t="s">
        <v>559</v>
      </c>
    </row>
    <row r="5790" customFormat="false" ht="17.15" hidden="false" customHeight="false" outlineLevel="0" collapsed="false">
      <c r="A5790" s="0" t="s">
        <v>560</v>
      </c>
      <c r="B5790" s="0" t="s">
        <v>52</v>
      </c>
      <c r="F5790" s="35" t="n">
        <f aca="false">na_vr26</f>
        <v>0</v>
      </c>
      <c r="G5790" s="35" t="n">
        <f aca="false">na_vr26</f>
        <v>0</v>
      </c>
      <c r="H5790" s="35" t="n">
        <f aca="false">na_vr27</f>
        <v>0.5</v>
      </c>
      <c r="I5790" s="35" t="n">
        <f aca="false">na_vr28</f>
        <v>1</v>
      </c>
      <c r="J5790" s="35" t="n">
        <f aca="false">na_vr28</f>
        <v>1</v>
      </c>
      <c r="K5790" s="35" t="n">
        <f aca="false">na_vr28</f>
        <v>1</v>
      </c>
      <c r="L5790" s="35" t="n">
        <f aca="false">na_vr28</f>
        <v>1</v>
      </c>
      <c r="M5790" s="35" t="n">
        <f aca="false">na_vr28</f>
        <v>1</v>
      </c>
    </row>
    <row r="5791" customFormat="false" ht="17.15" hidden="false" customHeight="false" outlineLevel="0" collapsed="false">
      <c r="A5791" s="5" t="s">
        <v>561</v>
      </c>
      <c r="B5791" s="0" t="s">
        <v>151</v>
      </c>
      <c r="F5791" s="36" t="n">
        <f aca="false">cust_sh*tk_he_gb300*cf_chip+(1-cust_sh)*((1-Sens!$F$5790)*tk_he_gb300+Sens!$F$5790*tk_he_vr200)</f>
        <v>10.8864110021101</v>
      </c>
      <c r="G5791" s="36" t="n">
        <f aca="false">cust_sh*tk_he_gb300*cf_chip+(1-cust_sh)*((1-Sens!$G$5790)*tk_he_gb300+Sens!$G$5790*tk_he_vr200)</f>
        <v>10.8864110021101</v>
      </c>
      <c r="H5791" s="36" t="n">
        <f aca="false">cust_sh*tk_he_gb300*cf_chip+(1-cust_sh)*((1-Sens!$H$5790)*tk_he_gb300+Sens!$H$5790*tk_he_vr200)</f>
        <v>11.2211760027286</v>
      </c>
      <c r="I5791" s="36" t="n">
        <f aca="false">cust_sh*tk_he_gb300*cf_chip+(1-cust_sh)*((1-Sens!$I$5790)*tk_he_gb300+Sens!$I$5790*tk_he_vr200)</f>
        <v>11.5559410033471</v>
      </c>
      <c r="J5791" s="36" t="n">
        <f aca="false">cust_sh*tk_he_gb300*cf_chip+(1-cust_sh)*((1-Sens!$J$5790)*tk_he_gb300+Sens!$J$5790*tk_he_vr200)</f>
        <v>11.5559410033471</v>
      </c>
      <c r="K5791" s="36" t="n">
        <f aca="false">cust_sh*tk_he_gb300*cf_chip+(1-cust_sh)*((1-Sens!$K$5790)*tk_he_gb300+Sens!$K$5790*tk_he_vr200)</f>
        <v>11.5559410033471</v>
      </c>
      <c r="L5791" s="36" t="n">
        <f aca="false">cust_sh*tk_he_gb300*cf_chip+(1-cust_sh)*((1-Sens!$L$5790)*tk_he_gb300+Sens!$L$5790*tk_he_vr200)</f>
        <v>11.5559410033471</v>
      </c>
      <c r="M5791" s="36" t="n">
        <f aca="false">cust_sh*tk_he_gb300*cf_chip+(1-cust_sh)*((1-Sens!$M$5790)*tk_he_gb300+Sens!$M$5790*tk_he_vr200)</f>
        <v>11.5559410033471</v>
      </c>
    </row>
    <row r="5792" customFormat="false" ht="17.15" hidden="false" customHeight="false" outlineLevel="0" collapsed="false">
      <c r="A5792" s="5" t="s">
        <v>562</v>
      </c>
      <c r="B5792" s="0" t="s">
        <v>151</v>
      </c>
      <c r="F5792" s="36" t="n">
        <f aca="false">cust_sh*tk_ox_gb300+(1-cust_sh)*((1-Sens!$F$5790)*tk_ox_gb300+Sens!$F$5790*tk_ox_vr200)</f>
        <v>1.98263481314457</v>
      </c>
      <c r="G5792" s="36" t="n">
        <f aca="false">cust_sh*tk_ox_gb300+(1-cust_sh)*((1-Sens!$G$5790)*tk_ox_gb300+Sens!$G$5790*tk_ox_vr200)</f>
        <v>1.98263481314457</v>
      </c>
      <c r="H5792" s="36" t="n">
        <f aca="false">cust_sh*tk_ox_gb300+(1-cust_sh)*((1-Sens!$H$5790)*tk_ox_gb300+Sens!$H$5790*tk_ox_vr200)</f>
        <v>2.01034999693694</v>
      </c>
      <c r="I5792" s="36" t="n">
        <f aca="false">cust_sh*tk_ox_gb300+(1-cust_sh)*((1-Sens!$I$5790)*tk_ox_gb300+Sens!$I$5790*tk_ox_vr200)</f>
        <v>2.0380651807293</v>
      </c>
      <c r="J5792" s="36" t="n">
        <f aca="false">cust_sh*tk_ox_gb300+(1-cust_sh)*((1-Sens!$J$5790)*tk_ox_gb300+Sens!$J$5790*tk_ox_vr200)</f>
        <v>2.0380651807293</v>
      </c>
      <c r="K5792" s="36" t="n">
        <f aca="false">cust_sh*tk_ox_gb300+(1-cust_sh)*((1-Sens!$K$5790)*tk_ox_gb300+Sens!$K$5790*tk_ox_vr200)</f>
        <v>2.0380651807293</v>
      </c>
      <c r="L5792" s="36" t="n">
        <f aca="false">cust_sh*tk_ox_gb300+(1-cust_sh)*((1-Sens!$L$5790)*tk_ox_gb300+Sens!$L$5790*tk_ox_vr200)</f>
        <v>2.0380651807293</v>
      </c>
      <c r="M5792" s="36" t="n">
        <f aca="false">cust_sh*tk_ox_gb300+(1-cust_sh)*((1-Sens!$M$5790)*tk_ox_gb300+Sens!$M$5790*tk_ox_vr200)</f>
        <v>2.0380651807293</v>
      </c>
    </row>
    <row r="5793" customFormat="false" ht="17.15" hidden="false" customHeight="false" outlineLevel="0" collapsed="false">
      <c r="A5793" s="5" t="s">
        <v>563</v>
      </c>
      <c r="B5793" s="0" t="s">
        <v>170</v>
      </c>
      <c r="F5793" s="36" t="n">
        <f aca="false">cust_sh*tk_cx_gb300*cf_cx+(1-cust_sh)*((1-Sens!$F$5790)*tk_cx_gb300+Sens!$F$5790*tk_cx_vr200)</f>
        <v>32.237224</v>
      </c>
      <c r="G5793" s="36" t="n">
        <f aca="false">cust_sh*tk_cx_gb300*cf_cx+(1-cust_sh)*((1-Sens!$G$5790)*tk_cx_gb300+Sens!$G$5790*tk_cx_vr200)</f>
        <v>32.237224</v>
      </c>
      <c r="H5793" s="36" t="n">
        <f aca="false">cust_sh*tk_cx_gb300*cf_cx+(1-cust_sh)*((1-Sens!$H$5790)*tk_cx_gb300+Sens!$H$5790*tk_cx_vr200)</f>
        <v>33.574506</v>
      </c>
      <c r="I5793" s="36" t="n">
        <f aca="false">cust_sh*tk_cx_gb300*cf_cx+(1-cust_sh)*((1-Sens!$I$5790)*tk_cx_gb300+Sens!$I$5790*tk_cx_vr200)</f>
        <v>34.911788</v>
      </c>
      <c r="J5793" s="36" t="n">
        <f aca="false">cust_sh*tk_cx_gb300*cf_cx+(1-cust_sh)*((1-Sens!$J$5790)*tk_cx_gb300+Sens!$J$5790*tk_cx_vr200)</f>
        <v>34.911788</v>
      </c>
      <c r="K5793" s="36" t="n">
        <f aca="false">cust_sh*tk_cx_gb300*cf_cx+(1-cust_sh)*((1-Sens!$K$5790)*tk_cx_gb300+Sens!$K$5790*tk_cx_vr200)</f>
        <v>34.911788</v>
      </c>
      <c r="L5793" s="36" t="n">
        <f aca="false">cust_sh*tk_cx_gb300*cf_cx+(1-cust_sh)*((1-Sens!$L$5790)*tk_cx_gb300+Sens!$L$5790*tk_cx_vr200)</f>
        <v>34.911788</v>
      </c>
      <c r="M5793" s="36" t="n">
        <f aca="false">cust_sh*tk_cx_gb300*cf_cx+(1-cust_sh)*((1-Sens!$M$5790)*tk_cx_gb300+Sens!$M$5790*tk_cx_vr200)</f>
        <v>34.911788</v>
      </c>
    </row>
    <row r="5794" customFormat="false" ht="17.15" hidden="false" customHeight="false" outlineLevel="0" collapsed="false">
      <c r="A5794" s="5" t="s">
        <v>564</v>
      </c>
      <c r="B5794" s="0" t="s">
        <v>108</v>
      </c>
      <c r="F5794" s="33" t="n">
        <f aca="false">Sens!$F$5784-mw_open</f>
        <v>1817.15</v>
      </c>
      <c r="G5794" s="33" t="n">
        <f aca="false">Sens!$F$5794</f>
        <v>1817.15</v>
      </c>
      <c r="H5794" s="33" t="n">
        <f aca="false">Sens!$H$5784-mw_open</f>
        <v>5451.45</v>
      </c>
      <c r="I5794" s="33" t="n">
        <f aca="false">Sens!$I$5784-mw_open</f>
        <v>9085.75</v>
      </c>
      <c r="J5794" s="33" t="n">
        <f aca="false">Sens!$J$5784-mw_open</f>
        <v>12720.05</v>
      </c>
      <c r="K5794" s="33" t="n">
        <f aca="false">Sens!$K$5784-mw_open</f>
        <v>16354.35</v>
      </c>
      <c r="L5794" s="33" t="n">
        <f aca="false">Sens!$L$5784-mw_open</f>
        <v>19988.65</v>
      </c>
      <c r="M5794" s="33" t="n">
        <f aca="false">Sens!$M$5784-mw_open</f>
        <v>23622.95</v>
      </c>
    </row>
    <row r="5795" customFormat="false" ht="17.15" hidden="false" customHeight="false" outlineLevel="0" collapsed="false">
      <c r="A5795" s="0" t="s">
        <v>565</v>
      </c>
      <c r="B5795" s="0" t="s">
        <v>566</v>
      </c>
      <c r="F5795" s="33" t="n">
        <f aca="false">Sens!$F$5787*Sens!$F$5791</f>
        <v>19782.2417524844</v>
      </c>
      <c r="G5795" s="33" t="n">
        <f aca="false">Sens!$F$5795</f>
        <v>19782.2417524844</v>
      </c>
      <c r="H5795" s="33" t="n">
        <f aca="false">Sens!$G$5795+Sens!$H$5787*Sens!$H$5791</f>
        <v>60563.3616992009</v>
      </c>
      <c r="I5795" s="33" t="n">
        <f aca="false">Sens!$H$5795+Sens!$I$5787*Sens!$I$5791</f>
        <v>102561.118087665</v>
      </c>
      <c r="J5795" s="33" t="n">
        <f aca="false">Sens!$I$5795+Sens!$J$5787*Sens!$J$5791</f>
        <v>144558.87447613</v>
      </c>
      <c r="K5795" s="33" t="n">
        <f aca="false">Sens!$J$5795+Sens!$K$5787*Sens!$K$5791</f>
        <v>186556.630864594</v>
      </c>
      <c r="L5795" s="33" t="n">
        <f aca="false">Sens!$K$5795+Sens!$L$5787*Sens!$L$5791</f>
        <v>228554.387253058</v>
      </c>
      <c r="M5795" s="33" t="n">
        <f aca="false">Sens!$L$5795+Sens!$M$5787*Sens!$M$5791</f>
        <v>270552.143641523</v>
      </c>
    </row>
    <row r="5796" customFormat="false" ht="17.15" hidden="false" customHeight="false" outlineLevel="0" collapsed="false">
      <c r="A5796" s="0" t="s">
        <v>567</v>
      </c>
      <c r="B5796" s="0" t="s">
        <v>566</v>
      </c>
      <c r="F5796" s="33" t="n">
        <f aca="false">Sens!$F$5787*Sens!$F$5792</f>
        <v>3602.74485070566</v>
      </c>
      <c r="G5796" s="33" t="n">
        <f aca="false">Sens!$F$5796</f>
        <v>3602.74485070566</v>
      </c>
      <c r="H5796" s="33" t="n">
        <f aca="false">Sens!$G$5796+Sens!$H$5787*Sens!$H$5792</f>
        <v>10908.9598445736</v>
      </c>
      <c r="I5796" s="33" t="n">
        <f aca="false">Sens!$H$5796+Sens!$I$5787*Sens!$I$5792</f>
        <v>18315.9001308981</v>
      </c>
      <c r="J5796" s="33" t="n">
        <f aca="false">Sens!$I$5796+Sens!$J$5787*Sens!$J$5792</f>
        <v>25722.8404172225</v>
      </c>
      <c r="K5796" s="33" t="n">
        <f aca="false">Sens!$J$5796+Sens!$K$5787*Sens!$K$5792</f>
        <v>33129.780703547</v>
      </c>
      <c r="L5796" s="33" t="n">
        <f aca="false">Sens!$K$5796+Sens!$L$5787*Sens!$L$5792</f>
        <v>40536.7209898715</v>
      </c>
      <c r="M5796" s="33" t="n">
        <f aca="false">Sens!$L$5796+Sens!$M$5787*Sens!$M$5792</f>
        <v>47943.661276196</v>
      </c>
    </row>
    <row r="5797" customFormat="false" ht="17.15" hidden="false" customHeight="false" outlineLevel="0" collapsed="false">
      <c r="A5797" s="5" t="s">
        <v>568</v>
      </c>
      <c r="B5797" s="0" t="s">
        <v>151</v>
      </c>
      <c r="F5797" s="36" t="n">
        <f aca="false">IF(Sens!$F$5794&gt;0,Sens!$F$5795/Sens!$F$5794,Sens!$F$5791)</f>
        <v>10.8864110021101</v>
      </c>
      <c r="G5797" s="36" t="n">
        <f aca="false">IF(Sens!$G$5794&gt;0,Sens!$G$5795/Sens!$G$5794,Sens!$G$5791)</f>
        <v>10.8864110021101</v>
      </c>
      <c r="H5797" s="36" t="n">
        <f aca="false">IF(Sens!$H$5794&gt;0,Sens!$H$5795/Sens!$H$5794,Sens!$H$5791)</f>
        <v>11.1095876691891</v>
      </c>
      <c r="I5797" s="36" t="n">
        <f aca="false">IF(Sens!$I$5794&gt;0,Sens!$I$5795/Sens!$I$5794,Sens!$I$5791)</f>
        <v>11.2881290028523</v>
      </c>
      <c r="J5797" s="36" t="n">
        <f aca="false">IF(Sens!$J$5794&gt;0,Sens!$J$5795/Sens!$J$5794,Sens!$J$5791)</f>
        <v>11.3646467172794</v>
      </c>
      <c r="K5797" s="36" t="n">
        <f aca="false">IF(Sens!$K$5794&gt;0,Sens!$K$5795/Sens!$K$5794,Sens!$K$5791)</f>
        <v>11.4071565586278</v>
      </c>
      <c r="L5797" s="36" t="n">
        <f aca="false">IF(Sens!$L$5794&gt;0,Sens!$L$5795/Sens!$L$5794,Sens!$L$5791)</f>
        <v>11.4342082758495</v>
      </c>
      <c r="M5797" s="36" t="n">
        <f aca="false">IF(Sens!$M$5794&gt;0,Sens!$M$5795/Sens!$M$5794,Sens!$M$5791)</f>
        <v>11.4529363877722</v>
      </c>
    </row>
    <row r="5798" customFormat="false" ht="17.15" hidden="false" customHeight="false" outlineLevel="0" collapsed="false">
      <c r="A5798" s="5" t="s">
        <v>569</v>
      </c>
      <c r="B5798" s="0" t="s">
        <v>151</v>
      </c>
      <c r="F5798" s="36" t="n">
        <f aca="false">IF(Sens!$F$5794&gt;0,Sens!$F$5796/Sens!$F$5794,Sens!$F$5792)</f>
        <v>1.98263481314457</v>
      </c>
      <c r="G5798" s="36" t="n">
        <f aca="false">IF(Sens!$G$5794&gt;0,Sens!$G$5796/Sens!$G$5794,Sens!$G$5792)</f>
        <v>1.98263481314457</v>
      </c>
      <c r="H5798" s="36" t="n">
        <f aca="false">IF(Sens!$H$5794&gt;0,Sens!$H$5796/Sens!$H$5794,Sens!$H$5792)</f>
        <v>2.00111160233948</v>
      </c>
      <c r="I5798" s="36" t="n">
        <f aca="false">IF(Sens!$I$5794&gt;0,Sens!$I$5796/Sens!$I$5794,Sens!$I$5792)</f>
        <v>2.01589303369541</v>
      </c>
      <c r="J5798" s="36" t="n">
        <f aca="false">IF(Sens!$J$5794&gt;0,Sens!$J$5796/Sens!$J$5794,Sens!$J$5792)</f>
        <v>2.02222793284795</v>
      </c>
      <c r="K5798" s="36" t="n">
        <f aca="false">IF(Sens!$K$5794&gt;0,Sens!$K$5796/Sens!$K$5794,Sens!$K$5792)</f>
        <v>2.02574732126603</v>
      </c>
      <c r="L5798" s="36" t="n">
        <f aca="false">IF(Sens!$L$5794&gt;0,Sens!$L$5796/Sens!$L$5794,Sens!$L$5792)</f>
        <v>2.02798693207753</v>
      </c>
      <c r="M5798" s="36" t="n">
        <f aca="false">IF(Sens!$M$5794&gt;0,Sens!$M$5796/Sens!$M$5794,Sens!$M$5792)</f>
        <v>2.02953743187011</v>
      </c>
    </row>
    <row r="5799" customFormat="false" ht="17.15" hidden="false" customHeight="false" outlineLevel="0" collapsed="false">
      <c r="A5799" s="14" t="s">
        <v>570</v>
      </c>
      <c r="B5799" s="13" t="s">
        <v>151</v>
      </c>
      <c r="C5799" s="13"/>
      <c r="D5799" s="13"/>
      <c r="E5799" s="13"/>
      <c r="F5799" s="37" t="n">
        <f aca="false">Sens!$F$5797*k_B</f>
        <v>10.7987645808025</v>
      </c>
      <c r="G5799" s="37" t="n">
        <f aca="false">Sens!$G$5797*k_B</f>
        <v>10.7987645808025</v>
      </c>
      <c r="H5799" s="37" t="n">
        <f aca="false">Sens!$H$5797*k_B</f>
        <v>11.0201444540452</v>
      </c>
      <c r="I5799" s="37" t="n">
        <f aca="false">Sens!$I$5797*k_B</f>
        <v>11.1972483526393</v>
      </c>
      <c r="J5799" s="37" t="n">
        <f aca="false">Sens!$J$5797*k_B</f>
        <v>11.2731500234653</v>
      </c>
      <c r="K5799" s="37" t="n">
        <f aca="false">Sens!$K$5797*k_B</f>
        <v>11.3153176183687</v>
      </c>
      <c r="L5799" s="37" t="n">
        <f aca="false">Sens!$L$5797*k_B</f>
        <v>11.3421515423981</v>
      </c>
      <c r="M5799" s="37" t="n">
        <f aca="false">Sens!$M$5797*k_B</f>
        <v>11.3607288744184</v>
      </c>
      <c r="N5799" s="13"/>
      <c r="O5799" s="13"/>
      <c r="P5799" s="5" t="s">
        <v>571</v>
      </c>
    </row>
    <row r="5800" customFormat="false" ht="17.15" hidden="false" customHeight="false" outlineLevel="0" collapsed="false">
      <c r="A5800" s="5" t="s">
        <v>572</v>
      </c>
      <c r="B5800" s="0" t="s">
        <v>108</v>
      </c>
      <c r="F5800" s="33" t="n">
        <f aca="false">Sens!$F$5794/2</f>
        <v>908.575</v>
      </c>
      <c r="H5800" s="33" t="n">
        <f aca="false">(Sens!$G$5794+Sens!$H$5794)/2</f>
        <v>3634.3</v>
      </c>
      <c r="I5800" s="33" t="n">
        <f aca="false">(Sens!$H$5794+Sens!$I$5794)/2</f>
        <v>7268.6</v>
      </c>
      <c r="J5800" s="33" t="n">
        <f aca="false">(Sens!$I$5794+Sens!$J$5794)/2</f>
        <v>10902.9</v>
      </c>
      <c r="K5800" s="33" t="n">
        <f aca="false">(Sens!$J$5794+Sens!$K$5794)/2</f>
        <v>14537.2</v>
      </c>
      <c r="L5800" s="33" t="n">
        <f aca="false">(Sens!$K$5794+Sens!$L$5794)/2</f>
        <v>18171.5</v>
      </c>
      <c r="M5800" s="33" t="n">
        <f aca="false">(Sens!$L$5794+Sens!$M$5794)/2</f>
        <v>21805.8</v>
      </c>
    </row>
    <row r="5801" customFormat="false" ht="17.15" hidden="false" customHeight="false" outlineLevel="0" collapsed="false">
      <c r="A5801" s="1" t="s">
        <v>573</v>
      </c>
    </row>
    <row r="5802" customFormat="false" ht="17.15" hidden="false" customHeight="false" outlineLevel="0" collapsed="false">
      <c r="A5802" s="1" t="s">
        <v>574</v>
      </c>
      <c r="B5802" s="8" t="s">
        <v>73</v>
      </c>
      <c r="C5802" s="38" t="n">
        <f aca="false">Sens!$C$5785*rpm_open*Sens!$C$5786/1000</f>
        <v>2.32100535697364</v>
      </c>
      <c r="D5802" s="38" t="n">
        <f aca="false">Sens!$D$5785*rpm_open*Sens!$D$5786/1000</f>
        <v>8.70377008865116</v>
      </c>
      <c r="E5802" s="38" t="n">
        <f aca="false">Sens!$E$5785*rpm_open*Sens!$E$5786/1000</f>
        <v>8.51035297557002</v>
      </c>
      <c r="F5802" s="38" t="n">
        <f aca="false">(mw_open*rpm_open+Sens!$F$5800*Sens!$F$5799)*Sens!$F$5786/1000</f>
        <v>14.9634336447205</v>
      </c>
      <c r="G5802" s="38" t="n">
        <f aca="false">Sens!$E$5802+Sens!$F$5802</f>
        <v>23.4737866202905</v>
      </c>
      <c r="H5802" s="38" t="n">
        <f aca="false">(mw_open*rpm_open+Sens!$H$5800*Sens!$H$5799)/1000</f>
        <v>60.1658907497746</v>
      </c>
      <c r="I5802" s="38" t="n">
        <f aca="false">(mw_open*rpm_open+Sens!$I$5800*Sens!$I$5799)/1000</f>
        <v>101.503699136432</v>
      </c>
      <c r="J5802" s="38" t="n">
        <f aca="false">(mw_open*rpm_open+Sens!$J$5800*Sens!$J$5799)/1000</f>
        <v>143.025407151278</v>
      </c>
      <c r="K5802" s="38" t="n">
        <f aca="false">(mw_open*rpm_open+Sens!$K$5800*Sens!$K$5799)/1000</f>
        <v>184.608415042187</v>
      </c>
      <c r="L5802" s="38" t="n">
        <f aca="false">(mw_open*rpm_open+Sens!$L$5800*Sens!$L$5799)/1000</f>
        <v>226.219286513125</v>
      </c>
      <c r="M5802" s="38" t="n">
        <f aca="false">(mw_open*rpm_open+Sens!$M$5800*Sens!$M$5799)/1000</f>
        <v>267.845161450232</v>
      </c>
      <c r="N5802" s="38" t="n">
        <f aca="false">Sens!$N$5785*rpm_open*Sens!$N$5786/1000</f>
        <v>3.04631953102791</v>
      </c>
      <c r="O5802" s="38" t="n">
        <f aca="false">Sens!$O$5785*rpm_open*Sens!$O$5786/1000</f>
        <v>5.65745055762326</v>
      </c>
      <c r="P5802" s="5" t="s">
        <v>575</v>
      </c>
    </row>
    <row r="5803" customFormat="false" ht="17.15" hidden="false" customHeight="false" outlineLevel="0" collapsed="false">
      <c r="A5803" s="5" t="s">
        <v>576</v>
      </c>
      <c r="B5803" s="0" t="s">
        <v>151</v>
      </c>
      <c r="C5803" s="36" t="n">
        <f aca="false">Sens!$C$5802*1000/(Sens!$C$5785*Sens!$C$5786)</f>
        <v>9.67085565405685</v>
      </c>
      <c r="D5803" s="36" t="n">
        <f aca="false">Sens!$D$5802*1000/(Sens!$D$5785*Sens!$D$5786)</f>
        <v>9.67085565405685</v>
      </c>
      <c r="E5803" s="36" t="n">
        <f aca="false">Sens!$E$5802*1000/(Sens!$E$5785*Sens!$E$5786)</f>
        <v>9.67085565405685</v>
      </c>
      <c r="F5803" s="36" t="n">
        <f aca="false">Sens!$F$5802*1000/(Sens!$F$5785*Sens!$F$5786)</f>
        <v>10.0137581588017</v>
      </c>
      <c r="G5803" s="36" t="n">
        <f aca="false">Sens!$G$5802*1000/(Sens!$G$5785*Sens!$G$5786)</f>
        <v>9.88666562928478</v>
      </c>
      <c r="H5803" s="36" t="n">
        <f aca="false">Sens!$H$5802*1000/(Sens!$H$5785*Sens!$H$5786)</f>
        <v>10.5290045586992</v>
      </c>
      <c r="I5803" s="36" t="n">
        <f aca="false">Sens!$I$5802*1000/(Sens!$I$5785*Sens!$I$5786)</f>
        <v>10.8576363451674</v>
      </c>
      <c r="J5803" s="36" t="n">
        <f aca="false">Sens!$J$5802*1000/(Sens!$J$5785*Sens!$J$5786)</f>
        <v>11.0164452588619</v>
      </c>
      <c r="K5803" s="36" t="n">
        <f aca="false">Sens!$K$5802*1000/(Sens!$K$5785*Sens!$K$5786)</f>
        <v>11.1094778327388</v>
      </c>
      <c r="L5803" s="36" t="n">
        <f aca="false">Sens!$L$5802*1000/(Sens!$L$5785*Sens!$L$5786)</f>
        <v>11.1704953466718</v>
      </c>
      <c r="M5803" s="36" t="n">
        <f aca="false">Sens!$M$5802*1000/(Sens!$M$5785*Sens!$M$5786)</f>
        <v>11.2135729785158</v>
      </c>
      <c r="N5803" s="36" t="n">
        <f aca="false">Sens!$N$5802*1000/(Sens!$N$5785*Sens!$N$5786)</f>
        <v>9.67085565405685</v>
      </c>
      <c r="O5803" s="36" t="n">
        <f aca="false">Sens!$O$5802*1000/(Sens!$O$5785*Sens!$O$5786)</f>
        <v>9.67085565405685</v>
      </c>
    </row>
    <row r="5804" customFormat="false" ht="17.15" hidden="false" customHeight="false" outlineLevel="0" collapsed="false">
      <c r="A5804" s="0" t="s">
        <v>577</v>
      </c>
      <c r="B5804" s="0" t="s">
        <v>73</v>
      </c>
      <c r="C5804" s="38" t="n">
        <f aca="false">Sens!$C$5785/ext_sh*(ox_open+rent_mw)*Sens!$C$5786/1000</f>
        <v>0.642569210675032</v>
      </c>
      <c r="D5804" s="38" t="n">
        <f aca="false">Sens!$D$5785/ext_sh*(ox_open+rent_mw)*Sens!$D$5786/1000</f>
        <v>2.40963454003137</v>
      </c>
      <c r="E5804" s="38" t="n">
        <f aca="false">Sens!$E$5785/ext_sh*(ox_open+rent_mw)*Sens!$E$5786/1000</f>
        <v>2.35608710580845</v>
      </c>
      <c r="F5804" s="38" t="n">
        <f aca="false">((mw_open*ox_open+Sens!$F$5800*Sens!$F$5798)/ext_sh+Sens!$F$5785/ext_sh*rent_mw)*Sens!$F$5786/1000</f>
        <v>4.05421991106232</v>
      </c>
      <c r="G5804" s="38" t="n">
        <f aca="false">Sens!$E$5804+Sens!$F$5804</f>
        <v>6.41030701687077</v>
      </c>
      <c r="H5804" s="38" t="n">
        <f aca="false">((mw_open*ox_open+Sens!$H$5800*Sens!$H$5798)/ext_sh+Sens!$H$5785/ext_sh*rent_mw)*Sens!$H$5786/1000</f>
        <v>15.8108975546616</v>
      </c>
      <c r="I5804" s="38" t="n">
        <f aca="false">((mw_open*ox_open+Sens!$I$5800*Sens!$I$5798)/ext_sh+Sens!$I$5785/ext_sh*rent_mw)*Sens!$I$5786/1000</f>
        <v>26.1871623400817</v>
      </c>
      <c r="J5804" s="38" t="n">
        <f aca="false">((mw_open*ox_open+Sens!$J$5800*Sens!$J$5798)/ext_sh+Sens!$J$5785/ext_sh*rent_mw)*Sens!$J$5786/1000</f>
        <v>36.5826128954935</v>
      </c>
      <c r="K5804" s="38" t="n">
        <f aca="false">((mw_open*ox_open+Sens!$K$5800*Sens!$K$5798)/ext_sh+Sens!$K$5785/ext_sh*rent_mw)*Sens!$K$5786/1000</f>
        <v>46.9844587075692</v>
      </c>
      <c r="L5804" s="38" t="n">
        <f aca="false">((mw_open*ox_open+Sens!$L$5800*Sens!$L$5798)/ext_sh+Sens!$L$5785/ext_sh*rent_mw)*Sens!$L$5786/1000</f>
        <v>57.3892114544922</v>
      </c>
      <c r="M5804" s="38" t="n">
        <f aca="false">((mw_open*ox_open+Sens!$M$5800*Sens!$M$5798)/ext_sh+Sens!$M$5785/ext_sh*rent_mw)*Sens!$M$5786/1000</f>
        <v>67.7955294740252</v>
      </c>
      <c r="N5804" s="38" t="n">
        <f aca="false">Sens!$N$5785/ext_sh*(ox_open+rent_mw)*Sens!$N$5786/1000</f>
        <v>0.84337208901098</v>
      </c>
      <c r="O5804" s="38" t="n">
        <f aca="false">Sens!$O$5785/ext_sh*(ox_open+rent_mw)*Sens!$O$5786/1000</f>
        <v>1.56626245102039</v>
      </c>
    </row>
    <row r="5805" customFormat="false" ht="17.15" hidden="false" customHeight="false" outlineLevel="0" collapsed="false">
      <c r="A5805" s="0" t="s">
        <v>578</v>
      </c>
      <c r="B5805" s="0" t="s">
        <v>73</v>
      </c>
      <c r="C5805" s="38" t="n">
        <f aca="false">Q!$D$7</f>
        <v>107.556</v>
      </c>
      <c r="D5805" s="38" t="n">
        <f aca="false">Q!$E$7</f>
        <v>128.725</v>
      </c>
      <c r="E5805" s="38" t="n">
        <f aca="false">Q!$P$7</f>
        <v>79.819</v>
      </c>
      <c r="N5805" s="38" t="n">
        <f aca="false">Q!$N$7</f>
        <v>60.14</v>
      </c>
      <c r="O5805" s="38" t="n">
        <f aca="false">Q!$O$7</f>
        <v>68.585</v>
      </c>
    </row>
    <row r="5806" customFormat="false" ht="17.15" hidden="false" customHeight="false" outlineLevel="0" collapsed="false">
      <c r="A5806" s="1" t="s">
        <v>579</v>
      </c>
      <c r="B5806" s="8" t="s">
        <v>73</v>
      </c>
      <c r="C5806" s="38" t="n">
        <f aca="false">Sens!$C$5805-Sens!$C$5802</f>
        <v>105.234994643026</v>
      </c>
      <c r="D5806" s="38" t="n">
        <f aca="false">Sens!$D$5805-Sens!$D$5802</f>
        <v>120.021229911349</v>
      </c>
      <c r="E5806" s="38" t="n">
        <f aca="false">Sens!$E$5805-Sens!$E$5802</f>
        <v>71.30864702443</v>
      </c>
      <c r="F5806" s="38" t="n">
        <f aca="false">Sens!$O$5806*(1+Sens!$F$5807)</f>
        <v>78.5950104186653</v>
      </c>
      <c r="G5806" s="38" t="n">
        <f aca="false">Sens!$E$5806+Sens!$F$5806</f>
        <v>149.903657443095</v>
      </c>
      <c r="H5806" s="38" t="n">
        <f aca="false">Sens!$G$5806*(1+Sens!$H$5807)</f>
        <v>180.893560768142</v>
      </c>
      <c r="I5806" s="38" t="n">
        <f aca="false">Sens!$H$5806*(1+Sens!$I$5807)</f>
        <v>210.64839721501</v>
      </c>
      <c r="J5806" s="38" t="n">
        <f aca="false">Sens!$I$5806*(1+Sens!$J$5807)</f>
        <v>236.398909446495</v>
      </c>
      <c r="K5806" s="38" t="n">
        <f aca="false">Sens!$J$5806*(1+Sens!$K$5807)</f>
        <v>255.310822202215</v>
      </c>
      <c r="L5806" s="38" t="n">
        <f aca="false">Sens!$K$5806*(1+Sens!$L$5807)</f>
        <v>275.735687978392</v>
      </c>
      <c r="M5806" s="38" t="n">
        <f aca="false">Sens!$L$5806*(1+Sens!$M$5807)</f>
        <v>297.794543016663</v>
      </c>
      <c r="N5806" s="38" t="n">
        <f aca="false">Sens!$N$5805-Sens!$N$5802</f>
        <v>57.0936804689721</v>
      </c>
      <c r="O5806" s="38" t="n">
        <f aca="false">Sens!$O$5805-Sens!$O$5802</f>
        <v>62.9275494423768</v>
      </c>
      <c r="P5806" s="5" t="s">
        <v>580</v>
      </c>
    </row>
    <row r="5807" customFormat="false" ht="17.15" hidden="false" customHeight="false" outlineLevel="0" collapsed="false">
      <c r="A5807" s="0" t="s">
        <v>581</v>
      </c>
      <c r="B5807" s="0" t="s">
        <v>52</v>
      </c>
      <c r="E5807" s="12" t="n">
        <f aca="false">Sens!$E$5806/Sens!$N$5806-1</f>
        <v>0.248976181579029</v>
      </c>
      <c r="F5807" s="12" t="n">
        <f aca="false">Sens!$E$5807</f>
        <v>0.248976181579029</v>
      </c>
      <c r="G5807" s="12" t="n">
        <f aca="false">Sens!$G$5806/Sens!$D$5806-1</f>
        <v>0.248976181579029</v>
      </c>
      <c r="H5807" s="12" t="n">
        <f aca="false">Sens!$E$5807+(g_awso_lt-Sens!$E$5807)*1/4</f>
        <v>0.206732136184272</v>
      </c>
      <c r="I5807" s="12" t="n">
        <f aca="false">Sens!$E$5807+(g_awso_lt-Sens!$E$5807)*2/4</f>
        <v>0.164488090789515</v>
      </c>
      <c r="J5807" s="12" t="n">
        <f aca="false">Sens!$E$5807+(g_awso_lt-Sens!$E$5807)*3/4</f>
        <v>0.122244045394757</v>
      </c>
      <c r="K5807" s="12" t="n">
        <f aca="false">Sens!$E$5807+(g_awso_lt-Sens!$E$5807)*4/4</f>
        <v>0.08</v>
      </c>
      <c r="L5807" s="12" t="n">
        <f aca="false">g_awso_lt</f>
        <v>0.08</v>
      </c>
      <c r="M5807" s="12" t="n">
        <f aca="false">g_awso_lt</f>
        <v>0.08</v>
      </c>
      <c r="P5807" s="8" t="s">
        <v>582</v>
      </c>
    </row>
    <row r="5808" customFormat="false" ht="17.15" hidden="false" customHeight="false" outlineLevel="0" collapsed="false">
      <c r="A5808" s="1" t="s">
        <v>583</v>
      </c>
    </row>
    <row r="5809" customFormat="false" ht="17.15" hidden="false" customHeight="false" outlineLevel="0" collapsed="false">
      <c r="A5809" s="0" t="s">
        <v>584</v>
      </c>
      <c r="B5809" s="0" t="s">
        <v>73</v>
      </c>
      <c r="F5809" s="38" t="n">
        <f aca="false">cx_rt*Sens!$F$5775+cx_awso*Sens!$F$5806</f>
        <v>36.8045765066526</v>
      </c>
    </row>
    <row r="5810" customFormat="false" ht="17.15" hidden="false" customHeight="false" outlineLevel="0" collapsed="false">
      <c r="A5810" s="0" t="s">
        <v>585</v>
      </c>
      <c r="B5810" s="0" t="s">
        <v>52</v>
      </c>
      <c r="C5810" s="12" t="n">
        <f aca="false">tk_cx_h100/(tk_cx_h100+tk_fac*(1-colo_sh))</f>
        <v>0.730756458006641</v>
      </c>
      <c r="D5810" s="12" t="n">
        <f aca="false">tk_cx_h100/(tk_cx_h100+tk_fac*(1-colo_sh))</f>
        <v>0.730756458006641</v>
      </c>
      <c r="E5810" s="12" t="n">
        <f aca="false">Sens!$F$5810</f>
        <v>0.760792334328868</v>
      </c>
      <c r="F5810" s="12" t="n">
        <f aca="false">Sens!$F$5793/(Sens!$F$5793+tk_fac*(1-colo_sh))</f>
        <v>0.760792334328868</v>
      </c>
      <c r="G5810" s="12" t="n">
        <f aca="false">Sens!$G$5793/(Sens!$G$5793+tk_fac*(1-colo_sh))</f>
        <v>0.760792334328868</v>
      </c>
      <c r="H5810" s="12" t="n">
        <f aca="false">Sens!$H$5793/(Sens!$H$5793+tk_fac*(1-colo_sh))</f>
        <v>0.768110668862996</v>
      </c>
      <c r="I5810" s="12" t="n">
        <f aca="false">Sens!$I$5793/(Sens!$I$5793+tk_fac*(1-colo_sh))</f>
        <v>0.77499450139483</v>
      </c>
      <c r="J5810" s="12" t="n">
        <f aca="false">Sens!$J$5793/(Sens!$J$5793+tk_fac*(1-colo_sh))</f>
        <v>0.77499450139483</v>
      </c>
      <c r="K5810" s="12" t="n">
        <f aca="false">Sens!$K$5793/(Sens!$K$5793+tk_fac*(1-colo_sh))</f>
        <v>0.77499450139483</v>
      </c>
      <c r="L5810" s="12" t="n">
        <f aca="false">Sens!$L$5793/(Sens!$L$5793+tk_fac*(1-colo_sh))</f>
        <v>0.77499450139483</v>
      </c>
      <c r="M5810" s="12" t="n">
        <f aca="false">Sens!$M$5793/(Sens!$M$5793+tk_fac*(1-colo_sh))</f>
        <v>0.77499450139483</v>
      </c>
    </row>
    <row r="5811" customFormat="false" ht="17.15" hidden="false" customHeight="false" outlineLevel="0" collapsed="false">
      <c r="A5811" s="1" t="s">
        <v>586</v>
      </c>
      <c r="B5811" s="8" t="s">
        <v>73</v>
      </c>
      <c r="C5811" s="38" t="n">
        <f aca="false">Q!$D$46-cx_rt*Q!$D$16-cx_awso*Sens!$C$5806</f>
        <v>25.2781053077374</v>
      </c>
      <c r="D5811" s="38" t="n">
        <f aca="false">Q!$E$46-cx_rt*Q!$E$16-cx_awso*Sens!$D$5806</f>
        <v>69.5686316310026</v>
      </c>
      <c r="E5811" s="38" t="n">
        <f aca="false">Q!$P$46-cx_rt*Q!$P$16-cx_awso*Sens!$E$5806</f>
        <v>64.1899206485108</v>
      </c>
      <c r="F5811" s="38" t="n">
        <f aca="false">MAX(Sens!$F$5788*(Sens!$F$5793+tk_fac*(1-colo_sh))/1000,capex_g26-Q!$P$46-Sens!$F$5809)</f>
        <v>96.2481299895</v>
      </c>
      <c r="G5811" s="38" t="n">
        <f aca="false">Sens!$E$5811+Sens!$F$5811</f>
        <v>160.438050638011</v>
      </c>
      <c r="H5811" s="38" t="n">
        <f aca="false">Sens!$H$5788*(Sens!$H$5793+tk_fac*(1-colo_sh))/1000+Sens!$H$5812</f>
        <v>198.57136494475</v>
      </c>
      <c r="I5811" s="38" t="n">
        <f aca="false">Sens!$I$5788*(Sens!$I$5793+tk_fac*(1-colo_sh))/1000+Sens!$I$5812</f>
        <v>204.6464699105</v>
      </c>
      <c r="J5811" s="38" t="n">
        <f aca="false">Sens!$J$5788*(Sens!$J$5793+tk_fac*(1-colo_sh))/1000+Sens!$J$5812</f>
        <v>209.8832381105</v>
      </c>
      <c r="K5811" s="38" t="n">
        <f aca="false">Sens!$K$5788*(Sens!$K$5793+tk_fac*(1-colo_sh))/1000+Sens!$K$5812</f>
        <v>215.1200063105</v>
      </c>
      <c r="L5811" s="38" t="n">
        <f aca="false">Sens!$L$5788*(Sens!$L$5793+tk_fac*(1-colo_sh))/1000+Sens!$L$5812</f>
        <v>251.7773837105</v>
      </c>
      <c r="M5811" s="38" t="n">
        <f aca="false">Sens!$M$5788*(Sens!$M$5793+tk_fac*(1-colo_sh))/1000+Sens!$M$5812</f>
        <v>311.87584476575</v>
      </c>
      <c r="P5811" s="5" t="s">
        <v>587</v>
      </c>
      <c r="R5811" s="38" t="n">
        <f aca="false">Q!$C$46-cx_rt*Q!$C$16-cx_awso*(Q!$C$7-mw_ye23/2*rpm_open/1000)</f>
        <v>1.50429979529945</v>
      </c>
      <c r="S5811" s="38" t="n">
        <f aca="false">Sens!$C$5811</f>
        <v>25.2781053077374</v>
      </c>
      <c r="T5811" s="38" t="n">
        <f aca="false">Sens!$D$5811</f>
        <v>69.5686316310026</v>
      </c>
      <c r="U5811" s="38" t="n">
        <f aca="false">Sens!$G$5811</f>
        <v>160.438050638011</v>
      </c>
      <c r="V5811" s="38" t="n">
        <f aca="false">Sens!$H$5811</f>
        <v>198.57136494475</v>
      </c>
      <c r="W5811" s="38" t="n">
        <f aca="false">Sens!$I$5811</f>
        <v>204.6464699105</v>
      </c>
      <c r="X5811" s="38" t="n">
        <f aca="false">Sens!$J$5811</f>
        <v>209.8832381105</v>
      </c>
      <c r="Y5811" s="38" t="n">
        <f aca="false">Sens!$K$5811</f>
        <v>215.1200063105</v>
      </c>
      <c r="Z5811" s="38" t="n">
        <f aca="false">Sens!$L$5811</f>
        <v>251.7773837105</v>
      </c>
      <c r="AA5811" s="38" t="n">
        <f aca="false">Sens!$M$5811</f>
        <v>311.87584476575</v>
      </c>
    </row>
    <row r="5812" customFormat="false" ht="17.15" hidden="false" customHeight="false" outlineLevel="0" collapsed="false">
      <c r="A5812" s="0" t="s">
        <v>588</v>
      </c>
      <c r="B5812" s="0" t="s">
        <v>73</v>
      </c>
      <c r="H5812" s="38" t="n">
        <f aca="false">SUMPRODUCT(--(Sens!$R$5782:$AA$5782=2027-tk_life),Sens!$R$5788:$AA$5788)*Sens!$H$5793/1000</f>
        <v>0</v>
      </c>
      <c r="I5812" s="38" t="n">
        <f aca="false">SUMPRODUCT(--(Sens!$R$5782:$AA$5782=2028-tk_life),Sens!$R$5788:$AA$5788)*Sens!$I$5793/1000</f>
        <v>0</v>
      </c>
      <c r="J5812" s="38" t="n">
        <f aca="false">SUMPRODUCT(--(Sens!$R$5782:$AA$5782=2029-tk_life),Sens!$R$5788:$AA$5788)*Sens!$J$5793/1000</f>
        <v>5.2367682</v>
      </c>
      <c r="K5812" s="38" t="n">
        <f aca="false">SUMPRODUCT(--(Sens!$R$5782:$AA$5782=2030-tk_life),Sens!$R$5788:$AA$5788)*Sens!$K$5793/1000</f>
        <v>10.4735364</v>
      </c>
      <c r="L5812" s="38" t="n">
        <f aca="false">SUMPRODUCT(--(Sens!$R$5782:$AA$5782=2031-tk_life),Sens!$R$5788:$AA$5788)*Sens!$L$5793/1000</f>
        <v>47.1309138</v>
      </c>
      <c r="M5812" s="38" t="n">
        <f aca="false">SUMPRODUCT(--(Sens!$R$5782:$AA$5782=2032-tk_life),Sens!$R$5788:$AA$5788)*Sens!$M$5793/1000</f>
        <v>107.22937485525</v>
      </c>
    </row>
    <row r="5813" customFormat="false" ht="17.15" hidden="false" customHeight="false" outlineLevel="0" collapsed="false">
      <c r="A5813" s="5" t="s">
        <v>589</v>
      </c>
      <c r="B5813" s="0" t="s">
        <v>73</v>
      </c>
      <c r="C5813" s="38" t="n">
        <f aca="false">Sens!$C$5811*Sens!$C$5810</f>
        <v>18.472138699801</v>
      </c>
      <c r="D5813" s="38" t="n">
        <f aca="false">Sens!$D$5811*Sens!$D$5810</f>
        <v>50.8377268390402</v>
      </c>
      <c r="E5813" s="38" t="n">
        <f aca="false">Sens!$E$5811*Sens!$E$5810</f>
        <v>48.8351995705653</v>
      </c>
      <c r="F5813" s="38" t="n">
        <f aca="false">Sens!$F$5811*Sens!$F$5810</f>
        <v>73.2248394895</v>
      </c>
      <c r="G5813" s="38" t="n">
        <f aca="false">Sens!$E$5813+Sens!$F$5813</f>
        <v>122.060039060065</v>
      </c>
      <c r="H5813" s="38" t="n">
        <f aca="false">(Sens!$H$5811-Sens!$H$5812)*Sens!$H$5810+Sens!$H$5812</f>
        <v>152.52478394475</v>
      </c>
      <c r="I5813" s="38" t="n">
        <f aca="false">(Sens!$I$5811-Sens!$I$5812)*Sens!$I$5810+Sens!$I$5812</f>
        <v>158.5998889105</v>
      </c>
      <c r="J5813" s="38" t="n">
        <f aca="false">(Sens!$J$5811-Sens!$J$5812)*Sens!$J$5810+Sens!$J$5812</f>
        <v>163.8366571105</v>
      </c>
      <c r="K5813" s="38" t="n">
        <f aca="false">(Sens!$K$5811-Sens!$K$5812)*Sens!$K$5810+Sens!$K$5812</f>
        <v>169.0734253105</v>
      </c>
      <c r="L5813" s="38" t="n">
        <f aca="false">(Sens!$L$5811-Sens!$L$5812)*Sens!$L$5810+Sens!$L$5812</f>
        <v>205.7308027105</v>
      </c>
      <c r="M5813" s="38" t="n">
        <f aca="false">(Sens!$M$5811-Sens!$M$5812)*Sens!$M$5810+Sens!$M$5812</f>
        <v>265.82926376575</v>
      </c>
      <c r="R5813" s="38" t="n">
        <f aca="false">Sens!$R$5811*Sens!$C$5810</f>
        <v>1.09927679019314</v>
      </c>
      <c r="S5813" s="38" t="n">
        <f aca="false">Sens!$C$5813</f>
        <v>18.472138699801</v>
      </c>
      <c r="T5813" s="38" t="n">
        <f aca="false">Sens!$D$5813</f>
        <v>50.8377268390402</v>
      </c>
      <c r="U5813" s="38" t="n">
        <f aca="false">Sens!$G$5813</f>
        <v>122.060039060065</v>
      </c>
      <c r="V5813" s="38" t="n">
        <f aca="false">Sens!$H$5813</f>
        <v>152.52478394475</v>
      </c>
      <c r="W5813" s="38" t="n">
        <f aca="false">Sens!$I$5813</f>
        <v>158.5998889105</v>
      </c>
      <c r="X5813" s="38" t="n">
        <f aca="false">Sens!$J$5813</f>
        <v>163.8366571105</v>
      </c>
      <c r="Y5813" s="38" t="n">
        <f aca="false">Sens!$K$5813</f>
        <v>169.0734253105</v>
      </c>
      <c r="Z5813" s="38" t="n">
        <f aca="false">Sens!$L$5813</f>
        <v>205.7308027105</v>
      </c>
      <c r="AA5813" s="38" t="n">
        <f aca="false">Sens!$M$5813</f>
        <v>265.82926376575</v>
      </c>
    </row>
    <row r="5814" customFormat="false" ht="15" hidden="false" customHeight="false" outlineLevel="0" collapsed="false">
      <c r="A5814" s="5" t="s">
        <v>590</v>
      </c>
      <c r="B5814" s="0" t="s">
        <v>73</v>
      </c>
      <c r="R5814" s="38" t="n">
        <f aca="false">Sens!$R$5811-Sens!$R$5813</f>
        <v>0.405023005106309</v>
      </c>
      <c r="S5814" s="38" t="n">
        <f aca="false">Sens!$S$5811-Sens!$S$5813</f>
        <v>6.80596660793636</v>
      </c>
      <c r="T5814" s="38" t="n">
        <f aca="false">Sens!$T$5811-Sens!$T$5813</f>
        <v>18.7309047919624</v>
      </c>
      <c r="U5814" s="38" t="n">
        <f aca="false">Sens!$U$5811-Sens!$U$5813</f>
        <v>38.3780115779455</v>
      </c>
      <c r="V5814" s="38" t="n">
        <f aca="false">Sens!$V$5811-Sens!$V$5813</f>
        <v>46.046581</v>
      </c>
      <c r="W5814" s="38" t="n">
        <f aca="false">Sens!$W$5811-Sens!$W$5813</f>
        <v>46.046581</v>
      </c>
      <c r="X5814" s="38" t="n">
        <f aca="false">Sens!$X$5811-Sens!$X$5813</f>
        <v>46.046581</v>
      </c>
      <c r="Y5814" s="38" t="n">
        <f aca="false">Sens!$Y$5811-Sens!$Y$5813</f>
        <v>46.046581</v>
      </c>
      <c r="Z5814" s="38" t="n">
        <f aca="false">Sens!$Z$5811-Sens!$Z$5813</f>
        <v>46.046581</v>
      </c>
      <c r="AA5814" s="38" t="n">
        <f aca="false">Sens!$AA$5811-Sens!$AA$5813</f>
        <v>46.046581</v>
      </c>
    </row>
    <row r="5815" customFormat="false" ht="17.15" hidden="false" customHeight="false" outlineLevel="0" collapsed="false">
      <c r="A5815" s="0" t="s">
        <v>591</v>
      </c>
      <c r="B5815" s="0" t="s">
        <v>73</v>
      </c>
      <c r="C5815" s="38" t="n">
        <f aca="false">Sens!$S$5815</f>
        <v>0.183212798365523</v>
      </c>
      <c r="D5815" s="38" t="n">
        <f aca="false">Sens!$T$5815</f>
        <v>3.2619025816657</v>
      </c>
      <c r="E5815" s="38" t="n">
        <f aca="false">Sens!$G$5815/2</f>
        <v>5.86742852741953</v>
      </c>
      <c r="F5815" s="38" t="n">
        <f aca="false">Sens!$G$5815/2</f>
        <v>5.86742852741953</v>
      </c>
      <c r="G5815" s="38" t="n">
        <f aca="false">Sens!$U$5815</f>
        <v>11.7348570548391</v>
      </c>
      <c r="H5815" s="38" t="n">
        <f aca="false">Sens!$V$5815</f>
        <v>32.0781968981833</v>
      </c>
      <c r="I5815" s="38" t="n">
        <f aca="false">Sens!$W$5815</f>
        <v>57.4989942223083</v>
      </c>
      <c r="J5815" s="38" t="n">
        <f aca="false">Sens!$X$5815</f>
        <v>83.932309040725</v>
      </c>
      <c r="K5815" s="38" t="n">
        <f aca="false">Sens!$Y$5815</f>
        <v>111.055205760776</v>
      </c>
      <c r="L5815" s="38" t="n">
        <f aca="false">Sens!$Z$5815</f>
        <v>136.155420195893</v>
      </c>
      <c r="M5815" s="38" t="n">
        <f aca="false">Sens!$AA$5815</f>
        <v>161.970932841136</v>
      </c>
      <c r="N5815" s="38" t="n">
        <f aca="false">Sens!$D$5815/2</f>
        <v>1.63095129083285</v>
      </c>
      <c r="O5815" s="38" t="n">
        <f aca="false">Sens!$D$5815/2</f>
        <v>1.63095129083285</v>
      </c>
      <c r="R5815" s="38" t="n">
        <f aca="false">SUMPRODUCT(--(Sens!$R$5782:$AA$5782&lt;Sens!R$5782),--(Sens!$R$5782:$AA$5782&gt;=Sens!R$5782-tk_life),Sens!$R$5813:$AA$5813)/tk_life</f>
        <v>0</v>
      </c>
      <c r="S5815" s="38" t="n">
        <f aca="false">SUMPRODUCT(--(Sens!$R$5782:$AA$5782&lt;Sens!S$5782),--(Sens!$R$5782:$AA$5782&gt;=Sens!S$5782-tk_life),Sens!$R$5813:$AA$5813)/tk_life</f>
        <v>0.183212798365523</v>
      </c>
      <c r="T5815" s="38" t="n">
        <f aca="false">SUMPRODUCT(--(Sens!$R$5782:$AA$5782&lt;Sens!T$5782),--(Sens!$R$5782:$AA$5782&gt;=Sens!T$5782-tk_life),Sens!$R$5813:$AA$5813)/tk_life</f>
        <v>3.2619025816657</v>
      </c>
      <c r="U5815" s="38" t="n">
        <f aca="false">SUMPRODUCT(--(Sens!$R$5782:$AA$5782&lt;Sens!U$5782),--(Sens!$R$5782:$AA$5782&gt;=Sens!U$5782-tk_life),Sens!$R$5813:$AA$5813)/tk_life</f>
        <v>11.7348570548391</v>
      </c>
      <c r="V5815" s="38" t="n">
        <f aca="false">SUMPRODUCT(--(Sens!$R$5782:$AA$5782&lt;Sens!V$5782),--(Sens!$R$5782:$AA$5782&gt;=Sens!V$5782-tk_life),Sens!$R$5813:$AA$5813)/tk_life</f>
        <v>32.0781968981833</v>
      </c>
      <c r="W5815" s="38" t="n">
        <f aca="false">SUMPRODUCT(--(Sens!$R$5782:$AA$5782&lt;Sens!W$5782),--(Sens!$R$5782:$AA$5782&gt;=Sens!W$5782-tk_life),Sens!$R$5813:$AA$5813)/tk_life</f>
        <v>57.4989942223083</v>
      </c>
      <c r="X5815" s="38" t="n">
        <f aca="false">SUMPRODUCT(--(Sens!$R$5782:$AA$5782&lt;Sens!X$5782),--(Sens!$R$5782:$AA$5782&gt;=Sens!X$5782-tk_life),Sens!$R$5813:$AA$5813)/tk_life</f>
        <v>83.932309040725</v>
      </c>
      <c r="Y5815" s="38" t="n">
        <f aca="false">SUMPRODUCT(--(Sens!$R$5782:$AA$5782&lt;Sens!Y$5782),--(Sens!$R$5782:$AA$5782&gt;=Sens!Y$5782-tk_life),Sens!$R$5813:$AA$5813)/tk_life</f>
        <v>111.055205760776</v>
      </c>
      <c r="Z5815" s="38" t="n">
        <f aca="false">SUMPRODUCT(--(Sens!$R$5782:$AA$5782&lt;Sens!Z$5782),--(Sens!$R$5782:$AA$5782&gt;=Sens!Z$5782-tk_life),Sens!$R$5813:$AA$5813)/tk_life</f>
        <v>136.155420195893</v>
      </c>
      <c r="AA5815" s="38" t="n">
        <f aca="false">SUMPRODUCT(--(Sens!$R$5782:$AA$5782&lt;Sens!AA$5782),--(Sens!$R$5782:$AA$5782&gt;=Sens!AA$5782-tk_life),Sens!$R$5813:$AA$5813)/tk_life</f>
        <v>161.970932841136</v>
      </c>
    </row>
    <row r="5816" customFormat="false" ht="17.15" hidden="false" customHeight="false" outlineLevel="0" collapsed="false">
      <c r="A5816" s="0" t="s">
        <v>592</v>
      </c>
      <c r="B5816" s="0" t="s">
        <v>73</v>
      </c>
      <c r="C5816" s="38" t="n">
        <f aca="false">Sens!$S$5816</f>
        <v>0.0202511502553155</v>
      </c>
      <c r="D5816" s="38" t="n">
        <f aca="false">Sens!$T$5816</f>
        <v>0.360549480652134</v>
      </c>
      <c r="E5816" s="38" t="n">
        <f aca="false">Sens!$G$5816/2</f>
        <v>0.648547360125127</v>
      </c>
      <c r="F5816" s="38" t="n">
        <f aca="false">Sens!$G$5816/2</f>
        <v>0.648547360125127</v>
      </c>
      <c r="G5816" s="38" t="n">
        <f aca="false">Sens!$U$5816</f>
        <v>1.29709472025025</v>
      </c>
      <c r="H5816" s="38" t="n">
        <f aca="false">Sens!$V$5816</f>
        <v>3.21599529914753</v>
      </c>
      <c r="I5816" s="38" t="n">
        <f aca="false">Sens!$W$5816</f>
        <v>5.51832434914753</v>
      </c>
      <c r="J5816" s="38" t="n">
        <f aca="false">Sens!$X$5816</f>
        <v>7.82065339914753</v>
      </c>
      <c r="K5816" s="38" t="n">
        <f aca="false">Sens!$Y$5816</f>
        <v>10.1229824491475</v>
      </c>
      <c r="L5816" s="38" t="n">
        <f aca="false">Sens!$Z$5816</f>
        <v>12.4253114991475</v>
      </c>
      <c r="M5816" s="38" t="n">
        <f aca="false">Sens!$AA$5816</f>
        <v>14.7276405491475</v>
      </c>
      <c r="N5816" s="38" t="n">
        <f aca="false">Sens!$D$5816/2</f>
        <v>0.180274740326067</v>
      </c>
      <c r="O5816" s="38" t="n">
        <f aca="false">Sens!$D$5816/2</f>
        <v>0.180274740326067</v>
      </c>
      <c r="R5816" s="38" t="n">
        <f aca="false">SUMPRODUCT(--(Sens!$R$5782:$AA$5782&lt;Sens!R$5782),Sens!$R$5814:$AA$5814)/fac_life</f>
        <v>0</v>
      </c>
      <c r="S5816" s="38" t="n">
        <f aca="false">SUMPRODUCT(--(Sens!$R$5782:$AA$5782&lt;Sens!S$5782),Sens!$R$5814:$AA$5814)/fac_life</f>
        <v>0.0202511502553155</v>
      </c>
      <c r="T5816" s="38" t="n">
        <f aca="false">SUMPRODUCT(--(Sens!$R$5782:$AA$5782&lt;Sens!T$5782),Sens!$R$5814:$AA$5814)/fac_life</f>
        <v>0.360549480652134</v>
      </c>
      <c r="U5816" s="38" t="n">
        <f aca="false">SUMPRODUCT(--(Sens!$R$5782:$AA$5782&lt;Sens!U$5782),Sens!$R$5814:$AA$5814)/fac_life</f>
        <v>1.29709472025025</v>
      </c>
      <c r="V5816" s="38" t="n">
        <f aca="false">SUMPRODUCT(--(Sens!$R$5782:$AA$5782&lt;Sens!V$5782),Sens!$R$5814:$AA$5814)/fac_life</f>
        <v>3.21599529914753</v>
      </c>
      <c r="W5816" s="38" t="n">
        <f aca="false">SUMPRODUCT(--(Sens!$R$5782:$AA$5782&lt;Sens!W$5782),Sens!$R$5814:$AA$5814)/fac_life</f>
        <v>5.51832434914753</v>
      </c>
      <c r="X5816" s="38" t="n">
        <f aca="false">SUMPRODUCT(--(Sens!$R$5782:$AA$5782&lt;Sens!X$5782),Sens!$R$5814:$AA$5814)/fac_life</f>
        <v>7.82065339914753</v>
      </c>
      <c r="Y5816" s="38" t="n">
        <f aca="false">SUMPRODUCT(--(Sens!$R$5782:$AA$5782&lt;Sens!Y$5782),Sens!$R$5814:$AA$5814)/fac_life</f>
        <v>10.1229824491475</v>
      </c>
      <c r="Z5816" s="38" t="n">
        <f aca="false">SUMPRODUCT(--(Sens!$R$5782:$AA$5782&lt;Sens!Z$5782),Sens!$R$5814:$AA$5814)/fac_life</f>
        <v>12.4253114991475</v>
      </c>
      <c r="AA5816" s="38" t="n">
        <f aca="false">SUMPRODUCT(--(Sens!$R$5782:$AA$5782&lt;Sens!AA$5782),Sens!$R$5814:$AA$5814)/fac_life</f>
        <v>14.7276405491475</v>
      </c>
    </row>
    <row r="5817" customFormat="false" ht="17.15" hidden="false" customHeight="false" outlineLevel="0" collapsed="false">
      <c r="A5817" s="1" t="s">
        <v>593</v>
      </c>
      <c r="B5817" s="8" t="s">
        <v>73</v>
      </c>
      <c r="C5817" s="38" t="n">
        <f aca="false">Sens!$C$5815+Sens!$C$5816</f>
        <v>0.203463948620839</v>
      </c>
      <c r="D5817" s="38" t="n">
        <f aca="false">Sens!$D$5815+Sens!$D$5816</f>
        <v>3.62245206231783</v>
      </c>
      <c r="E5817" s="38" t="n">
        <f aca="false">Sens!$E$5815+Sens!$E$5816</f>
        <v>6.51597588754466</v>
      </c>
      <c r="F5817" s="38" t="n">
        <f aca="false">Sens!$F$5815+Sens!$F$5816</f>
        <v>6.51597588754466</v>
      </c>
      <c r="G5817" s="38" t="n">
        <f aca="false">Sens!$G$5815+Sens!$G$5816</f>
        <v>13.0319517750893</v>
      </c>
      <c r="H5817" s="38" t="n">
        <f aca="false">Sens!$H$5815+Sens!$H$5816</f>
        <v>35.2941921973308</v>
      </c>
      <c r="I5817" s="38" t="n">
        <f aca="false">Sens!$I$5815+Sens!$I$5816</f>
        <v>63.0173185714558</v>
      </c>
      <c r="J5817" s="38" t="n">
        <f aca="false">Sens!$J$5815+Sens!$J$5816</f>
        <v>91.7529624398725</v>
      </c>
      <c r="K5817" s="38" t="n">
        <f aca="false">Sens!$K$5815+Sens!$K$5816</f>
        <v>121.178188209924</v>
      </c>
      <c r="L5817" s="38" t="n">
        <f aca="false">Sens!$L$5815+Sens!$L$5816</f>
        <v>148.58073169504</v>
      </c>
      <c r="M5817" s="38" t="n">
        <f aca="false">Sens!$M$5815+Sens!$M$5816</f>
        <v>176.698573390283</v>
      </c>
      <c r="N5817" s="38" t="n">
        <f aca="false">Sens!$N$5815+Sens!$N$5816</f>
        <v>1.81122603115892</v>
      </c>
      <c r="O5817" s="38" t="n">
        <f aca="false">Sens!$O$5815+Sens!$O$5816</f>
        <v>1.81122603115892</v>
      </c>
      <c r="R5817" s="38" t="n">
        <f aca="false">Sens!$R$5815+Sens!$R$5816</f>
        <v>0</v>
      </c>
      <c r="S5817" s="38" t="n">
        <f aca="false">Sens!$S$5815+Sens!$S$5816</f>
        <v>0.203463948620839</v>
      </c>
      <c r="T5817" s="38" t="n">
        <f aca="false">Sens!$T$5815+Sens!$T$5816</f>
        <v>3.62245206231783</v>
      </c>
      <c r="U5817" s="38" t="n">
        <f aca="false">Sens!$U$5815+Sens!$U$5816</f>
        <v>13.0319517750893</v>
      </c>
      <c r="V5817" s="38" t="n">
        <f aca="false">Sens!$V$5815+Sens!$V$5816</f>
        <v>35.2941921973308</v>
      </c>
      <c r="W5817" s="38" t="n">
        <f aca="false">Sens!$W$5815+Sens!$W$5816</f>
        <v>63.0173185714558</v>
      </c>
      <c r="X5817" s="38" t="n">
        <f aca="false">Sens!$X$5815+Sens!$X$5816</f>
        <v>91.7529624398725</v>
      </c>
      <c r="Y5817" s="38" t="n">
        <f aca="false">Sens!$Y$5815+Sens!$Y$5816</f>
        <v>121.178188209924</v>
      </c>
      <c r="Z5817" s="38" t="n">
        <f aca="false">Sens!$Z$5815+Sens!$Z$5816</f>
        <v>148.58073169504</v>
      </c>
      <c r="AA5817" s="38" t="n">
        <f aca="false">Sens!$AA$5815+Sens!$AA$5816</f>
        <v>176.698573390283</v>
      </c>
    </row>
    <row r="5818" customFormat="false" ht="17.15" hidden="false" customHeight="false" outlineLevel="0" collapsed="false">
      <c r="A5818" s="0" t="s">
        <v>594</v>
      </c>
      <c r="B5818" s="0" t="s">
        <v>73</v>
      </c>
      <c r="C5818" s="38" t="n">
        <f aca="false">Sens!$S$5818</f>
        <v>26.578941154416</v>
      </c>
      <c r="D5818" s="38" t="n">
        <f aca="false">Sens!$T$5818</f>
        <v>92.5251207231008</v>
      </c>
      <c r="G5818" s="38" t="n">
        <f aca="false">Sens!$U$5818</f>
        <v>239.931219586022</v>
      </c>
      <c r="H5818" s="38" t="n">
        <f aca="false">Sens!$V$5818</f>
        <v>403.208392333442</v>
      </c>
      <c r="I5818" s="38" t="n">
        <f aca="false">Sens!$W$5818</f>
        <v>544.837543672486</v>
      </c>
      <c r="J5818" s="38" t="n">
        <f aca="false">Sens!$X$5818</f>
        <v>662.967819343113</v>
      </c>
      <c r="K5818" s="38" t="n">
        <f aca="false">Sens!$Y$5818</f>
        <v>756.90963744369</v>
      </c>
      <c r="L5818" s="38" t="n">
        <f aca="false">Sens!$Z$5818</f>
        <v>860.10628945915</v>
      </c>
      <c r="M5818" s="38" t="n">
        <f aca="false">Sens!$AA$5818</f>
        <v>995.283560834616</v>
      </c>
      <c r="R5818" s="38" t="n">
        <f aca="false">SUM(Sens!$R$5811:$R$5811)-SUM(Sens!$R$5817:$R$5817)</f>
        <v>1.50429979529945</v>
      </c>
      <c r="S5818" s="38" t="n">
        <f aca="false">SUM(Sens!$R$5811:$S$5811)-SUM(Sens!$R$5817:$S$5817)</f>
        <v>26.578941154416</v>
      </c>
      <c r="T5818" s="38" t="n">
        <f aca="false">SUM(Sens!$R$5811:$T$5811)-SUM(Sens!$R$5817:$T$5817)</f>
        <v>92.5251207231008</v>
      </c>
      <c r="U5818" s="38" t="n">
        <f aca="false">SUM(Sens!$R$5811:$U$5811)-SUM(Sens!$R$5817:$U$5817)</f>
        <v>239.931219586022</v>
      </c>
      <c r="V5818" s="38" t="n">
        <f aca="false">SUM(Sens!$R$5811:$V$5811)-SUM(Sens!$R$5817:$V$5817)</f>
        <v>403.208392333442</v>
      </c>
      <c r="W5818" s="38" t="n">
        <f aca="false">SUM(Sens!$R$5811:$W$5811)-SUM(Sens!$R$5817:$W$5817)</f>
        <v>544.837543672486</v>
      </c>
      <c r="X5818" s="38" t="n">
        <f aca="false">SUM(Sens!$R$5811:$X$5811)-SUM(Sens!$R$5817:$X$5817)</f>
        <v>662.967819343113</v>
      </c>
      <c r="Y5818" s="38" t="n">
        <f aca="false">SUM(Sens!$R$5811:$Y$5811)-SUM(Sens!$R$5817:$Y$5817)</f>
        <v>756.90963744369</v>
      </c>
      <c r="Z5818" s="38" t="n">
        <f aca="false">SUM(Sens!$R$5811:$Z$5811)-SUM(Sens!$R$5817:$Z$5817)</f>
        <v>860.10628945915</v>
      </c>
      <c r="AA5818" s="38" t="n">
        <f aca="false">SUM(Sens!$R$5811:$AA$5811)-SUM(Sens!$R$5817:$AA$5817)</f>
        <v>995.283560834616</v>
      </c>
    </row>
    <row r="5819" customFormat="false" ht="17.15" hidden="false" customHeight="false" outlineLevel="0" collapsed="false">
      <c r="A5819" s="1" t="s">
        <v>595</v>
      </c>
    </row>
    <row r="5820" customFormat="false" ht="17.15" hidden="false" customHeight="false" outlineLevel="0" collapsed="false">
      <c r="A5820" s="0" t="s">
        <v>596</v>
      </c>
      <c r="B5820" s="0" t="s">
        <v>73</v>
      </c>
      <c r="C5820" s="38" t="n">
        <f aca="false">Sens!$C$5802-ext_sh*Sens!$C$5804</f>
        <v>1.80694998843362</v>
      </c>
      <c r="D5820" s="38" t="n">
        <f aca="false">Sens!$D$5802-ext_sh*Sens!$D$5804</f>
        <v>6.77606245662607</v>
      </c>
      <c r="E5820" s="38" t="n">
        <f aca="false">Sens!$E$5802-ext_sh*Sens!$E$5804</f>
        <v>6.62548329092326</v>
      </c>
      <c r="F5820" s="38" t="n">
        <f aca="false">Sens!$F$5802-ext_sh*Sens!$F$5804</f>
        <v>11.7200577158706</v>
      </c>
      <c r="G5820" s="38" t="n">
        <f aca="false">Sens!$G$5802-ext_sh*Sens!$G$5804</f>
        <v>18.3455410067939</v>
      </c>
      <c r="H5820" s="38" t="n">
        <f aca="false">Sens!$H$5802-ext_sh*Sens!$H$5804</f>
        <v>47.5171727060453</v>
      </c>
      <c r="I5820" s="38" t="n">
        <f aca="false">Sens!$I$5802-ext_sh*Sens!$I$5804</f>
        <v>80.5539692643667</v>
      </c>
      <c r="J5820" s="38" t="n">
        <f aca="false">Sens!$J$5802-ext_sh*Sens!$J$5804</f>
        <v>113.759316834883</v>
      </c>
      <c r="K5820" s="38" t="n">
        <f aca="false">Sens!$K$5802-ext_sh*Sens!$K$5804</f>
        <v>147.020848076132</v>
      </c>
      <c r="L5820" s="38" t="n">
        <f aca="false">Sens!$L$5802-ext_sh*Sens!$L$5804</f>
        <v>180.307917349531</v>
      </c>
      <c r="M5820" s="38" t="n">
        <f aca="false">Sens!$M$5802-ext_sh*Sens!$M$5804</f>
        <v>213.608737871012</v>
      </c>
      <c r="N5820" s="38" t="n">
        <f aca="false">Sens!$N$5802-ext_sh*Sens!$N$5804</f>
        <v>2.37162185981912</v>
      </c>
      <c r="O5820" s="38" t="n">
        <f aca="false">Sens!$O$5802-ext_sh*Sens!$O$5804</f>
        <v>4.40444059680694</v>
      </c>
    </row>
    <row r="5821" customFormat="false" ht="17.15" hidden="false" customHeight="false" outlineLevel="0" collapsed="false">
      <c r="A5821" s="1" t="s">
        <v>597</v>
      </c>
      <c r="B5821" s="8" t="s">
        <v>73</v>
      </c>
      <c r="C5821" s="38" t="n">
        <f aca="false">Sens!$C$5820-ext_sh*Sens!$C$5817</f>
        <v>1.64417882953695</v>
      </c>
      <c r="D5821" s="38" t="n">
        <f aca="false">Sens!$D$5820-ext_sh*Sens!$D$5817</f>
        <v>3.8781008067718</v>
      </c>
      <c r="E5821" s="38" t="n">
        <f aca="false">Sens!$E$5820-ext_sh*Sens!$E$5817</f>
        <v>1.41270258088753</v>
      </c>
      <c r="F5821" s="38" t="n">
        <f aca="false">Sens!$F$5820-ext_sh*Sens!$F$5817</f>
        <v>6.50727700583486</v>
      </c>
      <c r="G5821" s="38" t="n">
        <f aca="false">Sens!$G$5820-ext_sh*Sens!$G$5817</f>
        <v>7.9199795867224</v>
      </c>
      <c r="H5821" s="38" t="n">
        <f aca="false">Sens!$H$5820-ext_sh*Sens!$H$5817</f>
        <v>19.2818189481807</v>
      </c>
      <c r="I5821" s="38" t="n">
        <f aca="false">Sens!$I$5820-ext_sh*Sens!$I$5817</f>
        <v>30.140114407202</v>
      </c>
      <c r="J5821" s="38" t="n">
        <f aca="false">Sens!$J$5820-ext_sh*Sens!$J$5817</f>
        <v>40.3569468829854</v>
      </c>
      <c r="K5821" s="38" t="n">
        <f aca="false">Sens!$K$5820-ext_sh*Sens!$K$5817</f>
        <v>50.0782975081929</v>
      </c>
      <c r="L5821" s="38" t="n">
        <f aca="false">Sens!$L$5820-ext_sh*Sens!$L$5817</f>
        <v>61.443331993499</v>
      </c>
      <c r="M5821" s="38" t="n">
        <f aca="false">Sens!$M$5820-ext_sh*Sens!$M$5817</f>
        <v>72.2498791587849</v>
      </c>
      <c r="N5821" s="38" t="n">
        <f aca="false">Sens!$N$5820-ext_sh*Sens!$N$5817</f>
        <v>0.92264103489199</v>
      </c>
      <c r="O5821" s="38" t="n">
        <f aca="false">Sens!$O$5820-ext_sh*Sens!$O$5817</f>
        <v>2.95545977187981</v>
      </c>
    </row>
    <row r="5822" customFormat="false" ht="17.15" hidden="false" customHeight="false" outlineLevel="0" collapsed="false">
      <c r="A5822" s="0" t="s">
        <v>598</v>
      </c>
      <c r="B5822" s="0" t="s">
        <v>52</v>
      </c>
      <c r="C5822" s="12" t="n">
        <f aca="false">Sens!$C$5821/Sens!$C$5802</f>
        <v>0.708390794789371</v>
      </c>
      <c r="D5822" s="12" t="n">
        <f aca="false">Sens!$D$5821/Sens!$D$5802</f>
        <v>0.445565630441968</v>
      </c>
      <c r="E5822" s="12" t="n">
        <f aca="false">Sens!$E$5821/Sens!$E$5802</f>
        <v>0.165998118402711</v>
      </c>
      <c r="F5822" s="12" t="n">
        <f aca="false">Sens!$F$5821/Sens!$F$5802</f>
        <v>0.434878595403858</v>
      </c>
      <c r="G5822" s="12" t="n">
        <f aca="false">Sens!$G$5821/Sens!$G$5802</f>
        <v>0.3373967615381</v>
      </c>
      <c r="H5822" s="12" t="n">
        <f aca="false">Sens!$H$5821/Sens!$H$5802</f>
        <v>0.320477578041224</v>
      </c>
      <c r="I5822" s="12" t="n">
        <f aca="false">Sens!$I$5821/Sens!$I$5802</f>
        <v>0.296936118226494</v>
      </c>
      <c r="J5822" s="12" t="n">
        <f aca="false">Sens!$J$5821/Sens!$J$5802</f>
        <v>0.282166278613001</v>
      </c>
      <c r="K5822" s="12" t="n">
        <f aca="false">Sens!$K$5821/Sens!$K$5802</f>
        <v>0.271267685694333</v>
      </c>
      <c r="L5822" s="12" t="n">
        <f aca="false">Sens!$L$5821/Sens!$L$5802</f>
        <v>0.27160960915653</v>
      </c>
      <c r="M5822" s="12" t="n">
        <f aca="false">Sens!$M$5821/Sens!$M$5802</f>
        <v>0.26974494804234</v>
      </c>
      <c r="N5822" s="12" t="n">
        <f aca="false">Sens!$N$5821/Sens!$N$5802</f>
        <v>0.302870734830849</v>
      </c>
      <c r="O5822" s="12" t="n">
        <f aca="false">Sens!$O$5821/Sens!$O$5802</f>
        <v>0.52240134346334</v>
      </c>
    </row>
    <row r="5823" customFormat="false" ht="17.15" hidden="false" customHeight="false" outlineLevel="0" collapsed="false">
      <c r="A5823" s="5" t="s">
        <v>599</v>
      </c>
      <c r="B5823" s="0" t="s">
        <v>73</v>
      </c>
      <c r="C5823" s="38" t="n">
        <f aca="false">rd2*(1-ext_sh)/ext_sh*Sens!$C$5785*he_open*Sens!$C$5786/1000</f>
        <v>0</v>
      </c>
      <c r="D5823" s="38" t="n">
        <f aca="false">rd2*(1-ext_sh)/ext_sh*Sens!$D$5785*he_open*Sens!$D$5786/1000</f>
        <v>0</v>
      </c>
      <c r="E5823" s="38" t="n">
        <f aca="false">rd2*(1-ext_sh)/ext_sh*Sens!$E$5785*he_open*Sens!$E$5786/1000</f>
        <v>0</v>
      </c>
      <c r="F5823" s="38" t="n">
        <f aca="false">rd2*(1-ext_sh)/ext_sh*(mw_open*he_open+Sens!$F$5800*Sens!$F$5797)*Sens!$F$5786/1000</f>
        <v>0</v>
      </c>
      <c r="G5823" s="38" t="n">
        <f aca="false">Sens!$E$5823+Sens!$F$5823</f>
        <v>0</v>
      </c>
      <c r="H5823" s="38" t="n">
        <f aca="false">rd2*(1-ext_sh)/ext_sh*(mw_open*he_open+Sens!$H$5800*Sens!$H$5797)*Sens!$H$5786/1000</f>
        <v>0</v>
      </c>
      <c r="I5823" s="38" t="n">
        <f aca="false">rd2*(1-ext_sh)/ext_sh*(mw_open*he_open+Sens!$I$5800*Sens!$I$5797)*Sens!$I$5786/1000</f>
        <v>0</v>
      </c>
      <c r="J5823" s="38" t="n">
        <f aca="false">rd2*(1-ext_sh)/ext_sh*(mw_open*he_open+Sens!$J$5800*Sens!$J$5797)*Sens!$J$5786/1000</f>
        <v>0</v>
      </c>
      <c r="K5823" s="38" t="n">
        <f aca="false">rd2*(1-ext_sh)/ext_sh*(mw_open*he_open+Sens!$K$5800*Sens!$K$5797)*Sens!$K$5786/1000</f>
        <v>0</v>
      </c>
      <c r="L5823" s="38" t="n">
        <f aca="false">rd2*(1-ext_sh)/ext_sh*(mw_open*he_open+Sens!$L$5800*Sens!$L$5797)*Sens!$L$5786/1000</f>
        <v>0</v>
      </c>
      <c r="M5823" s="38" t="n">
        <f aca="false">rd2*(1-ext_sh)/ext_sh*(mw_open*he_open+Sens!$M$5800*Sens!$M$5797)*Sens!$M$5786/1000</f>
        <v>0</v>
      </c>
      <c r="N5823" s="38" t="n">
        <f aca="false">rd2*(1-ext_sh)/ext_sh*Sens!$N$5785*he_open*Sens!$N$5786/1000</f>
        <v>0</v>
      </c>
      <c r="O5823" s="38" t="n">
        <f aca="false">rd2*(1-ext_sh)/ext_sh*Sens!$O$5785*he_open*Sens!$O$5786/1000</f>
        <v>0</v>
      </c>
      <c r="P5823" s="8" t="s">
        <v>600</v>
      </c>
    </row>
    <row r="5824" customFormat="false" ht="17.15" hidden="false" customHeight="false" outlineLevel="0" collapsed="false">
      <c r="A5824" s="5" t="s">
        <v>601</v>
      </c>
      <c r="B5824" s="0" t="s">
        <v>73</v>
      </c>
      <c r="C5824" s="38" t="n">
        <f aca="false">(1-ext_sh)*(Sens!$C$5804+Sens!$C$5817)-Sens!$C$5823</f>
        <v>0.169206631859174</v>
      </c>
      <c r="D5824" s="38" t="n">
        <f aca="false">(1-ext_sh)*(Sens!$D$5804+Sens!$D$5817)-Sens!$D$5823</f>
        <v>1.20641732046984</v>
      </c>
      <c r="E5824" s="38" t="n">
        <f aca="false">(1-ext_sh)*(Sens!$E$5804+Sens!$E$5817)-Sens!$E$5823</f>
        <v>1.77441259867062</v>
      </c>
      <c r="F5824" s="38" t="n">
        <f aca="false">(1-ext_sh)*(Sens!$F$5804+Sens!$F$5817)-Sens!$F$5823</f>
        <v>2.1140391597214</v>
      </c>
      <c r="G5824" s="38" t="n">
        <f aca="false">(1-ext_sh)*(Sens!$G$5804+Sens!$G$5817)-Sens!$G$5823</f>
        <v>3.88845175839202</v>
      </c>
      <c r="H5824" s="38" t="n">
        <f aca="false">(1-ext_sh)*(Sens!$H$5804+Sens!$H$5817)-Sens!$H$5823</f>
        <v>10.2210179503985</v>
      </c>
      <c r="I5824" s="38" t="n">
        <f aca="false">(1-ext_sh)*(Sens!$I$5804+Sens!$I$5817)-Sens!$I$5823</f>
        <v>17.8408961823075</v>
      </c>
      <c r="J5824" s="38" t="n">
        <f aca="false">(1-ext_sh)*(Sens!$J$5804+Sens!$J$5817)-Sens!$J$5823</f>
        <v>25.6671150670732</v>
      </c>
      <c r="K5824" s="38" t="n">
        <f aca="false">(1-ext_sh)*(Sens!$K$5804+Sens!$K$5817)-Sens!$K$5823</f>
        <v>33.6325293834986</v>
      </c>
      <c r="L5824" s="38" t="n">
        <f aca="false">(1-ext_sh)*(Sens!$L$5804+Sens!$L$5817)-Sens!$L$5823</f>
        <v>41.1939886299065</v>
      </c>
      <c r="M5824" s="38" t="n">
        <f aca="false">(1-ext_sh)*(Sens!$M$5804+Sens!$M$5817)-Sens!$M$5823</f>
        <v>48.8988205728617</v>
      </c>
      <c r="N5824" s="38" t="n">
        <f aca="false">(1-ext_sh)*(Sens!$N$5804+Sens!$N$5817)-Sens!$N$5823</f>
        <v>0.530919624033979</v>
      </c>
      <c r="O5824" s="38" t="n">
        <f aca="false">(1-ext_sh)*(Sens!$O$5804+Sens!$O$5817)-Sens!$O$5823</f>
        <v>0.675497696435861</v>
      </c>
    </row>
    <row r="5825" customFormat="false" ht="17.15" hidden="false" customHeight="false" outlineLevel="0" collapsed="false">
      <c r="A5825" s="0" t="s">
        <v>602</v>
      </c>
      <c r="B5825" s="0" t="s">
        <v>73</v>
      </c>
      <c r="C5825" s="38" t="n">
        <f aca="false">Q!$D$24</f>
        <v>39.834</v>
      </c>
      <c r="D5825" s="38" t="n">
        <f aca="false">Q!$E$24</f>
        <v>45.606</v>
      </c>
      <c r="E5825" s="38" t="n">
        <f aca="false">Q!$P$24</f>
        <v>30.782</v>
      </c>
      <c r="N5825" s="38" t="n">
        <f aca="false">Q!$N$24</f>
        <v>21.707</v>
      </c>
      <c r="O5825" s="38" t="n">
        <f aca="false">Q!$O$24</f>
        <v>23.899</v>
      </c>
    </row>
    <row r="5826" customFormat="false" ht="17.15" hidden="false" customHeight="false" outlineLevel="0" collapsed="false">
      <c r="A5826" s="0" t="s">
        <v>603</v>
      </c>
      <c r="B5826" s="0" t="s">
        <v>73</v>
      </c>
      <c r="C5826" s="38" t="n">
        <f aca="false">Sens!$C$5825-Sens!$C$5821</f>
        <v>38.1898211704631</v>
      </c>
      <c r="D5826" s="38" t="n">
        <f aca="false">Sens!$D$5825-Sens!$D$5821</f>
        <v>41.7278991932282</v>
      </c>
      <c r="E5826" s="38" t="n">
        <f aca="false">Sens!$E$5825-Sens!$E$5821</f>
        <v>29.3692974191125</v>
      </c>
      <c r="F5826" s="38" t="n">
        <f aca="false">Sens!$F$5806*Sens!$F$5827</f>
        <v>29.458060516894</v>
      </c>
      <c r="G5826" s="38" t="n">
        <f aca="false">Sens!$E$5826+Sens!$F$5826</f>
        <v>58.8273579360065</v>
      </c>
      <c r="H5826" s="38" t="n">
        <f aca="false">Sens!$H$5806*Sens!$H$5827</f>
        <v>67.8004040185081</v>
      </c>
      <c r="I5826" s="38" t="n">
        <f aca="false">Sens!$I$5806*Sens!$I$5827</f>
        <v>78.9527630302702</v>
      </c>
      <c r="J5826" s="38" t="n">
        <f aca="false">Sens!$J$5806*Sens!$J$5827</f>
        <v>88.6042681781841</v>
      </c>
      <c r="K5826" s="38" t="n">
        <f aca="false">Sens!$K$5806*Sens!$K$5827</f>
        <v>95.6926096324389</v>
      </c>
      <c r="L5826" s="38" t="n">
        <f aca="false">Sens!$L$5806*Sens!$L$5827</f>
        <v>103.348018403034</v>
      </c>
      <c r="M5826" s="38" t="n">
        <f aca="false">Sens!$M$5806*Sens!$M$5827</f>
        <v>111.615859875277</v>
      </c>
      <c r="N5826" s="38" t="n">
        <f aca="false">Sens!$N$5825-Sens!$N$5821</f>
        <v>20.784358965108</v>
      </c>
      <c r="O5826" s="38" t="n">
        <f aca="false">Sens!$O$5825-Sens!$O$5821</f>
        <v>20.9435402281202</v>
      </c>
      <c r="P5826" s="5" t="s">
        <v>604</v>
      </c>
    </row>
    <row r="5827" customFormat="false" ht="17.15" hidden="false" customHeight="false" outlineLevel="0" collapsed="false">
      <c r="A5827" s="0" t="s">
        <v>605</v>
      </c>
      <c r="B5827" s="0" t="s">
        <v>52</v>
      </c>
      <c r="C5827" s="12" t="n">
        <f aca="false">Sens!$C$5826/Sens!$C$5806</f>
        <v>0.362900395443635</v>
      </c>
      <c r="D5827" s="12" t="n">
        <f aca="false">Sens!$D$5826/Sens!$D$5806</f>
        <v>0.34767098474203</v>
      </c>
      <c r="E5827" s="12" t="n">
        <f aca="false">Sens!$E$5826/Sens!$E$5806</f>
        <v>0.411861655558416</v>
      </c>
      <c r="F5827" s="12" t="n">
        <f aca="false">(Sens!$O$5826+Sens!$E$5826)/(Sens!$O$5806+Sens!$E$5806)</f>
        <v>0.37480827803158</v>
      </c>
      <c r="G5827" s="12" t="n">
        <f aca="false">Sens!$G$5826/Sens!$G$5806</f>
        <v>0.392434440489471</v>
      </c>
      <c r="H5827" s="12" t="n">
        <f aca="false">Sens!$F$5827</f>
        <v>0.37480827803158</v>
      </c>
      <c r="I5827" s="12" t="n">
        <f aca="false">Sens!$F$5827</f>
        <v>0.37480827803158</v>
      </c>
      <c r="J5827" s="12" t="n">
        <f aca="false">Sens!$F$5827</f>
        <v>0.37480827803158</v>
      </c>
      <c r="K5827" s="12" t="n">
        <f aca="false">Sens!$F$5827</f>
        <v>0.37480827803158</v>
      </c>
      <c r="L5827" s="12" t="n">
        <f aca="false">Sens!$F$5827</f>
        <v>0.37480827803158</v>
      </c>
      <c r="M5827" s="12" t="n">
        <f aca="false">Sens!$F$5827</f>
        <v>0.37480827803158</v>
      </c>
      <c r="N5827" s="12" t="n">
        <f aca="false">Sens!$N$5826/Sens!$N$5806</f>
        <v>0.364039571356823</v>
      </c>
      <c r="O5827" s="12" t="n">
        <f aca="false">Sens!$O$5826/Sens!$O$5806</f>
        <v>0.332819892300086</v>
      </c>
      <c r="P5827" s="8" t="s">
        <v>606</v>
      </c>
    </row>
    <row r="5828" customFormat="false" ht="17.15" hidden="false" customHeight="false" outlineLevel="0" collapsed="false">
      <c r="A5828" s="0" t="s">
        <v>607</v>
      </c>
      <c r="B5828" s="0" t="s">
        <v>52</v>
      </c>
      <c r="D5828" s="12" t="n">
        <f aca="false">(Q!$E$31-ext_sh*Sens!$D$5817)/Sens!$D$5806</f>
        <v>0.154572973163571</v>
      </c>
    </row>
    <row r="5829" customFormat="false" ht="17.15" hidden="false" customHeight="false" outlineLevel="0" collapsed="false">
      <c r="A5829" s="0" t="s">
        <v>608</v>
      </c>
      <c r="B5829" s="0" t="s">
        <v>73</v>
      </c>
      <c r="C5829" s="38" t="n">
        <f aca="false">Q!$D$31</f>
        <v>13.32</v>
      </c>
      <c r="D5829" s="38" t="n">
        <f aca="false">Q!$E$31</f>
        <v>21.45</v>
      </c>
      <c r="E5829" s="38" t="n">
        <f aca="false">Q!$P$31</f>
        <v>15.353</v>
      </c>
      <c r="F5829" s="38" t="n">
        <f aca="false">ext_sh*Sens!$F$5817+Sens!$D$5828*Sens!$F$5806</f>
        <v>17.3614451462707</v>
      </c>
      <c r="G5829" s="38" t="n">
        <f aca="false">Sens!$E$5829+Sens!$F$5829</f>
        <v>32.7144451462707</v>
      </c>
      <c r="H5829" s="38" t="n">
        <f aca="false">ext_sh*Sens!$H$5817+Sens!$D$5828*Sens!$H$5806</f>
        <v>56.1966092719415</v>
      </c>
      <c r="I5829" s="38" t="n">
        <f aca="false">ext_sh*Sens!$I$5817+Sens!$D$5828*Sens!$I$5806</f>
        <v>82.9744039068297</v>
      </c>
      <c r="J5829" s="38" t="n">
        <f aca="false">ext_sh*Sens!$J$5817+Sens!$D$5828*Sens!$J$5806</f>
        <v>109.943252237669</v>
      </c>
      <c r="K5829" s="38" t="n">
        <f aca="false">ext_sh*Sens!$K$5817+Sens!$D$5828*Sens!$K$5806</f>
        <v>136.406703436571</v>
      </c>
      <c r="L5829" s="38" t="n">
        <f aca="false">ext_sh*Sens!$L$5817+Sens!$D$5828*Sens!$L$5806</f>
        <v>161.485870454155</v>
      </c>
      <c r="M5829" s="38" t="n">
        <f aca="false">ext_sh*Sens!$M$5817+Sens!$D$5828*Sens!$M$5806</f>
        <v>187.389846618199</v>
      </c>
      <c r="N5829" s="38" t="n">
        <f aca="false">Q!$N$31</f>
        <v>9.234</v>
      </c>
      <c r="O5829" s="38" t="n">
        <f aca="false">Q!$O$31</f>
        <v>12.216</v>
      </c>
    </row>
    <row r="5830" customFormat="false" ht="17.15" hidden="false" customHeight="false" outlineLevel="0" collapsed="false">
      <c r="A5830" s="1" t="s">
        <v>609</v>
      </c>
    </row>
    <row r="5831" customFormat="false" ht="17.15" hidden="false" customHeight="false" outlineLevel="0" collapsed="false">
      <c r="A5831" s="14" t="s">
        <v>610</v>
      </c>
      <c r="B5831" s="13" t="s">
        <v>52</v>
      </c>
      <c r="C5831" s="13"/>
      <c r="D5831" s="13"/>
      <c r="E5831" s="13"/>
      <c r="F5831" s="13"/>
      <c r="G5831" s="16" t="n">
        <f aca="false">Sens!$G$5821*(1-tax)/(ext_sh*(Sens!$D$5818+Sens!$G$5818)/2)</f>
        <v>0.0492184452944045</v>
      </c>
      <c r="H5831" s="16" t="n">
        <f aca="false">Sens!$H$5821*(1-tax)/(ext_sh*(Sens!$G$5818+Sens!$H$5818)/2)</f>
        <v>0.0619414246858107</v>
      </c>
      <c r="I5831" s="16" t="n">
        <f aca="false">Sens!$I$5821*(1-tax)/(ext_sh*(Sens!$H$5818+Sens!$I$5818)/2)</f>
        <v>0.0656831488051666</v>
      </c>
      <c r="J5831" s="16" t="n">
        <f aca="false">Sens!$J$5821*(1-tax)/(ext_sh*(Sens!$I$5818+Sens!$J$5818)/2)</f>
        <v>0.0690334849962116</v>
      </c>
      <c r="K5831" s="16" t="n">
        <f aca="false">Sens!$K$5821*(1-tax)/(ext_sh*(Sens!$J$5818+Sens!$K$5818)/2)</f>
        <v>0.0728680488295485</v>
      </c>
      <c r="L5831" s="16" t="n">
        <f aca="false">Sens!$L$5821*(1-tax)/(ext_sh*(Sens!$K$5818+Sens!$L$5818)/2)</f>
        <v>0.0785052878122331</v>
      </c>
      <c r="M5831" s="16" t="n">
        <f aca="false">Sens!$M$5821*(1-tax)/(ext_sh*(Sens!$L$5818+Sens!$M$5818)/2)</f>
        <v>0.0804526580722741</v>
      </c>
      <c r="N5831" s="13"/>
      <c r="O5831" s="13"/>
      <c r="P5831" s="8" t="s">
        <v>611</v>
      </c>
    </row>
    <row r="5832" customFormat="false" ht="17.15" hidden="false" customHeight="false" outlineLevel="0" collapsed="false">
      <c r="A5832" s="5" t="s">
        <v>612</v>
      </c>
      <c r="B5832" s="0" t="s">
        <v>57</v>
      </c>
      <c r="H5832" s="36" t="n">
        <f aca="false">Sens!$H$5802*1000/(mw_open*he_open+Sens!$H$5800*Sens!$H$5797)</f>
        <v>0.991949006767191</v>
      </c>
      <c r="I5832" s="36" t="n">
        <f aca="false">Sens!$I$5802*1000/(mw_open*he_open+Sens!$I$5800*Sens!$I$5797)</f>
        <v>0.991949006767191</v>
      </c>
      <c r="J5832" s="36" t="n">
        <f aca="false">Sens!$J$5802*1000/(mw_open*he_open+Sens!$J$5800*Sens!$J$5797)</f>
        <v>0.991949006767191</v>
      </c>
      <c r="K5832" s="36" t="n">
        <f aca="false">Sens!$K$5802*1000/(mw_open*he_open+Sens!$K$5800*Sens!$K$5797)</f>
        <v>0.991949006767191</v>
      </c>
      <c r="L5832" s="36" t="n">
        <f aca="false">Sens!$L$5802*1000/(mw_open*he_open+Sens!$L$5800*Sens!$L$5797)</f>
        <v>0.991949006767191</v>
      </c>
      <c r="M5832" s="36" t="n">
        <f aca="false">Sens!$M$5802*1000/(mw_open*he_open+Sens!$M$5800*Sens!$M$5797)</f>
        <v>0.991949006767192</v>
      </c>
    </row>
    <row r="5833" customFormat="false" ht="17.15" hidden="false" customHeight="false" outlineLevel="0" collapsed="false">
      <c r="A5833" s="5" t="s">
        <v>613</v>
      </c>
      <c r="B5833" s="0" t="s">
        <v>57</v>
      </c>
      <c r="H5833" s="36" t="n">
        <f aca="false">Sens!$H$5832*(Sens!$H$5802+wacc*ext_sh*(Sens!$G$5818+Sens!$H$5818)/2/(1-tax)-Sens!$H$5821)/Sens!$H$5802</f>
        <v>1.3149781212103</v>
      </c>
      <c r="I5833" s="36" t="n">
        <f aca="false">Sens!$I$5832*(Sens!$I$5802+wacc*ext_sh*(Sens!$H$5818+Sens!$I$5818)/2/(1-tax)-Sens!$I$5821)/Sens!$I$5802</f>
        <v>1.25742005569107</v>
      </c>
      <c r="J5833" s="36" t="n">
        <f aca="false">Sens!$J$5832*(Sens!$J$5802+wacc*ext_sh*(Sens!$I$5818+Sens!$J$5818)/2/(1-tax)-Sens!$J$5821)/Sens!$J$5802</f>
        <v>1.21838845868559</v>
      </c>
      <c r="K5833" s="36" t="n">
        <f aca="false">Sens!$K$5832*(Sens!$K$5802+wacc*ext_sh*(Sens!$J$5818+Sens!$K$5818)/2/(1-tax)-Sens!$K$5821)/Sens!$K$5802</f>
        <v>1.18402644209548</v>
      </c>
      <c r="L5833" s="36" t="n">
        <f aca="false">Sens!$L$5832*(Sens!$L$5802+wacc*ext_sh*(Sens!$K$5818+Sens!$L$5818)/2/(1-tax)-Sens!$L$5821)/Sens!$L$5802</f>
        <v>1.15111215322059</v>
      </c>
      <c r="M5833" s="36" t="n">
        <f aca="false">Sens!$M$5832*(Sens!$M$5802+wacc*ext_sh*(Sens!$L$5818+Sens!$M$5818)/2/(1-tax)-Sens!$M$5821)/Sens!$M$5802</f>
        <v>1.1397166845677</v>
      </c>
    </row>
    <row r="5834" customFormat="false" ht="17.15" hidden="false" customHeight="false" outlineLevel="0" collapsed="false">
      <c r="A5834" s="5" t="s">
        <v>614</v>
      </c>
      <c r="B5834" s="0" t="s">
        <v>52</v>
      </c>
      <c r="C5834" s="12" t="n">
        <f aca="false">Sens!$C$5803/tk_pq</f>
        <v>0.195316432429398</v>
      </c>
      <c r="D5834" s="12" t="n">
        <f aca="false">Sens!$D$5803/tk_pq</f>
        <v>0.195316432429398</v>
      </c>
      <c r="E5834" s="12" t="n">
        <f aca="false">Sens!$E$5803/tk_pq</f>
        <v>0.195316432429398</v>
      </c>
      <c r="F5834" s="12" t="n">
        <f aca="false">Sens!$F$5803/tk_pq</f>
        <v>0.202241827274866</v>
      </c>
      <c r="G5834" s="12" t="n">
        <f aca="false">Sens!$G$5803/tk_pq</f>
        <v>0.199675016194063</v>
      </c>
      <c r="H5834" s="12" t="n">
        <f aca="false">Sens!$H$5803/tk_pq</f>
        <v>0.212647947710325</v>
      </c>
      <c r="I5834" s="12" t="n">
        <f aca="false">Sens!$I$5803/tk_pq</f>
        <v>0.219285125475351</v>
      </c>
      <c r="J5834" s="12" t="n">
        <f aca="false">Sens!$J$5803/tk_pq</f>
        <v>0.222492493217189</v>
      </c>
      <c r="K5834" s="12" t="n">
        <f aca="false">Sens!$K$5803/tk_pq</f>
        <v>0.224371415939166</v>
      </c>
      <c r="L5834" s="12" t="n">
        <f aca="false">Sens!$L$5803/tk_pq</f>
        <v>0.225603749825993</v>
      </c>
      <c r="M5834" s="12" t="n">
        <f aca="false">Sens!$M$5803/tk_pq</f>
        <v>0.22647376274628</v>
      </c>
      <c r="N5834" s="12" t="n">
        <f aca="false">Sens!$N$5803/tk_pq</f>
        <v>0.195316432429398</v>
      </c>
      <c r="O5834" s="12" t="n">
        <f aca="false">Sens!$O$5803/tk_pq</f>
        <v>0.195316432429398</v>
      </c>
      <c r="P5834" s="5" t="s">
        <v>615</v>
      </c>
    </row>
    <row r="5837" customFormat="false" ht="17.15" hidden="false" customHeight="false" outlineLevel="0" collapsed="false">
      <c r="A5837" s="1" t="s">
        <v>642</v>
      </c>
    </row>
    <row r="5838" customFormat="false" ht="17.15" hidden="false" customHeight="false" outlineLevel="0" collapsed="false">
      <c r="A5838" s="0" t="s">
        <v>643</v>
      </c>
      <c r="B5838" s="0" t="s">
        <v>73</v>
      </c>
      <c r="C5838" s="38" t="n">
        <f aca="false">Sens!$C$5802</f>
        <v>2.32100535697364</v>
      </c>
      <c r="D5838" s="38" t="n">
        <f aca="false">Sens!$D$5802</f>
        <v>8.70377008865116</v>
      </c>
      <c r="E5838" s="38" t="n">
        <f aca="false">Sens!$E$5802</f>
        <v>8.51035297557002</v>
      </c>
      <c r="F5838" s="38" t="n">
        <f aca="false">Sens!$F$5802</f>
        <v>14.9634336447205</v>
      </c>
      <c r="G5838" s="38" t="n">
        <f aca="false">Sens!$G$5802</f>
        <v>23.4737866202905</v>
      </c>
      <c r="H5838" s="38" t="n">
        <f aca="false">Sens!$H$5802</f>
        <v>60.1658907497746</v>
      </c>
      <c r="I5838" s="38" t="n">
        <f aca="false">Sens!$I$5802</f>
        <v>101.503699136432</v>
      </c>
      <c r="J5838" s="38" t="n">
        <f aca="false">Sens!$J$5802</f>
        <v>143.025407151278</v>
      </c>
      <c r="K5838" s="38" t="n">
        <f aca="false">Sens!$K$5802</f>
        <v>184.608415042187</v>
      </c>
      <c r="L5838" s="38" t="n">
        <f aca="false">Sens!$L$5802</f>
        <v>226.219286513125</v>
      </c>
      <c r="M5838" s="38" t="n">
        <f aca="false">Sens!$M$5802</f>
        <v>267.845161450232</v>
      </c>
      <c r="N5838" s="38" t="n">
        <f aca="false">Sens!$N$5802</f>
        <v>3.04631953102791</v>
      </c>
      <c r="O5838" s="38" t="n">
        <f aca="false">Sens!$O$5802</f>
        <v>5.65745055762326</v>
      </c>
      <c r="P5838" s="8" t="s">
        <v>644</v>
      </c>
    </row>
    <row r="5839" customFormat="false" ht="17.15" hidden="false" customHeight="false" outlineLevel="0" collapsed="false">
      <c r="A5839" s="0" t="s">
        <v>645</v>
      </c>
      <c r="B5839" s="0" t="s">
        <v>73</v>
      </c>
      <c r="C5839" s="38" t="n">
        <f aca="false">Sens!$C$5806</f>
        <v>105.234994643026</v>
      </c>
      <c r="D5839" s="38" t="n">
        <f aca="false">Sens!$D$5806</f>
        <v>120.021229911349</v>
      </c>
      <c r="E5839" s="38" t="n">
        <f aca="false">Sens!$E$5806</f>
        <v>71.30864702443</v>
      </c>
      <c r="F5839" s="38" t="n">
        <f aca="false">Sens!$F$5806</f>
        <v>78.5950104186653</v>
      </c>
      <c r="G5839" s="38" t="n">
        <f aca="false">Sens!$G$5806</f>
        <v>149.903657443095</v>
      </c>
      <c r="H5839" s="38" t="n">
        <f aca="false">Sens!$H$5806</f>
        <v>180.893560768142</v>
      </c>
      <c r="I5839" s="38" t="n">
        <f aca="false">Sens!$I$5806</f>
        <v>210.64839721501</v>
      </c>
      <c r="J5839" s="38" t="n">
        <f aca="false">Sens!$J$5806</f>
        <v>236.398909446495</v>
      </c>
      <c r="K5839" s="38" t="n">
        <f aca="false">Sens!$K$5806</f>
        <v>255.310822202215</v>
      </c>
      <c r="L5839" s="38" t="n">
        <f aca="false">Sens!$L$5806</f>
        <v>275.735687978392</v>
      </c>
      <c r="M5839" s="38" t="n">
        <f aca="false">Sens!$M$5806</f>
        <v>297.794543016663</v>
      </c>
      <c r="N5839" s="38" t="n">
        <f aca="false">Sens!$N$5806</f>
        <v>57.0936804689721</v>
      </c>
      <c r="O5839" s="38" t="n">
        <f aca="false">Sens!$O$5806</f>
        <v>62.9275494423768</v>
      </c>
      <c r="P5839" s="8" t="s">
        <v>644</v>
      </c>
    </row>
    <row r="5840" customFormat="false" ht="17.15" hidden="false" customHeight="false" outlineLevel="0" collapsed="false">
      <c r="A5840" s="1" t="s">
        <v>476</v>
      </c>
      <c r="B5840" s="8" t="s">
        <v>73</v>
      </c>
      <c r="C5840" s="38" t="n">
        <f aca="false">Q!$D$7</f>
        <v>107.556</v>
      </c>
      <c r="D5840" s="38" t="n">
        <f aca="false">Q!$E$7</f>
        <v>128.725</v>
      </c>
      <c r="E5840" s="38" t="n">
        <f aca="false">Q!$P$7</f>
        <v>79.819</v>
      </c>
      <c r="F5840" s="38" t="n">
        <f aca="false">Sens!$F$5838+Sens!$F$5839</f>
        <v>93.5584440633857</v>
      </c>
      <c r="G5840" s="38" t="n">
        <f aca="false">Sens!$G$5838+Sens!$G$5839</f>
        <v>173.377444063386</v>
      </c>
      <c r="H5840" s="38" t="n">
        <f aca="false">Sens!$H$5838+Sens!$H$5839</f>
        <v>241.059451517916</v>
      </c>
      <c r="I5840" s="38" t="n">
        <f aca="false">Sens!$I$5838+Sens!$I$5839</f>
        <v>312.152096351442</v>
      </c>
      <c r="J5840" s="38" t="n">
        <f aca="false">Sens!$J$5838+Sens!$J$5839</f>
        <v>379.424316597773</v>
      </c>
      <c r="K5840" s="38" t="n">
        <f aca="false">Sens!$K$5838+Sens!$K$5839</f>
        <v>439.919237244402</v>
      </c>
      <c r="L5840" s="38" t="n">
        <f aca="false">Sens!$L$5838+Sens!$L$5839</f>
        <v>501.954974491517</v>
      </c>
      <c r="M5840" s="38" t="n">
        <f aca="false">Sens!$M$5838+Sens!$M$5839</f>
        <v>565.639704466895</v>
      </c>
      <c r="N5840" s="38" t="n">
        <f aca="false">Q!$N$7</f>
        <v>60.14</v>
      </c>
      <c r="O5840" s="38" t="n">
        <f aca="false">Q!$O$7</f>
        <v>68.585</v>
      </c>
      <c r="P5840" s="5" t="s">
        <v>646</v>
      </c>
    </row>
    <row r="5841" customFormat="false" ht="15" hidden="false" customHeight="false" outlineLevel="0" collapsed="false">
      <c r="A5841" s="3" t="s">
        <v>647</v>
      </c>
      <c r="B5841" s="8" t="s">
        <v>73</v>
      </c>
      <c r="C5841" s="38" t="n">
        <f aca="false">Q!$D$8</f>
        <v>637.959</v>
      </c>
      <c r="D5841" s="38" t="n">
        <f aca="false">Q!$E$8</f>
        <v>716.924</v>
      </c>
      <c r="E5841" s="38" t="n">
        <f aca="false">Q!$P$8</f>
        <v>382.125</v>
      </c>
      <c r="F5841" s="38" t="n">
        <f aca="false">Sens!$F$5775+Sens!$F$5840</f>
        <v>450.494873271816</v>
      </c>
      <c r="G5841" s="38" t="n">
        <f aca="false">Sens!$G$5775+Sens!$G$5840</f>
        <v>832.619873271816</v>
      </c>
      <c r="H5841" s="38" t="n">
        <f aca="false">Sens!$H$5775+Sens!$H$5840</f>
        <v>970.995189139617</v>
      </c>
      <c r="I5841" s="38" t="n">
        <f aca="false">Sens!$I$5775+Sens!$I$5840</f>
        <v>1110.44766604932</v>
      </c>
      <c r="J5841" s="38" t="n">
        <f aca="false">Sens!$J$5775+Sens!$J$5840</f>
        <v>1241.16113892356</v>
      </c>
      <c r="K5841" s="38" t="n">
        <f aca="false">Sens!$K$5775+Sens!$K$5840</f>
        <v>1357.47672934633</v>
      </c>
      <c r="L5841" s="38" t="n">
        <f aca="false">Sens!$L$5775+Sens!$L$5840</f>
        <v>1479.24006423468</v>
      </c>
      <c r="M5841" s="38" t="n">
        <f aca="false">Sens!$M$5775+Sens!$M$5840</f>
        <v>1606.8537230104</v>
      </c>
      <c r="N5841" s="38" t="n">
        <f aca="false">Q!$N$8</f>
        <v>323.369</v>
      </c>
      <c r="O5841" s="38" t="n">
        <f aca="false">Q!$O$8</f>
        <v>393.555</v>
      </c>
    </row>
    <row r="5842" customFormat="false" ht="17.15" hidden="false" customHeight="false" outlineLevel="0" collapsed="false">
      <c r="A5842" s="24" t="s">
        <v>655</v>
      </c>
      <c r="B5842" s="25" t="s">
        <v>73</v>
      </c>
      <c r="C5842" s="39" t="n">
        <f aca="false">Sens!$C$5775-(Sens!$C$5777+Sens!$C$5778)</f>
        <v>0</v>
      </c>
      <c r="D5842" s="39" t="n">
        <f aca="false">Sens!$D$5775-(Sens!$D$5777+Sens!$D$5778)</f>
        <v>0</v>
      </c>
      <c r="E5842" s="39" t="n">
        <f aca="false">Sens!$E$5775-(Sens!$E$5777+Sens!$E$5778)</f>
        <v>0</v>
      </c>
      <c r="F5842" s="39" t="n">
        <f aca="false">Sens!$F$5775-(Sens!$F$5777+Sens!$F$5778)</f>
        <v>0</v>
      </c>
      <c r="G5842" s="39" t="n">
        <f aca="false">Sens!$G$5775-(Sens!$G$5777+Sens!$G$5778)</f>
        <v>0</v>
      </c>
      <c r="H5842" s="39" t="n">
        <f aca="false">Sens!$H$5775-(Sens!$H$5777+Sens!$H$5778)</f>
        <v>0</v>
      </c>
      <c r="I5842" s="39" t="n">
        <f aca="false">Sens!$I$5775-(Sens!$I$5777+Sens!$I$5778)</f>
        <v>0</v>
      </c>
      <c r="J5842" s="39" t="n">
        <f aca="false">Sens!$J$5775-(Sens!$J$5777+Sens!$J$5778)</f>
        <v>0</v>
      </c>
      <c r="K5842" s="39" t="n">
        <f aca="false">Sens!$K$5775-(Sens!$K$5777+Sens!$K$5778)</f>
        <v>0</v>
      </c>
      <c r="L5842" s="39" t="n">
        <f aca="false">Sens!$L$5775-(Sens!$L$5777+Sens!$L$5778)</f>
        <v>0</v>
      </c>
      <c r="M5842" s="39" t="n">
        <f aca="false">Sens!$M$5775-(Sens!$M$5777+Sens!$M$5778)</f>
        <v>0</v>
      </c>
      <c r="N5842" s="39" t="n">
        <f aca="false">Sens!$N$5775-(Sens!$N$5777+Sens!$N$5778)</f>
        <v>0</v>
      </c>
      <c r="O5842" s="39" t="n">
        <f aca="false">Sens!$O$5775-(Sens!$O$5777+Sens!$O$5778)</f>
        <v>0</v>
      </c>
    </row>
    <row r="5843" customFormat="false" ht="17.15" hidden="false" customHeight="false" outlineLevel="0" collapsed="false">
      <c r="A5843" s="24" t="s">
        <v>656</v>
      </c>
      <c r="B5843" s="25" t="s">
        <v>73</v>
      </c>
      <c r="C5843" s="39" t="n">
        <f aca="false">Sens!$C$5838+Sens!$C$5839-Sens!$C$5840</f>
        <v>0</v>
      </c>
      <c r="D5843" s="39" t="n">
        <f aca="false">Sens!$D$5838+Sens!$D$5839-Sens!$D$5840</f>
        <v>0</v>
      </c>
      <c r="E5843" s="39" t="n">
        <f aca="false">Sens!$E$5838+Sens!$E$5839-Sens!$E$5840</f>
        <v>0</v>
      </c>
      <c r="F5843" s="39" t="n">
        <f aca="false">Sens!$F$5838+Sens!$F$5839-Sens!$F$5840</f>
        <v>0</v>
      </c>
      <c r="G5843" s="39" t="n">
        <f aca="false">Sens!$G$5838+Sens!$G$5839-Sens!$G$5840</f>
        <v>0</v>
      </c>
      <c r="H5843" s="39" t="n">
        <f aca="false">Sens!$H$5838+Sens!$H$5839-Sens!$H$5840</f>
        <v>0</v>
      </c>
      <c r="I5843" s="39" t="n">
        <f aca="false">Sens!$I$5838+Sens!$I$5839-Sens!$I$5840</f>
        <v>0</v>
      </c>
      <c r="J5843" s="39" t="n">
        <f aca="false">Sens!$J$5838+Sens!$J$5839-Sens!$J$5840</f>
        <v>0</v>
      </c>
      <c r="K5843" s="39" t="n">
        <f aca="false">Sens!$K$5838+Sens!$K$5839-Sens!$K$5840</f>
        <v>0</v>
      </c>
      <c r="L5843" s="39" t="n">
        <f aca="false">Sens!$L$5838+Sens!$L$5839-Sens!$L$5840</f>
        <v>0</v>
      </c>
      <c r="M5843" s="39" t="n">
        <f aca="false">Sens!$M$5838+Sens!$M$5839-Sens!$M$5840</f>
        <v>0</v>
      </c>
      <c r="N5843" s="39" t="n">
        <f aca="false">Sens!$N$5838+Sens!$N$5839-Sens!$N$5840</f>
        <v>0</v>
      </c>
      <c r="O5843" s="39" t="n">
        <f aca="false">Sens!$O$5838+Sens!$O$5839-Sens!$O$5840</f>
        <v>0</v>
      </c>
    </row>
    <row r="5844" customFormat="false" ht="17.15" hidden="false" customHeight="false" outlineLevel="0" collapsed="false">
      <c r="A5844" s="24" t="s">
        <v>657</v>
      </c>
      <c r="B5844" s="25" t="s">
        <v>73</v>
      </c>
      <c r="C5844" s="39" t="n">
        <f aca="false">Sens!$C$5777+Sens!$C$5778+Sens!$C$5840-Sens!$C$5841</f>
        <v>0</v>
      </c>
      <c r="D5844" s="39" t="n">
        <f aca="false">Sens!$D$5777+Sens!$D$5778+Sens!$D$5840-Sens!$D$5841</f>
        <v>0</v>
      </c>
      <c r="E5844" s="39" t="n">
        <f aca="false">Sens!$E$5777+Sens!$E$5778+Sens!$E$5840-Sens!$E$5841</f>
        <v>0</v>
      </c>
      <c r="F5844" s="39" t="n">
        <f aca="false">Sens!$F$5777+Sens!$F$5778+Sens!$F$5840-Sens!$F$5841</f>
        <v>0</v>
      </c>
      <c r="G5844" s="39" t="n">
        <f aca="false">Sens!$G$5777+Sens!$G$5778+Sens!$G$5840-Sens!$G$5841</f>
        <v>0</v>
      </c>
      <c r="H5844" s="39" t="n">
        <f aca="false">Sens!$H$5777+Sens!$H$5778+Sens!$H$5840-Sens!$H$5841</f>
        <v>0</v>
      </c>
      <c r="I5844" s="39" t="n">
        <f aca="false">Sens!$I$5777+Sens!$I$5778+Sens!$I$5840-Sens!$I$5841</f>
        <v>0</v>
      </c>
      <c r="J5844" s="39" t="n">
        <f aca="false">Sens!$J$5777+Sens!$J$5778+Sens!$J$5840-Sens!$J$5841</f>
        <v>0</v>
      </c>
      <c r="K5844" s="39" t="n">
        <f aca="false">Sens!$K$5777+Sens!$K$5778+Sens!$K$5840-Sens!$K$5841</f>
        <v>0</v>
      </c>
      <c r="L5844" s="39" t="n">
        <f aca="false">Sens!$L$5777+Sens!$L$5778+Sens!$L$5840-Sens!$L$5841</f>
        <v>0</v>
      </c>
      <c r="M5844" s="39" t="n">
        <f aca="false">Sens!$M$5777+Sens!$M$5778+Sens!$M$5840-Sens!$M$5841</f>
        <v>0</v>
      </c>
      <c r="N5844" s="39" t="n">
        <f aca="false">Sens!$N$5777+Sens!$N$5778+Sens!$N$5840-Sens!$N$5841</f>
        <v>0</v>
      </c>
      <c r="O5844" s="39" t="n">
        <f aca="false">Sens!$O$5777+Sens!$O$5778+Sens!$O$5840-Sens!$O$5841</f>
        <v>0</v>
      </c>
    </row>
    <row r="5845" customFormat="false" ht="15" hidden="false" customHeight="false" outlineLevel="0" collapsed="false">
      <c r="A5845" s="5" t="s">
        <v>651</v>
      </c>
      <c r="B5845" s="0" t="s">
        <v>52</v>
      </c>
      <c r="G5845" s="12" t="n">
        <f aca="false">Sens!$G$5841/Sens!$D$5841-1</f>
        <v>0.161378156222718</v>
      </c>
      <c r="H5845" s="12" t="n">
        <f aca="false">Sens!$H$5841/Sens!$G$5841-1</f>
        <v>0.166192665236357</v>
      </c>
      <c r="I5845" s="12" t="n">
        <f aca="false">Sens!$I$5841/Sens!$H$5841-1</f>
        <v>0.143618092519351</v>
      </c>
      <c r="J5845" s="12" t="n">
        <f aca="false">Sens!$J$5841/Sens!$I$5841-1</f>
        <v>0.117712411733268</v>
      </c>
      <c r="K5845" s="12" t="n">
        <f aca="false">Sens!$K$5841/Sens!$J$5841-1</f>
        <v>0.0937151404237868</v>
      </c>
      <c r="L5845" s="12" t="n">
        <f aca="false">Sens!$L$5841/Sens!$K$5841-1</f>
        <v>0.0896982852494186</v>
      </c>
      <c r="M5845" s="12" t="n">
        <f aca="false">Sens!$M$5841/Sens!$L$5841-1</f>
        <v>0.0862697420528154</v>
      </c>
    </row>
    <row r="5846" customFormat="false" ht="17.15" hidden="false" customHeight="false" outlineLevel="0" collapsed="false">
      <c r="A5846" s="0" t="s">
        <v>652</v>
      </c>
      <c r="B5846" s="0" t="s">
        <v>52</v>
      </c>
      <c r="C5846" s="12" t="n">
        <f aca="false">Sens!$C$5840/Sens!$C$5841</f>
        <v>0.168593906504964</v>
      </c>
      <c r="D5846" s="12" t="n">
        <f aca="false">Sens!$D$5840/Sens!$D$5841</f>
        <v>0.179551807444025</v>
      </c>
      <c r="E5846" s="12" t="n">
        <f aca="false">Sens!$E$5840/Sens!$E$5841</f>
        <v>0.208881910369643</v>
      </c>
      <c r="F5846" s="12" t="n">
        <f aca="false">Sens!$F$5840/Sens!$F$5841</f>
        <v>0.207679264769203</v>
      </c>
      <c r="G5846" s="12" t="n">
        <f aca="false">Sens!$G$5840/Sens!$G$5841</f>
        <v>0.208231210458731</v>
      </c>
      <c r="H5846" s="12" t="n">
        <f aca="false">Sens!$H$5840/Sens!$H$5841</f>
        <v>0.248260191414043</v>
      </c>
      <c r="I5846" s="12" t="n">
        <f aca="false">Sens!$I$5840/Sens!$I$5841</f>
        <v>0.28110473450946</v>
      </c>
      <c r="J5846" s="12" t="n">
        <f aca="false">Sens!$J$5840/Sens!$J$5841</f>
        <v>0.30570109287086</v>
      </c>
      <c r="K5846" s="12" t="n">
        <f aca="false">Sens!$K$5840/Sens!$K$5841</f>
        <v>0.324071291782835</v>
      </c>
      <c r="L5846" s="12" t="n">
        <f aca="false">Sens!$L$5840/Sens!$L$5841</f>
        <v>0.339333003903741</v>
      </c>
      <c r="M5846" s="12" t="n">
        <f aca="false">Sens!$M$5840/Sens!$M$5841</f>
        <v>0.3520169237354</v>
      </c>
      <c r="N5846" s="12" t="n">
        <f aca="false">Sens!$N$5840/Sens!$N$5841</f>
        <v>0.185979484737251</v>
      </c>
      <c r="O5846" s="12" t="n">
        <f aca="false">Sens!$O$5840/Sens!$O$5841</f>
        <v>0.174270432341096</v>
      </c>
    </row>
    <row r="5847" customFormat="false" ht="17.15" hidden="false" customHeight="false" outlineLevel="0" collapsed="false">
      <c r="A5847" s="0" t="s">
        <v>653</v>
      </c>
      <c r="B5847" s="0" t="s">
        <v>52</v>
      </c>
      <c r="C5847" s="12" t="n">
        <f aca="false">Sens!$C$5838/Sens!$C$5840</f>
        <v>0.0215795060896058</v>
      </c>
      <c r="D5847" s="12" t="n">
        <f aca="false">Sens!$D$5838/Sens!$D$5840</f>
        <v>0.0676152269462122</v>
      </c>
      <c r="E5847" s="12" t="n">
        <f aca="false">Sens!$E$5838/Sens!$E$5840</f>
        <v>0.106620641395783</v>
      </c>
      <c r="F5847" s="12" t="n">
        <f aca="false">Sens!$F$5838/Sens!$F$5840</f>
        <v>0.159936751776064</v>
      </c>
      <c r="G5847" s="12" t="n">
        <f aca="false">Sens!$G$5838/Sens!$G$5840</f>
        <v>0.135391237003751</v>
      </c>
      <c r="H5847" s="12" t="n">
        <f aca="false">Sens!$H$5838/Sens!$H$5840</f>
        <v>0.249589428545194</v>
      </c>
      <c r="I5847" s="12" t="n">
        <f aca="false">Sens!$I$5838/Sens!$I$5840</f>
        <v>0.325173850577483</v>
      </c>
      <c r="J5847" s="12" t="n">
        <f aca="false">Sens!$J$5838/Sens!$J$5840</f>
        <v>0.376953718817392</v>
      </c>
      <c r="K5847" s="12" t="n">
        <f aca="false">Sens!$K$5838/Sens!$K$5840</f>
        <v>0.419641605578676</v>
      </c>
      <c r="L5847" s="12" t="n">
        <f aca="false">Sens!$L$5838/Sens!$L$5840</f>
        <v>0.450676451094615</v>
      </c>
      <c r="M5847" s="12" t="n">
        <f aca="false">Sens!$M$5838/Sens!$M$5840</f>
        <v>0.473526096798086</v>
      </c>
      <c r="N5847" s="12" t="n">
        <f aca="false">Sens!$N$5838/Sens!$N$5840</f>
        <v>0.0506537999838362</v>
      </c>
      <c r="O5847" s="12" t="n">
        <f aca="false">Sens!$O$5838/Sens!$O$5840</f>
        <v>0.0824881615167056</v>
      </c>
    </row>
    <row r="5850" customFormat="false" ht="19.4" hidden="false" customHeight="false" outlineLevel="0" collapsed="false">
      <c r="A5850" s="31" t="s">
        <v>1170</v>
      </c>
    </row>
    <row r="5851" customFormat="false" ht="17.15" hidden="false" customHeight="false" outlineLevel="0" collapsed="false">
      <c r="A5851" s="6" t="s">
        <v>16</v>
      </c>
      <c r="B5851" s="6" t="s">
        <v>17</v>
      </c>
      <c r="C5851" s="20" t="s">
        <v>457</v>
      </c>
      <c r="D5851" s="20" t="s">
        <v>458</v>
      </c>
      <c r="E5851" s="20" t="s">
        <v>540</v>
      </c>
      <c r="F5851" s="20" t="s">
        <v>541</v>
      </c>
      <c r="G5851" s="20" t="s">
        <v>542</v>
      </c>
      <c r="H5851" s="20" t="s">
        <v>543</v>
      </c>
      <c r="I5851" s="20" t="s">
        <v>544</v>
      </c>
      <c r="J5851" s="20" t="s">
        <v>545</v>
      </c>
      <c r="K5851" s="20" t="s">
        <v>546</v>
      </c>
      <c r="L5851" s="20" t="s">
        <v>547</v>
      </c>
      <c r="M5851" s="20" t="s">
        <v>548</v>
      </c>
      <c r="N5851" s="20" t="s">
        <v>549</v>
      </c>
      <c r="O5851" s="20" t="s">
        <v>550</v>
      </c>
      <c r="P5851" s="6" t="s">
        <v>23</v>
      </c>
      <c r="R5851" s="20" t="n">
        <v>2023</v>
      </c>
      <c r="S5851" s="20" t="n">
        <v>2024</v>
      </c>
      <c r="T5851" s="20" t="n">
        <v>2025</v>
      </c>
      <c r="U5851" s="20" t="n">
        <v>2026</v>
      </c>
      <c r="V5851" s="20" t="n">
        <v>2027</v>
      </c>
      <c r="W5851" s="20" t="n">
        <v>2028</v>
      </c>
      <c r="X5851" s="20" t="n">
        <v>2029</v>
      </c>
      <c r="Y5851" s="20" t="n">
        <v>2030</v>
      </c>
      <c r="Z5851" s="20" t="n">
        <v>2031</v>
      </c>
      <c r="AA5851" s="20" t="n">
        <v>2032</v>
      </c>
    </row>
    <row r="5852" customFormat="false" ht="17.15" hidden="false" customHeight="false" outlineLevel="0" collapsed="false">
      <c r="A5852" s="1" t="s">
        <v>668</v>
      </c>
    </row>
    <row r="5853" customFormat="false" ht="15" hidden="false" customHeight="false" outlineLevel="0" collapsed="false">
      <c r="A5853" s="0" t="s">
        <v>479</v>
      </c>
      <c r="B5853" s="0" t="s">
        <v>73</v>
      </c>
      <c r="C5853" s="38" t="n">
        <f aca="false">Sens!$C$5763</f>
        <v>247.029</v>
      </c>
      <c r="D5853" s="38" t="n">
        <f aca="false">Sens!$D$5763</f>
        <v>269.287</v>
      </c>
      <c r="E5853" s="38" t="n">
        <f aca="false">Sens!$E$5763</f>
        <v>134.686</v>
      </c>
      <c r="F5853" s="38" t="n">
        <f aca="false">Sens!$F$5763</f>
        <v>160.728085930082</v>
      </c>
      <c r="G5853" s="38" t="n">
        <f aca="false">Sens!$G$5763</f>
        <v>295.414085930082</v>
      </c>
      <c r="H5853" s="38" t="n">
        <f aca="false">Sens!$H$5763</f>
        <v>320.828163943375</v>
      </c>
      <c r="I5853" s="38" t="n">
        <f aca="false">Sens!$I$5763</f>
        <v>344.575578072228</v>
      </c>
      <c r="J5853" s="38" t="n">
        <f aca="false">Sens!$J$5763</f>
        <v>365.942555779681</v>
      </c>
      <c r="K5853" s="38" t="n">
        <f aca="false">Sens!$K$5763</f>
        <v>384.239683568665</v>
      </c>
      <c r="L5853" s="38" t="n">
        <f aca="false">Sens!$L$5763</f>
        <v>403.451667747098</v>
      </c>
      <c r="M5853" s="38" t="n">
        <f aca="false">Sens!$M$5763</f>
        <v>423.624251134453</v>
      </c>
      <c r="N5853" s="38" t="n">
        <f aca="false">Sens!$N$5763</f>
        <v>118.892</v>
      </c>
      <c r="O5853" s="38" t="n">
        <f aca="false">Sens!$O$5763</f>
        <v>150.395</v>
      </c>
    </row>
    <row r="5854" customFormat="false" ht="15" hidden="false" customHeight="false" outlineLevel="0" collapsed="false">
      <c r="A5854" s="0" t="s">
        <v>480</v>
      </c>
      <c r="B5854" s="0" t="s">
        <v>73</v>
      </c>
      <c r="C5854" s="38" t="n">
        <f aca="false">Sens!$C$5765</f>
        <v>21.215</v>
      </c>
      <c r="D5854" s="38" t="n">
        <f aca="false">Sens!$D$5765</f>
        <v>22.561</v>
      </c>
      <c r="E5854" s="38" t="n">
        <f aca="false">Sens!$E$5765</f>
        <v>11.579</v>
      </c>
      <c r="F5854" s="38" t="n">
        <f aca="false">Sens!$F$5765</f>
        <v>12.0952613121125</v>
      </c>
      <c r="G5854" s="38" t="n">
        <f aca="false">Sens!$G$5765</f>
        <v>23.6742613121125</v>
      </c>
      <c r="H5854" s="38" t="n">
        <f aca="false">Sens!$H$5765</f>
        <v>24.8803243963206</v>
      </c>
      <c r="I5854" s="38" t="n">
        <f aca="false">Sens!$I$5765</f>
        <v>25.9741308664154</v>
      </c>
      <c r="J5854" s="38" t="n">
        <f aca="false">Sens!$J$5765</f>
        <v>26.9346894124267</v>
      </c>
      <c r="K5854" s="38" t="n">
        <f aca="false">Sens!$K$5765</f>
        <v>27.7427300947995</v>
      </c>
      <c r="L5854" s="38" t="n">
        <f aca="false">Sens!$L$5765</f>
        <v>28.5750119976435</v>
      </c>
      <c r="M5854" s="38" t="n">
        <f aca="false">Sens!$M$5765</f>
        <v>29.4322623575728</v>
      </c>
      <c r="N5854" s="38" t="n">
        <f aca="false">Sens!$N$5765</f>
        <v>11.128</v>
      </c>
      <c r="O5854" s="38" t="n">
        <f aca="false">Sens!$O$5765</f>
        <v>11.433</v>
      </c>
    </row>
    <row r="5855" customFormat="false" ht="15" hidden="false" customHeight="false" outlineLevel="0" collapsed="false">
      <c r="A5855" s="0" t="s">
        <v>481</v>
      </c>
      <c r="B5855" s="0" t="s">
        <v>73</v>
      </c>
      <c r="C5855" s="38" t="n">
        <f aca="false">Sens!$C$5767</f>
        <v>156.146</v>
      </c>
      <c r="D5855" s="38" t="n">
        <f aca="false">Sens!$D$5767</f>
        <v>172.162</v>
      </c>
      <c r="E5855" s="38" t="n">
        <f aca="false">Sens!$E$5767</f>
        <v>88.358</v>
      </c>
      <c r="F5855" s="38" t="n">
        <f aca="false">Sens!$F$5767</f>
        <v>103.62028337149</v>
      </c>
      <c r="G5855" s="38" t="n">
        <f aca="false">Sens!$G$5767</f>
        <v>191.97828337149</v>
      </c>
      <c r="H5855" s="38" t="n">
        <f aca="false">Sens!$H$5767</f>
        <v>212.128608444755</v>
      </c>
      <c r="I5855" s="38" t="n">
        <f aca="false">Sens!$I$5767</f>
        <v>231.92183134134</v>
      </c>
      <c r="J5855" s="38" t="n">
        <f aca="false">Sens!$J$5767</f>
        <v>250.859136487863</v>
      </c>
      <c r="K5855" s="38" t="n">
        <f aca="false">Sens!$K$5767</f>
        <v>268.419276042014</v>
      </c>
      <c r="L5855" s="38" t="n">
        <f aca="false">Sens!$L$5767</f>
        <v>287.208625364954</v>
      </c>
      <c r="M5855" s="38" t="n">
        <f aca="false">Sens!$M$5767</f>
        <v>307.313229140501</v>
      </c>
      <c r="N5855" s="38" t="n">
        <f aca="false">Sens!$N$5767</f>
        <v>76.86</v>
      </c>
      <c r="O5855" s="38" t="n">
        <f aca="false">Sens!$O$5767</f>
        <v>95.302</v>
      </c>
    </row>
    <row r="5856" customFormat="false" ht="15" hidden="false" customHeight="false" outlineLevel="0" collapsed="false">
      <c r="A5856" s="0" t="s">
        <v>482</v>
      </c>
      <c r="B5856" s="0" t="s">
        <v>73</v>
      </c>
      <c r="C5856" s="38" t="n">
        <f aca="false">Sens!$C$5769</f>
        <v>56.214</v>
      </c>
      <c r="D5856" s="38" t="n">
        <f aca="false">Sens!$D$5769</f>
        <v>68.635</v>
      </c>
      <c r="E5856" s="38" t="n">
        <f aca="false">Sens!$E$5769</f>
        <v>37.052</v>
      </c>
      <c r="F5856" s="38" t="n">
        <f aca="false">Sens!$F$5769</f>
        <v>48.1533381827382</v>
      </c>
      <c r="G5856" s="38" t="n">
        <f aca="false">Sens!$G$5769</f>
        <v>85.2053381827382</v>
      </c>
      <c r="H5856" s="38" t="n">
        <f aca="false">Sens!$H$5769</f>
        <v>102.29336185894</v>
      </c>
      <c r="I5856" s="38" t="n">
        <f aca="false">Sens!$I$5769</f>
        <v>119.379837585241</v>
      </c>
      <c r="J5856" s="38" t="n">
        <f aca="false">Sens!$J$5769</f>
        <v>135.319079048844</v>
      </c>
      <c r="K5856" s="38" t="n">
        <f aca="false">Sens!$K$5769</f>
        <v>148.850986953729</v>
      </c>
      <c r="L5856" s="38" t="n">
        <f aca="false">Sens!$L$5769</f>
        <v>163.736085649102</v>
      </c>
      <c r="M5856" s="38" t="n">
        <f aca="false">Sens!$M$5769</f>
        <v>180.109694214012</v>
      </c>
      <c r="N5856" s="38" t="n">
        <f aca="false">Sens!$N$5769</f>
        <v>29.615</v>
      </c>
      <c r="O5856" s="38" t="n">
        <f aca="false">Sens!$O$5769</f>
        <v>39.02</v>
      </c>
    </row>
    <row r="5857" customFormat="false" ht="15" hidden="false" customHeight="false" outlineLevel="0" collapsed="false">
      <c r="A5857" s="0" t="s">
        <v>483</v>
      </c>
      <c r="B5857" s="0" t="s">
        <v>73</v>
      </c>
      <c r="C5857" s="38" t="n">
        <f aca="false">Sens!$C$5771</f>
        <v>44.374</v>
      </c>
      <c r="D5857" s="38" t="n">
        <f aca="false">Sens!$D$5771</f>
        <v>49.619</v>
      </c>
      <c r="E5857" s="38" t="n">
        <f aca="false">Sens!$E$5771</f>
        <v>27.157</v>
      </c>
      <c r="F5857" s="38" t="n">
        <f aca="false">Sens!$F$5771</f>
        <v>28.9776360923374</v>
      </c>
      <c r="G5857" s="38" t="n">
        <f aca="false">Sens!$G$5771</f>
        <v>56.1346360923374</v>
      </c>
      <c r="H5857" s="38" t="n">
        <f aca="false">Sens!$H$5771</f>
        <v>62.4937078946075</v>
      </c>
      <c r="I5857" s="38" t="n">
        <f aca="false">Sens!$I$5771</f>
        <v>68.6715233062498</v>
      </c>
      <c r="J5857" s="38" t="n">
        <f aca="false">Sens!$J$5771</f>
        <v>74.4692882949818</v>
      </c>
      <c r="K5857" s="38" t="n">
        <f aca="false">Sens!$K$5771</f>
        <v>79.6821384756306</v>
      </c>
      <c r="L5857" s="38" t="n">
        <f aca="false">Sens!$L$5771</f>
        <v>85.2598881689247</v>
      </c>
      <c r="M5857" s="38" t="n">
        <f aca="false">Sens!$M$5771</f>
        <v>91.2280803407494</v>
      </c>
      <c r="N5857" s="38" t="n">
        <f aca="false">Sens!$N$5771</f>
        <v>23.923</v>
      </c>
      <c r="O5857" s="38" t="n">
        <f aca="false">Sens!$O$5771</f>
        <v>25.696</v>
      </c>
    </row>
    <row r="5858" customFormat="false" ht="15" hidden="false" customHeight="false" outlineLevel="0" collapsed="false">
      <c r="A5858" s="0" t="s">
        <v>484</v>
      </c>
      <c r="B5858" s="0" t="s">
        <v>73</v>
      </c>
      <c r="C5858" s="38" t="n">
        <f aca="false">Sens!$C$5773</f>
        <v>5.425</v>
      </c>
      <c r="D5858" s="38" t="n">
        <f aca="false">Sens!$D$5773</f>
        <v>5.935</v>
      </c>
      <c r="E5858" s="38" t="n">
        <f aca="false">Sens!$E$5773</f>
        <v>3.474</v>
      </c>
      <c r="F5858" s="38" t="n">
        <f aca="false">Sens!$F$5773</f>
        <v>3.36182431966931</v>
      </c>
      <c r="G5858" s="38" t="n">
        <f aca="false">Sens!$G$5773</f>
        <v>6.83582431966931</v>
      </c>
      <c r="H5858" s="38" t="n">
        <f aca="false">Sens!$H$5773</f>
        <v>7.31157108370141</v>
      </c>
      <c r="I5858" s="38" t="n">
        <f aca="false">Sens!$I$5773</f>
        <v>7.77266852639815</v>
      </c>
      <c r="J5858" s="38" t="n">
        <f aca="false">Sens!$J$5773</f>
        <v>8.2120733019884</v>
      </c>
      <c r="K5858" s="38" t="n">
        <f aca="false">Sens!$K$5773</f>
        <v>8.62267696708783</v>
      </c>
      <c r="L5858" s="38" t="n">
        <f aca="false">Sens!$L$5773</f>
        <v>9.05381081544222</v>
      </c>
      <c r="M5858" s="38" t="n">
        <f aca="false">Sens!$M$5773</f>
        <v>9.50650135621433</v>
      </c>
      <c r="N5858" s="38" t="n">
        <f aca="false">Sens!$N$5773</f>
        <v>2.811</v>
      </c>
      <c r="O5858" s="38" t="n">
        <f aca="false">Sens!$O$5773</f>
        <v>3.124</v>
      </c>
    </row>
    <row r="5859" customFormat="false" ht="17.15" hidden="false" customHeight="false" outlineLevel="0" collapsed="false">
      <c r="A5859" s="0" t="s">
        <v>669</v>
      </c>
      <c r="B5859" s="0" t="s">
        <v>73</v>
      </c>
      <c r="C5859" s="38" t="n">
        <f aca="false">Sens!$C$5840</f>
        <v>107.556</v>
      </c>
      <c r="D5859" s="38" t="n">
        <f aca="false">Sens!$D$5840</f>
        <v>128.725</v>
      </c>
      <c r="E5859" s="38" t="n">
        <f aca="false">Sens!$E$5840</f>
        <v>79.819</v>
      </c>
      <c r="F5859" s="38" t="n">
        <f aca="false">Sens!$F$5840</f>
        <v>93.5584440633857</v>
      </c>
      <c r="G5859" s="38" t="n">
        <f aca="false">Sens!$G$5840</f>
        <v>173.377444063386</v>
      </c>
      <c r="H5859" s="38" t="n">
        <f aca="false">Sens!$H$5840</f>
        <v>241.059451517916</v>
      </c>
      <c r="I5859" s="38" t="n">
        <f aca="false">Sens!$I$5840</f>
        <v>312.152096351442</v>
      </c>
      <c r="J5859" s="38" t="n">
        <f aca="false">Sens!$J$5840</f>
        <v>379.424316597773</v>
      </c>
      <c r="K5859" s="38" t="n">
        <f aca="false">Sens!$K$5840</f>
        <v>439.919237244402</v>
      </c>
      <c r="L5859" s="38" t="n">
        <f aca="false">Sens!$L$5840</f>
        <v>501.954974491517</v>
      </c>
      <c r="M5859" s="38" t="n">
        <f aca="false">Sens!$M$5840</f>
        <v>565.639704466895</v>
      </c>
      <c r="N5859" s="38" t="n">
        <f aca="false">Sens!$N$5840</f>
        <v>60.14</v>
      </c>
      <c r="O5859" s="38" t="n">
        <f aca="false">Sens!$O$5840</f>
        <v>68.585</v>
      </c>
    </row>
    <row r="5860" customFormat="false" ht="15" hidden="false" customHeight="false" outlineLevel="0" collapsed="false">
      <c r="A5860" s="1" t="s">
        <v>472</v>
      </c>
      <c r="B5860" s="8" t="s">
        <v>73</v>
      </c>
      <c r="C5860" s="38" t="n">
        <f aca="false">Sens!$C$5777</f>
        <v>387.497</v>
      </c>
      <c r="D5860" s="38" t="n">
        <f aca="false">Sens!$D$5777</f>
        <v>426.305</v>
      </c>
      <c r="E5860" s="38" t="n">
        <f aca="false">Sens!$E$5777</f>
        <v>220.32</v>
      </c>
      <c r="F5860" s="38" t="n">
        <f aca="false">Sens!$F$5777</f>
        <v>256.304015003807</v>
      </c>
      <c r="G5860" s="38" t="n">
        <f aca="false">Sens!$G$5777</f>
        <v>476.624015003807</v>
      </c>
      <c r="H5860" s="38" t="n">
        <f aca="false">Sens!$H$5777</f>
        <v>527.734391091543</v>
      </c>
      <c r="I5860" s="38" t="n">
        <f aca="false">Sens!$I$5777</f>
        <v>577.157693029577</v>
      </c>
      <c r="J5860" s="38" t="n">
        <f aca="false">Sens!$J$5777</f>
        <v>623.024923663827</v>
      </c>
      <c r="K5860" s="38" t="n">
        <f aca="false">Sens!$K$5777</f>
        <v>663.382568393781</v>
      </c>
      <c r="L5860" s="38" t="n">
        <f aca="false">Sens!$L$5777</f>
        <v>706.564873010432</v>
      </c>
      <c r="M5860" s="38" t="n">
        <f aca="false">Sens!$M$5777</f>
        <v>752.784687406019</v>
      </c>
      <c r="N5860" s="38" t="n">
        <f aca="false">Sens!$N$5777</f>
        <v>192.955</v>
      </c>
      <c r="O5860" s="38" t="n">
        <f aca="false">Sens!$O$5777</f>
        <v>233.35</v>
      </c>
    </row>
    <row r="5861" customFormat="false" ht="15" hidden="false" customHeight="false" outlineLevel="0" collapsed="false">
      <c r="A5861" s="1" t="s">
        <v>475</v>
      </c>
      <c r="B5861" s="8" t="s">
        <v>73</v>
      </c>
      <c r="C5861" s="38" t="n">
        <f aca="false">Sens!$C$5778</f>
        <v>142.906</v>
      </c>
      <c r="D5861" s="38" t="n">
        <f aca="false">Sens!$D$5778</f>
        <v>161.894</v>
      </c>
      <c r="E5861" s="38" t="n">
        <f aca="false">Sens!$E$5778</f>
        <v>81.986</v>
      </c>
      <c r="F5861" s="38" t="n">
        <f aca="false">Sens!$F$5778</f>
        <v>100.632414204623</v>
      </c>
      <c r="G5861" s="38" t="n">
        <f aca="false">Sens!$G$5778</f>
        <v>182.618414204623</v>
      </c>
      <c r="H5861" s="38" t="n">
        <f aca="false">Sens!$H$5778</f>
        <v>202.201346530158</v>
      </c>
      <c r="I5861" s="38" t="n">
        <f aca="false">Sens!$I$5778</f>
        <v>221.137876668296</v>
      </c>
      <c r="J5861" s="38" t="n">
        <f aca="false">Sens!$J$5778</f>
        <v>238.711898661958</v>
      </c>
      <c r="K5861" s="38" t="n">
        <f aca="false">Sens!$K$5778</f>
        <v>254.174923708144</v>
      </c>
      <c r="L5861" s="38" t="n">
        <f aca="false">Sens!$L$5778</f>
        <v>270.720216732733</v>
      </c>
      <c r="M5861" s="38" t="n">
        <f aca="false">Sens!$M$5778</f>
        <v>288.429331137484</v>
      </c>
      <c r="N5861" s="38" t="n">
        <f aca="false">Sens!$N$5778</f>
        <v>70.274</v>
      </c>
      <c r="O5861" s="38" t="n">
        <f aca="false">Sens!$O$5778</f>
        <v>91.62</v>
      </c>
    </row>
    <row r="5862" customFormat="false" ht="15" hidden="false" customHeight="false" outlineLevel="0" collapsed="false">
      <c r="A5862" s="1" t="s">
        <v>476</v>
      </c>
      <c r="B5862" s="8" t="s">
        <v>73</v>
      </c>
      <c r="C5862" s="38" t="n">
        <f aca="false">Sens!$C$5840</f>
        <v>107.556</v>
      </c>
      <c r="D5862" s="38" t="n">
        <f aca="false">Sens!$D$5840</f>
        <v>128.725</v>
      </c>
      <c r="E5862" s="38" t="n">
        <f aca="false">Sens!$E$5840</f>
        <v>79.819</v>
      </c>
      <c r="F5862" s="38" t="n">
        <f aca="false">Sens!$F$5840</f>
        <v>93.5584440633857</v>
      </c>
      <c r="G5862" s="38" t="n">
        <f aca="false">Sens!$G$5840</f>
        <v>173.377444063386</v>
      </c>
      <c r="H5862" s="38" t="n">
        <f aca="false">Sens!$H$5840</f>
        <v>241.059451517916</v>
      </c>
      <c r="I5862" s="38" t="n">
        <f aca="false">Sens!$I$5840</f>
        <v>312.152096351442</v>
      </c>
      <c r="J5862" s="38" t="n">
        <f aca="false">Sens!$J$5840</f>
        <v>379.424316597773</v>
      </c>
      <c r="K5862" s="38" t="n">
        <f aca="false">Sens!$K$5840</f>
        <v>439.919237244402</v>
      </c>
      <c r="L5862" s="38" t="n">
        <f aca="false">Sens!$L$5840</f>
        <v>501.954974491517</v>
      </c>
      <c r="M5862" s="38" t="n">
        <f aca="false">Sens!$M$5840</f>
        <v>565.639704466895</v>
      </c>
      <c r="N5862" s="38" t="n">
        <f aca="false">Sens!$N$5840</f>
        <v>60.14</v>
      </c>
      <c r="O5862" s="38" t="n">
        <f aca="false">Sens!$O$5840</f>
        <v>68.585</v>
      </c>
    </row>
    <row r="5863" customFormat="false" ht="17.15" hidden="false" customHeight="false" outlineLevel="0" collapsed="false">
      <c r="A5863" s="0" t="s">
        <v>643</v>
      </c>
      <c r="B5863" s="0" t="s">
        <v>73</v>
      </c>
      <c r="C5863" s="38" t="n">
        <f aca="false">Sens!$C$5838</f>
        <v>2.32100535697364</v>
      </c>
      <c r="D5863" s="38" t="n">
        <f aca="false">Sens!$D$5838</f>
        <v>8.70377008865116</v>
      </c>
      <c r="E5863" s="38" t="n">
        <f aca="false">Sens!$E$5838</f>
        <v>8.51035297557002</v>
      </c>
      <c r="F5863" s="38" t="n">
        <f aca="false">Sens!$F$5838</f>
        <v>14.9634336447205</v>
      </c>
      <c r="G5863" s="38" t="n">
        <f aca="false">Sens!$G$5838</f>
        <v>23.4737866202905</v>
      </c>
      <c r="H5863" s="38" t="n">
        <f aca="false">Sens!$H$5838</f>
        <v>60.1658907497746</v>
      </c>
      <c r="I5863" s="38" t="n">
        <f aca="false">Sens!$I$5838</f>
        <v>101.503699136432</v>
      </c>
      <c r="J5863" s="38" t="n">
        <f aca="false">Sens!$J$5838</f>
        <v>143.025407151278</v>
      </c>
      <c r="K5863" s="38" t="n">
        <f aca="false">Sens!$K$5838</f>
        <v>184.608415042187</v>
      </c>
      <c r="L5863" s="38" t="n">
        <f aca="false">Sens!$L$5838</f>
        <v>226.219286513125</v>
      </c>
      <c r="M5863" s="38" t="n">
        <f aca="false">Sens!$M$5838</f>
        <v>267.845161450232</v>
      </c>
      <c r="N5863" s="38" t="n">
        <f aca="false">Sens!$N$5838</f>
        <v>3.04631953102791</v>
      </c>
      <c r="O5863" s="38" t="n">
        <f aca="false">Sens!$O$5838</f>
        <v>5.65745055762326</v>
      </c>
    </row>
    <row r="5864" customFormat="false" ht="17.15" hidden="false" customHeight="false" outlineLevel="0" collapsed="false">
      <c r="A5864" s="0" t="s">
        <v>645</v>
      </c>
      <c r="B5864" s="0" t="s">
        <v>73</v>
      </c>
      <c r="C5864" s="38" t="n">
        <f aca="false">Sens!$C$5839</f>
        <v>105.234994643026</v>
      </c>
      <c r="D5864" s="38" t="n">
        <f aca="false">Sens!$D$5839</f>
        <v>120.021229911349</v>
      </c>
      <c r="E5864" s="38" t="n">
        <f aca="false">Sens!$E$5839</f>
        <v>71.30864702443</v>
      </c>
      <c r="F5864" s="38" t="n">
        <f aca="false">Sens!$F$5839</f>
        <v>78.5950104186653</v>
      </c>
      <c r="G5864" s="38" t="n">
        <f aca="false">Sens!$G$5839</f>
        <v>149.903657443095</v>
      </c>
      <c r="H5864" s="38" t="n">
        <f aca="false">Sens!$H$5839</f>
        <v>180.893560768142</v>
      </c>
      <c r="I5864" s="38" t="n">
        <f aca="false">Sens!$I$5839</f>
        <v>210.64839721501</v>
      </c>
      <c r="J5864" s="38" t="n">
        <f aca="false">Sens!$J$5839</f>
        <v>236.398909446495</v>
      </c>
      <c r="K5864" s="38" t="n">
        <f aca="false">Sens!$K$5839</f>
        <v>255.310822202215</v>
      </c>
      <c r="L5864" s="38" t="n">
        <f aca="false">Sens!$L$5839</f>
        <v>275.735687978392</v>
      </c>
      <c r="M5864" s="38" t="n">
        <f aca="false">Sens!$M$5839</f>
        <v>297.794543016663</v>
      </c>
      <c r="N5864" s="38" t="n">
        <f aca="false">Sens!$N$5839</f>
        <v>57.0936804689721</v>
      </c>
      <c r="O5864" s="38" t="n">
        <f aca="false">Sens!$O$5839</f>
        <v>62.9275494423768</v>
      </c>
    </row>
    <row r="5865" customFormat="false" ht="15" hidden="false" customHeight="false" outlineLevel="0" collapsed="false">
      <c r="A5865" s="3" t="s">
        <v>477</v>
      </c>
      <c r="B5865" s="8" t="s">
        <v>73</v>
      </c>
      <c r="C5865" s="38" t="n">
        <f aca="false">Sens!$C$5841</f>
        <v>637.959</v>
      </c>
      <c r="D5865" s="38" t="n">
        <f aca="false">Sens!$D$5841</f>
        <v>716.924</v>
      </c>
      <c r="E5865" s="38" t="n">
        <f aca="false">Sens!$E$5841</f>
        <v>382.125</v>
      </c>
      <c r="F5865" s="38" t="n">
        <f aca="false">Sens!$F$5841</f>
        <v>450.494873271816</v>
      </c>
      <c r="G5865" s="38" t="n">
        <f aca="false">Sens!$G$5841</f>
        <v>832.619873271816</v>
      </c>
      <c r="H5865" s="38" t="n">
        <f aca="false">Sens!$H$5841</f>
        <v>970.995189139617</v>
      </c>
      <c r="I5865" s="38" t="n">
        <f aca="false">Sens!$I$5841</f>
        <v>1110.44766604932</v>
      </c>
      <c r="J5865" s="38" t="n">
        <f aca="false">Sens!$J$5841</f>
        <v>1241.16113892356</v>
      </c>
      <c r="K5865" s="38" t="n">
        <f aca="false">Sens!$K$5841</f>
        <v>1357.47672934633</v>
      </c>
      <c r="L5865" s="38" t="n">
        <f aca="false">Sens!$L$5841</f>
        <v>1479.24006423468</v>
      </c>
      <c r="M5865" s="38" t="n">
        <f aca="false">Sens!$M$5841</f>
        <v>1606.8537230104</v>
      </c>
      <c r="N5865" s="38" t="n">
        <f aca="false">Sens!$N$5841</f>
        <v>323.369</v>
      </c>
      <c r="O5865" s="38" t="n">
        <f aca="false">Sens!$O$5841</f>
        <v>393.555</v>
      </c>
    </row>
    <row r="5866" customFormat="false" ht="17.15" hidden="false" customHeight="false" outlineLevel="0" collapsed="false">
      <c r="A5866" s="24" t="s">
        <v>655</v>
      </c>
      <c r="B5866" s="25" t="s">
        <v>73</v>
      </c>
      <c r="C5866" s="39" t="n">
        <f aca="false">Sens!$C$5853+Sens!$C$5854+Sens!$C$5855+Sens!$C$5856+Sens!$C$5857+Sens!$C$5858-(Sens!$C$5860+Sens!$C$5861)</f>
        <v>0</v>
      </c>
      <c r="D5866" s="39" t="n">
        <f aca="false">Sens!$D$5853+Sens!$D$5854+Sens!$D$5855+Sens!$D$5856+Sens!$D$5857+Sens!$D$5858-(Sens!$D$5860+Sens!$D$5861)</f>
        <v>0</v>
      </c>
      <c r="E5866" s="39" t="n">
        <f aca="false">Sens!$E$5853+Sens!$E$5854+Sens!$E$5855+Sens!$E$5856+Sens!$E$5857+Sens!$E$5858-(Sens!$E$5860+Sens!$E$5861)</f>
        <v>0</v>
      </c>
      <c r="F5866" s="39" t="n">
        <f aca="false">Sens!$F$5853+Sens!$F$5854+Sens!$F$5855+Sens!$F$5856+Sens!$F$5857+Sens!$F$5858-(Sens!$F$5860+Sens!$F$5861)</f>
        <v>0</v>
      </c>
      <c r="G5866" s="39" t="n">
        <f aca="false">Sens!$G$5853+Sens!$G$5854+Sens!$G$5855+Sens!$G$5856+Sens!$G$5857+Sens!$G$5858-(Sens!$G$5860+Sens!$G$5861)</f>
        <v>0</v>
      </c>
      <c r="H5866" s="39" t="n">
        <f aca="false">Sens!$H$5853+Sens!$H$5854+Sens!$H$5855+Sens!$H$5856+Sens!$H$5857+Sens!$H$5858-(Sens!$H$5860+Sens!$H$5861)</f>
        <v>0</v>
      </c>
      <c r="I5866" s="39" t="n">
        <f aca="false">Sens!$I$5853+Sens!$I$5854+Sens!$I$5855+Sens!$I$5856+Sens!$I$5857+Sens!$I$5858-(Sens!$I$5860+Sens!$I$5861)</f>
        <v>0</v>
      </c>
      <c r="J5866" s="39" t="n">
        <f aca="false">Sens!$J$5853+Sens!$J$5854+Sens!$J$5855+Sens!$J$5856+Sens!$J$5857+Sens!$J$5858-(Sens!$J$5860+Sens!$J$5861)</f>
        <v>0</v>
      </c>
      <c r="K5866" s="39" t="n">
        <f aca="false">Sens!$K$5853+Sens!$K$5854+Sens!$K$5855+Sens!$K$5856+Sens!$K$5857+Sens!$K$5858-(Sens!$K$5860+Sens!$K$5861)</f>
        <v>0</v>
      </c>
      <c r="L5866" s="39" t="n">
        <f aca="false">Sens!$L$5853+Sens!$L$5854+Sens!$L$5855+Sens!$L$5856+Sens!$L$5857+Sens!$L$5858-(Sens!$L$5860+Sens!$L$5861)</f>
        <v>0</v>
      </c>
      <c r="M5866" s="39" t="n">
        <f aca="false">Sens!$M$5853+Sens!$M$5854+Sens!$M$5855+Sens!$M$5856+Sens!$M$5857+Sens!$M$5858-(Sens!$M$5860+Sens!$M$5861)</f>
        <v>0</v>
      </c>
      <c r="N5866" s="39" t="n">
        <f aca="false">Sens!$N$5853+Sens!$N$5854+Sens!$N$5855+Sens!$N$5856+Sens!$N$5857+Sens!$N$5858-(Sens!$N$5860+Sens!$N$5861)</f>
        <v>0</v>
      </c>
      <c r="O5866" s="39" t="n">
        <f aca="false">Sens!$O$5853+Sens!$O$5854+Sens!$O$5855+Sens!$O$5856+Sens!$O$5857+Sens!$O$5858-(Sens!$O$5860+Sens!$O$5861)</f>
        <v>0</v>
      </c>
    </row>
    <row r="5867" customFormat="false" ht="17.15" hidden="false" customHeight="false" outlineLevel="0" collapsed="false">
      <c r="A5867" s="24" t="s">
        <v>656</v>
      </c>
      <c r="B5867" s="25" t="s">
        <v>73</v>
      </c>
      <c r="C5867" s="39" t="n">
        <f aca="false">Sens!$C$5863+Sens!$C$5864-Sens!$C$5862</f>
        <v>0</v>
      </c>
      <c r="D5867" s="39" t="n">
        <f aca="false">Sens!$D$5863+Sens!$D$5864-Sens!$D$5862</f>
        <v>0</v>
      </c>
      <c r="E5867" s="39" t="n">
        <f aca="false">Sens!$E$5863+Sens!$E$5864-Sens!$E$5862</f>
        <v>0</v>
      </c>
      <c r="F5867" s="39" t="n">
        <f aca="false">Sens!$F$5863+Sens!$F$5864-Sens!$F$5862</f>
        <v>0</v>
      </c>
      <c r="G5867" s="39" t="n">
        <f aca="false">Sens!$G$5863+Sens!$G$5864-Sens!$G$5862</f>
        <v>0</v>
      </c>
      <c r="H5867" s="39" t="n">
        <f aca="false">Sens!$H$5863+Sens!$H$5864-Sens!$H$5862</f>
        <v>0</v>
      </c>
      <c r="I5867" s="39" t="n">
        <f aca="false">Sens!$I$5863+Sens!$I$5864-Sens!$I$5862</f>
        <v>0</v>
      </c>
      <c r="J5867" s="39" t="n">
        <f aca="false">Sens!$J$5863+Sens!$J$5864-Sens!$J$5862</f>
        <v>0</v>
      </c>
      <c r="K5867" s="39" t="n">
        <f aca="false">Sens!$K$5863+Sens!$K$5864-Sens!$K$5862</f>
        <v>0</v>
      </c>
      <c r="L5867" s="39" t="n">
        <f aca="false">Sens!$L$5863+Sens!$L$5864-Sens!$L$5862</f>
        <v>0</v>
      </c>
      <c r="M5867" s="39" t="n">
        <f aca="false">Sens!$M$5863+Sens!$M$5864-Sens!$M$5862</f>
        <v>0</v>
      </c>
      <c r="N5867" s="39" t="n">
        <f aca="false">Sens!$N$5863+Sens!$N$5864-Sens!$N$5862</f>
        <v>0</v>
      </c>
      <c r="O5867" s="39" t="n">
        <f aca="false">Sens!$O$5863+Sens!$O$5864-Sens!$O$5862</f>
        <v>0</v>
      </c>
    </row>
    <row r="5868" customFormat="false" ht="17.15" hidden="false" customHeight="false" outlineLevel="0" collapsed="false">
      <c r="A5868" s="24" t="s">
        <v>710</v>
      </c>
      <c r="B5868" s="25" t="s">
        <v>73</v>
      </c>
      <c r="C5868" s="39" t="n">
        <f aca="false">Sens!$C$5853+Sens!$C$5854+Sens!$C$5855+Sens!$C$5856+Sens!$C$5857+Sens!$C$5858+Sens!$C$5859-Sens!$C$5865</f>
        <v>0</v>
      </c>
      <c r="D5868" s="39" t="n">
        <f aca="false">Sens!$D$5853+Sens!$D$5854+Sens!$D$5855+Sens!$D$5856+Sens!$D$5857+Sens!$D$5858+Sens!$D$5859-Sens!$D$5865</f>
        <v>0</v>
      </c>
      <c r="E5868" s="39" t="n">
        <f aca="false">Sens!$E$5853+Sens!$E$5854+Sens!$E$5855+Sens!$E$5856+Sens!$E$5857+Sens!$E$5858+Sens!$E$5859-Sens!$E$5865</f>
        <v>0</v>
      </c>
      <c r="F5868" s="39" t="n">
        <f aca="false">Sens!$F$5853+Sens!$F$5854+Sens!$F$5855+Sens!$F$5856+Sens!$F$5857+Sens!$F$5858+Sens!$F$5859-Sens!$F$5865</f>
        <v>0</v>
      </c>
      <c r="G5868" s="39" t="n">
        <f aca="false">Sens!$G$5853+Sens!$G$5854+Sens!$G$5855+Sens!$G$5856+Sens!$G$5857+Sens!$G$5858+Sens!$G$5859-Sens!$G$5865</f>
        <v>0</v>
      </c>
      <c r="H5868" s="39" t="n">
        <f aca="false">Sens!$H$5853+Sens!$H$5854+Sens!$H$5855+Sens!$H$5856+Sens!$H$5857+Sens!$H$5858+Sens!$H$5859-Sens!$H$5865</f>
        <v>0</v>
      </c>
      <c r="I5868" s="39" t="n">
        <f aca="false">Sens!$I$5853+Sens!$I$5854+Sens!$I$5855+Sens!$I$5856+Sens!$I$5857+Sens!$I$5858+Sens!$I$5859-Sens!$I$5865</f>
        <v>0</v>
      </c>
      <c r="J5868" s="39" t="n">
        <f aca="false">Sens!$J$5853+Sens!$J$5854+Sens!$J$5855+Sens!$J$5856+Sens!$J$5857+Sens!$J$5858+Sens!$J$5859-Sens!$J$5865</f>
        <v>0</v>
      </c>
      <c r="K5868" s="39" t="n">
        <f aca="false">Sens!$K$5853+Sens!$K$5854+Sens!$K$5855+Sens!$K$5856+Sens!$K$5857+Sens!$K$5858+Sens!$K$5859-Sens!$K$5865</f>
        <v>0</v>
      </c>
      <c r="L5868" s="39" t="n">
        <f aca="false">Sens!$L$5853+Sens!$L$5854+Sens!$L$5855+Sens!$L$5856+Sens!$L$5857+Sens!$L$5858+Sens!$L$5859-Sens!$L$5865</f>
        <v>0</v>
      </c>
      <c r="M5868" s="39" t="n">
        <f aca="false">Sens!$M$5853+Sens!$M$5854+Sens!$M$5855+Sens!$M$5856+Sens!$M$5857+Sens!$M$5858+Sens!$M$5859-Sens!$M$5865</f>
        <v>0</v>
      </c>
      <c r="N5868" s="39" t="n">
        <f aca="false">Sens!$N$5853+Sens!$N$5854+Sens!$N$5855+Sens!$N$5856+Sens!$N$5857+Sens!$N$5858+Sens!$N$5859-Sens!$N$5865</f>
        <v>0</v>
      </c>
      <c r="O5868" s="39" t="n">
        <f aca="false">Sens!$O$5853+Sens!$O$5854+Sens!$O$5855+Sens!$O$5856+Sens!$O$5857+Sens!$O$5858+Sens!$O$5859-Sens!$O$5865</f>
        <v>0</v>
      </c>
    </row>
    <row r="5869" customFormat="false" ht="17.15" hidden="false" customHeight="false" outlineLevel="0" collapsed="false">
      <c r="A5869" s="24" t="s">
        <v>657</v>
      </c>
      <c r="B5869" s="25" t="s">
        <v>73</v>
      </c>
      <c r="C5869" s="39" t="n">
        <f aca="false">Sens!$C$5860+Sens!$C$5861+Sens!$C$5862-Sens!$C$5865</f>
        <v>0</v>
      </c>
      <c r="D5869" s="39" t="n">
        <f aca="false">Sens!$D$5860+Sens!$D$5861+Sens!$D$5862-Sens!$D$5865</f>
        <v>0</v>
      </c>
      <c r="E5869" s="39" t="n">
        <f aca="false">Sens!$E$5860+Sens!$E$5861+Sens!$E$5862-Sens!$E$5865</f>
        <v>0</v>
      </c>
      <c r="F5869" s="39" t="n">
        <f aca="false">Sens!$F$5860+Sens!$F$5861+Sens!$F$5862-Sens!$F$5865</f>
        <v>0</v>
      </c>
      <c r="G5869" s="39" t="n">
        <f aca="false">Sens!$G$5860+Sens!$G$5861+Sens!$G$5862-Sens!$G$5865</f>
        <v>0</v>
      </c>
      <c r="H5869" s="39" t="n">
        <f aca="false">Sens!$H$5860+Sens!$H$5861+Sens!$H$5862-Sens!$H$5865</f>
        <v>0</v>
      </c>
      <c r="I5869" s="39" t="n">
        <f aca="false">Sens!$I$5860+Sens!$I$5861+Sens!$I$5862-Sens!$I$5865</f>
        <v>0</v>
      </c>
      <c r="J5869" s="39" t="n">
        <f aca="false">Sens!$J$5860+Sens!$J$5861+Sens!$J$5862-Sens!$J$5865</f>
        <v>0</v>
      </c>
      <c r="K5869" s="39" t="n">
        <f aca="false">Sens!$K$5860+Sens!$K$5861+Sens!$K$5862-Sens!$K$5865</f>
        <v>0</v>
      </c>
      <c r="L5869" s="39" t="n">
        <f aca="false">Sens!$L$5860+Sens!$L$5861+Sens!$L$5862-Sens!$L$5865</f>
        <v>0</v>
      </c>
      <c r="M5869" s="39" t="n">
        <f aca="false">Sens!$M$5860+Sens!$M$5861+Sens!$M$5862-Sens!$M$5865</f>
        <v>0</v>
      </c>
      <c r="N5869" s="39" t="n">
        <f aca="false">Sens!$N$5860+Sens!$N$5861+Sens!$N$5862-Sens!$N$5865</f>
        <v>0</v>
      </c>
      <c r="O5869" s="39" t="n">
        <f aca="false">Sens!$O$5860+Sens!$O$5861+Sens!$O$5862-Sens!$O$5865</f>
        <v>0</v>
      </c>
    </row>
    <row r="5870" customFormat="false" ht="17.15" hidden="false" customHeight="false" outlineLevel="0" collapsed="false">
      <c r="A5870" s="1" t="s">
        <v>671</v>
      </c>
    </row>
    <row r="5871" customFormat="false" ht="17.15" hidden="false" customHeight="false" outlineLevel="0" collapsed="false">
      <c r="A5871" s="0" t="s">
        <v>672</v>
      </c>
      <c r="B5871" s="0" t="s">
        <v>73</v>
      </c>
      <c r="C5871" s="38" t="n">
        <f aca="false">Sens!$C$5779*m_ad</f>
        <v>20.5341564414228</v>
      </c>
      <c r="D5871" s="38" t="n">
        <f aca="false">Sens!$D$5779*m_ad</f>
        <v>24.8720617299587</v>
      </c>
      <c r="E5871" s="38" t="n">
        <f aca="false">Sens!$E$5779*m_ad</f>
        <v>13.5017112462207</v>
      </c>
      <c r="F5871" s="38" t="n">
        <f aca="false">Sens!$F$5779*m_ad</f>
        <v>17.2886442824599</v>
      </c>
      <c r="G5871" s="38" t="n">
        <f aca="false">Sens!$G$5779*m_ad</f>
        <v>30.8011958765886</v>
      </c>
      <c r="H5871" s="38" t="n">
        <f aca="false">Sens!$H$5779*m_ad</f>
        <v>36.978409366026</v>
      </c>
      <c r="I5871" s="38" t="n">
        <f aca="false">Sens!$I$5779*m_ad</f>
        <v>43.155063281273</v>
      </c>
      <c r="J5871" s="38" t="n">
        <f aca="false">Sens!$J$5779*m_ad</f>
        <v>48.9169991988532</v>
      </c>
      <c r="K5871" s="38" t="n">
        <f aca="false">Sens!$K$5779*m_ad</f>
        <v>53.8086991187386</v>
      </c>
      <c r="L5871" s="38" t="n">
        <f aca="false">Sens!$L$5779*m_ad</f>
        <v>59.1895690306124</v>
      </c>
      <c r="M5871" s="38" t="n">
        <f aca="false">Sens!$M$5779*m_ad</f>
        <v>65.1085259336737</v>
      </c>
      <c r="N5871" s="38" t="n">
        <f aca="false">Sens!$N$5779*m_ad</f>
        <v>10.8543555706248</v>
      </c>
      <c r="O5871" s="38" t="n">
        <f aca="false">Sens!$O$5779*m_ad</f>
        <v>14.0094731821399</v>
      </c>
    </row>
    <row r="5872" customFormat="false" ht="17.15" hidden="false" customHeight="false" outlineLevel="0" collapsed="false">
      <c r="A5872" s="0" t="s">
        <v>673</v>
      </c>
      <c r="B5872" s="0" t="s">
        <v>73</v>
      </c>
      <c r="C5872" s="38" t="n">
        <f aca="false">Sens!$C$5777-Sens!$C$5779</f>
        <v>346.428687117154</v>
      </c>
      <c r="D5872" s="38" t="n">
        <f aca="false">Sens!$D$5777-Sens!$D$5779</f>
        <v>376.560876540083</v>
      </c>
      <c r="E5872" s="38" t="n">
        <f aca="false">Sens!$E$5777-Sens!$E$5779</f>
        <v>193.316577507559</v>
      </c>
      <c r="F5872" s="38" t="n">
        <f aca="false">Sens!$F$5777-Sens!$F$5779</f>
        <v>221.726726438887</v>
      </c>
      <c r="G5872" s="38" t="n">
        <f aca="false">Sens!$G$5777-Sens!$G$5779</f>
        <v>415.02162325063</v>
      </c>
      <c r="H5872" s="38" t="n">
        <f aca="false">Sens!$H$5777-Sens!$H$5779</f>
        <v>453.777572359491</v>
      </c>
      <c r="I5872" s="38" t="n">
        <f aca="false">Sens!$I$5777-Sens!$I$5779</f>
        <v>490.847566467031</v>
      </c>
      <c r="J5872" s="38" t="n">
        <f aca="false">Sens!$J$5777-Sens!$J$5779</f>
        <v>525.190925266121</v>
      </c>
      <c r="K5872" s="38" t="n">
        <f aca="false">Sens!$K$5777-Sens!$K$5779</f>
        <v>555.765170156304</v>
      </c>
      <c r="L5872" s="38" t="n">
        <f aca="false">Sens!$L$5777-Sens!$L$5779</f>
        <v>588.185734949207</v>
      </c>
      <c r="M5872" s="38" t="n">
        <f aca="false">Sens!$M$5777-Sens!$M$5779</f>
        <v>622.567635538672</v>
      </c>
      <c r="N5872" s="38" t="n">
        <f aca="false">Sens!$N$5777-Sens!$N$5779</f>
        <v>171.24628885875</v>
      </c>
      <c r="O5872" s="38" t="n">
        <f aca="false">Sens!$O$5777-Sens!$O$5779</f>
        <v>205.33105363572</v>
      </c>
    </row>
    <row r="5873" customFormat="false" ht="17.15" hidden="false" customHeight="false" outlineLevel="0" collapsed="false">
      <c r="A5873" s="0" t="s">
        <v>674</v>
      </c>
      <c r="B5873" s="0" t="s">
        <v>73</v>
      </c>
      <c r="C5873" s="38" t="n">
        <f aca="false">Sens!$C$5824*Sens!$C$5776</f>
        <v>0.123617442257179</v>
      </c>
      <c r="D5873" s="38" t="n">
        <f aca="false">Sens!$D$5824*Sens!$D$5776</f>
        <v>0.874366899302609</v>
      </c>
      <c r="E5873" s="38" t="n">
        <f aca="false">Sens!$E$5824*Sens!$E$5776</f>
        <v>1.29318830502574</v>
      </c>
      <c r="F5873" s="38" t="n">
        <f aca="false">Sens!$F$5824*Sens!$F$5776</f>
        <v>1.51802024162534</v>
      </c>
      <c r="G5873" s="38" t="n">
        <f aca="false">Sens!$G$5824*Sens!$G$5776</f>
        <v>2.81130189308167</v>
      </c>
      <c r="H5873" s="38" t="n">
        <f aca="false">Sens!$H$5824*Sens!$H$5776</f>
        <v>7.38966789318209</v>
      </c>
      <c r="I5873" s="38" t="n">
        <f aca="false">Sens!$I$5824*Sens!$I$5776</f>
        <v>12.8987443661473</v>
      </c>
      <c r="J5873" s="38" t="n">
        <f aca="false">Sens!$J$5824*Sens!$J$5776</f>
        <v>18.5570025453645</v>
      </c>
      <c r="K5873" s="38" t="n">
        <f aca="false">Sens!$K$5824*Sens!$K$5776</f>
        <v>24.3158972773405</v>
      </c>
      <c r="L5873" s="38" t="n">
        <f aca="false">Sens!$L$5824*Sens!$L$5776</f>
        <v>29.7827375558674</v>
      </c>
      <c r="M5873" s="38" t="n">
        <f aca="false">Sens!$M$5824*Sens!$M$5776</f>
        <v>35.3532344973194</v>
      </c>
      <c r="N5873" s="38" t="n">
        <f aca="false">Sens!$N$5824*Sens!$N$5776</f>
        <v>0.389180508437431</v>
      </c>
      <c r="O5873" s="38" t="n">
        <f aca="false">Sens!$O$5824*Sens!$O$5776</f>
        <v>0.485052120082802</v>
      </c>
    </row>
    <row r="5874" customFormat="false" ht="17.15" hidden="false" customHeight="false" outlineLevel="0" collapsed="false">
      <c r="A5874" s="0" t="s">
        <v>675</v>
      </c>
      <c r="B5874" s="0" t="s">
        <v>52</v>
      </c>
      <c r="C5874" s="28" t="n">
        <f aca="false">(Sens!$C$5875-Sens!$C$5871+Sens!$C$5873)/Sens!$C$5872</f>
        <v>0.0131526665379575</v>
      </c>
      <c r="D5874" s="28" t="n">
        <f aca="false">(Sens!$D$5875-Sens!$D$5871+Sens!$D$5873)/Sens!$D$5872</f>
        <v>0.0149280116962589</v>
      </c>
      <c r="E5874" s="28" t="n">
        <f aca="false">(Sens!$E$5875-Sens!$E$5871+Sens!$E$5873)/Sens!$E$5872</f>
        <v>0.0268030663774938</v>
      </c>
      <c r="F5874" s="28" t="n">
        <f aca="false">Sens!$O$5874+(Sens!$E$5874-Sens!$N$5874)</f>
        <v>0.0232379346966962</v>
      </c>
      <c r="G5874" s="28" t="n">
        <f aca="false">(Sens!$G$5875-Sens!$G$5871+Sens!$G$5873)/Sens!$G$5872</f>
        <v>0.0248738876928168</v>
      </c>
      <c r="H5874" s="28" t="n">
        <f aca="false">Sens!$G$5874+step_na</f>
        <v>0.0278738876928168</v>
      </c>
      <c r="I5874" s="28" t="n">
        <f aca="false">Sens!$H$5874+step_na</f>
        <v>0.0308738876928168</v>
      </c>
      <c r="J5874" s="28" t="n">
        <f aca="false">Sens!$I$5874+step_na</f>
        <v>0.0338738876928168</v>
      </c>
      <c r="K5874" s="28" t="n">
        <f aca="false">Sens!$J$5874+step_na</f>
        <v>0.0368738876928168</v>
      </c>
      <c r="L5874" s="28" t="n">
        <f aca="false">Sens!$K$5874</f>
        <v>0.0368738876928168</v>
      </c>
      <c r="M5874" s="28" t="n">
        <f aca="false">Sens!$L$5874</f>
        <v>0.0368738876928168</v>
      </c>
      <c r="N5874" s="28" t="n">
        <f aca="false">(Sens!$N$5875-Sens!$N$5871+Sens!$N$5873)/Sens!$N$5872</f>
        <v>0.0168927744775755</v>
      </c>
      <c r="O5874" s="28" t="n">
        <f aca="false">(Sens!$O$5875-Sens!$O$5871+Sens!$O$5873)/Sens!$O$5872</f>
        <v>0.0133276427967779</v>
      </c>
      <c r="P5874" s="8" t="s">
        <v>676</v>
      </c>
    </row>
    <row r="5875" customFormat="false" ht="17.15" hidden="false" customHeight="false" outlineLevel="0" collapsed="false">
      <c r="A5875" s="1" t="s">
        <v>677</v>
      </c>
      <c r="B5875" s="8" t="s">
        <v>73</v>
      </c>
      <c r="C5875" s="38" t="n">
        <f aca="false">Q!$D$22</f>
        <v>24.967</v>
      </c>
      <c r="D5875" s="38" t="n">
        <f aca="false">Q!$E$22</f>
        <v>29.619</v>
      </c>
      <c r="E5875" s="38" t="n">
        <f aca="false">Q!$P$22</f>
        <v>17.39</v>
      </c>
      <c r="F5875" s="38" t="n">
        <f aca="false">Sens!$F$5871+Sens!$F$5872*Sens!$F$5874-Sens!$F$5873</f>
        <v>20.9230952303336</v>
      </c>
      <c r="G5875" s="38" t="n">
        <f aca="false">Sens!$E$5875+Sens!$F$5875</f>
        <v>38.3130952303336</v>
      </c>
      <c r="H5875" s="38" t="n">
        <f aca="false">Sens!$H$5871+Sens!$H$5872*Sens!$H$5874-Sens!$H$5873</f>
        <v>42.2372865623114</v>
      </c>
      <c r="I5875" s="38" t="n">
        <f aca="false">Sens!$I$5871+Sens!$I$5872*Sens!$I$5874-Sens!$I$5873</f>
        <v>45.4106915565213</v>
      </c>
      <c r="J5875" s="38" t="n">
        <f aca="false">Sens!$J$5871+Sens!$J$5872*Sens!$J$5874-Sens!$J$5873</f>
        <v>48.1502550732398</v>
      </c>
      <c r="K5875" s="38" t="n">
        <f aca="false">Sens!$K$5871+Sens!$K$5872*Sens!$K$5874-Sens!$K$5873</f>
        <v>49.9860243093208</v>
      </c>
      <c r="L5875" s="38" t="n">
        <f aca="false">Sens!$L$5871+Sens!$L$5872*Sens!$L$5874-Sens!$L$5873</f>
        <v>51.095526207779</v>
      </c>
      <c r="M5875" s="38" t="n">
        <f aca="false">Sens!$M$5871+Sens!$M$5872*Sens!$M$5874-Sens!$M$5873</f>
        <v>52.7117805103898</v>
      </c>
      <c r="N5875" s="38" t="n">
        <f aca="false">Q!$N$22</f>
        <v>13.358</v>
      </c>
      <c r="O5875" s="38" t="n">
        <f aca="false">Q!$O$22</f>
        <v>16.261</v>
      </c>
    </row>
    <row r="5876" customFormat="false" ht="17.15" hidden="false" customHeight="false" outlineLevel="0" collapsed="false">
      <c r="A5876" s="0" t="s">
        <v>678</v>
      </c>
      <c r="B5876" s="0" t="s">
        <v>73</v>
      </c>
      <c r="C5876" s="38" t="n">
        <f aca="false">Sens!$C$5780*m_ad</f>
        <v>7.57284355857716</v>
      </c>
      <c r="D5876" s="38" t="n">
        <f aca="false">Sens!$D$5780*m_ad</f>
        <v>9.44543827004127</v>
      </c>
      <c r="E5876" s="38" t="n">
        <f aca="false">Sens!$E$5780*m_ad</f>
        <v>5.02428875377928</v>
      </c>
      <c r="F5876" s="38" t="n">
        <f aca="false">Sens!$F$5780*m_ad</f>
        <v>6.78802480890925</v>
      </c>
      <c r="G5876" s="38" t="n">
        <f aca="false">Sens!$G$5780*m_ad</f>
        <v>11.8014732147805</v>
      </c>
      <c r="H5876" s="38" t="n">
        <f aca="false">Sens!$H$5780*m_ad</f>
        <v>14.1682715634442</v>
      </c>
      <c r="I5876" s="38" t="n">
        <f aca="false">Sens!$I$5780*m_ad</f>
        <v>16.5348555113474</v>
      </c>
      <c r="J5876" s="38" t="n">
        <f aca="false">Sens!$J$5780*m_ad</f>
        <v>18.7425403255689</v>
      </c>
      <c r="K5876" s="38" t="n">
        <f aca="false">Sens!$K$5780*m_ad</f>
        <v>20.6167943581258</v>
      </c>
      <c r="L5876" s="38" t="n">
        <f aca="false">Sens!$L$5780*m_ad</f>
        <v>22.6784737939383</v>
      </c>
      <c r="M5876" s="38" t="n">
        <f aca="false">Sens!$M$5780*m_ad</f>
        <v>24.9463211733322</v>
      </c>
      <c r="N5876" s="38" t="n">
        <f aca="false">Sens!$N$5780*m_ad</f>
        <v>3.95314442937518</v>
      </c>
      <c r="O5876" s="38" t="n">
        <f aca="false">Sens!$O$5780*m_ad</f>
        <v>5.50052681786011</v>
      </c>
    </row>
    <row r="5877" customFormat="false" ht="17.15" hidden="false" customHeight="false" outlineLevel="0" collapsed="false">
      <c r="A5877" s="0" t="s">
        <v>679</v>
      </c>
      <c r="B5877" s="0" t="s">
        <v>73</v>
      </c>
      <c r="C5877" s="38" t="n">
        <f aca="false">Sens!$C$5778-Sens!$C$5780</f>
        <v>127.760312882846</v>
      </c>
      <c r="D5877" s="38" t="n">
        <f aca="false">Sens!$D$5778-Sens!$D$5780</f>
        <v>143.003123459917</v>
      </c>
      <c r="E5877" s="38" t="n">
        <f aca="false">Sens!$E$5778-Sens!$E$5780</f>
        <v>71.9374224924414</v>
      </c>
      <c r="F5877" s="38" t="n">
        <f aca="false">Sens!$F$5778-Sens!$F$5780</f>
        <v>87.0563645868046</v>
      </c>
      <c r="G5877" s="38" t="n">
        <f aca="false">Sens!$G$5778-Sens!$G$5780</f>
        <v>159.015467775062</v>
      </c>
      <c r="H5877" s="38" t="n">
        <f aca="false">Sens!$H$5778-Sens!$H$5780</f>
        <v>173.864803403269</v>
      </c>
      <c r="I5877" s="38" t="n">
        <f aca="false">Sens!$I$5778-Sens!$I$5780</f>
        <v>188.068165645601</v>
      </c>
      <c r="J5877" s="38" t="n">
        <f aca="false">Sens!$J$5778-Sens!$J$5780</f>
        <v>201.22681801082</v>
      </c>
      <c r="K5877" s="38" t="n">
        <f aca="false">Sens!$K$5778-Sens!$K$5780</f>
        <v>212.941334991893</v>
      </c>
      <c r="L5877" s="38" t="n">
        <f aca="false">Sens!$L$5778-Sens!$L$5780</f>
        <v>225.363269144856</v>
      </c>
      <c r="M5877" s="38" t="n">
        <f aca="false">Sens!$M$5778-Sens!$M$5780</f>
        <v>238.536688790819</v>
      </c>
      <c r="N5877" s="38" t="n">
        <f aca="false">Sens!$N$5778-Sens!$N$5780</f>
        <v>62.3677111412496</v>
      </c>
      <c r="O5877" s="38" t="n">
        <f aca="false">Sens!$O$5778-Sens!$O$5780</f>
        <v>80.6189463642798</v>
      </c>
    </row>
    <row r="5878" customFormat="false" ht="17.15" hidden="false" customHeight="false" outlineLevel="0" collapsed="false">
      <c r="A5878" s="0" t="s">
        <v>680</v>
      </c>
      <c r="B5878" s="0" t="s">
        <v>73</v>
      </c>
      <c r="C5878" s="38" t="n">
        <f aca="false">Sens!$C$5824*(1-Sens!$C$5776)</f>
        <v>0.0455891896019953</v>
      </c>
      <c r="D5878" s="38" t="n">
        <f aca="false">Sens!$D$5824*(1-Sens!$D$5776)</f>
        <v>0.332050421167231</v>
      </c>
      <c r="E5878" s="38" t="n">
        <f aca="false">Sens!$E$5824*(1-Sens!$E$5776)</f>
        <v>0.481224293644882</v>
      </c>
      <c r="F5878" s="38" t="n">
        <f aca="false">Sens!$F$5824*(1-Sens!$F$5776)</f>
        <v>0.596018918096053</v>
      </c>
      <c r="G5878" s="38" t="n">
        <f aca="false">Sens!$G$5824*(1-Sens!$G$5776)</f>
        <v>1.07714986531035</v>
      </c>
      <c r="H5878" s="38" t="n">
        <f aca="false">Sens!$H$5824*(1-Sens!$H$5776)</f>
        <v>2.83135005721638</v>
      </c>
      <c r="I5878" s="38" t="n">
        <f aca="false">Sens!$I$5824*(1-Sens!$I$5776)</f>
        <v>4.9421518161602</v>
      </c>
      <c r="J5878" s="38" t="n">
        <f aca="false">Sens!$J$5824*(1-Sens!$J$5776)</f>
        <v>7.11011252170866</v>
      </c>
      <c r="K5878" s="38" t="n">
        <f aca="false">Sens!$K$5824*(1-Sens!$K$5776)</f>
        <v>9.31663210615807</v>
      </c>
      <c r="L5878" s="38" t="n">
        <f aca="false">Sens!$L$5824*(1-Sens!$L$5776)</f>
        <v>11.411251074039</v>
      </c>
      <c r="M5878" s="38" t="n">
        <f aca="false">Sens!$M$5824*(1-Sens!$M$5776)</f>
        <v>13.5455860755423</v>
      </c>
      <c r="N5878" s="38" t="n">
        <f aca="false">Sens!$N$5824*(1-Sens!$N$5776)</f>
        <v>0.141739115596548</v>
      </c>
      <c r="O5878" s="38" t="n">
        <f aca="false">Sens!$O$5824*(1-Sens!$O$5776)</f>
        <v>0.190445576353059</v>
      </c>
    </row>
    <row r="5879" customFormat="false" ht="17.15" hidden="false" customHeight="false" outlineLevel="0" collapsed="false">
      <c r="A5879" s="0" t="s">
        <v>681</v>
      </c>
      <c r="B5879" s="0" t="s">
        <v>52</v>
      </c>
      <c r="C5879" s="28" t="n">
        <f aca="false">(Sens!$C$5880-Sens!$C$5876+Sens!$C$5878)/Sens!$C$5877</f>
        <v>-0.0292364215826579</v>
      </c>
      <c r="D5879" s="28" t="n">
        <f aca="false">(Sens!$D$5880-Sens!$D$5876+Sens!$D$5878)/Sens!$D$5877</f>
        <v>-0.0305125352740778</v>
      </c>
      <c r="E5879" s="28" t="n">
        <f aca="false">(Sens!$E$5880-Sens!$E$5876+Sens!$E$5878)/Sens!$E$5877</f>
        <v>-0.019490056934994</v>
      </c>
      <c r="F5879" s="28" t="n">
        <f aca="false">Sens!$O$5879+(Sens!$E$5879-Sens!$N$5879)</f>
        <v>-0.0367332293992226</v>
      </c>
      <c r="G5879" s="28" t="n">
        <f aca="false">(Sens!$G$5880-Sens!$G$5876+Sens!$G$5878)/Sens!$G$5877</f>
        <v>-0.0288599526442178</v>
      </c>
      <c r="H5879" s="28" t="n">
        <f aca="false">Sens!$G$5879+step_in</f>
        <v>-0.0288599526442178</v>
      </c>
      <c r="I5879" s="28" t="n">
        <f aca="false">Sens!$H$5879+step_in</f>
        <v>-0.0288599526442178</v>
      </c>
      <c r="J5879" s="28" t="n">
        <f aca="false">Sens!$I$5879+step_in</f>
        <v>-0.0288599526442178</v>
      </c>
      <c r="K5879" s="28" t="n">
        <f aca="false">Sens!$J$5879+step_in</f>
        <v>-0.0288599526442178</v>
      </c>
      <c r="L5879" s="28" t="n">
        <f aca="false">Sens!$K$5879</f>
        <v>-0.0288599526442178</v>
      </c>
      <c r="M5879" s="28" t="n">
        <f aca="false">Sens!$L$5879</f>
        <v>-0.0288599526442178</v>
      </c>
      <c r="N5879" s="28" t="n">
        <f aca="false">(Sens!$N$5880-Sens!$N$5876+Sens!$N$5878)/Sens!$N$5877</f>
        <v>-0.02085061789158</v>
      </c>
      <c r="O5879" s="28" t="n">
        <f aca="false">(Sens!$O$5880-Sens!$O$5876+Sens!$O$5878)/Sens!$O$5877</f>
        <v>-0.0380937903558086</v>
      </c>
      <c r="P5879" s="8" t="s">
        <v>676</v>
      </c>
    </row>
    <row r="5880" customFormat="false" ht="17.15" hidden="false" customHeight="false" outlineLevel="0" collapsed="false">
      <c r="A5880" s="1" t="s">
        <v>682</v>
      </c>
      <c r="B5880" s="8" t="s">
        <v>73</v>
      </c>
      <c r="C5880" s="38" t="n">
        <f aca="false">Q!$D$23</f>
        <v>3.792</v>
      </c>
      <c r="D5880" s="38" t="n">
        <f aca="false">Q!$E$23</f>
        <v>4.75</v>
      </c>
      <c r="E5880" s="38" t="n">
        <f aca="false">Q!$P$23</f>
        <v>3.141</v>
      </c>
      <c r="F5880" s="38" t="n">
        <f aca="false">Sens!$F$5876+Sens!$F$5877*Sens!$F$5879-Sens!$F$5878</f>
        <v>2.99414447978375</v>
      </c>
      <c r="G5880" s="38" t="n">
        <f aca="false">Sens!$E$5880+Sens!$F$5880</f>
        <v>6.13514447978375</v>
      </c>
      <c r="H5880" s="38" t="n">
        <f aca="false">Sens!$H$5876+Sens!$H$5877*Sens!$H$5879-Sens!$H$5878</f>
        <v>6.31919151351322</v>
      </c>
      <c r="I5880" s="38" t="n">
        <f aca="false">Sens!$I$5876+Sens!$I$5877*Sens!$I$5879-Sens!$I$5878</f>
        <v>6.16506534077027</v>
      </c>
      <c r="J5880" s="38" t="n">
        <f aca="false">Sens!$J$5876+Sens!$J$5877*Sens!$J$5879-Sens!$J$5878</f>
        <v>5.8250313653213</v>
      </c>
      <c r="K5880" s="38" t="n">
        <f aca="false">Sens!$K$5876+Sens!$K$5877*Sens!$K$5879-Sens!$K$5878</f>
        <v>5.15468540810514</v>
      </c>
      <c r="L5880" s="38" t="n">
        <f aca="false">Sens!$L$5876+Sens!$L$5877*Sens!$L$5879-Sens!$L$5878</f>
        <v>4.76324944463266</v>
      </c>
      <c r="M5880" s="38" t="n">
        <f aca="false">Sens!$M$5876+Sens!$M$5877*Sens!$M$5879-Sens!$M$5878</f>
        <v>4.51657755537829</v>
      </c>
      <c r="N5880" s="38" t="n">
        <f aca="false">Q!$N$23</f>
        <v>2.511</v>
      </c>
      <c r="O5880" s="38" t="n">
        <f aca="false">Q!$O$23</f>
        <v>2.239</v>
      </c>
    </row>
    <row r="5881" customFormat="false" ht="17.15" hidden="false" customHeight="false" outlineLevel="0" collapsed="false">
      <c r="A5881" s="0" t="s">
        <v>683</v>
      </c>
      <c r="B5881" s="0" t="s">
        <v>73</v>
      </c>
      <c r="C5881" s="38" t="n">
        <f aca="false">Sens!$C$5821</f>
        <v>1.64417882953695</v>
      </c>
      <c r="D5881" s="38" t="n">
        <f aca="false">Sens!$D$5821</f>
        <v>3.8781008067718</v>
      </c>
      <c r="E5881" s="38" t="n">
        <f aca="false">Sens!$E$5821</f>
        <v>1.41270258088753</v>
      </c>
      <c r="F5881" s="38" t="n">
        <f aca="false">Sens!$F$5821</f>
        <v>6.50727700583486</v>
      </c>
      <c r="G5881" s="38" t="n">
        <f aca="false">Sens!$G$5821</f>
        <v>7.9199795867224</v>
      </c>
      <c r="H5881" s="38" t="n">
        <f aca="false">Sens!$H$5821</f>
        <v>19.2818189481807</v>
      </c>
      <c r="I5881" s="38" t="n">
        <f aca="false">Sens!$I$5821</f>
        <v>30.140114407202</v>
      </c>
      <c r="J5881" s="38" t="n">
        <f aca="false">Sens!$J$5821</f>
        <v>40.3569468829854</v>
      </c>
      <c r="K5881" s="38" t="n">
        <f aca="false">Sens!$K$5821</f>
        <v>50.0782975081929</v>
      </c>
      <c r="L5881" s="38" t="n">
        <f aca="false">Sens!$L$5821</f>
        <v>61.443331993499</v>
      </c>
      <c r="M5881" s="38" t="n">
        <f aca="false">Sens!$M$5821</f>
        <v>72.2498791587849</v>
      </c>
      <c r="N5881" s="38" t="n">
        <f aca="false">Sens!$N$5821</f>
        <v>0.92264103489199</v>
      </c>
      <c r="O5881" s="38" t="n">
        <f aca="false">Sens!$O$5821</f>
        <v>2.95545977187981</v>
      </c>
    </row>
    <row r="5882" customFormat="false" ht="17.15" hidden="false" customHeight="false" outlineLevel="0" collapsed="false">
      <c r="A5882" s="0" t="s">
        <v>603</v>
      </c>
      <c r="B5882" s="0" t="s">
        <v>73</v>
      </c>
      <c r="C5882" s="38" t="n">
        <f aca="false">Sens!$C$5826</f>
        <v>38.1898211704631</v>
      </c>
      <c r="D5882" s="38" t="n">
        <f aca="false">Sens!$D$5826</f>
        <v>41.7278991932282</v>
      </c>
      <c r="E5882" s="38" t="n">
        <f aca="false">Sens!$E$5826</f>
        <v>29.3692974191125</v>
      </c>
      <c r="F5882" s="38" t="n">
        <f aca="false">Sens!$F$5826</f>
        <v>29.458060516894</v>
      </c>
      <c r="G5882" s="38" t="n">
        <f aca="false">Sens!$G$5826</f>
        <v>58.8273579360065</v>
      </c>
      <c r="H5882" s="38" t="n">
        <f aca="false">Sens!$H$5826</f>
        <v>67.8004040185081</v>
      </c>
      <c r="I5882" s="38" t="n">
        <f aca="false">Sens!$I$5826</f>
        <v>78.9527630302702</v>
      </c>
      <c r="J5882" s="38" t="n">
        <f aca="false">Sens!$J$5826</f>
        <v>88.6042681781841</v>
      </c>
      <c r="K5882" s="38" t="n">
        <f aca="false">Sens!$K$5826</f>
        <v>95.6926096324389</v>
      </c>
      <c r="L5882" s="38" t="n">
        <f aca="false">Sens!$L$5826</f>
        <v>103.348018403034</v>
      </c>
      <c r="M5882" s="38" t="n">
        <f aca="false">Sens!$M$5826</f>
        <v>111.615859875277</v>
      </c>
      <c r="N5882" s="38" t="n">
        <f aca="false">Sens!$N$5826</f>
        <v>20.784358965108</v>
      </c>
      <c r="O5882" s="38" t="n">
        <f aca="false">Sens!$O$5826</f>
        <v>20.9435402281202</v>
      </c>
    </row>
    <row r="5883" customFormat="false" ht="17.15" hidden="false" customHeight="false" outlineLevel="0" collapsed="false">
      <c r="A5883" s="1" t="s">
        <v>684</v>
      </c>
      <c r="B5883" s="8" t="s">
        <v>73</v>
      </c>
      <c r="C5883" s="38" t="n">
        <f aca="false">Q!$D$24</f>
        <v>39.834</v>
      </c>
      <c r="D5883" s="38" t="n">
        <f aca="false">Q!$E$24</f>
        <v>45.606</v>
      </c>
      <c r="E5883" s="38" t="n">
        <f aca="false">Q!$P$24</f>
        <v>30.782</v>
      </c>
      <c r="F5883" s="38" t="n">
        <f aca="false">Sens!$F$5881+Sens!$F$5882</f>
        <v>35.9653375227289</v>
      </c>
      <c r="G5883" s="38" t="n">
        <f aca="false">Sens!$G$5881+Sens!$G$5882</f>
        <v>66.7473375227289</v>
      </c>
      <c r="H5883" s="38" t="n">
        <f aca="false">Sens!$H$5881+Sens!$H$5882</f>
        <v>87.0822229666888</v>
      </c>
      <c r="I5883" s="38" t="n">
        <f aca="false">Sens!$I$5881+Sens!$I$5882</f>
        <v>109.092877437472</v>
      </c>
      <c r="J5883" s="38" t="n">
        <f aca="false">Sens!$J$5881+Sens!$J$5882</f>
        <v>128.96121506117</v>
      </c>
      <c r="K5883" s="38" t="n">
        <f aca="false">Sens!$K$5881+Sens!$K$5882</f>
        <v>145.770907140632</v>
      </c>
      <c r="L5883" s="38" t="n">
        <f aca="false">Sens!$L$5881+Sens!$L$5882</f>
        <v>164.791350396533</v>
      </c>
      <c r="M5883" s="38" t="n">
        <f aca="false">Sens!$M$5881+Sens!$M$5882</f>
        <v>183.865739034062</v>
      </c>
      <c r="N5883" s="38" t="n">
        <f aca="false">Q!$N$24</f>
        <v>21.707</v>
      </c>
      <c r="O5883" s="38" t="n">
        <f aca="false">Q!$O$24</f>
        <v>23.899</v>
      </c>
    </row>
    <row r="5884" customFormat="false" ht="17.15" hidden="false" customHeight="false" outlineLevel="0" collapsed="false">
      <c r="A5884" s="5" t="s">
        <v>685</v>
      </c>
      <c r="B5884" s="0" t="s">
        <v>73</v>
      </c>
      <c r="C5884" s="38" t="n">
        <f aca="false">Q!$D$26</f>
        <v>0</v>
      </c>
      <c r="D5884" s="38" t="n">
        <f aca="false">Q!$E$26</f>
        <v>0</v>
      </c>
      <c r="E5884" s="38" t="n">
        <f aca="false">Q!$P$26</f>
        <v>0</v>
      </c>
      <c r="F5884" s="41" t="n">
        <v>0</v>
      </c>
      <c r="G5884" s="38" t="n">
        <f aca="false">Sens!$E$5884+Sens!$F$5884</f>
        <v>0</v>
      </c>
      <c r="H5884" s="41" t="n">
        <v>0</v>
      </c>
      <c r="I5884" s="41" t="n">
        <v>0</v>
      </c>
      <c r="J5884" s="41" t="n">
        <v>0</v>
      </c>
      <c r="K5884" s="41" t="n">
        <v>0</v>
      </c>
      <c r="L5884" s="41" t="n">
        <v>0</v>
      </c>
      <c r="M5884" s="41" t="n">
        <v>0</v>
      </c>
      <c r="N5884" s="38" t="n">
        <f aca="false">Q!$N$26</f>
        <v>0</v>
      </c>
      <c r="O5884" s="38" t="n">
        <f aca="false">Q!$O$26</f>
        <v>0</v>
      </c>
    </row>
    <row r="5885" customFormat="false" ht="15" hidden="false" customHeight="false" outlineLevel="0" collapsed="false">
      <c r="A5885" s="3" t="s">
        <v>494</v>
      </c>
      <c r="B5885" s="8" t="s">
        <v>73</v>
      </c>
      <c r="C5885" s="38" t="n">
        <f aca="false">Q!$D$25</f>
        <v>68.593</v>
      </c>
      <c r="D5885" s="38" t="n">
        <f aca="false">Q!$E$25</f>
        <v>79.975</v>
      </c>
      <c r="E5885" s="38" t="n">
        <f aca="false">Q!$P$25</f>
        <v>51.313</v>
      </c>
      <c r="F5885" s="38" t="n">
        <f aca="false">Sens!$F$5875+Sens!$F$5880+Sens!$F$5883+Sens!$F$5884</f>
        <v>59.8825772328462</v>
      </c>
      <c r="G5885" s="38" t="n">
        <f aca="false">Sens!$G$5875+Sens!$G$5880+Sens!$G$5883+Sens!$G$5884</f>
        <v>111.195577232846</v>
      </c>
      <c r="H5885" s="38" t="n">
        <f aca="false">Sens!$H$5875+Sens!$H$5880+Sens!$H$5883+Sens!$H$5884</f>
        <v>135.638701042513</v>
      </c>
      <c r="I5885" s="38" t="n">
        <f aca="false">Sens!$I$5875+Sens!$I$5880+Sens!$I$5883+Sens!$I$5884</f>
        <v>160.668634334764</v>
      </c>
      <c r="J5885" s="38" t="n">
        <f aca="false">Sens!$J$5875+Sens!$J$5880+Sens!$J$5883+Sens!$J$5884</f>
        <v>182.936501499731</v>
      </c>
      <c r="K5885" s="38" t="n">
        <f aca="false">Sens!$K$5875+Sens!$K$5880+Sens!$K$5883+Sens!$K$5884</f>
        <v>200.911616858058</v>
      </c>
      <c r="L5885" s="38" t="n">
        <f aca="false">Sens!$L$5875+Sens!$L$5880+Sens!$L$5883+Sens!$L$5884</f>
        <v>220.650126048945</v>
      </c>
      <c r="M5885" s="38" t="n">
        <f aca="false">Sens!$M$5875+Sens!$M$5880+Sens!$M$5883+Sens!$M$5884</f>
        <v>241.09409709983</v>
      </c>
      <c r="N5885" s="38" t="n">
        <f aca="false">Q!$N$25</f>
        <v>37.576</v>
      </c>
      <c r="O5885" s="38" t="n">
        <f aca="false">Q!$O$25</f>
        <v>42.399</v>
      </c>
    </row>
    <row r="5886" customFormat="false" ht="17.15" hidden="false" customHeight="false" outlineLevel="0" collapsed="false">
      <c r="A5886" s="24" t="s">
        <v>711</v>
      </c>
      <c r="B5886" s="25" t="s">
        <v>73</v>
      </c>
      <c r="C5886" s="39" t="n">
        <f aca="false">Sens!$C$5875+Sens!$C$5880+Sens!$C$5883+Sens!$C$5884-Sens!$C$5885</f>
        <v>0</v>
      </c>
      <c r="D5886" s="39" t="n">
        <f aca="false">Sens!$D$5875+Sens!$D$5880+Sens!$D$5883+Sens!$D$5884-Sens!$D$5885</f>
        <v>0</v>
      </c>
      <c r="E5886" s="39" t="n">
        <f aca="false">Sens!$E$5875+Sens!$E$5880+Sens!$E$5883+Sens!$E$5884-Sens!$E$5885</f>
        <v>0</v>
      </c>
      <c r="F5886" s="39" t="n">
        <f aca="false">Sens!$F$5875+Sens!$F$5880+Sens!$F$5883+Sens!$F$5884-Sens!$F$5885</f>
        <v>0</v>
      </c>
      <c r="G5886" s="39" t="n">
        <f aca="false">Sens!$G$5875+Sens!$G$5880+Sens!$G$5883+Sens!$G$5884-Sens!$G$5885</f>
        <v>0</v>
      </c>
      <c r="H5886" s="39" t="n">
        <f aca="false">Sens!$H$5875+Sens!$H$5880+Sens!$H$5883+Sens!$H$5884-Sens!$H$5885</f>
        <v>0</v>
      </c>
      <c r="I5886" s="39" t="n">
        <f aca="false">Sens!$I$5875+Sens!$I$5880+Sens!$I$5883+Sens!$I$5884-Sens!$I$5885</f>
        <v>0</v>
      </c>
      <c r="J5886" s="39" t="n">
        <f aca="false">Sens!$J$5875+Sens!$J$5880+Sens!$J$5883+Sens!$J$5884-Sens!$J$5885</f>
        <v>0</v>
      </c>
      <c r="K5886" s="39" t="n">
        <f aca="false">Sens!$K$5875+Sens!$K$5880+Sens!$K$5883+Sens!$K$5884-Sens!$K$5885</f>
        <v>0</v>
      </c>
      <c r="L5886" s="39" t="n">
        <f aca="false">Sens!$L$5875+Sens!$L$5880+Sens!$L$5883+Sens!$L$5884-Sens!$L$5885</f>
        <v>0</v>
      </c>
      <c r="M5886" s="39" t="n">
        <f aca="false">Sens!$M$5875+Sens!$M$5880+Sens!$M$5883+Sens!$M$5884-Sens!$M$5885</f>
        <v>0</v>
      </c>
      <c r="N5886" s="39" t="n">
        <f aca="false">Sens!$N$5875+Sens!$N$5880+Sens!$N$5883+Sens!$N$5884-Sens!$N$5885</f>
        <v>0</v>
      </c>
      <c r="O5886" s="39" t="n">
        <f aca="false">Sens!$O$5875+Sens!$O$5880+Sens!$O$5883+Sens!$O$5884-Sens!$O$5885</f>
        <v>0</v>
      </c>
    </row>
    <row r="5887" customFormat="false" ht="17.15" hidden="false" customHeight="false" outlineLevel="0" collapsed="false">
      <c r="A5887" s="0" t="s">
        <v>687</v>
      </c>
      <c r="B5887" s="0" t="s">
        <v>52</v>
      </c>
      <c r="C5887" s="12" t="n">
        <f aca="false">Sens!$C$5875/Sens!$C$5860</f>
        <v>0.0644314665661928</v>
      </c>
      <c r="D5887" s="12" t="n">
        <f aca="false">Sens!$D$5875/Sens!$D$5860</f>
        <v>0.0694784250712518</v>
      </c>
      <c r="E5887" s="12" t="n">
        <f aca="false">Sens!$E$5875/Sens!$E$5860</f>
        <v>0.0789306463326071</v>
      </c>
      <c r="F5887" s="12" t="n">
        <f aca="false">Sens!$F$5875/Sens!$F$5860</f>
        <v>0.0816338957078875</v>
      </c>
      <c r="G5887" s="12" t="n">
        <f aca="false">Sens!$G$5875/Sens!$G$5860</f>
        <v>0.080384315570057</v>
      </c>
      <c r="H5887" s="12" t="n">
        <f aca="false">Sens!$H$5875/Sens!$H$5860</f>
        <v>0.080035122355679</v>
      </c>
      <c r="I5887" s="12" t="n">
        <f aca="false">Sens!$I$5875/Sens!$I$5860</f>
        <v>0.0786798687862144</v>
      </c>
      <c r="J5887" s="12" t="n">
        <f aca="false">Sens!$J$5875/Sens!$J$5860</f>
        <v>0.0772846370095153</v>
      </c>
      <c r="K5887" s="12" t="n">
        <f aca="false">Sens!$K$5875/Sens!$K$5860</f>
        <v>0.0753502227686655</v>
      </c>
      <c r="L5887" s="12" t="n">
        <f aca="false">Sens!$L$5875/Sens!$L$5860</f>
        <v>0.0723154067793922</v>
      </c>
      <c r="M5887" s="12" t="n">
        <f aca="false">Sens!$M$5875/Sens!$M$5860</f>
        <v>0.070022386735876</v>
      </c>
      <c r="N5887" s="12" t="n">
        <f aca="false">Sens!$N$5875/Sens!$N$5860</f>
        <v>0.069228576611127</v>
      </c>
      <c r="O5887" s="12" t="n">
        <f aca="false">Sens!$O$5875/Sens!$O$5860</f>
        <v>0.069685022498393</v>
      </c>
    </row>
    <row r="5888" customFormat="false" ht="17.15" hidden="false" customHeight="false" outlineLevel="0" collapsed="false">
      <c r="A5888" s="0" t="s">
        <v>688</v>
      </c>
      <c r="B5888" s="0" t="s">
        <v>52</v>
      </c>
      <c r="C5888" s="12" t="n">
        <f aca="false">Sens!$C$5880/Sens!$C$5861</f>
        <v>0.026534925055631</v>
      </c>
      <c r="D5888" s="12" t="n">
        <f aca="false">Sens!$D$5880/Sens!$D$5861</f>
        <v>0.0293401855535103</v>
      </c>
      <c r="E5888" s="12" t="n">
        <f aca="false">Sens!$E$5880/Sens!$E$5861</f>
        <v>0.03831141902276</v>
      </c>
      <c r="F5888" s="12" t="n">
        <f aca="false">Sens!$F$5880/Sens!$F$5861</f>
        <v>0.0297532808235678</v>
      </c>
      <c r="G5888" s="12" t="n">
        <f aca="false">Sens!$G$5880/Sens!$G$5861</f>
        <v>0.0335954317997163</v>
      </c>
      <c r="H5888" s="12" t="n">
        <f aca="false">Sens!$H$5880/Sens!$H$5861</f>
        <v>0.0312519754292078</v>
      </c>
      <c r="I5888" s="12" t="n">
        <f aca="false">Sens!$I$5880/Sens!$I$5861</f>
        <v>0.0278788303191397</v>
      </c>
      <c r="J5888" s="12" t="n">
        <f aca="false">Sens!$J$5880/Sens!$J$5861</f>
        <v>0.0244019313573061</v>
      </c>
      <c r="K5888" s="12" t="n">
        <f aca="false">Sens!$K$5880/Sens!$K$5861</f>
        <v>0.020280070641524</v>
      </c>
      <c r="L5888" s="12" t="n">
        <f aca="false">Sens!$L$5880/Sens!$L$5861</f>
        <v>0.0175947312030086</v>
      </c>
      <c r="M5888" s="12" t="n">
        <f aca="false">Sens!$M$5880/Sens!$M$5861</f>
        <v>0.0156592172424565</v>
      </c>
      <c r="N5888" s="12" t="n">
        <f aca="false">Sens!$N$5880/Sens!$N$5861</f>
        <v>0.0357315650169337</v>
      </c>
      <c r="O5888" s="12" t="n">
        <f aca="false">Sens!$O$5880/Sens!$O$5861</f>
        <v>0.0244378956559703</v>
      </c>
    </row>
    <row r="5889" customFormat="false" ht="17.15" hidden="false" customHeight="false" outlineLevel="0" collapsed="false">
      <c r="A5889" s="13" t="s">
        <v>689</v>
      </c>
      <c r="B5889" s="13" t="s">
        <v>52</v>
      </c>
      <c r="C5889" s="16" t="n">
        <f aca="false">Sens!$C$5883/Sens!$C$5862</f>
        <v>0.370355907620217</v>
      </c>
      <c r="D5889" s="16" t="n">
        <f aca="false">Sens!$D$5883/Sens!$D$5862</f>
        <v>0.35429015342785</v>
      </c>
      <c r="E5889" s="16" t="n">
        <f aca="false">Sens!$E$5883/Sens!$E$5862</f>
        <v>0.385647527531039</v>
      </c>
      <c r="F5889" s="16" t="n">
        <f aca="false">Sens!$F$5883/Sens!$F$5862</f>
        <v>0.384415729470259</v>
      </c>
      <c r="G5889" s="16" t="n">
        <f aca="false">Sens!$G$5883/Sens!$G$5862</f>
        <v>0.38498282105443</v>
      </c>
      <c r="H5889" s="16" t="n">
        <f aca="false">Sens!$H$5883/Sens!$H$5862</f>
        <v>0.361247909668527</v>
      </c>
      <c r="I5889" s="16" t="n">
        <f aca="false">Sens!$I$5883/Sens!$I$5862</f>
        <v>0.349486287974975</v>
      </c>
      <c r="J5889" s="16" t="n">
        <f aca="false">Sens!$J$5883/Sens!$J$5862</f>
        <v>0.339886531832068</v>
      </c>
      <c r="K5889" s="16" t="n">
        <f aca="false">Sens!$K$5883/Sens!$K$5862</f>
        <v>0.33135833762061</v>
      </c>
      <c r="L5889" s="16" t="n">
        <f aca="false">Sens!$L$5883/Sens!$L$5862</f>
        <v>0.328299068185284</v>
      </c>
      <c r="M5889" s="16" t="n">
        <f aca="false">Sens!$M$5883/Sens!$M$5862</f>
        <v>0.325058049465166</v>
      </c>
      <c r="N5889" s="16" t="n">
        <f aca="false">Sens!$N$5883/Sens!$N$5862</f>
        <v>0.360941137346192</v>
      </c>
      <c r="O5889" s="16" t="n">
        <f aca="false">Sens!$O$5883/Sens!$O$5862</f>
        <v>0.348458117664212</v>
      </c>
    </row>
    <row r="5890" customFormat="false" ht="17.15" hidden="false" customHeight="false" outlineLevel="0" collapsed="false">
      <c r="A5890" s="0" t="s">
        <v>690</v>
      </c>
      <c r="B5890" s="0" t="s">
        <v>52</v>
      </c>
      <c r="C5890" s="12" t="n">
        <f aca="false">Sens!$C$5881/Sens!$C$5863</f>
        <v>0.708390794789371</v>
      </c>
      <c r="D5890" s="12" t="n">
        <f aca="false">Sens!$D$5881/Sens!$D$5863</f>
        <v>0.445565630441968</v>
      </c>
      <c r="E5890" s="12" t="n">
        <f aca="false">Sens!$E$5881/Sens!$E$5863</f>
        <v>0.165998118402711</v>
      </c>
      <c r="F5890" s="12" t="n">
        <f aca="false">Sens!$F$5881/Sens!$F$5863</f>
        <v>0.434878595403858</v>
      </c>
      <c r="G5890" s="12" t="n">
        <f aca="false">Sens!$G$5881/Sens!$G$5863</f>
        <v>0.3373967615381</v>
      </c>
      <c r="H5890" s="12" t="n">
        <f aca="false">Sens!$H$5881/Sens!$H$5863</f>
        <v>0.320477578041224</v>
      </c>
      <c r="I5890" s="12" t="n">
        <f aca="false">Sens!$I$5881/Sens!$I$5863</f>
        <v>0.296936118226494</v>
      </c>
      <c r="J5890" s="12" t="n">
        <f aca="false">Sens!$J$5881/Sens!$J$5863</f>
        <v>0.282166278613001</v>
      </c>
      <c r="K5890" s="12" t="n">
        <f aca="false">Sens!$K$5881/Sens!$K$5863</f>
        <v>0.271267685694333</v>
      </c>
      <c r="L5890" s="12" t="n">
        <f aca="false">Sens!$L$5881/Sens!$L$5863</f>
        <v>0.27160960915653</v>
      </c>
      <c r="M5890" s="12" t="n">
        <f aca="false">Sens!$M$5881/Sens!$M$5863</f>
        <v>0.26974494804234</v>
      </c>
      <c r="N5890" s="12" t="n">
        <f aca="false">Sens!$N$5881/Sens!$N$5863</f>
        <v>0.302870734830849</v>
      </c>
      <c r="O5890" s="12" t="n">
        <f aca="false">Sens!$O$5881/Sens!$O$5863</f>
        <v>0.52240134346334</v>
      </c>
    </row>
    <row r="5891" customFormat="false" ht="15" hidden="false" customHeight="false" outlineLevel="0" collapsed="false">
      <c r="A5891" s="5" t="s">
        <v>691</v>
      </c>
      <c r="B5891" s="0" t="s">
        <v>52</v>
      </c>
      <c r="C5891" s="12" t="n">
        <f aca="false">Sens!$C$5885/Sens!$C$5865</f>
        <v>0.107519448742004</v>
      </c>
      <c r="D5891" s="12" t="n">
        <f aca="false">Sens!$D$5885/Sens!$D$5865</f>
        <v>0.111552967957552</v>
      </c>
      <c r="E5891" s="12" t="n">
        <f aca="false">Sens!$E$5885/Sens!$E$5865</f>
        <v>0.13428328426562</v>
      </c>
      <c r="F5891" s="12" t="n">
        <f aca="false">Sens!$F$5885/Sens!$F$5865</f>
        <v>0.132926212451512</v>
      </c>
      <c r="G5891" s="12" t="n">
        <f aca="false">Sens!$G$5885/Sens!$G$5865</f>
        <v>0.133549030959228</v>
      </c>
      <c r="H5891" s="12" t="n">
        <f aca="false">Sens!$H$5885/Sens!$H$5865</f>
        <v>0.139690394514416</v>
      </c>
      <c r="I5891" s="12" t="n">
        <f aca="false">Sens!$I$5885/Sens!$I$5865</f>
        <v>0.144688164284573</v>
      </c>
      <c r="J5891" s="12" t="n">
        <f aca="false">Sens!$J$5885/Sens!$J$5865</f>
        <v>0.147391419021054</v>
      </c>
      <c r="K5891" s="12" t="n">
        <f aca="false">Sens!$K$5885/Sens!$K$5865</f>
        <v>0.148003728177944</v>
      </c>
      <c r="L5891" s="12" t="n">
        <f aca="false">Sens!$L$5885/Sens!$L$5865</f>
        <v>0.149164514525979</v>
      </c>
      <c r="M5891" s="12" t="n">
        <f aca="false">Sens!$M$5885/Sens!$M$5865</f>
        <v>0.150041098108262</v>
      </c>
      <c r="N5891" s="12" t="n">
        <f aca="false">Sens!$N$5885/Sens!$N$5865</f>
        <v>0.116201614873411</v>
      </c>
      <c r="O5891" s="12" t="n">
        <f aca="false">Sens!$O$5885/Sens!$O$5865</f>
        <v>0.107733353660861</v>
      </c>
    </row>
    <row r="5892" customFormat="false" ht="17.15" hidden="false" customHeight="false" outlineLevel="0" collapsed="false">
      <c r="A5892" s="1" t="s">
        <v>692</v>
      </c>
    </row>
    <row r="5893" customFormat="false" ht="17.15" hidden="false" customHeight="false" outlineLevel="0" collapsed="false">
      <c r="A5893" s="5" t="s">
        <v>693</v>
      </c>
      <c r="B5893" s="0" t="s">
        <v>52</v>
      </c>
      <c r="D5893" s="28" t="n">
        <f aca="false">(Q!$E$29+Q!$E$30-(1-ext_sh)*Sens!$D$5817)/Sens!$D$5775</f>
        <v>0.0334674312393194</v>
      </c>
    </row>
    <row r="5894" customFormat="false" ht="17.15" hidden="false" customHeight="false" outlineLevel="0" collapsed="false">
      <c r="A5894" s="0" t="s">
        <v>498</v>
      </c>
      <c r="B5894" s="0" t="s">
        <v>73</v>
      </c>
      <c r="C5894" s="38" t="n">
        <f aca="false">Q!$D$29</f>
        <v>14.285</v>
      </c>
      <c r="D5894" s="38" t="n">
        <f aca="false">Q!$E$29</f>
        <v>15.503</v>
      </c>
      <c r="E5894" s="38" t="n">
        <f aca="false">Q!$P$29</f>
        <v>8.78</v>
      </c>
      <c r="F5894" s="38" t="n">
        <f aca="false">(Sens!$D$5893*Sens!$F$5775+(1-ext_sh)*Sens!$F$5817)*Sens!$F$5776</f>
        <v>9.51361751569285</v>
      </c>
      <c r="G5894" s="38" t="n">
        <f aca="false">Sens!$E$5894+Sens!$F$5894</f>
        <v>18.2936175156929</v>
      </c>
      <c r="H5894" s="38" t="n">
        <f aca="false">(Sens!$D$5893*Sens!$H$5775+(1-ext_sh)*Sens!$H$5817)*Sens!$H$5776</f>
        <v>22.7653661801943</v>
      </c>
      <c r="I5894" s="38" t="n">
        <f aca="false">(Sens!$D$5893*Sens!$I$5775+(1-ext_sh)*Sens!$I$5817)*Sens!$I$5776</f>
        <v>28.4281317305062</v>
      </c>
      <c r="J5894" s="38" t="n">
        <f aca="false">(Sens!$D$5893*Sens!$J$5775+(1-ext_sh)*Sens!$J$5817)*Sens!$J$5776</f>
        <v>34.1182922009732</v>
      </c>
      <c r="K5894" s="38" t="n">
        <f aca="false">(Sens!$D$5893*Sens!$K$5775+(1-ext_sh)*Sens!$K$5817)*Sens!$K$5776</f>
        <v>39.7237727987046</v>
      </c>
      <c r="L5894" s="38" t="n">
        <f aca="false">(Sens!$D$5893*Sens!$L$5775+(1-ext_sh)*Sens!$L$5817)*Sens!$L$5776</f>
        <v>45.1313127180263</v>
      </c>
      <c r="M5894" s="38" t="n">
        <f aca="false">(Sens!$D$5893*Sens!$M$5775+(1-ext_sh)*Sens!$M$5817)*Sens!$M$5776</f>
        <v>50.743940615442</v>
      </c>
      <c r="N5894" s="38" t="n">
        <f aca="false">Q!$N$29</f>
        <v>7.272</v>
      </c>
      <c r="O5894" s="38" t="n">
        <f aca="false">Q!$O$29</f>
        <v>8.231</v>
      </c>
    </row>
    <row r="5895" customFormat="false" ht="17.15" hidden="false" customHeight="false" outlineLevel="0" collapsed="false">
      <c r="A5895" s="0" t="s">
        <v>500</v>
      </c>
      <c r="B5895" s="0" t="s">
        <v>73</v>
      </c>
      <c r="C5895" s="38" t="n">
        <f aca="false">Q!$D$30</f>
        <v>4.462</v>
      </c>
      <c r="D5895" s="38" t="n">
        <f aca="false">Q!$E$30</f>
        <v>4.907</v>
      </c>
      <c r="E5895" s="38" t="n">
        <f aca="false">Q!$P$30</f>
        <v>2.57</v>
      </c>
      <c r="F5895" s="38" t="n">
        <f aca="false">(Sens!$D$5893*Sens!$F$5775+(1-ext_sh)*Sens!$F$5817)*(1-Sens!$F$5776)</f>
        <v>3.7353230631574</v>
      </c>
      <c r="G5895" s="38" t="n">
        <f aca="false">Sens!$E$5895+Sens!$F$5895</f>
        <v>6.3053230631574</v>
      </c>
      <c r="H5895" s="38" t="n">
        <f aca="false">(Sens!$D$5893*Sens!$H$5775+(1-ext_sh)*Sens!$H$5817)*(1-Sens!$H$5776)</f>
        <v>8.72254636724805</v>
      </c>
      <c r="I5895" s="38" t="n">
        <f aca="false">(Sens!$D$5893*Sens!$I$5775+(1-ext_sh)*Sens!$I$5817)*(1-Sens!$I$5776)</f>
        <v>10.8922340713019</v>
      </c>
      <c r="J5895" s="38" t="n">
        <f aca="false">(Sens!$D$5893*Sens!$J$5775+(1-ext_sh)*Sens!$J$5817)*(1-Sens!$J$5776)</f>
        <v>13.0724181345791</v>
      </c>
      <c r="K5895" s="38" t="n">
        <f aca="false">(Sens!$D$5893*Sens!$K$5775+(1-ext_sh)*Sens!$K$5817)*(1-Sens!$K$5776)</f>
        <v>15.2201571183236</v>
      </c>
      <c r="L5895" s="38" t="n">
        <f aca="false">(Sens!$D$5893*Sens!$L$5775+(1-ext_sh)*Sens!$L$5817)*(1-Sens!$L$5776)</f>
        <v>17.2920551631732</v>
      </c>
      <c r="M5895" s="38" t="n">
        <f aca="false">(Sens!$D$5893*Sens!$M$5775+(1-ext_sh)*Sens!$M$5817)*(1-Sens!$M$5776)</f>
        <v>19.4425326336348</v>
      </c>
      <c r="N5895" s="38" t="n">
        <f aca="false">Q!$N$30</f>
        <v>2.316</v>
      </c>
      <c r="O5895" s="38" t="n">
        <f aca="false">Q!$O$30</f>
        <v>2.591</v>
      </c>
    </row>
    <row r="5896" customFormat="false" ht="17.15" hidden="false" customHeight="false" outlineLevel="0" collapsed="false">
      <c r="A5896" s="0" t="s">
        <v>501</v>
      </c>
      <c r="B5896" s="0" t="s">
        <v>73</v>
      </c>
      <c r="C5896" s="38" t="n">
        <f aca="false">Sens!$C$5829</f>
        <v>13.32</v>
      </c>
      <c r="D5896" s="38" t="n">
        <f aca="false">Sens!$D$5829</f>
        <v>21.45</v>
      </c>
      <c r="E5896" s="38" t="n">
        <f aca="false">Sens!$E$5829</f>
        <v>15.353</v>
      </c>
      <c r="F5896" s="38" t="n">
        <f aca="false">Sens!$F$5829</f>
        <v>17.3614451462707</v>
      </c>
      <c r="G5896" s="38" t="n">
        <f aca="false">Sens!$G$5829</f>
        <v>32.7144451462707</v>
      </c>
      <c r="H5896" s="38" t="n">
        <f aca="false">Sens!$H$5829</f>
        <v>56.1966092719415</v>
      </c>
      <c r="I5896" s="38" t="n">
        <f aca="false">Sens!$I$5829</f>
        <v>82.9744039068297</v>
      </c>
      <c r="J5896" s="38" t="n">
        <f aca="false">Sens!$J$5829</f>
        <v>109.943252237669</v>
      </c>
      <c r="K5896" s="38" t="n">
        <f aca="false">Sens!$K$5829</f>
        <v>136.406703436571</v>
      </c>
      <c r="L5896" s="38" t="n">
        <f aca="false">Sens!$L$5829</f>
        <v>161.485870454155</v>
      </c>
      <c r="M5896" s="38" t="n">
        <f aca="false">Sens!$M$5829</f>
        <v>187.389846618199</v>
      </c>
      <c r="N5896" s="38" t="n">
        <f aca="false">Sens!$N$5829</f>
        <v>9.234</v>
      </c>
      <c r="O5896" s="38" t="n">
        <f aca="false">Sens!$O$5829</f>
        <v>12.216</v>
      </c>
    </row>
    <row r="5897" customFormat="false" ht="17.15" hidden="false" customHeight="false" outlineLevel="0" collapsed="false">
      <c r="A5897" s="5" t="s">
        <v>694</v>
      </c>
      <c r="B5897" s="0" t="s">
        <v>73</v>
      </c>
      <c r="C5897" s="38" t="n">
        <f aca="false">Sens!$C$5894+Sens!$C$5895+Sens!$C$5896</f>
        <v>32.067</v>
      </c>
      <c r="D5897" s="38" t="n">
        <f aca="false">Sens!$D$5894+Sens!$D$5895+Sens!$D$5896</f>
        <v>41.86</v>
      </c>
      <c r="E5897" s="38" t="n">
        <f aca="false">Sens!$E$5894+Sens!$E$5895+Sens!$E$5896</f>
        <v>26.703</v>
      </c>
      <c r="F5897" s="38" t="n">
        <f aca="false">Sens!$F$5894+Sens!$F$5895+Sens!$F$5896</f>
        <v>30.6103857251209</v>
      </c>
      <c r="G5897" s="38" t="n">
        <f aca="false">Sens!$G$5894+Sens!$G$5895+Sens!$G$5896</f>
        <v>57.3133857251209</v>
      </c>
      <c r="H5897" s="38" t="n">
        <f aca="false">Sens!$H$5894+Sens!$H$5895+Sens!$H$5896</f>
        <v>87.6845218193838</v>
      </c>
      <c r="I5897" s="38" t="n">
        <f aca="false">Sens!$I$5894+Sens!$I$5895+Sens!$I$5896</f>
        <v>122.294769708638</v>
      </c>
      <c r="J5897" s="38" t="n">
        <f aca="false">Sens!$J$5894+Sens!$J$5895+Sens!$J$5896</f>
        <v>157.133962573221</v>
      </c>
      <c r="K5897" s="38" t="n">
        <f aca="false">Sens!$K$5894+Sens!$K$5895+Sens!$K$5896</f>
        <v>191.350633353599</v>
      </c>
      <c r="L5897" s="38" t="n">
        <f aca="false">Sens!$L$5894+Sens!$L$5895+Sens!$L$5896</f>
        <v>223.909238335354</v>
      </c>
      <c r="M5897" s="38" t="n">
        <f aca="false">Sens!$M$5894+Sens!$M$5895+Sens!$M$5896</f>
        <v>257.576319867276</v>
      </c>
      <c r="N5897" s="38" t="n">
        <f aca="false">Sens!$N$5894+Sens!$N$5895+Sens!$N$5896</f>
        <v>18.822</v>
      </c>
      <c r="O5897" s="38" t="n">
        <f aca="false">Sens!$O$5894+Sens!$O$5895+Sens!$O$5896</f>
        <v>23.038</v>
      </c>
    </row>
    <row r="5898" customFormat="false" ht="17.15" hidden="false" customHeight="false" outlineLevel="0" collapsed="false">
      <c r="A5898" s="0" t="s">
        <v>695</v>
      </c>
      <c r="B5898" s="0" t="s">
        <v>73</v>
      </c>
      <c r="C5898" s="38" t="n">
        <f aca="false">Sens!$C$5871+Sens!$C$5876</f>
        <v>28.107</v>
      </c>
      <c r="D5898" s="38" t="n">
        <f aca="false">Sens!$D$5871+Sens!$D$5876</f>
        <v>34.3175</v>
      </c>
      <c r="E5898" s="38" t="n">
        <f aca="false">Sens!$E$5871+Sens!$E$5876</f>
        <v>18.526</v>
      </c>
      <c r="F5898" s="38" t="n">
        <f aca="false">Sens!$F$5871+Sens!$F$5876</f>
        <v>24.0766690913691</v>
      </c>
      <c r="G5898" s="38" t="n">
        <f aca="false">Sens!$G$5871+Sens!$G$5876</f>
        <v>42.6026690913691</v>
      </c>
      <c r="H5898" s="38" t="n">
        <f aca="false">Sens!$H$5871+Sens!$H$5876</f>
        <v>51.1466809294702</v>
      </c>
      <c r="I5898" s="38" t="n">
        <f aca="false">Sens!$I$5871+Sens!$I$5876</f>
        <v>59.6899187926205</v>
      </c>
      <c r="J5898" s="38" t="n">
        <f aca="false">Sens!$J$5871+Sens!$J$5876</f>
        <v>67.6595395244221</v>
      </c>
      <c r="K5898" s="38" t="n">
        <f aca="false">Sens!$K$5871+Sens!$K$5876</f>
        <v>74.4254934768643</v>
      </c>
      <c r="L5898" s="38" t="n">
        <f aca="false">Sens!$L$5871+Sens!$L$5876</f>
        <v>81.8680428245508</v>
      </c>
      <c r="M5898" s="38" t="n">
        <f aca="false">Sens!$M$5871+Sens!$M$5876</f>
        <v>90.0548471070059</v>
      </c>
      <c r="N5898" s="38" t="n">
        <f aca="false">Sens!$N$5871+Sens!$N$5876</f>
        <v>14.8075</v>
      </c>
      <c r="O5898" s="38" t="n">
        <f aca="false">Sens!$O$5871+Sens!$O$5876</f>
        <v>19.51</v>
      </c>
    </row>
    <row r="5899" customFormat="false" ht="17.15" hidden="false" customHeight="false" outlineLevel="0" collapsed="false">
      <c r="A5899" s="0" t="s">
        <v>696</v>
      </c>
      <c r="B5899" s="0" t="s">
        <v>73</v>
      </c>
      <c r="C5899" s="38" t="n">
        <f aca="false">Sens!$C$5875+Sens!$C$5880+Sens!$C$5894+Sens!$C$5895-Sens!$C$5898</f>
        <v>19.399</v>
      </c>
      <c r="D5899" s="38" t="n">
        <f aca="false">Sens!$D$5875+Sens!$D$5880+Sens!$D$5894+Sens!$D$5895-Sens!$D$5898</f>
        <v>20.4615</v>
      </c>
      <c r="E5899" s="38" t="n">
        <f aca="false">Sens!$E$5875+Sens!$E$5880+Sens!$E$5894+Sens!$E$5895-Sens!$E$5898</f>
        <v>13.355</v>
      </c>
      <c r="F5899" s="38" t="n">
        <f aca="false">Sens!$F$5875+Sens!$F$5880+Sens!$F$5894+Sens!$F$5895-Sens!$F$5898</f>
        <v>13.0895111975985</v>
      </c>
      <c r="G5899" s="38" t="n">
        <f aca="false">Sens!$G$5875+Sens!$G$5880+Sens!$G$5894+Sens!$G$5895-Sens!$G$5898</f>
        <v>26.4445111975985</v>
      </c>
      <c r="H5899" s="38" t="n">
        <f aca="false">Sens!$H$5875+Sens!$H$5880+Sens!$H$5894+Sens!$H$5895-Sens!$H$5898</f>
        <v>28.8977096937968</v>
      </c>
      <c r="I5899" s="38" t="n">
        <f aca="false">Sens!$I$5875+Sens!$I$5880+Sens!$I$5894+Sens!$I$5895-Sens!$I$5898</f>
        <v>31.2062039064791</v>
      </c>
      <c r="J5899" s="38" t="n">
        <f aca="false">Sens!$J$5875+Sens!$J$5880+Sens!$J$5894+Sens!$J$5895-Sens!$J$5898</f>
        <v>33.5064572496913</v>
      </c>
      <c r="K5899" s="38" t="n">
        <f aca="false">Sens!$K$5875+Sens!$K$5880+Sens!$K$5894+Sens!$K$5895-Sens!$K$5898</f>
        <v>35.6591461575899</v>
      </c>
      <c r="L5899" s="38" t="n">
        <f aca="false">Sens!$L$5875+Sens!$L$5880+Sens!$L$5894+Sens!$L$5895-Sens!$L$5898</f>
        <v>36.4141007090604</v>
      </c>
      <c r="M5899" s="38" t="n">
        <f aca="false">Sens!$M$5875+Sens!$M$5880+Sens!$M$5894+Sens!$M$5895-Sens!$M$5898</f>
        <v>37.359984207839</v>
      </c>
      <c r="N5899" s="38" t="n">
        <f aca="false">Sens!$N$5875+Sens!$N$5880+Sens!$N$5894+Sens!$N$5895-Sens!$N$5898</f>
        <v>10.6495</v>
      </c>
      <c r="O5899" s="38" t="n">
        <f aca="false">Sens!$O$5875+Sens!$O$5880+Sens!$O$5894+Sens!$O$5895-Sens!$O$5898</f>
        <v>9.81200000000001</v>
      </c>
    </row>
    <row r="5900" customFormat="false" ht="17.15" hidden="false" customHeight="false" outlineLevel="0" collapsed="false">
      <c r="A5900" s="0" t="s">
        <v>697</v>
      </c>
      <c r="B5900" s="0" t="s">
        <v>73</v>
      </c>
      <c r="C5900" s="38" t="n">
        <f aca="false">Sens!$C$5882+Sens!$C$5896-ext_sh*Sens!$C$5817</f>
        <v>51.3470500115664</v>
      </c>
      <c r="D5900" s="38" t="n">
        <f aca="false">Sens!$D$5882+Sens!$D$5896-ext_sh*Sens!$D$5817</f>
        <v>60.2799375433739</v>
      </c>
      <c r="E5900" s="38" t="n">
        <f aca="false">Sens!$E$5882+Sens!$E$5896-ext_sh*Sens!$E$5817</f>
        <v>39.5095167090767</v>
      </c>
      <c r="F5900" s="38" t="n">
        <f aca="false">Sens!$F$5882+Sens!$F$5896-ext_sh*Sens!$F$5817</f>
        <v>41.606724953129</v>
      </c>
      <c r="G5900" s="38" t="n">
        <f aca="false">Sens!$G$5882+Sens!$G$5896-ext_sh*Sens!$G$5817</f>
        <v>81.1162416622057</v>
      </c>
      <c r="H5900" s="38" t="n">
        <f aca="false">Sens!$H$5882+Sens!$H$5896-ext_sh*Sens!$H$5817</f>
        <v>95.7616595325849</v>
      </c>
      <c r="I5900" s="38" t="n">
        <f aca="false">Sens!$I$5882+Sens!$I$5896-ext_sh*Sens!$I$5817</f>
        <v>111.513312079935</v>
      </c>
      <c r="J5900" s="38" t="n">
        <f aca="false">Sens!$J$5882+Sens!$J$5896-ext_sh*Sens!$J$5817</f>
        <v>125.145150463955</v>
      </c>
      <c r="K5900" s="38" t="n">
        <f aca="false">Sens!$K$5882+Sens!$K$5896-ext_sh*Sens!$K$5817</f>
        <v>135.156762501071</v>
      </c>
      <c r="L5900" s="38" t="n">
        <f aca="false">Sens!$L$5882+Sens!$L$5896-ext_sh*Sens!$L$5817</f>
        <v>145.969303501157</v>
      </c>
      <c r="M5900" s="38" t="n">
        <f aca="false">Sens!$M$5882+Sens!$M$5896-ext_sh*Sens!$M$5817</f>
        <v>157.646847781249</v>
      </c>
      <c r="N5900" s="38" t="n">
        <f aca="false">Sens!$N$5882+Sens!$N$5896-ext_sh*Sens!$N$5817</f>
        <v>28.5693781401809</v>
      </c>
      <c r="O5900" s="38" t="n">
        <f aca="false">Sens!$O$5882+Sens!$O$5896-ext_sh*Sens!$O$5817</f>
        <v>31.7105594031931</v>
      </c>
    </row>
    <row r="5901" customFormat="false" ht="17.15" hidden="false" customHeight="false" outlineLevel="0" collapsed="false">
      <c r="A5901" s="0" t="s">
        <v>698</v>
      </c>
      <c r="B5901" s="0" t="s">
        <v>73</v>
      </c>
      <c r="C5901" s="38" t="n">
        <f aca="false">Sens!$C$5820</f>
        <v>1.80694998843362</v>
      </c>
      <c r="D5901" s="38" t="n">
        <f aca="false">Sens!$D$5820</f>
        <v>6.77606245662607</v>
      </c>
      <c r="E5901" s="38" t="n">
        <f aca="false">Sens!$E$5820</f>
        <v>6.62548329092326</v>
      </c>
      <c r="F5901" s="38" t="n">
        <f aca="false">Sens!$F$5820</f>
        <v>11.7200577158706</v>
      </c>
      <c r="G5901" s="38" t="n">
        <f aca="false">Sens!$G$5820</f>
        <v>18.3455410067939</v>
      </c>
      <c r="H5901" s="38" t="n">
        <f aca="false">Sens!$H$5820</f>
        <v>47.5171727060453</v>
      </c>
      <c r="I5901" s="38" t="n">
        <f aca="false">Sens!$I$5820</f>
        <v>80.5539692643667</v>
      </c>
      <c r="J5901" s="38" t="n">
        <f aca="false">Sens!$J$5820</f>
        <v>113.759316834883</v>
      </c>
      <c r="K5901" s="38" t="n">
        <f aca="false">Sens!$K$5820</f>
        <v>147.020848076132</v>
      </c>
      <c r="L5901" s="38" t="n">
        <f aca="false">Sens!$L$5820</f>
        <v>180.307917349531</v>
      </c>
      <c r="M5901" s="38" t="n">
        <f aca="false">Sens!$M$5820</f>
        <v>213.608737871012</v>
      </c>
      <c r="N5901" s="38" t="n">
        <f aca="false">Sens!$N$5820</f>
        <v>2.37162185981912</v>
      </c>
      <c r="O5901" s="38" t="n">
        <f aca="false">Sens!$O$5820</f>
        <v>4.40444059680694</v>
      </c>
    </row>
    <row r="5902" customFormat="false" ht="17.15" hidden="false" customHeight="false" outlineLevel="0" collapsed="false">
      <c r="A5902" s="0" t="s">
        <v>699</v>
      </c>
      <c r="B5902" s="0" t="s">
        <v>73</v>
      </c>
      <c r="C5902" s="38" t="n">
        <f aca="false">Sens!$C$5885+Sens!$C$5897</f>
        <v>100.66</v>
      </c>
      <c r="D5902" s="38" t="n">
        <f aca="false">Sens!$D$5885+Sens!$D$5897</f>
        <v>121.835</v>
      </c>
      <c r="E5902" s="38" t="n">
        <f aca="false">Sens!$E$5885+Sens!$E$5897</f>
        <v>78.016</v>
      </c>
      <c r="F5902" s="38" t="n">
        <f aca="false">Sens!$F$5885+Sens!$F$5897</f>
        <v>90.4929629579672</v>
      </c>
      <c r="G5902" s="38" t="n">
        <f aca="false">Sens!$G$5885+Sens!$G$5897</f>
        <v>168.508962957967</v>
      </c>
      <c r="H5902" s="38" t="n">
        <f aca="false">Sens!$H$5885+Sens!$H$5897</f>
        <v>223.323222861897</v>
      </c>
      <c r="I5902" s="38" t="n">
        <f aca="false">Sens!$I$5885+Sens!$I$5897</f>
        <v>282.963404043402</v>
      </c>
      <c r="J5902" s="38" t="n">
        <f aca="false">Sens!$J$5885+Sens!$J$5897</f>
        <v>340.070464072952</v>
      </c>
      <c r="K5902" s="38" t="n">
        <f aca="false">Sens!$K$5885+Sens!$K$5897</f>
        <v>392.262250211657</v>
      </c>
      <c r="L5902" s="38" t="n">
        <f aca="false">Sens!$L$5885+Sens!$L$5897</f>
        <v>444.559364384299</v>
      </c>
      <c r="M5902" s="38" t="n">
        <f aca="false">Sens!$M$5885+Sens!$M$5897</f>
        <v>498.670416967106</v>
      </c>
      <c r="N5902" s="38" t="n">
        <f aca="false">Sens!$N$5885+Sens!$N$5897</f>
        <v>56.398</v>
      </c>
      <c r="O5902" s="38" t="n">
        <f aca="false">Sens!$O$5885+Sens!$O$5897</f>
        <v>65.437</v>
      </c>
    </row>
    <row r="5903" customFormat="false" ht="17.15" hidden="false" customHeight="false" outlineLevel="0" collapsed="false">
      <c r="A5903" s="1" t="s">
        <v>700</v>
      </c>
    </row>
    <row r="5904" customFormat="false" ht="15" hidden="false" customHeight="false" outlineLevel="0" collapsed="false">
      <c r="A5904" s="5" t="s">
        <v>504</v>
      </c>
      <c r="B5904" s="0" t="s">
        <v>73</v>
      </c>
      <c r="C5904" s="38" t="n">
        <f aca="false">Q!$D$34</f>
        <v>2.406</v>
      </c>
      <c r="D5904" s="38" t="n">
        <f aca="false">Q!$E$34</f>
        <v>2.274</v>
      </c>
      <c r="E5904" s="38" t="n">
        <f aca="false">Q!$P$34</f>
        <v>2.114</v>
      </c>
      <c r="F5904" s="38" t="n">
        <f aca="false">Sens!$F$5940</f>
        <v>3.24888964316061</v>
      </c>
      <c r="G5904" s="38" t="n">
        <f aca="false">Sens!$E$5904+Sens!$F$5904</f>
        <v>5.36288964316061</v>
      </c>
      <c r="H5904" s="38" t="n">
        <f aca="false">Sens!$H$5940</f>
        <v>7.42354178632123</v>
      </c>
      <c r="I5904" s="38" t="n">
        <f aca="false">Sens!$I$5940</f>
        <v>7.51827597635917</v>
      </c>
      <c r="J5904" s="38" t="n">
        <f aca="false">Sens!$J$5940</f>
        <v>7.76994062068418</v>
      </c>
      <c r="K5904" s="38" t="n">
        <f aca="false">Sens!$K$5940</f>
        <v>7.76994062068418</v>
      </c>
      <c r="L5904" s="38" t="n">
        <f aca="false">Sens!$L$5940</f>
        <v>7.76994062068418</v>
      </c>
      <c r="M5904" s="38" t="n">
        <f aca="false">Sens!$M$5940</f>
        <v>7.76994062068418</v>
      </c>
      <c r="N5904" s="38" t="n">
        <f aca="false">Q!$N$34</f>
        <v>1.057</v>
      </c>
      <c r="O5904" s="38" t="n">
        <f aca="false">Q!$O$34</f>
        <v>1.217</v>
      </c>
    </row>
    <row r="5905" customFormat="false" ht="15" hidden="false" customHeight="false" outlineLevel="0" collapsed="false">
      <c r="A5905" s="5" t="s">
        <v>701</v>
      </c>
      <c r="B5905" s="0" t="s">
        <v>73</v>
      </c>
      <c r="F5905" s="38" t="n">
        <f aca="false">Sens!$F$5941</f>
        <v>2.59</v>
      </c>
      <c r="H5905" s="38" t="n">
        <f aca="false">Sens!$H$5941</f>
        <v>4.00971603121774</v>
      </c>
      <c r="I5905" s="38" t="n">
        <f aca="false">Sens!$I$5941</f>
        <v>2.10589651022864</v>
      </c>
      <c r="J5905" s="38" t="n">
        <f aca="false">Sens!$J$5941</f>
        <v>2.10589651022864</v>
      </c>
      <c r="K5905" s="38" t="n">
        <f aca="false">Sens!$K$5941</f>
        <v>3.77985822695893</v>
      </c>
      <c r="L5905" s="38" t="n">
        <f aca="false">Sens!$L$5941</f>
        <v>7.24081936505971</v>
      </c>
      <c r="M5905" s="38" t="n">
        <f aca="false">Sens!$M$5941</f>
        <v>11.205150593419</v>
      </c>
    </row>
    <row r="5906" customFormat="false" ht="17.15" hidden="false" customHeight="false" outlineLevel="0" collapsed="false">
      <c r="A5906" s="5" t="s">
        <v>702</v>
      </c>
      <c r="B5906" s="0" t="s">
        <v>73</v>
      </c>
      <c r="C5906" s="38" t="n">
        <f aca="false">Q!$D$39</f>
        <v>2.427</v>
      </c>
      <c r="D5906" s="38" t="n">
        <f aca="false">Q!$E$39</f>
        <v>19.61</v>
      </c>
      <c r="E5906" s="38" t="n">
        <f aca="false">Q!$P$39</f>
        <v>71.492</v>
      </c>
      <c r="F5906" s="41" t="n">
        <v>0</v>
      </c>
      <c r="G5906" s="38" t="n">
        <f aca="false">Sens!$E$5906+Sens!$F$5906</f>
        <v>71.492</v>
      </c>
      <c r="H5906" s="41" t="n">
        <v>0</v>
      </c>
      <c r="I5906" s="41" t="n">
        <v>0</v>
      </c>
      <c r="J5906" s="41" t="n">
        <v>0</v>
      </c>
      <c r="K5906" s="41" t="n">
        <v>0</v>
      </c>
      <c r="L5906" s="41" t="n">
        <v>0</v>
      </c>
      <c r="M5906" s="41" t="n">
        <v>0</v>
      </c>
      <c r="N5906" s="38" t="n">
        <f aca="false">Q!$N$39</f>
        <v>6.017</v>
      </c>
      <c r="O5906" s="38" t="n">
        <f aca="false">Q!$O$39</f>
        <v>13.593</v>
      </c>
      <c r="P5906" s="5" t="s">
        <v>703</v>
      </c>
    </row>
    <row r="5907" customFormat="false" ht="15" hidden="false" customHeight="false" outlineLevel="0" collapsed="false">
      <c r="A5907" s="5" t="s">
        <v>507</v>
      </c>
      <c r="B5907" s="0" t="s">
        <v>73</v>
      </c>
      <c r="C5907" s="38" t="n">
        <f aca="false">Q!$D$36</f>
        <v>68.614</v>
      </c>
      <c r="D5907" s="38" t="n">
        <f aca="false">Q!$E$36</f>
        <v>97.311</v>
      </c>
      <c r="E5907" s="38" t="n">
        <f aca="false">Q!$P$36</f>
        <v>120.691</v>
      </c>
      <c r="F5907" s="38" t="n">
        <f aca="false">Sens!$F$5885-Sens!$F$5904+Sens!$F$5905+Sens!$F$5906</f>
        <v>59.2236875896856</v>
      </c>
      <c r="G5907" s="38" t="n">
        <f aca="false">Sens!$E$5907+Sens!$F$5907</f>
        <v>179.914687589686</v>
      </c>
      <c r="H5907" s="38" t="n">
        <f aca="false">Sens!$H$5885-Sens!$H$5904+Sens!$H$5905+Sens!$H$5906</f>
        <v>132.22487528741</v>
      </c>
      <c r="I5907" s="38" t="n">
        <f aca="false">Sens!$I$5885-Sens!$I$5904+Sens!$I$5905+Sens!$I$5906</f>
        <v>155.256254868633</v>
      </c>
      <c r="J5907" s="38" t="n">
        <f aca="false">Sens!$J$5885-Sens!$J$5904+Sens!$J$5905+Sens!$J$5906</f>
        <v>177.272457389275</v>
      </c>
      <c r="K5907" s="38" t="n">
        <f aca="false">Sens!$K$5885-Sens!$K$5904+Sens!$K$5905+Sens!$K$5906</f>
        <v>196.921534464333</v>
      </c>
      <c r="L5907" s="38" t="n">
        <f aca="false">Sens!$L$5885-Sens!$L$5904+Sens!$L$5905+Sens!$L$5906</f>
        <v>220.12100479332</v>
      </c>
      <c r="M5907" s="38" t="n">
        <f aca="false">Sens!$M$5885-Sens!$M$5904+Sens!$M$5905+Sens!$M$5906</f>
        <v>244.529307072564</v>
      </c>
      <c r="N5907" s="38" t="n">
        <f aca="false">Q!$N$36</f>
        <v>42.536</v>
      </c>
      <c r="O5907" s="38" t="n">
        <f aca="false">Q!$O$36</f>
        <v>54.775</v>
      </c>
    </row>
    <row r="5908" customFormat="false" ht="15" hidden="false" customHeight="false" outlineLevel="0" collapsed="false">
      <c r="A5908" s="5" t="s">
        <v>508</v>
      </c>
      <c r="B5908" s="0" t="s">
        <v>73</v>
      </c>
      <c r="C5908" s="38" t="n">
        <f aca="false">Q!$D$37</f>
        <v>9.265</v>
      </c>
      <c r="D5908" s="38" t="n">
        <f aca="false">Q!$E$37</f>
        <v>19.087</v>
      </c>
      <c r="E5908" s="38" t="n">
        <f aca="false">Q!$P$37</f>
        <v>27.759</v>
      </c>
      <c r="F5908" s="38" t="n">
        <f aca="false">Sens!$F$5907*tax</f>
        <v>10.2803157750071</v>
      </c>
      <c r="G5908" s="38" t="n">
        <f aca="false">Sens!$E$5908+Sens!$F$5908</f>
        <v>38.0393157750071</v>
      </c>
      <c r="H5908" s="38" t="n">
        <f aca="false">Sens!$H$5907*tax</f>
        <v>22.9521923842892</v>
      </c>
      <c r="I5908" s="38" t="n">
        <f aca="false">Sens!$I$5907*tax</f>
        <v>26.9500835063251</v>
      </c>
      <c r="J5908" s="38" t="n">
        <f aca="false">Sens!$J$5907*tax</f>
        <v>30.7717555988633</v>
      </c>
      <c r="K5908" s="38" t="n">
        <f aca="false">Sens!$K$5907*tax</f>
        <v>34.1825313414772</v>
      </c>
      <c r="L5908" s="38" t="n">
        <f aca="false">Sens!$L$5907*tax</f>
        <v>38.209600416393</v>
      </c>
      <c r="M5908" s="38" t="n">
        <f aca="false">Sens!$M$5907*tax</f>
        <v>42.4465040131586</v>
      </c>
      <c r="N5908" s="38" t="n">
        <f aca="false">Q!$N$37</f>
        <v>7.231</v>
      </c>
      <c r="O5908" s="38" t="n">
        <f aca="false">Q!$O$37</f>
        <v>11.856</v>
      </c>
    </row>
    <row r="5909" customFormat="false" ht="15" hidden="false" customHeight="false" outlineLevel="0" collapsed="false">
      <c r="A5909" s="3" t="s">
        <v>509</v>
      </c>
      <c r="B5909" s="8" t="s">
        <v>73</v>
      </c>
      <c r="C5909" s="38" t="n">
        <f aca="false">Q!$D$38</f>
        <v>59.248</v>
      </c>
      <c r="D5909" s="38" t="n">
        <f aca="false">Q!$E$38</f>
        <v>77.67</v>
      </c>
      <c r="E5909" s="38" t="n">
        <f aca="false">Q!$P$38</f>
        <v>92.902</v>
      </c>
      <c r="F5909" s="38" t="n">
        <f aca="false">Sens!$F$5907-Sens!$F$5908</f>
        <v>48.9433718146785</v>
      </c>
      <c r="G5909" s="38" t="n">
        <f aca="false">Sens!$E$5909+Sens!$F$5909</f>
        <v>141.845371814679</v>
      </c>
      <c r="H5909" s="38" t="n">
        <f aca="false">Sens!$H$5907-Sens!$H$5908</f>
        <v>109.272682903121</v>
      </c>
      <c r="I5909" s="38" t="n">
        <f aca="false">Sens!$I$5907-Sens!$I$5908</f>
        <v>128.306171362308</v>
      </c>
      <c r="J5909" s="38" t="n">
        <f aca="false">Sens!$J$5907-Sens!$J$5908</f>
        <v>146.500701790412</v>
      </c>
      <c r="K5909" s="38" t="n">
        <f aca="false">Sens!$K$5907-Sens!$K$5908</f>
        <v>162.739003122855</v>
      </c>
      <c r="L5909" s="38" t="n">
        <f aca="false">Sens!$L$5907-Sens!$L$5908</f>
        <v>181.911404376927</v>
      </c>
      <c r="M5909" s="38" t="n">
        <f aca="false">Sens!$M$5907-Sens!$M$5908</f>
        <v>202.082803059406</v>
      </c>
      <c r="N5909" s="38" t="n">
        <f aca="false">Q!$N$38</f>
        <v>35.291</v>
      </c>
      <c r="O5909" s="38" t="n">
        <f aca="false">Q!$O$38</f>
        <v>42.379</v>
      </c>
    </row>
    <row r="5910" customFormat="false" ht="17.15" hidden="false" customHeight="false" outlineLevel="0" collapsed="false">
      <c r="A5910" s="5" t="s">
        <v>512</v>
      </c>
      <c r="B5910" s="5" t="s">
        <v>33</v>
      </c>
      <c r="C5910" s="22" t="n">
        <f aca="false">Q!$D$41</f>
        <v>10.721</v>
      </c>
      <c r="D5910" s="22" t="n">
        <f aca="false">Q!$E$41</f>
        <v>10.827</v>
      </c>
      <c r="E5910" s="22" t="n">
        <f aca="false">(Q!$L$41+Q!$M$41)/2</f>
        <v>10.8885</v>
      </c>
      <c r="F5910" s="22" t="n">
        <f aca="false">Sens!$G$5910</f>
        <v>10.924806</v>
      </c>
      <c r="G5910" s="22" t="n">
        <f aca="false">Q!$M$41*(1+sh_g*0.25)</f>
        <v>10.924806</v>
      </c>
      <c r="H5910" s="22" t="n">
        <f aca="false">Sens!$G$5910*(1+sh_g)</f>
        <v>11.012204448</v>
      </c>
      <c r="I5910" s="22" t="n">
        <f aca="false">Sens!$H$5910*(1+sh_g)</f>
        <v>11.100302083584</v>
      </c>
      <c r="J5910" s="22" t="n">
        <f aca="false">Sens!$I$5910*(1+sh_g)</f>
        <v>11.1891045002527</v>
      </c>
      <c r="K5910" s="22" t="n">
        <f aca="false">Sens!$J$5910*(1+sh_g)</f>
        <v>11.2786173362547</v>
      </c>
      <c r="L5910" s="22" t="n">
        <f aca="false">Sens!$K$5910*(1+sh_g)</f>
        <v>11.3688462749447</v>
      </c>
      <c r="M5910" s="22" t="n">
        <f aca="false">Sens!$L$5910*(1+sh_g)</f>
        <v>11.4597970451443</v>
      </c>
      <c r="P5910" s="5" t="s">
        <v>704</v>
      </c>
    </row>
    <row r="5911" customFormat="false" ht="17.15" hidden="false" customHeight="false" outlineLevel="0" collapsed="false">
      <c r="A5911" s="42" t="s">
        <v>705</v>
      </c>
      <c r="B5911" s="13" t="s">
        <v>27</v>
      </c>
      <c r="C5911" s="43" t="n">
        <f aca="false">Sens!$C$5909/Sens!$C$5910</f>
        <v>5.52635015390355</v>
      </c>
      <c r="D5911" s="43" t="n">
        <f aca="false">Sens!$D$5909/Sens!$D$5910</f>
        <v>7.1737323358271</v>
      </c>
      <c r="E5911" s="43" t="n">
        <f aca="false">Sens!$E$5909/Sens!$E$5910</f>
        <v>8.53212104513937</v>
      </c>
      <c r="F5911" s="13"/>
      <c r="G5911" s="43" t="n">
        <f aca="false">Sens!$G$5909/Sens!$G$5910</f>
        <v>12.9837886196495</v>
      </c>
      <c r="H5911" s="43" t="n">
        <f aca="false">Sens!$H$5909/Sens!$H$5910</f>
        <v>9.92287088558062</v>
      </c>
      <c r="I5911" s="43" t="n">
        <f aca="false">Sens!$I$5909/Sens!$I$5910</f>
        <v>11.5587999674403</v>
      </c>
      <c r="J5911" s="43" t="n">
        <f aca="false">Sens!$J$5909/Sens!$J$5910</f>
        <v>13.0931569892035</v>
      </c>
      <c r="K5911" s="43" t="n">
        <f aca="false">Sens!$K$5909/Sens!$K$5910</f>
        <v>14.4289852444711</v>
      </c>
      <c r="L5911" s="43" t="n">
        <f aca="false">Sens!$L$5909/Sens!$L$5910</f>
        <v>16.0008676322621</v>
      </c>
      <c r="M5911" s="43" t="n">
        <f aca="false">Sens!$M$5909/Sens!$M$5910</f>
        <v>17.6340647450673</v>
      </c>
      <c r="N5911" s="13"/>
      <c r="O5911" s="13"/>
    </row>
    <row r="5912" customFormat="false" ht="17.15" hidden="false" customHeight="false" outlineLevel="0" collapsed="false">
      <c r="A5912" s="0" t="s">
        <v>706</v>
      </c>
      <c r="B5912" s="0" t="s">
        <v>27</v>
      </c>
      <c r="C5912" s="30" t="n">
        <f aca="false">(Sens!$C$5909-Sens!$C$5906*(1-tax))/Sens!$C$5910</f>
        <v>5.33926775917445</v>
      </c>
      <c r="D5912" s="30" t="n">
        <f aca="false">(Sens!$D$5909-Sens!$D$5906*(1-tax))/Sens!$D$5910</f>
        <v>5.67691812755503</v>
      </c>
      <c r="E5912" s="30" t="n">
        <f aca="false">(Sens!$E$5909-Sens!$E$5906*(1-tax))/Sens!$E$5910</f>
        <v>3.10602057006846</v>
      </c>
      <c r="G5912" s="30" t="n">
        <f aca="false">(Sens!$G$5909-Sens!$G$5906*(1-tax))/Sens!$G$5910</f>
        <v>7.57572050175252</v>
      </c>
      <c r="H5912" s="30" t="n">
        <f aca="false">(Sens!$H$5909-Sens!$H$5906*(1-tax))/Sens!$H$5910</f>
        <v>9.92287088558062</v>
      </c>
      <c r="I5912" s="30" t="n">
        <f aca="false">(Sens!$I$5909-Sens!$I$5906*(1-tax))/Sens!$I$5910</f>
        <v>11.5587999674403</v>
      </c>
      <c r="J5912" s="30" t="n">
        <f aca="false">(Sens!$J$5909-Sens!$J$5906*(1-tax))/Sens!$J$5910</f>
        <v>13.0931569892035</v>
      </c>
      <c r="K5912" s="30" t="n">
        <f aca="false">(Sens!$K$5909-Sens!$K$5906*(1-tax))/Sens!$K$5910</f>
        <v>14.4289852444711</v>
      </c>
      <c r="L5912" s="30" t="n">
        <f aca="false">(Sens!$L$5909-Sens!$L$5906*(1-tax))/Sens!$L$5910</f>
        <v>16.0008676322621</v>
      </c>
      <c r="M5912" s="30" t="n">
        <f aca="false">(Sens!$M$5909-Sens!$M$5906*(1-tax))/Sens!$M$5910</f>
        <v>17.6340647450673</v>
      </c>
      <c r="P5912" s="5" t="s">
        <v>707</v>
      </c>
    </row>
    <row r="5913" customFormat="false" ht="17.15" hidden="false" customHeight="false" outlineLevel="0" collapsed="false">
      <c r="A5913" s="0" t="s">
        <v>708</v>
      </c>
      <c r="B5913" s="0" t="s">
        <v>52</v>
      </c>
      <c r="H5913" s="12" t="n">
        <f aca="false">Sens!$H$5911/Sens!$G$5911-1</f>
        <v>-0.23574919645846</v>
      </c>
      <c r="I5913" s="12" t="n">
        <f aca="false">Sens!$I$5911/Sens!$H$5911-1</f>
        <v>0.164864493423664</v>
      </c>
      <c r="J5913" s="12" t="n">
        <f aca="false">Sens!$J$5911/Sens!$I$5911-1</f>
        <v>0.132743626162345</v>
      </c>
      <c r="K5913" s="12" t="n">
        <f aca="false">Sens!$K$5911/Sens!$J$5911-1</f>
        <v>0.102024917013454</v>
      </c>
      <c r="L5913" s="12" t="n">
        <f aca="false">Sens!$L$5911/Sens!$K$5911-1</f>
        <v>0.108939219297719</v>
      </c>
      <c r="M5913" s="12" t="n">
        <f aca="false">Sens!$M$5911/Sens!$L$5911-1</f>
        <v>0.102069284637555</v>
      </c>
    </row>
    <row r="5916" customFormat="false" ht="19.4" hidden="false" customHeight="false" outlineLevel="0" collapsed="false">
      <c r="A5916" s="31" t="s">
        <v>1171</v>
      </c>
    </row>
    <row r="5917" customFormat="false" ht="17.15" hidden="false" customHeight="false" outlineLevel="0" collapsed="false">
      <c r="A5917" s="6" t="s">
        <v>16</v>
      </c>
      <c r="B5917" s="6" t="s">
        <v>17</v>
      </c>
      <c r="C5917" s="20" t="s">
        <v>457</v>
      </c>
      <c r="D5917" s="20" t="s">
        <v>458</v>
      </c>
      <c r="E5917" s="20" t="s">
        <v>540</v>
      </c>
      <c r="F5917" s="20" t="s">
        <v>541</v>
      </c>
      <c r="G5917" s="20" t="s">
        <v>542</v>
      </c>
      <c r="H5917" s="20" t="s">
        <v>543</v>
      </c>
      <c r="I5917" s="20" t="s">
        <v>544</v>
      </c>
      <c r="J5917" s="20" t="s">
        <v>545</v>
      </c>
      <c r="K5917" s="20" t="s">
        <v>546</v>
      </c>
      <c r="L5917" s="20" t="s">
        <v>547</v>
      </c>
      <c r="M5917" s="20" t="s">
        <v>548</v>
      </c>
      <c r="N5917" s="20" t="s">
        <v>549</v>
      </c>
      <c r="O5917" s="20" t="s">
        <v>550</v>
      </c>
      <c r="P5917" s="6" t="s">
        <v>23</v>
      </c>
      <c r="R5917" s="20" t="n">
        <v>2023</v>
      </c>
      <c r="S5917" s="20" t="n">
        <v>2024</v>
      </c>
      <c r="T5917" s="20" t="n">
        <v>2025</v>
      </c>
      <c r="U5917" s="20" t="n">
        <v>2026</v>
      </c>
      <c r="V5917" s="20" t="n">
        <v>2027</v>
      </c>
      <c r="W5917" s="20" t="n">
        <v>2028</v>
      </c>
      <c r="X5917" s="20" t="n">
        <v>2029</v>
      </c>
      <c r="Y5917" s="20" t="n">
        <v>2030</v>
      </c>
      <c r="Z5917" s="20" t="n">
        <v>2031</v>
      </c>
      <c r="AA5917" s="20" t="n">
        <v>2032</v>
      </c>
    </row>
    <row r="5918" customFormat="false" ht="15" hidden="false" customHeight="false" outlineLevel="0" collapsed="false">
      <c r="A5918" s="5" t="s">
        <v>509</v>
      </c>
      <c r="B5918" s="0" t="s">
        <v>73</v>
      </c>
      <c r="C5918" s="38" t="n">
        <f aca="false">Sens!$C$5909</f>
        <v>59.248</v>
      </c>
      <c r="D5918" s="38" t="n">
        <f aca="false">Sens!$D$5909</f>
        <v>77.67</v>
      </c>
      <c r="E5918" s="38" t="n">
        <f aca="false">Sens!$E$5909</f>
        <v>92.902</v>
      </c>
      <c r="F5918" s="38" t="n">
        <f aca="false">Sens!$F$5909</f>
        <v>48.9433718146785</v>
      </c>
      <c r="G5918" s="38" t="n">
        <f aca="false">Sens!$G$5909</f>
        <v>141.845371814679</v>
      </c>
      <c r="H5918" s="38" t="n">
        <f aca="false">Sens!$H$5909</f>
        <v>109.272682903121</v>
      </c>
      <c r="I5918" s="38" t="n">
        <f aca="false">Sens!$I$5909</f>
        <v>128.306171362308</v>
      </c>
      <c r="J5918" s="38" t="n">
        <f aca="false">Sens!$J$5909</f>
        <v>146.500701790412</v>
      </c>
      <c r="K5918" s="38" t="n">
        <f aca="false">Sens!$K$5909</f>
        <v>162.739003122855</v>
      </c>
      <c r="L5918" s="38" t="n">
        <f aca="false">Sens!$L$5909</f>
        <v>181.911404376927</v>
      </c>
      <c r="M5918" s="38" t="n">
        <f aca="false">Sens!$M$5909</f>
        <v>202.082803059406</v>
      </c>
    </row>
    <row r="5919" customFormat="false" ht="17.15" hidden="false" customHeight="false" outlineLevel="0" collapsed="false">
      <c r="A5919" s="5" t="s">
        <v>730</v>
      </c>
      <c r="B5919" s="0" t="s">
        <v>73</v>
      </c>
      <c r="C5919" s="38" t="n">
        <f aca="false">Sens!$C$5897</f>
        <v>32.067</v>
      </c>
      <c r="D5919" s="38" t="n">
        <f aca="false">Sens!$D$5897</f>
        <v>41.86</v>
      </c>
      <c r="E5919" s="38" t="n">
        <f aca="false">Sens!$E$5897</f>
        <v>26.703</v>
      </c>
      <c r="F5919" s="38" t="n">
        <f aca="false">Sens!$F$5897</f>
        <v>30.6103857251209</v>
      </c>
      <c r="G5919" s="38" t="n">
        <f aca="false">Sens!$G$5897</f>
        <v>57.3133857251209</v>
      </c>
      <c r="H5919" s="38" t="n">
        <f aca="false">Sens!$H$5897</f>
        <v>87.6845218193838</v>
      </c>
      <c r="I5919" s="38" t="n">
        <f aca="false">Sens!$I$5897</f>
        <v>122.294769708638</v>
      </c>
      <c r="J5919" s="38" t="n">
        <f aca="false">Sens!$J$5897</f>
        <v>157.133962573221</v>
      </c>
      <c r="K5919" s="38" t="n">
        <f aca="false">Sens!$K$5897</f>
        <v>191.350633353599</v>
      </c>
      <c r="L5919" s="38" t="n">
        <f aca="false">Sens!$L$5897</f>
        <v>223.909238335354</v>
      </c>
      <c r="M5919" s="38" t="n">
        <f aca="false">Sens!$M$5897</f>
        <v>257.576319867276</v>
      </c>
    </row>
    <row r="5920" customFormat="false" ht="15" hidden="false" customHeight="false" outlineLevel="0" collapsed="false">
      <c r="A5920" s="5" t="s">
        <v>731</v>
      </c>
      <c r="B5920" s="0" t="s">
        <v>73</v>
      </c>
      <c r="C5920" s="38" t="n">
        <f aca="false">Q!$D$48</f>
        <v>22.011</v>
      </c>
      <c r="D5920" s="38" t="n">
        <f aca="false">Q!$E$48</f>
        <v>19.467</v>
      </c>
      <c r="E5920" s="38" t="n">
        <f aca="false">Q!$P$48</f>
        <v>10.07</v>
      </c>
      <c r="F5920" s="38" t="n">
        <f aca="false">sbc_r*Sens!$F$5841</f>
        <v>11.2170714500462</v>
      </c>
      <c r="G5920" s="38" t="n">
        <f aca="false">Sens!$E$5920+Sens!$F$5920</f>
        <v>21.2870714500462</v>
      </c>
      <c r="H5920" s="38" t="n">
        <f aca="false">sbc_r*Sens!$H$5841</f>
        <v>24.1772394325528</v>
      </c>
      <c r="I5920" s="38" t="n">
        <f aca="false">sbc_r*Sens!$I$5841</f>
        <v>27.6495284422397</v>
      </c>
      <c r="J5920" s="38" t="n">
        <f aca="false">sbc_r*Sens!$J$5841</f>
        <v>30.9042211184633</v>
      </c>
      <c r="K5920" s="38" t="n">
        <f aca="false">sbc_r*Sens!$K$5841</f>
        <v>33.8004145402678</v>
      </c>
      <c r="L5920" s="38" t="n">
        <f aca="false">sbc_r*Sens!$L$5841</f>
        <v>36.8322537652494</v>
      </c>
      <c r="M5920" s="38" t="n">
        <f aca="false">sbc_r*Sens!$M$5841</f>
        <v>40.0097627968013</v>
      </c>
    </row>
    <row r="5921" customFormat="false" ht="17.15" hidden="false" customHeight="false" outlineLevel="0" collapsed="false">
      <c r="A5921" s="5" t="s">
        <v>732</v>
      </c>
      <c r="B5921" s="0" t="s">
        <v>73</v>
      </c>
      <c r="C5921" s="38" t="n">
        <f aca="false">Q!$D$44-Sens!$C$5918-Sens!$C$5919-Sens!$C$5920</f>
        <v>2.551</v>
      </c>
      <c r="D5921" s="38" t="n">
        <f aca="false">Q!$E$44-Sens!$D$5918-Sens!$D$5919-Sens!$D$5920</f>
        <v>0.51700000000001</v>
      </c>
      <c r="E5921" s="38" t="n">
        <f aca="false">Q!$P$44-Sens!$E$5918-Sens!$E$5919-Sens!$E$5920</f>
        <v>-58.256</v>
      </c>
      <c r="F5921" s="38" t="n">
        <f aca="false">wc_2h26+oth_r*Sens!$F$5841</f>
        <v>7.34599241893378</v>
      </c>
      <c r="G5921" s="38" t="n">
        <f aca="false">Sens!$E$5921+Sens!$F$5921</f>
        <v>-50.9100075810662</v>
      </c>
      <c r="H5921" s="38" t="n">
        <f aca="false">oth_r*Sens!$H$5841</f>
        <v>11.6369707537667</v>
      </c>
      <c r="I5921" s="38" t="n">
        <f aca="false">oth_r*Sens!$I$5841</f>
        <v>13.3082502961262</v>
      </c>
      <c r="J5921" s="38" t="n">
        <f aca="false">oth_r*Sens!$J$5841</f>
        <v>14.8747965344332</v>
      </c>
      <c r="K5921" s="38" t="n">
        <f aca="false">oth_r*Sens!$K$5841</f>
        <v>16.2687901804328</v>
      </c>
      <c r="L5921" s="38" t="n">
        <f aca="false">oth_r*Sens!$L$5841</f>
        <v>17.7280727627002</v>
      </c>
      <c r="M5921" s="38" t="n">
        <f aca="false">oth_r*Sens!$M$5841</f>
        <v>19.2574690270319</v>
      </c>
      <c r="P5921" s="8" t="s">
        <v>733</v>
      </c>
    </row>
    <row r="5922" customFormat="false" ht="15" hidden="false" customHeight="false" outlineLevel="0" collapsed="false">
      <c r="A5922" s="3" t="s">
        <v>515</v>
      </c>
      <c r="B5922" s="8" t="s">
        <v>73</v>
      </c>
      <c r="C5922" s="38" t="n">
        <f aca="false">Q!$D$44</f>
        <v>115.877</v>
      </c>
      <c r="D5922" s="38" t="n">
        <f aca="false">Q!$E$44</f>
        <v>139.514</v>
      </c>
      <c r="E5922" s="38" t="n">
        <f aca="false">Q!$P$44</f>
        <v>71.419</v>
      </c>
      <c r="F5922" s="38" t="n">
        <f aca="false">Sens!$F$5918+Sens!$F$5919+Sens!$F$5920+Sens!$F$5921</f>
        <v>98.1168214087795</v>
      </c>
      <c r="G5922" s="38" t="n">
        <f aca="false">Sens!$E$5922+Sens!$F$5922</f>
        <v>169.535821408779</v>
      </c>
      <c r="H5922" s="38" t="n">
        <f aca="false">Sens!$H$5918+Sens!$H$5919+Sens!$H$5920+Sens!$H$5921</f>
        <v>232.771414908824</v>
      </c>
      <c r="I5922" s="38" t="n">
        <f aca="false">Sens!$I$5918+Sens!$I$5919+Sens!$I$5920+Sens!$I$5921</f>
        <v>291.558719809312</v>
      </c>
      <c r="J5922" s="38" t="n">
        <f aca="false">Sens!$J$5918+Sens!$J$5919+Sens!$J$5920+Sens!$J$5921</f>
        <v>349.413682016529</v>
      </c>
      <c r="K5922" s="38" t="n">
        <f aca="false">Sens!$K$5918+Sens!$K$5919+Sens!$K$5920+Sens!$K$5921</f>
        <v>404.158841197156</v>
      </c>
      <c r="L5922" s="38" t="n">
        <f aca="false">Sens!$L$5918+Sens!$L$5919+Sens!$L$5920+Sens!$L$5921</f>
        <v>460.380969240231</v>
      </c>
      <c r="M5922" s="38" t="n">
        <f aca="false">Sens!$M$5918+Sens!$M$5919+Sens!$M$5920+Sens!$M$5921</f>
        <v>518.926354750515</v>
      </c>
    </row>
    <row r="5923" customFormat="false" ht="17.15" hidden="false" customHeight="false" outlineLevel="0" collapsed="false">
      <c r="A5923" s="5" t="s">
        <v>734</v>
      </c>
      <c r="B5923" s="0" t="s">
        <v>73</v>
      </c>
      <c r="C5923" s="38" t="n">
        <f aca="false">Sens!$C$5811</f>
        <v>25.2781053077374</v>
      </c>
      <c r="D5923" s="38" t="n">
        <f aca="false">Sens!$D$5811</f>
        <v>69.5686316310026</v>
      </c>
      <c r="E5923" s="38" t="n">
        <f aca="false">Sens!$E$5811</f>
        <v>64.1899206485108</v>
      </c>
      <c r="F5923" s="38" t="n">
        <f aca="false">Sens!$F$5811</f>
        <v>96.2481299895</v>
      </c>
      <c r="G5923" s="38" t="n">
        <f aca="false">Sens!$G$5811</f>
        <v>160.438050638011</v>
      </c>
      <c r="H5923" s="38" t="n">
        <f aca="false">Sens!$H$5811</f>
        <v>198.57136494475</v>
      </c>
      <c r="I5923" s="38" t="n">
        <f aca="false">Sens!$I$5811</f>
        <v>204.6464699105</v>
      </c>
      <c r="J5923" s="38" t="n">
        <f aca="false">Sens!$J$5811</f>
        <v>209.8832381105</v>
      </c>
      <c r="K5923" s="38" t="n">
        <f aca="false">Sens!$K$5811</f>
        <v>215.1200063105</v>
      </c>
      <c r="L5923" s="38" t="n">
        <f aca="false">Sens!$L$5811</f>
        <v>251.7773837105</v>
      </c>
      <c r="M5923" s="38" t="n">
        <f aca="false">Sens!$M$5811</f>
        <v>311.87584476575</v>
      </c>
    </row>
    <row r="5924" customFormat="false" ht="17.15" hidden="false" customHeight="false" outlineLevel="0" collapsed="false">
      <c r="A5924" s="5" t="s">
        <v>735</v>
      </c>
      <c r="B5924" s="0" t="s">
        <v>73</v>
      </c>
      <c r="C5924" s="38" t="n">
        <f aca="false">cx_awso*Sens!$C$5839</f>
        <v>21.0469989286053</v>
      </c>
      <c r="D5924" s="38" t="n">
        <f aca="false">cx_awso*Sens!$D$5839</f>
        <v>24.0042459822698</v>
      </c>
      <c r="E5924" s="38" t="n">
        <f aca="false">cx_awso*Sens!$E$5839</f>
        <v>14.261729404886</v>
      </c>
      <c r="F5924" s="38" t="n">
        <f aca="false">cx_awso*Sens!$F$5839</f>
        <v>15.7190020837331</v>
      </c>
      <c r="G5924" s="38" t="n">
        <f aca="false">Sens!$E$5924+Sens!$F$5924</f>
        <v>29.9807314886191</v>
      </c>
      <c r="H5924" s="38" t="n">
        <f aca="false">cx_awso*Sens!$H$5839</f>
        <v>36.1787121536283</v>
      </c>
      <c r="I5924" s="38" t="n">
        <f aca="false">cx_awso*Sens!$I$5839</f>
        <v>42.1296794430021</v>
      </c>
      <c r="J5924" s="38" t="n">
        <f aca="false">cx_awso*Sens!$J$5839</f>
        <v>47.279781889299</v>
      </c>
      <c r="K5924" s="38" t="n">
        <f aca="false">cx_awso*Sens!$K$5839</f>
        <v>51.0621644404429</v>
      </c>
      <c r="L5924" s="38" t="n">
        <f aca="false">cx_awso*Sens!$L$5839</f>
        <v>55.1471375956783</v>
      </c>
      <c r="M5924" s="38" t="n">
        <f aca="false">cx_awso*Sens!$M$5839</f>
        <v>59.5589086033326</v>
      </c>
    </row>
    <row r="5925" customFormat="false" ht="17.15" hidden="false" customHeight="false" outlineLevel="0" collapsed="false">
      <c r="A5925" s="5" t="s">
        <v>736</v>
      </c>
      <c r="B5925" s="0" t="s">
        <v>73</v>
      </c>
      <c r="C5925" s="38" t="n">
        <f aca="false">Q!$D$46-Sens!$C$5923-Sens!$C$5924</f>
        <v>31.3328957636573</v>
      </c>
      <c r="D5925" s="38" t="n">
        <f aca="false">Q!$E$46-Sens!$D$5923-Sens!$D$5924</f>
        <v>34.7471223867276</v>
      </c>
      <c r="E5925" s="38" t="n">
        <f aca="false">Q!$P$46-Sens!$E$5923-Sens!$E$5924</f>
        <v>17.8583499466032</v>
      </c>
      <c r="F5925" s="38" t="n">
        <f aca="false">cx_rt*Sens!$F$5775</f>
        <v>21.0855744229195</v>
      </c>
      <c r="G5925" s="38" t="n">
        <f aca="false">Sens!$E$5925+Sens!$F$5925</f>
        <v>38.9439243695228</v>
      </c>
      <c r="H5925" s="38" t="n">
        <f aca="false">cx_rt*Sens!$H$5775</f>
        <v>43.1200434029767</v>
      </c>
      <c r="I5925" s="38" t="n">
        <f aca="false">cx_rt*Sens!$I$5775</f>
        <v>47.1583152318763</v>
      </c>
      <c r="J5925" s="38" t="n">
        <f aca="false">cx_rt*Sens!$J$5775</f>
        <v>50.9060281137911</v>
      </c>
      <c r="K5925" s="38" t="n">
        <f aca="false">cx_rt*Sens!$K$5775</f>
        <v>54.2035645673053</v>
      </c>
      <c r="L5925" s="38" t="n">
        <f aca="false">cx_rt*Sens!$L$5775</f>
        <v>57.7318979121519</v>
      </c>
      <c r="M5925" s="38" t="n">
        <f aca="false">cx_rt*Sens!$M$5775</f>
        <v>61.5084196557756</v>
      </c>
    </row>
    <row r="5926" customFormat="false" ht="15" hidden="false" customHeight="false" outlineLevel="0" collapsed="false">
      <c r="A5926" s="3" t="s">
        <v>737</v>
      </c>
      <c r="B5926" s="8" t="s">
        <v>73</v>
      </c>
      <c r="C5926" s="38" t="n">
        <f aca="false">Q!$D$46</f>
        <v>77.658</v>
      </c>
      <c r="D5926" s="38" t="n">
        <f aca="false">Q!$E$46</f>
        <v>128.32</v>
      </c>
      <c r="E5926" s="38" t="n">
        <f aca="false">Q!$P$46</f>
        <v>96.31</v>
      </c>
      <c r="F5926" s="38" t="n">
        <f aca="false">Sens!$F$5923+Sens!$F$5924+Sens!$F$5925</f>
        <v>133.052706496153</v>
      </c>
      <c r="G5926" s="38" t="n">
        <f aca="false">Sens!$E$5926+Sens!$F$5926</f>
        <v>229.362706496153</v>
      </c>
      <c r="H5926" s="38" t="n">
        <f aca="false">Sens!$H$5923+Sens!$H$5924+Sens!$H$5925</f>
        <v>277.870120501355</v>
      </c>
      <c r="I5926" s="38" t="n">
        <f aca="false">Sens!$I$5923+Sens!$I$5924+Sens!$I$5925</f>
        <v>293.934464585378</v>
      </c>
      <c r="J5926" s="38" t="n">
        <f aca="false">Sens!$J$5923+Sens!$J$5924+Sens!$J$5925</f>
        <v>308.06904811359</v>
      </c>
      <c r="K5926" s="38" t="n">
        <f aca="false">Sens!$K$5923+Sens!$K$5924+Sens!$K$5925</f>
        <v>320.385735318248</v>
      </c>
      <c r="L5926" s="38" t="n">
        <f aca="false">Sens!$L$5923+Sens!$L$5924+Sens!$L$5925</f>
        <v>364.65641921833</v>
      </c>
      <c r="M5926" s="38" t="n">
        <f aca="false">Sens!$M$5923+Sens!$M$5924+Sens!$M$5925</f>
        <v>432.943173024858</v>
      </c>
    </row>
    <row r="5927" customFormat="false" ht="17.15" hidden="false" customHeight="false" outlineLevel="0" collapsed="false">
      <c r="A5927" s="5" t="s">
        <v>523</v>
      </c>
      <c r="B5927" s="0" t="s">
        <v>73</v>
      </c>
      <c r="C5927" s="38" t="n">
        <f aca="false">Q!$D$50</f>
        <v>2.043</v>
      </c>
      <c r="D5927" s="38" t="n">
        <f aca="false">Q!$E$50</f>
        <v>1.557</v>
      </c>
      <c r="E5927" s="38" t="n">
        <f aca="false">lease_pr/2</f>
        <v>0.8</v>
      </c>
      <c r="F5927" s="38" t="n">
        <f aca="false">lease_pr/2</f>
        <v>0.8</v>
      </c>
      <c r="G5927" s="38" t="n">
        <f aca="false">Sens!$E$5927+Sens!$F$5927</f>
        <v>1.6</v>
      </c>
      <c r="H5927" s="38" t="n">
        <f aca="false">lease_pr</f>
        <v>1.6</v>
      </c>
      <c r="I5927" s="38" t="n">
        <f aca="false">lease_pr</f>
        <v>1.6</v>
      </c>
      <c r="J5927" s="38" t="n">
        <f aca="false">lease_pr</f>
        <v>1.6</v>
      </c>
      <c r="K5927" s="38" t="n">
        <f aca="false">lease_pr</f>
        <v>1.6</v>
      </c>
      <c r="L5927" s="38" t="n">
        <f aca="false">lease_pr</f>
        <v>1.6</v>
      </c>
      <c r="M5927" s="38" t="n">
        <f aca="false">lease_pr</f>
        <v>1.6</v>
      </c>
      <c r="P5927" s="8" t="s">
        <v>738</v>
      </c>
    </row>
    <row r="5928" customFormat="false" ht="15" hidden="false" customHeight="false" outlineLevel="0" collapsed="false">
      <c r="A5928" s="46" t="s">
        <v>739</v>
      </c>
      <c r="B5928" s="13" t="s">
        <v>73</v>
      </c>
      <c r="C5928" s="47" t="n">
        <f aca="false">Sens!$C$5922-Sens!$C$5926-Sens!$C$5927</f>
        <v>36.176</v>
      </c>
      <c r="D5928" s="47" t="n">
        <f aca="false">Sens!$D$5922-Sens!$D$5926-Sens!$D$5927</f>
        <v>9.63700000000002</v>
      </c>
      <c r="E5928" s="47" t="n">
        <f aca="false">Sens!$E$5922-Sens!$E$5926-Sens!$E$5927</f>
        <v>-25.691</v>
      </c>
      <c r="F5928" s="47" t="n">
        <f aca="false">Sens!$F$5922-Sens!$F$5926-Sens!$F$5927</f>
        <v>-35.7358850873731</v>
      </c>
      <c r="G5928" s="47" t="n">
        <f aca="false">Sens!$G$5922-Sens!$G$5926-Sens!$G$5927</f>
        <v>-61.4268850873731</v>
      </c>
      <c r="H5928" s="47" t="n">
        <f aca="false">Sens!$H$5922-Sens!$H$5926-Sens!$H$5927</f>
        <v>-46.6987055925312</v>
      </c>
      <c r="I5928" s="47" t="n">
        <f aca="false">Sens!$I$5922-Sens!$I$5926-Sens!$I$5927</f>
        <v>-3.97574477606648</v>
      </c>
      <c r="J5928" s="47" t="n">
        <f aca="false">Sens!$J$5922-Sens!$J$5926-Sens!$J$5927</f>
        <v>39.7446339029391</v>
      </c>
      <c r="K5928" s="47" t="n">
        <f aca="false">Sens!$K$5922-Sens!$K$5926-Sens!$K$5927</f>
        <v>82.1731058789073</v>
      </c>
      <c r="L5928" s="47" t="n">
        <f aca="false">Sens!$L$5922-Sens!$L$5926-Sens!$L$5927</f>
        <v>94.1245500219009</v>
      </c>
      <c r="M5928" s="47" t="n">
        <f aca="false">Sens!$M$5922-Sens!$M$5926-Sens!$M$5927</f>
        <v>84.3831817256571</v>
      </c>
      <c r="N5928" s="13"/>
      <c r="O5928" s="13"/>
    </row>
    <row r="5929" customFormat="false" ht="17.15" hidden="false" customHeight="false" outlineLevel="0" collapsed="false">
      <c r="A5929" s="5" t="s">
        <v>740</v>
      </c>
      <c r="B5929" s="0" t="s">
        <v>73</v>
      </c>
      <c r="C5929" s="38" t="n">
        <f aca="false">dps*Sens!$C$5910</f>
        <v>0</v>
      </c>
      <c r="D5929" s="38" t="n">
        <f aca="false">dps*Sens!$D$5910</f>
        <v>0</v>
      </c>
      <c r="E5929" s="38" t="n">
        <f aca="false">dps*Sens!$E$5910</f>
        <v>0</v>
      </c>
      <c r="F5929" s="38" t="n">
        <f aca="false">0</f>
        <v>0</v>
      </c>
      <c r="G5929" s="38" t="n">
        <f aca="false">dps*Sens!$G$5910</f>
        <v>0</v>
      </c>
      <c r="H5929" s="38" t="n">
        <f aca="false">dps*Sens!$H$5910</f>
        <v>0</v>
      </c>
      <c r="I5929" s="38" t="n">
        <f aca="false">dps*Sens!$I$5910</f>
        <v>0</v>
      </c>
      <c r="J5929" s="38" t="n">
        <f aca="false">dps*Sens!$J$5910</f>
        <v>0</v>
      </c>
      <c r="K5929" s="38" t="n">
        <f aca="false">dps*Sens!$K$5910</f>
        <v>0</v>
      </c>
      <c r="L5929" s="38" t="n">
        <f aca="false">dps*Sens!$L$5910</f>
        <v>0</v>
      </c>
      <c r="M5929" s="38" t="n">
        <f aca="false">dps*Sens!$M$5910</f>
        <v>0</v>
      </c>
      <c r="P5929" s="8" t="s">
        <v>741</v>
      </c>
    </row>
    <row r="5930" customFormat="false" ht="17.15" hidden="false" customHeight="false" outlineLevel="0" collapsed="false">
      <c r="A5930" s="5" t="s">
        <v>742</v>
      </c>
      <c r="B5930" s="0" t="s">
        <v>73</v>
      </c>
      <c r="C5930" s="38" t="n">
        <f aca="false">0</f>
        <v>0</v>
      </c>
      <c r="D5930" s="38" t="n">
        <f aca="false">0</f>
        <v>0</v>
      </c>
      <c r="E5930" s="38" t="n">
        <f aca="false">0</f>
        <v>0</v>
      </c>
      <c r="F5930" s="38" t="n">
        <f aca="false">0</f>
        <v>0</v>
      </c>
      <c r="G5930" s="38" t="n">
        <f aca="false">0</f>
        <v>0</v>
      </c>
      <c r="H5930" s="38" t="n">
        <f aca="false">0</f>
        <v>0</v>
      </c>
      <c r="I5930" s="38" t="n">
        <f aca="false">0</f>
        <v>0</v>
      </c>
      <c r="J5930" s="38" t="n">
        <f aca="false">0</f>
        <v>0</v>
      </c>
      <c r="K5930" s="38" t="n">
        <f aca="false">0</f>
        <v>0</v>
      </c>
      <c r="L5930" s="38" t="n">
        <f aca="false">0</f>
        <v>0</v>
      </c>
      <c r="M5930" s="38" t="n">
        <f aca="false">0</f>
        <v>0</v>
      </c>
      <c r="P5930" s="8" t="s">
        <v>743</v>
      </c>
    </row>
    <row r="5931" customFormat="false" ht="15" hidden="false" customHeight="false" outlineLevel="0" collapsed="false">
      <c r="A5931" s="3" t="s">
        <v>744</v>
      </c>
      <c r="B5931" s="8" t="s">
        <v>73</v>
      </c>
      <c r="C5931" s="38" t="n">
        <f aca="false">Sens!$C$5928-Sens!$C$5929</f>
        <v>36.176</v>
      </c>
      <c r="D5931" s="38" t="n">
        <f aca="false">Sens!$D$5928-Sens!$D$5929</f>
        <v>9.63700000000002</v>
      </c>
      <c r="E5931" s="38" t="n">
        <f aca="false">Sens!$E$5928-Sens!$E$5929</f>
        <v>-25.691</v>
      </c>
      <c r="F5931" s="38" t="n">
        <f aca="false">Sens!$F$5928-Sens!$F$5929</f>
        <v>-35.7358850873731</v>
      </c>
      <c r="G5931" s="38" t="n">
        <f aca="false">Sens!$G$5928-Sens!$G$5929</f>
        <v>-61.4268850873731</v>
      </c>
      <c r="H5931" s="38" t="n">
        <f aca="false">Sens!$H$5928-Sens!$H$5929</f>
        <v>-46.6987055925312</v>
      </c>
      <c r="I5931" s="38" t="n">
        <f aca="false">Sens!$I$5928-Sens!$I$5929</f>
        <v>-3.97574477606648</v>
      </c>
      <c r="J5931" s="38" t="n">
        <f aca="false">Sens!$J$5928-Sens!$J$5929</f>
        <v>39.7446339029391</v>
      </c>
      <c r="K5931" s="38" t="n">
        <f aca="false">Sens!$K$5928-Sens!$K$5929</f>
        <v>82.1731058789073</v>
      </c>
      <c r="L5931" s="38" t="n">
        <f aca="false">Sens!$L$5928-Sens!$L$5929</f>
        <v>94.1245500219009</v>
      </c>
      <c r="M5931" s="38" t="n">
        <f aca="false">Sens!$M$5928-Sens!$M$5929</f>
        <v>84.3831817256571</v>
      </c>
    </row>
    <row r="5932" customFormat="false" ht="17.15" hidden="false" customHeight="false" outlineLevel="0" collapsed="false">
      <c r="A5932" s="5" t="s">
        <v>745</v>
      </c>
      <c r="B5932" s="0" t="s">
        <v>73</v>
      </c>
      <c r="E5932" s="38" t="n">
        <f aca="false">Q!$P$53</f>
        <v>39.767</v>
      </c>
      <c r="F5932" s="38" t="n">
        <f aca="false">inv_2h26</f>
        <v>21.3</v>
      </c>
      <c r="G5932" s="38" t="n">
        <f aca="false">Sens!$E$5932+Sens!$F$5932</f>
        <v>61.067</v>
      </c>
      <c r="H5932" s="41" t="n">
        <v>0</v>
      </c>
      <c r="I5932" s="41" t="n">
        <v>0</v>
      </c>
      <c r="J5932" s="41" t="n">
        <v>0</v>
      </c>
      <c r="K5932" s="41" t="n">
        <v>0</v>
      </c>
      <c r="L5932" s="41" t="n">
        <v>0</v>
      </c>
      <c r="M5932" s="41" t="n">
        <v>0</v>
      </c>
    </row>
    <row r="5933" customFormat="false" ht="17.15" hidden="false" customHeight="false" outlineLevel="0" collapsed="false">
      <c r="A5933" s="5" t="s">
        <v>746</v>
      </c>
      <c r="B5933" s="0" t="s">
        <v>73</v>
      </c>
      <c r="F5933" s="38" t="n">
        <f aca="false">iss_2h26</f>
        <v>29.25</v>
      </c>
      <c r="G5933" s="38" t="n">
        <f aca="false">Sens!$F$5933</f>
        <v>29.25</v>
      </c>
      <c r="H5933" s="41" t="n">
        <v>0</v>
      </c>
      <c r="I5933" s="41" t="n">
        <v>0</v>
      </c>
      <c r="J5933" s="41" t="n">
        <v>0</v>
      </c>
      <c r="K5933" s="41" t="n">
        <v>0</v>
      </c>
      <c r="L5933" s="41" t="n">
        <v>0</v>
      </c>
      <c r="M5933" s="41" t="n">
        <v>0</v>
      </c>
    </row>
    <row r="5934" customFormat="false" ht="17.15" hidden="false" customHeight="false" outlineLevel="0" collapsed="false">
      <c r="A5934" s="5" t="s">
        <v>747</v>
      </c>
      <c r="B5934" s="0" t="s">
        <v>73</v>
      </c>
      <c r="F5934" s="38" t="n">
        <f aca="false">cash_q2</f>
        <v>122.988</v>
      </c>
      <c r="G5934" s="38" t="n">
        <f aca="false">cash_q2</f>
        <v>122.988</v>
      </c>
      <c r="H5934" s="38" t="n">
        <f aca="false">Sens!$G$5937</f>
        <v>95.2021149126269</v>
      </c>
      <c r="I5934" s="38" t="n">
        <f aca="false">Sens!$H$5937</f>
        <v>50</v>
      </c>
      <c r="J5934" s="38" t="n">
        <f aca="false">Sens!$I$5937</f>
        <v>50</v>
      </c>
      <c r="K5934" s="38" t="n">
        <f aca="false">Sens!$J$5937</f>
        <v>89.7446339029391</v>
      </c>
      <c r="L5934" s="38" t="n">
        <f aca="false">Sens!$K$5937</f>
        <v>171.917739781846</v>
      </c>
      <c r="M5934" s="38" t="n">
        <f aca="false">Sens!$L$5937</f>
        <v>266.042289803747</v>
      </c>
    </row>
    <row r="5935" customFormat="false" ht="15" hidden="false" customHeight="false" outlineLevel="0" collapsed="false">
      <c r="A5935" s="5" t="s">
        <v>748</v>
      </c>
      <c r="B5935" s="0" t="s">
        <v>73</v>
      </c>
      <c r="F5935" s="38" t="n">
        <f aca="false">Sens!$F$5934+Sens!$F$5931-Sens!$F$5930-Sens!$F$5932+Sens!$F$5933</f>
        <v>95.2021149126269</v>
      </c>
      <c r="H5935" s="38" t="n">
        <f aca="false">Sens!$H$5934+Sens!$H$5931-Sens!$H$5930-Sens!$H$5932+Sens!$H$5933</f>
        <v>48.5034093200957</v>
      </c>
      <c r="I5935" s="38" t="n">
        <f aca="false">Sens!$I$5934+Sens!$I$5931-Sens!$I$5930-Sens!$I$5932+Sens!$I$5933</f>
        <v>46.0242552239335</v>
      </c>
      <c r="J5935" s="38" t="n">
        <f aca="false">Sens!$J$5934+Sens!$J$5931-Sens!$J$5930-Sens!$J$5932+Sens!$J$5933</f>
        <v>89.7446339029391</v>
      </c>
      <c r="K5935" s="38" t="n">
        <f aca="false">Sens!$K$5934+Sens!$K$5931-Sens!$K$5930-Sens!$K$5932+Sens!$K$5933</f>
        <v>171.917739781846</v>
      </c>
      <c r="L5935" s="38" t="n">
        <f aca="false">Sens!$L$5934+Sens!$L$5931-Sens!$L$5930-Sens!$L$5932+Sens!$L$5933</f>
        <v>266.042289803747</v>
      </c>
      <c r="M5935" s="38" t="n">
        <f aca="false">Sens!$M$5934+Sens!$M$5931-Sens!$M$5930-Sens!$M$5932+Sens!$M$5933</f>
        <v>350.425471529404</v>
      </c>
    </row>
    <row r="5936" customFormat="false" ht="17.15" hidden="false" customHeight="false" outlineLevel="0" collapsed="false">
      <c r="A5936" s="5" t="s">
        <v>749</v>
      </c>
      <c r="B5936" s="0" t="s">
        <v>73</v>
      </c>
      <c r="F5936" s="38" t="n">
        <f aca="false">MAX(0,min_cash-Sens!$F$5935)</f>
        <v>0</v>
      </c>
      <c r="G5936" s="38" t="n">
        <f aca="false">Sens!$F$5936</f>
        <v>0</v>
      </c>
      <c r="H5936" s="38" t="n">
        <f aca="false">MAX(0,min_cash-Sens!$H$5935)</f>
        <v>1.49659067990431</v>
      </c>
      <c r="I5936" s="38" t="n">
        <f aca="false">MAX(0,min_cash-Sens!$I$5935)</f>
        <v>3.97574477606648</v>
      </c>
      <c r="J5936" s="38" t="n">
        <f aca="false">MAX(0,min_cash-Sens!$J$5935)</f>
        <v>0</v>
      </c>
      <c r="K5936" s="38" t="n">
        <f aca="false">MAX(0,min_cash-Sens!$K$5935)</f>
        <v>0</v>
      </c>
      <c r="L5936" s="38" t="n">
        <f aca="false">MAX(0,min_cash-Sens!$L$5935)</f>
        <v>0</v>
      </c>
      <c r="M5936" s="38" t="n">
        <f aca="false">MAX(0,min_cash-Sens!$M$5935)</f>
        <v>0</v>
      </c>
      <c r="P5936" s="5" t="s">
        <v>750</v>
      </c>
    </row>
    <row r="5937" customFormat="false" ht="15" hidden="false" customHeight="false" outlineLevel="0" collapsed="false">
      <c r="A5937" s="5" t="s">
        <v>751</v>
      </c>
      <c r="B5937" s="0" t="s">
        <v>73</v>
      </c>
      <c r="D5937" s="38" t="n">
        <f aca="false">Q!$E$61</f>
        <v>123.029</v>
      </c>
      <c r="E5937" s="38" t="n">
        <f aca="false">Q!$M$61</f>
        <v>122.988</v>
      </c>
      <c r="F5937" s="38" t="n">
        <f aca="false">Sens!$F$5935+Sens!$F$5936</f>
        <v>95.2021149126269</v>
      </c>
      <c r="G5937" s="38" t="n">
        <f aca="false">Sens!$F$5937</f>
        <v>95.2021149126269</v>
      </c>
      <c r="H5937" s="38" t="n">
        <f aca="false">Sens!$H$5935+Sens!$H$5936</f>
        <v>50</v>
      </c>
      <c r="I5937" s="38" t="n">
        <f aca="false">Sens!$I$5935+Sens!$I$5936</f>
        <v>50</v>
      </c>
      <c r="J5937" s="38" t="n">
        <f aca="false">Sens!$J$5935+Sens!$J$5936</f>
        <v>89.7446339029391</v>
      </c>
      <c r="K5937" s="38" t="n">
        <f aca="false">Sens!$K$5935+Sens!$K$5936</f>
        <v>171.917739781846</v>
      </c>
      <c r="L5937" s="38" t="n">
        <f aca="false">Sens!$L$5935+Sens!$L$5936</f>
        <v>266.042289803747</v>
      </c>
      <c r="M5937" s="38" t="n">
        <f aca="false">Sens!$M$5935+Sens!$M$5936</f>
        <v>350.425471529404</v>
      </c>
    </row>
    <row r="5938" customFormat="false" ht="15" hidden="false" customHeight="false" outlineLevel="0" collapsed="false">
      <c r="A5938" s="5" t="s">
        <v>752</v>
      </c>
      <c r="B5938" s="0" t="s">
        <v>73</v>
      </c>
      <c r="D5938" s="38" t="n">
        <f aca="false">Q!$E$62</f>
        <v>68.836</v>
      </c>
      <c r="E5938" s="38" t="n">
        <f aca="false">Q!$M$62</f>
        <v>132.995</v>
      </c>
      <c r="F5938" s="38" t="n">
        <f aca="false">debt_q2+Sens!$F$5933+Sens!$F$5936</f>
        <v>162.245</v>
      </c>
      <c r="G5938" s="38" t="n">
        <f aca="false">Sens!$F$5938</f>
        <v>162.245</v>
      </c>
      <c r="H5938" s="38" t="n">
        <f aca="false">Sens!$G$5938+Sens!$H$5936</f>
        <v>163.741590679904</v>
      </c>
      <c r="I5938" s="38" t="n">
        <f aca="false">Sens!$H$5938+Sens!$I$5936</f>
        <v>167.717335455971</v>
      </c>
      <c r="J5938" s="38" t="n">
        <f aca="false">Sens!$I$5938+Sens!$J$5936</f>
        <v>167.717335455971</v>
      </c>
      <c r="K5938" s="38" t="n">
        <f aca="false">Sens!$J$5938+Sens!$K$5936</f>
        <v>167.717335455971</v>
      </c>
      <c r="L5938" s="38" t="n">
        <f aca="false">Sens!$K$5938+Sens!$L$5936</f>
        <v>167.717335455971</v>
      </c>
      <c r="M5938" s="38" t="n">
        <f aca="false">Sens!$L$5938+Sens!$M$5936</f>
        <v>167.717335455971</v>
      </c>
    </row>
    <row r="5939" customFormat="false" ht="15" hidden="false" customHeight="false" outlineLevel="0" collapsed="false">
      <c r="A5939" s="5" t="s">
        <v>753</v>
      </c>
      <c r="B5939" s="0" t="s">
        <v>73</v>
      </c>
      <c r="D5939" s="38" t="n">
        <f aca="false">Sens!$D$5938-Sens!$D$5937</f>
        <v>-54.193</v>
      </c>
      <c r="E5939" s="38" t="n">
        <f aca="false">Sens!$E$5938-Sens!$E$5937</f>
        <v>10.007</v>
      </c>
      <c r="F5939" s="38" t="n">
        <f aca="false">Sens!$F$5938-Sens!$F$5937</f>
        <v>67.0428850873731</v>
      </c>
      <c r="G5939" s="38" t="n">
        <f aca="false">Sens!$G$5938-Sens!$G$5937</f>
        <v>67.0428850873731</v>
      </c>
      <c r="H5939" s="38" t="n">
        <f aca="false">Sens!$H$5938-Sens!$H$5937</f>
        <v>113.741590679904</v>
      </c>
      <c r="I5939" s="38" t="n">
        <f aca="false">Sens!$I$5938-Sens!$I$5937</f>
        <v>117.717335455971</v>
      </c>
      <c r="J5939" s="38" t="n">
        <f aca="false">Sens!$J$5938-Sens!$J$5937</f>
        <v>77.9727015530317</v>
      </c>
      <c r="K5939" s="38" t="n">
        <f aca="false">Sens!$K$5938-Sens!$K$5937</f>
        <v>-4.20040432587558</v>
      </c>
      <c r="L5939" s="38" t="n">
        <f aca="false">Sens!$L$5938-Sens!$L$5937</f>
        <v>-98.3249543477765</v>
      </c>
      <c r="M5939" s="38" t="n">
        <f aca="false">Sens!$M$5938-Sens!$M$5937</f>
        <v>-182.708136073434</v>
      </c>
    </row>
    <row r="5940" customFormat="false" ht="17.15" hidden="false" customHeight="false" outlineLevel="0" collapsed="false">
      <c r="A5940" s="5" t="s">
        <v>754</v>
      </c>
      <c r="B5940" s="0" t="s">
        <v>73</v>
      </c>
      <c r="F5940" s="38" t="n">
        <f aca="false">debt_q2*kd_book*0.5+iss_2h26*kd_new*0.25</f>
        <v>3.24888964316061</v>
      </c>
      <c r="H5940" s="38" t="n">
        <f aca="false">debt_q2*kd_book+(Sens!$G$5938-debt_q2)*kd_new</f>
        <v>7.42354178632123</v>
      </c>
      <c r="I5940" s="38" t="n">
        <f aca="false">debt_q2*kd_book+(Sens!$H$5938-debt_q2)*kd_new</f>
        <v>7.51827597635917</v>
      </c>
      <c r="J5940" s="38" t="n">
        <f aca="false">debt_q2*kd_book+(Sens!$I$5938-debt_q2)*kd_new</f>
        <v>7.76994062068418</v>
      </c>
      <c r="K5940" s="38" t="n">
        <f aca="false">debt_q2*kd_book+(Sens!$J$5938-debt_q2)*kd_new</f>
        <v>7.76994062068418</v>
      </c>
      <c r="L5940" s="38" t="n">
        <f aca="false">debt_q2*kd_book+(Sens!$K$5938-debt_q2)*kd_new</f>
        <v>7.76994062068418</v>
      </c>
      <c r="M5940" s="38" t="n">
        <f aca="false">debt_q2*kd_book+(Sens!$L$5938-debt_q2)*kd_new</f>
        <v>7.76994062068418</v>
      </c>
    </row>
    <row r="5941" customFormat="false" ht="17.15" hidden="false" customHeight="false" outlineLevel="0" collapsed="false">
      <c r="A5941" s="5" t="s">
        <v>755</v>
      </c>
      <c r="B5941" s="0" t="s">
        <v>73</v>
      </c>
      <c r="F5941" s="38" t="n">
        <f aca="false">cash_q2*y_cash*0.5</f>
        <v>2.59</v>
      </c>
      <c r="H5941" s="38" t="n">
        <f aca="false">Sens!$G$5937*y_cash</f>
        <v>4.00971603121774</v>
      </c>
      <c r="I5941" s="38" t="n">
        <f aca="false">Sens!$H$5937*y_cash</f>
        <v>2.10589651022864</v>
      </c>
      <c r="J5941" s="38" t="n">
        <f aca="false">Sens!$I$5937*y_cash</f>
        <v>2.10589651022864</v>
      </c>
      <c r="K5941" s="38" t="n">
        <f aca="false">Sens!$J$5937*y_cash</f>
        <v>3.77985822695893</v>
      </c>
      <c r="L5941" s="38" t="n">
        <f aca="false">Sens!$K$5937*y_cash</f>
        <v>7.24081936505971</v>
      </c>
      <c r="M5941" s="38" t="n">
        <f aca="false">Sens!$L$5937*y_cash</f>
        <v>11.205150593419</v>
      </c>
    </row>
    <row r="5942" customFormat="false" ht="17.15" hidden="false" customHeight="false" outlineLevel="0" collapsed="false">
      <c r="A5942" s="46" t="s">
        <v>756</v>
      </c>
      <c r="B5942" s="13" t="s">
        <v>73</v>
      </c>
      <c r="C5942" s="13"/>
      <c r="D5942" s="13"/>
      <c r="E5942" s="13"/>
      <c r="F5942" s="13"/>
      <c r="G5942" s="47" t="n">
        <f aca="false">SUM(Sens!$G$5931:$K$5931)</f>
        <v>9.81640432587554</v>
      </c>
      <c r="H5942" s="13"/>
      <c r="I5942" s="13"/>
      <c r="J5942" s="13"/>
      <c r="K5942" s="13"/>
      <c r="L5942" s="13"/>
      <c r="M5942" s="13"/>
      <c r="N5942" s="13"/>
      <c r="O5942" s="13"/>
    </row>
    <row r="5943" customFormat="false" ht="17.15" hidden="false" customHeight="false" outlineLevel="0" collapsed="false">
      <c r="A5943" s="0" t="s">
        <v>723</v>
      </c>
      <c r="B5943" s="0" t="s">
        <v>73</v>
      </c>
      <c r="G5943" s="38" t="n">
        <f aca="false">SUM(Sens!$G$5936:$K$5936)</f>
        <v>5.47233545597079</v>
      </c>
    </row>
    <row r="5946" customFormat="false" ht="19.4" hidden="false" customHeight="false" outlineLevel="0" collapsed="false">
      <c r="A5946" s="31" t="s">
        <v>1172</v>
      </c>
    </row>
    <row r="5947" customFormat="false" ht="17.15" hidden="false" customHeight="false" outlineLevel="0" collapsed="false">
      <c r="A5947" s="6" t="s">
        <v>16</v>
      </c>
      <c r="B5947" s="6" t="s">
        <v>17</v>
      </c>
      <c r="C5947" s="20" t="s">
        <v>457</v>
      </c>
      <c r="D5947" s="20" t="s">
        <v>458</v>
      </c>
      <c r="E5947" s="20" t="s">
        <v>540</v>
      </c>
      <c r="F5947" s="20" t="s">
        <v>541</v>
      </c>
      <c r="G5947" s="20" t="s">
        <v>542</v>
      </c>
      <c r="H5947" s="20" t="s">
        <v>543</v>
      </c>
      <c r="I5947" s="20" t="s">
        <v>544</v>
      </c>
      <c r="J5947" s="20" t="s">
        <v>545</v>
      </c>
      <c r="K5947" s="20" t="s">
        <v>546</v>
      </c>
      <c r="L5947" s="20" t="s">
        <v>547</v>
      </c>
      <c r="M5947" s="20" t="s">
        <v>548</v>
      </c>
      <c r="N5947" s="20" t="s">
        <v>549</v>
      </c>
      <c r="O5947" s="20" t="s">
        <v>550</v>
      </c>
      <c r="P5947" s="6" t="s">
        <v>23</v>
      </c>
      <c r="R5947" s="20" t="n">
        <v>2023</v>
      </c>
      <c r="S5947" s="20" t="n">
        <v>2024</v>
      </c>
      <c r="T5947" s="20" t="n">
        <v>2025</v>
      </c>
      <c r="U5947" s="20" t="n">
        <v>2026</v>
      </c>
      <c r="V5947" s="20" t="n">
        <v>2027</v>
      </c>
      <c r="W5947" s="20" t="n">
        <v>2028</v>
      </c>
      <c r="X5947" s="20" t="n">
        <v>2029</v>
      </c>
      <c r="Y5947" s="20" t="n">
        <v>2030</v>
      </c>
      <c r="Z5947" s="20" t="n">
        <v>2031</v>
      </c>
      <c r="AA5947" s="20" t="n">
        <v>2032</v>
      </c>
    </row>
    <row r="5948" customFormat="false" ht="17.15" hidden="false" customHeight="false" outlineLevel="0" collapsed="false">
      <c r="A5948" s="1" t="s">
        <v>851</v>
      </c>
    </row>
    <row r="5949" customFormat="false" ht="17.15" hidden="false" customHeight="false" outlineLevel="0" collapsed="false">
      <c r="A5949" s="0" t="s">
        <v>852</v>
      </c>
      <c r="B5949" s="0" t="s">
        <v>73</v>
      </c>
      <c r="H5949" s="38" t="n">
        <f aca="false">Sens!$H$5885*(1-tax)</f>
        <v>112.093921330558</v>
      </c>
      <c r="I5949" s="38" t="n">
        <f aca="false">Sens!$I$5885*(1-tax)</f>
        <v>132.779045500917</v>
      </c>
      <c r="J5949" s="38" t="n">
        <f aca="false">Sens!$J$5885*(1-tax)</f>
        <v>151.181555485193</v>
      </c>
      <c r="K5949" s="38" t="n">
        <f aca="false">Sens!$K$5885*(1-tax)</f>
        <v>166.036468953087</v>
      </c>
      <c r="L5949" s="38" t="n">
        <f aca="false">Sens!$L$5885*(1-tax)</f>
        <v>182.348678369869</v>
      </c>
      <c r="M5949" s="38" t="n">
        <f aca="false">Sens!$M$5885*(1-tax)</f>
        <v>199.243892383632</v>
      </c>
    </row>
    <row r="5950" customFormat="false" ht="15" hidden="false" customHeight="false" outlineLevel="0" collapsed="false">
      <c r="A5950" s="5" t="s">
        <v>853</v>
      </c>
      <c r="B5950" s="0" t="s">
        <v>73</v>
      </c>
      <c r="H5950" s="38" t="n">
        <f aca="false">Sens!$H$5897</f>
        <v>87.6845218193838</v>
      </c>
      <c r="I5950" s="38" t="n">
        <f aca="false">Sens!$I$5897</f>
        <v>122.294769708638</v>
      </c>
      <c r="J5950" s="38" t="n">
        <f aca="false">Sens!$J$5897</f>
        <v>157.133962573221</v>
      </c>
      <c r="K5950" s="38" t="n">
        <f aca="false">Sens!$K$5897</f>
        <v>191.350633353599</v>
      </c>
      <c r="L5950" s="38" t="n">
        <f aca="false">Sens!$L$5897</f>
        <v>223.909238335354</v>
      </c>
      <c r="M5950" s="38" t="n">
        <f aca="false">Sens!$M$5897</f>
        <v>257.576319867276</v>
      </c>
    </row>
    <row r="5951" customFormat="false" ht="15" hidden="false" customHeight="false" outlineLevel="0" collapsed="false">
      <c r="A5951" s="5" t="s">
        <v>854</v>
      </c>
      <c r="B5951" s="0" t="s">
        <v>73</v>
      </c>
      <c r="H5951" s="38" t="n">
        <f aca="false">Sens!$H$5926</f>
        <v>277.870120501355</v>
      </c>
      <c r="I5951" s="38" t="n">
        <f aca="false">Sens!$I$5926</f>
        <v>293.934464585378</v>
      </c>
      <c r="J5951" s="38" t="n">
        <f aca="false">Sens!$J$5926</f>
        <v>308.06904811359</v>
      </c>
      <c r="K5951" s="38" t="n">
        <f aca="false">Sens!$K$5926</f>
        <v>320.385735318248</v>
      </c>
      <c r="L5951" s="38" t="n">
        <f aca="false">Sens!$L$5926</f>
        <v>364.65641921833</v>
      </c>
      <c r="M5951" s="38" t="n">
        <f aca="false">Sens!$M$5926</f>
        <v>432.943173024858</v>
      </c>
    </row>
    <row r="5952" customFormat="false" ht="15" hidden="false" customHeight="false" outlineLevel="0" collapsed="false">
      <c r="A5952" s="5" t="s">
        <v>855</v>
      </c>
      <c r="B5952" s="0" t="s">
        <v>73</v>
      </c>
      <c r="H5952" s="38" t="n">
        <f aca="false">Sens!$H$5927</f>
        <v>1.6</v>
      </c>
      <c r="I5952" s="38" t="n">
        <f aca="false">Sens!$I$5927</f>
        <v>1.6</v>
      </c>
      <c r="J5952" s="38" t="n">
        <f aca="false">Sens!$J$5927</f>
        <v>1.6</v>
      </c>
      <c r="K5952" s="38" t="n">
        <f aca="false">Sens!$K$5927</f>
        <v>1.6</v>
      </c>
      <c r="L5952" s="38" t="n">
        <f aca="false">Sens!$L$5927</f>
        <v>1.6</v>
      </c>
      <c r="M5952" s="38" t="n">
        <f aca="false">Sens!$M$5927</f>
        <v>1.6</v>
      </c>
    </row>
    <row r="5953" customFormat="false" ht="15" hidden="false" customHeight="false" outlineLevel="0" collapsed="false">
      <c r="A5953" s="5" t="s">
        <v>856</v>
      </c>
      <c r="B5953" s="0" t="s">
        <v>73</v>
      </c>
      <c r="H5953" s="38" t="n">
        <f aca="false">Sens!$H$5921</f>
        <v>11.6369707537667</v>
      </c>
      <c r="I5953" s="38" t="n">
        <f aca="false">Sens!$I$5921</f>
        <v>13.3082502961262</v>
      </c>
      <c r="J5953" s="38" t="n">
        <f aca="false">Sens!$J$5921</f>
        <v>14.8747965344332</v>
      </c>
      <c r="K5953" s="38" t="n">
        <f aca="false">Sens!$K$5921</f>
        <v>16.2687901804328</v>
      </c>
      <c r="L5953" s="38" t="n">
        <f aca="false">Sens!$L$5921</f>
        <v>17.7280727627002</v>
      </c>
      <c r="M5953" s="38" t="n">
        <f aca="false">Sens!$M$5921</f>
        <v>19.2574690270319</v>
      </c>
    </row>
    <row r="5954" customFormat="false" ht="17.15" hidden="false" customHeight="false" outlineLevel="0" collapsed="false">
      <c r="A5954" s="1" t="s">
        <v>857</v>
      </c>
      <c r="B5954" s="8" t="s">
        <v>73</v>
      </c>
      <c r="H5954" s="38" t="n">
        <f aca="false">Sens!$H$5949+Sens!$H$5950-Sens!$H$5951-Sens!$H$5952+Sens!$H$5953</f>
        <v>-68.0547065976468</v>
      </c>
      <c r="I5954" s="38" t="n">
        <f aca="false">Sens!$I$5949+Sens!$I$5950-Sens!$I$5951-Sens!$I$5952+Sens!$I$5953</f>
        <v>-27.1523990796972</v>
      </c>
      <c r="J5954" s="38" t="n">
        <f aca="false">Sens!$J$5949+Sens!$J$5950-Sens!$J$5951-Sens!$J$5952+Sens!$J$5953</f>
        <v>13.5212664792573</v>
      </c>
      <c r="K5954" s="38" t="n">
        <f aca="false">Sens!$K$5949+Sens!$K$5950-Sens!$K$5951-Sens!$K$5952+Sens!$K$5953</f>
        <v>51.6701571688709</v>
      </c>
      <c r="L5954" s="38" t="n">
        <f aca="false">Sens!$L$5949+Sens!$L$5950-Sens!$L$5951-Sens!$L$5952+Sens!$L$5953</f>
        <v>57.7295702495933</v>
      </c>
      <c r="M5954" s="38" t="n">
        <f aca="false">Sens!$M$5949+Sens!$M$5950-Sens!$M$5951-Sens!$M$5952+Sens!$M$5953</f>
        <v>41.534508253082</v>
      </c>
    </row>
    <row r="5955" customFormat="false" ht="15" hidden="false" customHeight="false" outlineLevel="0" collapsed="false">
      <c r="A5955" s="5" t="s">
        <v>858</v>
      </c>
      <c r="B5955" s="0" t="s">
        <v>57</v>
      </c>
      <c r="H5955" s="51" t="n">
        <f aca="false">1/(1+wacc)^(2027-2026-0.5)</f>
        <v>0.942858177653364</v>
      </c>
      <c r="I5955" s="51" t="n">
        <f aca="false">1/(1+wacc)^(2028-2026-0.5)</f>
        <v>0.838183517758688</v>
      </c>
      <c r="J5955" s="51" t="n">
        <f aca="false">1/(1+wacc)^(2029-2026-0.5)</f>
        <v>0.745129677074952</v>
      </c>
      <c r="K5955" s="51" t="n">
        <f aca="false">1/(1+wacc)^(2030-2026-0.5)</f>
        <v>0.662406530186232</v>
      </c>
      <c r="L5955" s="51" t="n">
        <f aca="false">1/(1+wacc)^(2031-2026-0.5)</f>
        <v>0.588867179409399</v>
      </c>
      <c r="M5955" s="51" t="n">
        <f aca="false">1/(1+wacc)^(2032-2026-0.5)</f>
        <v>0.52349205387225</v>
      </c>
    </row>
    <row r="5956" customFormat="false" ht="15" hidden="false" customHeight="false" outlineLevel="0" collapsed="false">
      <c r="A5956" s="5" t="s">
        <v>859</v>
      </c>
      <c r="B5956" s="0" t="s">
        <v>73</v>
      </c>
      <c r="H5956" s="38" t="n">
        <f aca="false">Sens!$H$5954*Sens!$H$5955</f>
        <v>-64.1659366433916</v>
      </c>
      <c r="I5956" s="38" t="n">
        <f aca="false">Sens!$I$5954*Sens!$I$5955</f>
        <v>-22.7586933762084</v>
      </c>
      <c r="J5956" s="38" t="n">
        <f aca="false">Sens!$J$5954*Sens!$J$5955</f>
        <v>10.0750969253334</v>
      </c>
      <c r="K5956" s="38" t="n">
        <f aca="false">Sens!$K$5954*Sens!$K$5955</f>
        <v>34.226649524409</v>
      </c>
      <c r="L5956" s="38" t="n">
        <f aca="false">Sens!$L$5954*Sens!$L$5955</f>
        <v>33.9950492013948</v>
      </c>
      <c r="M5956" s="38" t="n">
        <f aca="false">Sens!$M$5954*Sens!$M$5955</f>
        <v>21.7429850319798</v>
      </c>
    </row>
    <row r="5957" customFormat="false" ht="15" hidden="false" customHeight="false" outlineLevel="0" collapsed="false">
      <c r="A5957" s="5" t="s">
        <v>860</v>
      </c>
      <c r="B5957" s="0" t="s">
        <v>73</v>
      </c>
      <c r="C5957" s="38" t="n">
        <f aca="false">SUM(Sens!$H$5956:$M$5956)</f>
        <v>13.115150663517</v>
      </c>
    </row>
    <row r="5958" customFormat="false" ht="17.15" hidden="false" customHeight="false" outlineLevel="0" collapsed="false">
      <c r="A5958" s="5" t="s">
        <v>861</v>
      </c>
      <c r="B5958" s="0" t="s">
        <v>73</v>
      </c>
      <c r="C5958" s="38" t="n">
        <f aca="false">Sens!$M$5949*(1+tg)*(1-tg/ronic)/(wacc-tg)</f>
        <v>1643.3111431308</v>
      </c>
    </row>
    <row r="5959" customFormat="false" ht="15" hidden="false" customHeight="false" outlineLevel="0" collapsed="false">
      <c r="A5959" s="5" t="s">
        <v>862</v>
      </c>
      <c r="B5959" s="0" t="s">
        <v>73</v>
      </c>
      <c r="C5959" s="38" t="n">
        <f aca="false">Sens!$C$5958/(1+wacc)^6</f>
        <v>811.103482778908</v>
      </c>
    </row>
    <row r="5960" customFormat="false" ht="17.15" hidden="false" customHeight="false" outlineLevel="0" collapsed="false">
      <c r="A5960" s="5" t="s">
        <v>863</v>
      </c>
      <c r="B5960" s="0" t="s">
        <v>73</v>
      </c>
      <c r="C5960" s="38" t="n">
        <f aca="false">Sens!$C$5957+Sens!$C$5959</f>
        <v>824.218633442425</v>
      </c>
    </row>
    <row r="5961" customFormat="false" ht="17.15" hidden="false" customHeight="false" outlineLevel="0" collapsed="false">
      <c r="A5961" s="5" t="s">
        <v>864</v>
      </c>
      <c r="B5961" s="0" t="s">
        <v>52</v>
      </c>
      <c r="C5961" s="12" t="n">
        <f aca="false">Sens!$C$5959/Sens!$C$5960</f>
        <v>0.984087777039521</v>
      </c>
    </row>
    <row r="5962" customFormat="false" ht="17.15" hidden="false" customHeight="false" outlineLevel="0" collapsed="false">
      <c r="A5962" s="5" t="s">
        <v>865</v>
      </c>
      <c r="B5962" s="0" t="s">
        <v>73</v>
      </c>
      <c r="C5962" s="38" t="n">
        <f aca="false">Sens!$G$5939</f>
        <v>67.0428850873731</v>
      </c>
    </row>
    <row r="5963" customFormat="false" ht="17.15" hidden="false" customHeight="false" outlineLevel="0" collapsed="false">
      <c r="A5963" s="5" t="s">
        <v>866</v>
      </c>
      <c r="B5963" s="0" t="s">
        <v>73</v>
      </c>
      <c r="C5963" s="38" t="n">
        <f aca="false">(ant_val*ant_sh+oai_val*oai_sh)*(1-liq_disc)</f>
        <v>178.944</v>
      </c>
    </row>
    <row r="5964" customFormat="false" ht="15" hidden="false" customHeight="false" outlineLevel="0" collapsed="false">
      <c r="A5964" s="5" t="s">
        <v>867</v>
      </c>
      <c r="B5964" s="0" t="s">
        <v>73</v>
      </c>
      <c r="C5964" s="38" t="n">
        <f aca="false">Sens!$C$5960-Sens!$C$5962+Sens!$C$5963</f>
        <v>936.119748355051</v>
      </c>
    </row>
    <row r="5965" customFormat="false" ht="17.15" hidden="false" customHeight="false" outlineLevel="0" collapsed="false">
      <c r="A5965" s="5" t="s">
        <v>868</v>
      </c>
      <c r="B5965" s="0" t="s">
        <v>27</v>
      </c>
      <c r="C5965" s="30" t="n">
        <f aca="false">Sens!$C$5964/sh_val</f>
        <v>84.8679147624493</v>
      </c>
    </row>
    <row r="5966" customFormat="false" ht="17.15" hidden="false" customHeight="false" outlineLevel="0" collapsed="false">
      <c r="A5966" s="1" t="s">
        <v>869</v>
      </c>
      <c r="B5966" s="8" t="s">
        <v>27</v>
      </c>
      <c r="C5966" s="30" t="n">
        <f aca="false">Sens!$C$5965*(1+ke)^tp_yf</f>
        <v>93.7319373662158</v>
      </c>
    </row>
    <row r="5967" customFormat="false" ht="17.15" hidden="false" customHeight="false" outlineLevel="0" collapsed="false">
      <c r="A5967" s="3" t="s">
        <v>870</v>
      </c>
    </row>
    <row r="5968" customFormat="false" ht="17.15" hidden="false" customHeight="false" outlineLevel="0" collapsed="false">
      <c r="A5968" s="5" t="s">
        <v>871</v>
      </c>
      <c r="B5968" s="0" t="s">
        <v>73</v>
      </c>
      <c r="C5968" s="38" t="n">
        <f aca="false">0.25*Sens!$H$5898+0.75*Sens!$I$5898</f>
        <v>57.5541093268329</v>
      </c>
    </row>
    <row r="5969" customFormat="false" ht="15" hidden="false" customHeight="false" outlineLevel="0" collapsed="false">
      <c r="A5969" s="5" t="s">
        <v>872</v>
      </c>
      <c r="B5969" s="0" t="s">
        <v>57</v>
      </c>
      <c r="C5969" s="30" t="n">
        <f aca="false">m_ads*m_x_hi</f>
        <v>10.932</v>
      </c>
    </row>
    <row r="5970" customFormat="false" ht="17.15" hidden="false" customHeight="false" outlineLevel="0" collapsed="false">
      <c r="A5970" s="5" t="s">
        <v>873</v>
      </c>
      <c r="B5970" s="0" t="s">
        <v>73</v>
      </c>
      <c r="C5970" s="38" t="n">
        <f aca="false">Sens!$C$5968*Sens!$C$5969</f>
        <v>629.181523160937</v>
      </c>
    </row>
    <row r="5971" customFormat="false" ht="17.15" hidden="false" customHeight="false" outlineLevel="0" collapsed="false">
      <c r="A5971" s="5" t="s">
        <v>874</v>
      </c>
      <c r="B5971" s="0" t="s">
        <v>73</v>
      </c>
      <c r="C5971" s="38" t="n">
        <f aca="false">0.25*Sens!$H$5899+0.75*Sens!$I$5899</f>
        <v>30.6290803533085</v>
      </c>
    </row>
    <row r="5972" customFormat="false" ht="15" hidden="false" customHeight="false" outlineLevel="0" collapsed="false">
      <c r="A5972" s="5" t="s">
        <v>875</v>
      </c>
      <c r="B5972" s="0" t="s">
        <v>57</v>
      </c>
      <c r="C5972" s="30" t="n">
        <f aca="false">m_retail*m_x_hi</f>
        <v>21.264</v>
      </c>
    </row>
    <row r="5973" customFormat="false" ht="17.15" hidden="false" customHeight="false" outlineLevel="0" collapsed="false">
      <c r="A5973" s="5" t="s">
        <v>876</v>
      </c>
      <c r="B5973" s="0" t="s">
        <v>73</v>
      </c>
      <c r="C5973" s="38" t="n">
        <f aca="false">Sens!$C$5971*Sens!$C$5972</f>
        <v>651.296764632753</v>
      </c>
    </row>
    <row r="5974" customFormat="false" ht="17.15" hidden="false" customHeight="false" outlineLevel="0" collapsed="false">
      <c r="A5974" s="0" t="s">
        <v>877</v>
      </c>
      <c r="B5974" s="0" t="s">
        <v>73</v>
      </c>
      <c r="C5974" s="38" t="n">
        <f aca="false">0.25*Sens!$H$5900+0.75*Sens!$I$5900</f>
        <v>107.575398943098</v>
      </c>
    </row>
    <row r="5975" customFormat="false" ht="17.15" hidden="false" customHeight="false" outlineLevel="0" collapsed="false">
      <c r="A5975" s="0" t="s">
        <v>878</v>
      </c>
      <c r="B5975" s="0" t="s">
        <v>57</v>
      </c>
      <c r="C5975" s="30" t="n">
        <f aca="false">m_cloud*m_x_hi</f>
        <v>16.584</v>
      </c>
    </row>
    <row r="5976" customFormat="false" ht="17.15" hidden="false" customHeight="false" outlineLevel="0" collapsed="false">
      <c r="A5976" s="0" t="s">
        <v>879</v>
      </c>
      <c r="B5976" s="0" t="s">
        <v>73</v>
      </c>
      <c r="C5976" s="38" t="n">
        <f aca="false">Sens!$C$5974*Sens!$C$5975</f>
        <v>1784.03041607233</v>
      </c>
    </row>
    <row r="5977" customFormat="false" ht="17.15" hidden="false" customHeight="false" outlineLevel="0" collapsed="false">
      <c r="A5977" s="0" t="s">
        <v>880</v>
      </c>
      <c r="B5977" s="0" t="s">
        <v>73</v>
      </c>
      <c r="C5977" s="38" t="n">
        <f aca="false">0.25*Sens!$H$5901+0.75*Sens!$I$5901</f>
        <v>72.2947701247864</v>
      </c>
    </row>
    <row r="5978" customFormat="false" ht="17.15" hidden="false" customHeight="false" outlineLevel="0" collapsed="false">
      <c r="A5978" s="0" t="s">
        <v>881</v>
      </c>
      <c r="B5978" s="0" t="s">
        <v>57</v>
      </c>
      <c r="C5978" s="30" t="n">
        <f aca="false">m_ai</f>
        <v>6</v>
      </c>
    </row>
    <row r="5979" customFormat="false" ht="17.15" hidden="false" customHeight="false" outlineLevel="0" collapsed="false">
      <c r="A5979" s="0" t="s">
        <v>882</v>
      </c>
      <c r="B5979" s="0" t="s">
        <v>73</v>
      </c>
      <c r="C5979" s="38" t="n">
        <f aca="false">Sens!$C$5977*Sens!$C$5978</f>
        <v>433.768620748718</v>
      </c>
    </row>
    <row r="5980" customFormat="false" ht="17.15" hidden="false" customHeight="false" outlineLevel="0" collapsed="false">
      <c r="A5980" s="5" t="s">
        <v>883</v>
      </c>
      <c r="B5980" s="0" t="s">
        <v>73</v>
      </c>
      <c r="C5980" s="38" t="n">
        <f aca="false">Sens!$C$5970+Sens!$C$5973+Sens!$C$5976+Sens!$C$5979</f>
        <v>3498.27732461474</v>
      </c>
    </row>
    <row r="5981" customFormat="false" ht="17.15" hidden="false" customHeight="false" outlineLevel="0" collapsed="false">
      <c r="A5981" s="5" t="s">
        <v>884</v>
      </c>
      <c r="B5981" s="0" t="s">
        <v>73</v>
      </c>
      <c r="C5981" s="38" t="n">
        <f aca="false">Sens!$H$5939</f>
        <v>113.741590679904</v>
      </c>
    </row>
    <row r="5982" customFormat="false" ht="15" hidden="false" customHeight="false" outlineLevel="0" collapsed="false">
      <c r="A5982" s="5" t="s">
        <v>885</v>
      </c>
      <c r="B5982" s="0" t="s">
        <v>73</v>
      </c>
      <c r="C5982" s="38" t="n">
        <f aca="false">Sens!$C$5980-Sens!$C$5981+Sens!$C$5963</f>
        <v>3563.47973393484</v>
      </c>
    </row>
    <row r="5983" customFormat="false" ht="15" hidden="false" customHeight="false" outlineLevel="0" collapsed="false">
      <c r="A5983" s="3" t="s">
        <v>886</v>
      </c>
      <c r="B5983" s="8" t="s">
        <v>27</v>
      </c>
      <c r="C5983" s="30" t="n">
        <f aca="false">Sens!$C$5982/sh_val</f>
        <v>323.062401844121</v>
      </c>
    </row>
    <row r="5984" customFormat="false" ht="17.15" hidden="false" customHeight="false" outlineLevel="0" collapsed="false">
      <c r="A5984" s="46" t="s">
        <v>887</v>
      </c>
      <c r="B5984" s="13" t="s">
        <v>27</v>
      </c>
      <c r="C5984" s="43" t="n">
        <f aca="false">w_dcf*Sens!$C$5966+(1-w_dcf)*Sens!$C$5983</f>
        <v>208.397169605168</v>
      </c>
      <c r="D5984" s="13"/>
      <c r="E5984" s="13"/>
      <c r="F5984" s="13"/>
      <c r="G5984" s="13"/>
      <c r="H5984" s="13"/>
      <c r="I5984" s="13"/>
      <c r="J5984" s="13"/>
      <c r="K5984" s="13"/>
      <c r="L5984" s="13"/>
      <c r="M5984" s="13"/>
      <c r="N5984" s="13"/>
      <c r="O5984" s="13"/>
    </row>
    <row r="5985" customFormat="false" ht="17.15" hidden="false" customHeight="false" outlineLevel="0" collapsed="false">
      <c r="A5985" s="5" t="s">
        <v>888</v>
      </c>
      <c r="B5985" s="0" t="s">
        <v>27</v>
      </c>
      <c r="C5985" s="30" t="n">
        <f aca="false">0.45*Sens!$C$5966+0.55*Sens!$C$5983</f>
        <v>219.863692829064</v>
      </c>
    </row>
    <row r="5988" customFormat="false" ht="19.4" hidden="false" customHeight="false" outlineLevel="0" collapsed="false">
      <c r="A5988" s="31" t="s">
        <v>1173</v>
      </c>
    </row>
    <row r="5989" customFormat="false" ht="17.15" hidden="false" customHeight="false" outlineLevel="0" collapsed="false">
      <c r="A5989" s="6" t="s">
        <v>16</v>
      </c>
      <c r="B5989" s="6" t="s">
        <v>17</v>
      </c>
      <c r="C5989" s="20" t="s">
        <v>457</v>
      </c>
      <c r="D5989" s="20" t="s">
        <v>458</v>
      </c>
      <c r="E5989" s="20" t="s">
        <v>540</v>
      </c>
      <c r="F5989" s="20" t="s">
        <v>541</v>
      </c>
      <c r="G5989" s="20" t="s">
        <v>542</v>
      </c>
      <c r="H5989" s="20" t="s">
        <v>543</v>
      </c>
      <c r="I5989" s="20" t="s">
        <v>544</v>
      </c>
      <c r="J5989" s="20" t="s">
        <v>545</v>
      </c>
      <c r="K5989" s="20" t="s">
        <v>546</v>
      </c>
      <c r="L5989" s="20" t="s">
        <v>547</v>
      </c>
      <c r="M5989" s="20" t="s">
        <v>548</v>
      </c>
      <c r="N5989" s="20" t="s">
        <v>549</v>
      </c>
      <c r="O5989" s="20" t="s">
        <v>550</v>
      </c>
      <c r="P5989" s="6" t="s">
        <v>23</v>
      </c>
      <c r="R5989" s="20" t="n">
        <v>2023</v>
      </c>
      <c r="S5989" s="20" t="n">
        <v>2024</v>
      </c>
      <c r="T5989" s="20" t="n">
        <v>2025</v>
      </c>
      <c r="U5989" s="20" t="n">
        <v>2026</v>
      </c>
      <c r="V5989" s="20" t="n">
        <v>2027</v>
      </c>
      <c r="W5989" s="20" t="n">
        <v>2028</v>
      </c>
      <c r="X5989" s="20" t="n">
        <v>2029</v>
      </c>
      <c r="Y5989" s="20" t="n">
        <v>2030</v>
      </c>
      <c r="Z5989" s="20" t="n">
        <v>2031</v>
      </c>
      <c r="AA5989" s="20" t="n">
        <v>2032</v>
      </c>
    </row>
    <row r="5990" customFormat="false" ht="17.15" hidden="false" customHeight="false" outlineLevel="0" collapsed="false">
      <c r="A5990" s="1" t="s">
        <v>620</v>
      </c>
    </row>
    <row r="5991" customFormat="false" ht="17.15" hidden="false" customHeight="false" outlineLevel="0" collapsed="false">
      <c r="A5991" s="0" t="s">
        <v>479</v>
      </c>
      <c r="B5991" s="0" t="s">
        <v>73</v>
      </c>
      <c r="C5991" s="38" t="n">
        <f aca="false">Q!$D$10</f>
        <v>247.029</v>
      </c>
      <c r="D5991" s="38" t="n">
        <f aca="false">Q!$E$10</f>
        <v>269.287</v>
      </c>
      <c r="E5991" s="38" t="n">
        <f aca="false">Q!$P$10</f>
        <v>134.686</v>
      </c>
      <c r="F5991" s="38" t="n">
        <f aca="false">Sens!$O$5991*(1+Sens!$F$5992)-pd_amt*Q!$O$10/(Q!$O$10+Q!$O$12)</f>
        <v>160.728085930082</v>
      </c>
      <c r="G5991" s="38" t="n">
        <f aca="false">Sens!$E$5991+Sens!$F$5991</f>
        <v>295.414085930082</v>
      </c>
      <c r="H5991" s="38" t="n">
        <f aca="false">Sens!$G$5991*(1+Sens!$H$5992)</f>
        <v>320.828163943375</v>
      </c>
      <c r="I5991" s="38" t="n">
        <f aca="false">Sens!$H$5991*(1+Sens!$I$5992)</f>
        <v>344.575578072228</v>
      </c>
      <c r="J5991" s="38" t="n">
        <f aca="false">Sens!$I$5991*(1+Sens!$J$5992)</f>
        <v>365.942555779681</v>
      </c>
      <c r="K5991" s="38" t="n">
        <f aca="false">Sens!$J$5991*(1+Sens!$K$5992)</f>
        <v>384.239683568665</v>
      </c>
      <c r="L5991" s="38" t="n">
        <f aca="false">Sens!$K$5991*(1+Sens!$L$5992)</f>
        <v>403.451667747098</v>
      </c>
      <c r="M5991" s="38" t="n">
        <f aca="false">Sens!$L$5991*(1+Sens!$M$5992)</f>
        <v>423.624251134453</v>
      </c>
      <c r="N5991" s="38" t="n">
        <f aca="false">Q!$N$10</f>
        <v>118.892</v>
      </c>
      <c r="O5991" s="38" t="n">
        <f aca="false">Q!$O$10</f>
        <v>150.395</v>
      </c>
      <c r="P5991" s="8" t="s">
        <v>621</v>
      </c>
    </row>
    <row r="5992" customFormat="false" ht="17.15" hidden="false" customHeight="false" outlineLevel="0" collapsed="false">
      <c r="A5992" s="0" t="s">
        <v>622</v>
      </c>
      <c r="B5992" s="0" t="s">
        <v>52</v>
      </c>
      <c r="E5992" s="12" t="n">
        <f aca="false">Sens!$E$5991/Sens!$N$5991-1</f>
        <v>0.132843252699929</v>
      </c>
      <c r="F5992" s="12" t="n">
        <f aca="false">Sens!$O$5991/(Q!$F$10+Q!$G$10)-1</f>
        <v>0.0980382135842941</v>
      </c>
      <c r="G5992" s="12" t="n">
        <f aca="false">Sens!$G$5991/Sens!$D$5991-1</f>
        <v>0.0970231980380869</v>
      </c>
      <c r="H5992" s="12" t="n">
        <f aca="false">Sens!$F$5992+(g_os-Sens!$F$5992)*1/4</f>
        <v>0.0860286601882206</v>
      </c>
      <c r="I5992" s="12" t="n">
        <f aca="false">Sens!$F$5992+(g_os-Sens!$F$5992)*2/4</f>
        <v>0.074019106792147</v>
      </c>
      <c r="J5992" s="12" t="n">
        <f aca="false">Sens!$F$5992+(g_os-Sens!$F$5992)*3/4</f>
        <v>0.0620095533960735</v>
      </c>
      <c r="K5992" s="12" t="n">
        <f aca="false">Sens!$F$5992+(g_os-Sens!$F$5992)*4/4</f>
        <v>0.05</v>
      </c>
      <c r="L5992" s="12" t="n">
        <f aca="false">g_os</f>
        <v>0.05</v>
      </c>
      <c r="M5992" s="12" t="n">
        <f aca="false">g_os</f>
        <v>0.05</v>
      </c>
      <c r="P5992" s="8" t="s">
        <v>623</v>
      </c>
    </row>
    <row r="5993" customFormat="false" ht="17.15" hidden="false" customHeight="false" outlineLevel="0" collapsed="false">
      <c r="A5993" s="0" t="s">
        <v>480</v>
      </c>
      <c r="B5993" s="0" t="s">
        <v>73</v>
      </c>
      <c r="C5993" s="38" t="n">
        <f aca="false">Q!$D$11</f>
        <v>21.215</v>
      </c>
      <c r="D5993" s="38" t="n">
        <f aca="false">Q!$E$11</f>
        <v>22.561</v>
      </c>
      <c r="E5993" s="38" t="n">
        <f aca="false">Q!$P$11</f>
        <v>11.579</v>
      </c>
      <c r="F5993" s="38" t="n">
        <f aca="false">Sens!$O$5993*(1+Sens!$F$5994)</f>
        <v>12.0952613121125</v>
      </c>
      <c r="G5993" s="38" t="n">
        <f aca="false">Sens!$E$5993+Sens!$F$5993</f>
        <v>23.6742613121125</v>
      </c>
      <c r="H5993" s="38" t="n">
        <f aca="false">Sens!$G$5993*(1+Sens!$H$5994)</f>
        <v>24.8803243963206</v>
      </c>
      <c r="I5993" s="38" t="n">
        <f aca="false">Sens!$H$5993*(1+Sens!$I$5994)</f>
        <v>25.9741308664154</v>
      </c>
      <c r="J5993" s="38" t="n">
        <f aca="false">Sens!$I$5993*(1+Sens!$J$5994)</f>
        <v>26.9346894124267</v>
      </c>
      <c r="K5993" s="38" t="n">
        <f aca="false">Sens!$J$5993*(1+Sens!$K$5994)</f>
        <v>27.7427300947995</v>
      </c>
      <c r="L5993" s="38" t="n">
        <f aca="false">Sens!$K$5993*(1+Sens!$L$5994)</f>
        <v>28.5750119976435</v>
      </c>
      <c r="M5993" s="38" t="n">
        <f aca="false">Sens!$L$5993*(1+Sens!$M$5994)</f>
        <v>29.4322623575728</v>
      </c>
      <c r="N5993" s="38" t="n">
        <f aca="false">Q!$N$11</f>
        <v>11.128</v>
      </c>
      <c r="O5993" s="38" t="n">
        <f aca="false">Q!$O$11</f>
        <v>11.433</v>
      </c>
      <c r="P5993" s="8" t="s">
        <v>621</v>
      </c>
    </row>
    <row r="5994" customFormat="false" ht="17.15" hidden="false" customHeight="false" outlineLevel="0" collapsed="false">
      <c r="A5994" s="0" t="s">
        <v>624</v>
      </c>
      <c r="B5994" s="0" t="s">
        <v>52</v>
      </c>
      <c r="E5994" s="12" t="n">
        <f aca="false">Sens!$E$5993/Sens!$N$5993-1</f>
        <v>0.0405283968368082</v>
      </c>
      <c r="F5994" s="12" t="n">
        <f aca="false">Sens!$O$5993/(Q!$F$11+Q!$G$11)-1</f>
        <v>0.0579254187100955</v>
      </c>
      <c r="G5994" s="12" t="n">
        <f aca="false">Sens!$G$5993/Sens!$D$5993-1</f>
        <v>0.0493445021103904</v>
      </c>
      <c r="H5994" s="12" t="n">
        <f aca="false">Sens!$F$5994+(g_ps-Sens!$F$5994)*1/4</f>
        <v>0.0509440640325716</v>
      </c>
      <c r="I5994" s="12" t="n">
        <f aca="false">Sens!$F$5994+(g_ps-Sens!$F$5994)*2/4</f>
        <v>0.0439627093550477</v>
      </c>
      <c r="J5994" s="12" t="n">
        <f aca="false">Sens!$F$5994+(g_ps-Sens!$F$5994)*3/4</f>
        <v>0.0369813546775239</v>
      </c>
      <c r="K5994" s="12" t="n">
        <f aca="false">Sens!$F$5994+(g_ps-Sens!$F$5994)*4/4</f>
        <v>0.03</v>
      </c>
      <c r="L5994" s="12" t="n">
        <f aca="false">g_ps</f>
        <v>0.03</v>
      </c>
      <c r="M5994" s="12" t="n">
        <f aca="false">g_ps</f>
        <v>0.03</v>
      </c>
      <c r="P5994" s="8" t="s">
        <v>625</v>
      </c>
    </row>
    <row r="5995" customFormat="false" ht="17.15" hidden="false" customHeight="false" outlineLevel="0" collapsed="false">
      <c r="A5995" s="0" t="s">
        <v>481</v>
      </c>
      <c r="B5995" s="0" t="s">
        <v>73</v>
      </c>
      <c r="C5995" s="38" t="n">
        <f aca="false">Q!$D$12</f>
        <v>156.146</v>
      </c>
      <c r="D5995" s="38" t="n">
        <f aca="false">Q!$E$12</f>
        <v>172.162</v>
      </c>
      <c r="E5995" s="38" t="n">
        <f aca="false">Q!$P$12</f>
        <v>88.358</v>
      </c>
      <c r="F5995" s="38" t="n">
        <f aca="false">Sens!$O$5995*(1+Sens!$F$5996)-pd_amt*Q!$O$12/(Q!$O$10+Q!$O$12)</f>
        <v>103.62028337149</v>
      </c>
      <c r="G5995" s="38" t="n">
        <f aca="false">Sens!$E$5995+Sens!$F$5995</f>
        <v>191.97828337149</v>
      </c>
      <c r="H5995" s="38" t="n">
        <f aca="false">Sens!$G$5995*(1+Sens!$H$5996)</f>
        <v>212.128608444755</v>
      </c>
      <c r="I5995" s="38" t="n">
        <f aca="false">Sens!$H$5995*(1+Sens!$I$5996)</f>
        <v>231.92183134134</v>
      </c>
      <c r="J5995" s="38" t="n">
        <f aca="false">Sens!$I$5995*(1+Sens!$J$5996)</f>
        <v>250.859136487863</v>
      </c>
      <c r="K5995" s="38" t="n">
        <f aca="false">Sens!$J$5995*(1+Sens!$K$5996)</f>
        <v>268.419276042014</v>
      </c>
      <c r="L5995" s="38" t="n">
        <f aca="false">Sens!$K$5995*(1+Sens!$L$5996)</f>
        <v>287.208625364954</v>
      </c>
      <c r="M5995" s="38" t="n">
        <f aca="false">Sens!$L$5995*(1+Sens!$M$5996)</f>
        <v>307.313229140501</v>
      </c>
      <c r="N5995" s="38" t="n">
        <f aca="false">Q!$N$12</f>
        <v>76.86</v>
      </c>
      <c r="O5995" s="38" t="n">
        <f aca="false">Q!$O$12</f>
        <v>95.302</v>
      </c>
      <c r="P5995" s="8" t="s">
        <v>621</v>
      </c>
    </row>
    <row r="5996" customFormat="false" ht="17.15" hidden="false" customHeight="false" outlineLevel="0" collapsed="false">
      <c r="A5996" s="0" t="s">
        <v>626</v>
      </c>
      <c r="B5996" s="0" t="s">
        <v>52</v>
      </c>
      <c r="E5996" s="12" t="n">
        <f aca="false">Sens!$E$5995/Sens!$N$5995-1</f>
        <v>0.1495966692688</v>
      </c>
      <c r="F5996" s="12" t="n">
        <f aca="false">Sens!$O$5995/(Q!$F$12+Q!$G$12)-1</f>
        <v>0.11661530890813</v>
      </c>
      <c r="G5996" s="12" t="n">
        <f aca="false">Sens!$G$5995/Sens!$D$5995-1</f>
        <v>0.115102539303041</v>
      </c>
      <c r="H5996" s="12" t="n">
        <f aca="false">Sens!$F$5996+(g_sp-Sens!$F$5996)*1/4</f>
        <v>0.104961481681098</v>
      </c>
      <c r="I5996" s="12" t="n">
        <f aca="false">Sens!$F$5996+(g_sp-Sens!$F$5996)*2/4</f>
        <v>0.0933076544540651</v>
      </c>
      <c r="J5996" s="12" t="n">
        <f aca="false">Sens!$F$5996+(g_sp-Sens!$F$5996)*3/4</f>
        <v>0.0816538272270325</v>
      </c>
      <c r="K5996" s="12" t="n">
        <f aca="false">Sens!$F$5996+(g_sp-Sens!$F$5996)*4/4</f>
        <v>0.07</v>
      </c>
      <c r="L5996" s="12" t="n">
        <f aca="false">g_sp</f>
        <v>0.07</v>
      </c>
      <c r="M5996" s="12" t="n">
        <f aca="false">g_sp</f>
        <v>0.07</v>
      </c>
      <c r="P5996" s="8" t="s">
        <v>627</v>
      </c>
    </row>
    <row r="5997" customFormat="false" ht="17.15" hidden="false" customHeight="false" outlineLevel="0" collapsed="false">
      <c r="A5997" s="0" t="s">
        <v>482</v>
      </c>
      <c r="B5997" s="0" t="s">
        <v>73</v>
      </c>
      <c r="C5997" s="38" t="n">
        <f aca="false">Q!$D$13</f>
        <v>56.214</v>
      </c>
      <c r="D5997" s="38" t="n">
        <f aca="false">Q!$E$13</f>
        <v>68.635</v>
      </c>
      <c r="E5997" s="38" t="n">
        <f aca="false">Q!$P$13</f>
        <v>37.052</v>
      </c>
      <c r="F5997" s="38" t="n">
        <f aca="false">Sens!$O$5997*(1+Sens!$F$5998)</f>
        <v>48.1533381827382</v>
      </c>
      <c r="G5997" s="38" t="n">
        <f aca="false">Sens!$E$5997+Sens!$F$5997</f>
        <v>85.2053381827382</v>
      </c>
      <c r="H5997" s="38" t="n">
        <f aca="false">Sens!$G$5997*(1+Sens!$H$5998)</f>
        <v>102.29336185894</v>
      </c>
      <c r="I5997" s="38" t="n">
        <f aca="false">Sens!$H$5997*(1+Sens!$I$5998)</f>
        <v>119.379837585241</v>
      </c>
      <c r="J5997" s="38" t="n">
        <f aca="false">Sens!$I$5997*(1+Sens!$J$5998)</f>
        <v>135.319079048844</v>
      </c>
      <c r="K5997" s="38" t="n">
        <f aca="false">Sens!$J$5997*(1+Sens!$K$5998)</f>
        <v>148.850986953729</v>
      </c>
      <c r="L5997" s="38" t="n">
        <f aca="false">Sens!$K$5997*(1+Sens!$L$5998)</f>
        <v>163.736085649102</v>
      </c>
      <c r="M5997" s="38" t="n">
        <f aca="false">Sens!$L$5997*(1+Sens!$M$5998)</f>
        <v>180.109694214012</v>
      </c>
      <c r="N5997" s="38" t="n">
        <f aca="false">Q!$N$13</f>
        <v>29.615</v>
      </c>
      <c r="O5997" s="38" t="n">
        <f aca="false">Q!$O$13</f>
        <v>39.02</v>
      </c>
      <c r="P5997" s="8" t="s">
        <v>621</v>
      </c>
    </row>
    <row r="5998" customFormat="false" ht="17.15" hidden="false" customHeight="false" outlineLevel="0" collapsed="false">
      <c r="A5998" s="0" t="s">
        <v>628</v>
      </c>
      <c r="B5998" s="0" t="s">
        <v>52</v>
      </c>
      <c r="E5998" s="12" t="n">
        <f aca="false">Sens!$E$5997/Sens!$N$5997-1</f>
        <v>0.25112274185379</v>
      </c>
      <c r="F5998" s="12" t="n">
        <f aca="false">Sens!$O$5997/(Q!$F$13+Q!$G$13)-1</f>
        <v>0.234068123596572</v>
      </c>
      <c r="G5998" s="12" t="n">
        <f aca="false">Sens!$G$5997/Sens!$D$5997-1</f>
        <v>0.241426942270536</v>
      </c>
      <c r="H5998" s="12" t="n">
        <f aca="false">Sens!$F$5998+(g_ad-Sens!$F$5998)*1/4</f>
        <v>0.200551092697429</v>
      </c>
      <c r="I5998" s="12" t="n">
        <f aca="false">Sens!$F$5998+(g_ad-Sens!$F$5998)*2/4</f>
        <v>0.167034061798286</v>
      </c>
      <c r="J5998" s="12" t="n">
        <f aca="false">Sens!$F$5998+(g_ad-Sens!$F$5998)*3/4</f>
        <v>0.133517030899143</v>
      </c>
      <c r="K5998" s="12" t="n">
        <f aca="false">Sens!$F$5998+(g_ad-Sens!$F$5998)*4/4</f>
        <v>0.1</v>
      </c>
      <c r="L5998" s="12" t="n">
        <f aca="false">g_ad</f>
        <v>0.1</v>
      </c>
      <c r="M5998" s="12" t="n">
        <f aca="false">g_ad</f>
        <v>0.1</v>
      </c>
      <c r="P5998" s="8" t="s">
        <v>629</v>
      </c>
    </row>
    <row r="5999" customFormat="false" ht="17.15" hidden="false" customHeight="false" outlineLevel="0" collapsed="false">
      <c r="A5999" s="0" t="s">
        <v>483</v>
      </c>
      <c r="B5999" s="0" t="s">
        <v>73</v>
      </c>
      <c r="C5999" s="38" t="n">
        <f aca="false">Q!$D$14</f>
        <v>44.374</v>
      </c>
      <c r="D5999" s="38" t="n">
        <f aca="false">Q!$E$14</f>
        <v>49.619</v>
      </c>
      <c r="E5999" s="38" t="n">
        <f aca="false">Q!$P$14</f>
        <v>27.157</v>
      </c>
      <c r="F5999" s="38" t="n">
        <f aca="false">Sens!$O$5999*(1+Sens!$F$6000)</f>
        <v>28.9776360923374</v>
      </c>
      <c r="G5999" s="38" t="n">
        <f aca="false">Sens!$E$5999+Sens!$F$5999</f>
        <v>56.1346360923374</v>
      </c>
      <c r="H5999" s="38" t="n">
        <f aca="false">Sens!$G$5999*(1+Sens!$H$6000)</f>
        <v>62.4937078946075</v>
      </c>
      <c r="I5999" s="38" t="n">
        <f aca="false">Sens!$H$5999*(1+Sens!$I$6000)</f>
        <v>68.6715233062498</v>
      </c>
      <c r="J5999" s="38" t="n">
        <f aca="false">Sens!$I$5999*(1+Sens!$J$6000)</f>
        <v>74.4692882949818</v>
      </c>
      <c r="K5999" s="38" t="n">
        <f aca="false">Sens!$J$5999*(1+Sens!$K$6000)</f>
        <v>79.6821384756306</v>
      </c>
      <c r="L5999" s="38" t="n">
        <f aca="false">Sens!$K$5999*(1+Sens!$L$6000)</f>
        <v>85.2598881689247</v>
      </c>
      <c r="M5999" s="38" t="n">
        <f aca="false">Sens!$L$5999*(1+Sens!$M$6000)</f>
        <v>91.2280803407494</v>
      </c>
      <c r="N5999" s="38" t="n">
        <f aca="false">Q!$N$14</f>
        <v>23.923</v>
      </c>
      <c r="O5999" s="38" t="n">
        <f aca="false">Q!$O$14</f>
        <v>25.696</v>
      </c>
      <c r="P5999" s="8" t="s">
        <v>621</v>
      </c>
    </row>
    <row r="6000" customFormat="false" ht="17.15" hidden="false" customHeight="false" outlineLevel="0" collapsed="false">
      <c r="A6000" s="0" t="s">
        <v>630</v>
      </c>
      <c r="B6000" s="0" t="s">
        <v>52</v>
      </c>
      <c r="E6000" s="12" t="n">
        <f aca="false">Sens!$E$5999/Sens!$N$5999-1</f>
        <v>0.135183714417088</v>
      </c>
      <c r="F6000" s="12" t="n">
        <f aca="false">Sens!$O$5999/(Q!$F$14+Q!$G$14)-1</f>
        <v>0.127709997366804</v>
      </c>
      <c r="G6000" s="12" t="n">
        <f aca="false">Sens!$G$5999/Sens!$D$5999-1</f>
        <v>0.131313329416905</v>
      </c>
      <c r="H6000" s="12" t="n">
        <f aca="false">Sens!$F$6000+(g_sub-Sens!$F$6000)*1/4</f>
        <v>0.113282498025103</v>
      </c>
      <c r="I6000" s="12" t="n">
        <f aca="false">Sens!$F$6000+(g_sub-Sens!$F$6000)*2/4</f>
        <v>0.0988549986834021</v>
      </c>
      <c r="J6000" s="12" t="n">
        <f aca="false">Sens!$F$6000+(g_sub-Sens!$F$6000)*3/4</f>
        <v>0.084427499341701</v>
      </c>
      <c r="K6000" s="12" t="n">
        <f aca="false">Sens!$F$6000+(g_sub-Sens!$F$6000)*4/4</f>
        <v>0.07</v>
      </c>
      <c r="L6000" s="12" t="n">
        <f aca="false">g_sub</f>
        <v>0.07</v>
      </c>
      <c r="M6000" s="12" t="n">
        <f aca="false">g_sub</f>
        <v>0.07</v>
      </c>
      <c r="P6000" s="8" t="s">
        <v>631</v>
      </c>
    </row>
    <row r="6001" customFormat="false" ht="17.15" hidden="false" customHeight="false" outlineLevel="0" collapsed="false">
      <c r="A6001" s="0" t="s">
        <v>484</v>
      </c>
      <c r="B6001" s="0" t="s">
        <v>73</v>
      </c>
      <c r="C6001" s="38" t="n">
        <f aca="false">Q!$D$15</f>
        <v>5.425</v>
      </c>
      <c r="D6001" s="38" t="n">
        <f aca="false">Q!$E$15</f>
        <v>5.935</v>
      </c>
      <c r="E6001" s="38" t="n">
        <f aca="false">Q!$P$15</f>
        <v>3.474</v>
      </c>
      <c r="F6001" s="38" t="n">
        <f aca="false">Sens!$O$6001*(1+Sens!$F$6002)</f>
        <v>3.36182431966931</v>
      </c>
      <c r="G6001" s="38" t="n">
        <f aca="false">Sens!$E$6001+Sens!$F$6001</f>
        <v>6.83582431966931</v>
      </c>
      <c r="H6001" s="38" t="n">
        <f aca="false">Sens!$G$6001*(1+Sens!$H$6002)</f>
        <v>7.31157108370141</v>
      </c>
      <c r="I6001" s="38" t="n">
        <f aca="false">Sens!$H$6001*(1+Sens!$I$6002)</f>
        <v>7.77266852639815</v>
      </c>
      <c r="J6001" s="38" t="n">
        <f aca="false">Sens!$I$6001*(1+Sens!$J$6002)</f>
        <v>8.2120733019884</v>
      </c>
      <c r="K6001" s="38" t="n">
        <f aca="false">Sens!$J$6001*(1+Sens!$K$6002)</f>
        <v>8.62267696708783</v>
      </c>
      <c r="L6001" s="38" t="n">
        <f aca="false">Sens!$K$6001*(1+Sens!$L$6002)</f>
        <v>9.05381081544222</v>
      </c>
      <c r="M6001" s="38" t="n">
        <f aca="false">Sens!$L$6001*(1+Sens!$M$6002)</f>
        <v>9.50650135621433</v>
      </c>
      <c r="N6001" s="38" t="n">
        <f aca="false">Q!$N$15</f>
        <v>2.811</v>
      </c>
      <c r="O6001" s="38" t="n">
        <f aca="false">Q!$O$15</f>
        <v>3.124</v>
      </c>
      <c r="P6001" s="8" t="s">
        <v>621</v>
      </c>
    </row>
    <row r="6002" customFormat="false" ht="17.15" hidden="false" customHeight="false" outlineLevel="0" collapsed="false">
      <c r="A6002" s="0" t="s">
        <v>632</v>
      </c>
      <c r="B6002" s="0" t="s">
        <v>52</v>
      </c>
      <c r="E6002" s="12" t="n">
        <f aca="false">Sens!$E$6001/Sens!$N$6001-1</f>
        <v>0.235859124866596</v>
      </c>
      <c r="F6002" s="12" t="n">
        <f aca="false">Sens!$O$6001/(Q!$F$15+Q!$G$15)-1</f>
        <v>0.0761281433000345</v>
      </c>
      <c r="G6002" s="12" t="n">
        <f aca="false">Sens!$G$6001/Sens!$D$6001-1</f>
        <v>0.151781688234087</v>
      </c>
      <c r="H6002" s="12" t="n">
        <f aca="false">Sens!$F$6002+(g_ot-Sens!$F$6002)*1/4</f>
        <v>0.0695961074750259</v>
      </c>
      <c r="I6002" s="12" t="n">
        <f aca="false">Sens!$F$6002+(g_ot-Sens!$F$6002)*2/4</f>
        <v>0.0630640716500172</v>
      </c>
      <c r="J6002" s="12" t="n">
        <f aca="false">Sens!$F$6002+(g_ot-Sens!$F$6002)*3/4</f>
        <v>0.0565320358250086</v>
      </c>
      <c r="K6002" s="12" t="n">
        <f aca="false">Sens!$F$6002+(g_ot-Sens!$F$6002)*4/4</f>
        <v>0.05</v>
      </c>
      <c r="L6002" s="12" t="n">
        <f aca="false">g_ot</f>
        <v>0.05</v>
      </c>
      <c r="M6002" s="12" t="n">
        <f aca="false">g_ot</f>
        <v>0.05</v>
      </c>
      <c r="P6002" s="8" t="s">
        <v>633</v>
      </c>
    </row>
    <row r="6003" customFormat="false" ht="17.15" hidden="false" customHeight="false" outlineLevel="0" collapsed="false">
      <c r="A6003" s="3" t="s">
        <v>634</v>
      </c>
      <c r="B6003" s="8" t="s">
        <v>73</v>
      </c>
      <c r="C6003" s="38" t="n">
        <f aca="false">Sens!$C$5991+Sens!$C$5993+Sens!$C$5995+Sens!$C$5997+Sens!$C$5999+Sens!$C$6001</f>
        <v>530.403</v>
      </c>
      <c r="D6003" s="38" t="n">
        <f aca="false">Sens!$D$5991+Sens!$D$5993+Sens!$D$5995+Sens!$D$5997+Sens!$D$5999+Sens!$D$6001</f>
        <v>588.199</v>
      </c>
      <c r="E6003" s="38" t="n">
        <f aca="false">Sens!$E$5991+Sens!$E$5993+Sens!$E$5995+Sens!$E$5997+Sens!$E$5999+Sens!$E$6001</f>
        <v>302.306</v>
      </c>
      <c r="F6003" s="38" t="n">
        <f aca="false">Sens!$F$5991+Sens!$F$5993+Sens!$F$5995+Sens!$F$5997+Sens!$F$5999+Sens!$F$6001</f>
        <v>356.93642920843</v>
      </c>
      <c r="G6003" s="38" t="n">
        <f aca="false">Sens!$G$5991+Sens!$G$5993+Sens!$G$5995+Sens!$G$5997+Sens!$G$5999+Sens!$G$6001</f>
        <v>659.24242920843</v>
      </c>
      <c r="H6003" s="38" t="n">
        <f aca="false">Sens!$H$5991+Sens!$H$5993+Sens!$H$5995+Sens!$H$5997+Sens!$H$5999+Sens!$H$6001</f>
        <v>729.935737621701</v>
      </c>
      <c r="I6003" s="38" t="n">
        <f aca="false">Sens!$I$5991+Sens!$I$5993+Sens!$I$5995+Sens!$I$5997+Sens!$I$5999+Sens!$I$6001</f>
        <v>798.295569697873</v>
      </c>
      <c r="J6003" s="38" t="n">
        <f aca="false">Sens!$J$5991+Sens!$J$5993+Sens!$J$5995+Sens!$J$5997+Sens!$J$5999+Sens!$J$6001</f>
        <v>861.736822325785</v>
      </c>
      <c r="K6003" s="38" t="n">
        <f aca="false">Sens!$K$5991+Sens!$K$5993+Sens!$K$5995+Sens!$K$5997+Sens!$K$5999+Sens!$K$6001</f>
        <v>917.557492101925</v>
      </c>
      <c r="L6003" s="38" t="n">
        <f aca="false">Sens!$L$5991+Sens!$L$5993+Sens!$L$5995+Sens!$L$5997+Sens!$L$5999+Sens!$L$6001</f>
        <v>977.285089743165</v>
      </c>
      <c r="M6003" s="38" t="n">
        <f aca="false">Sens!$M$5991+Sens!$M$5993+Sens!$M$5995+Sens!$M$5997+Sens!$M$5999+Sens!$M$6001</f>
        <v>1041.2140185435</v>
      </c>
      <c r="N6003" s="38" t="n">
        <f aca="false">Sens!$N$5991+Sens!$N$5993+Sens!$N$5995+Sens!$N$5997+Sens!$N$5999+Sens!$N$6001</f>
        <v>263.229</v>
      </c>
      <c r="O6003" s="38" t="n">
        <f aca="false">Sens!$O$5991+Sens!$O$5993+Sens!$O$5995+Sens!$O$5997+Sens!$O$5999+Sens!$O$6001</f>
        <v>324.97</v>
      </c>
    </row>
    <row r="6004" customFormat="false" ht="17.15" hidden="false" customHeight="false" outlineLevel="0" collapsed="false">
      <c r="A6004" s="5" t="s">
        <v>635</v>
      </c>
      <c r="B6004" s="0" t="s">
        <v>52</v>
      </c>
      <c r="C6004" s="12" t="n">
        <f aca="false">Q!$D$5/(Q!$D$5+Q!$D$6)</f>
        <v>0.730570905519011</v>
      </c>
      <c r="D6004" s="12" t="n">
        <f aca="false">Q!$E$5/(Q!$E$5+Q!$E$6)</f>
        <v>0.724763217890544</v>
      </c>
      <c r="E6004" s="12" t="n">
        <f aca="false">Q!$P$5/(Q!$P$5+Q!$P$6)</f>
        <v>0.728797972914861</v>
      </c>
      <c r="F6004" s="12" t="n">
        <f aca="false">Sens!$O$6004</f>
        <v>0.718066283041511</v>
      </c>
      <c r="G6004" s="12" t="n">
        <f aca="false">Sens!$G$6005/Sens!$G$6003</f>
        <v>0.722987468473627</v>
      </c>
      <c r="H6004" s="12" t="n">
        <f aca="false">Sens!$G$6004</f>
        <v>0.722987468473627</v>
      </c>
      <c r="I6004" s="12" t="n">
        <f aca="false">Sens!$G$6004</f>
        <v>0.722987468473627</v>
      </c>
      <c r="J6004" s="12" t="n">
        <f aca="false">Sens!$G$6004</f>
        <v>0.722987468473627</v>
      </c>
      <c r="K6004" s="12" t="n">
        <f aca="false">Sens!$G$6004</f>
        <v>0.722987468473627</v>
      </c>
      <c r="L6004" s="12" t="n">
        <f aca="false">Sens!$G$6004</f>
        <v>0.722987468473627</v>
      </c>
      <c r="M6004" s="12" t="n">
        <f aca="false">Sens!$G$6004</f>
        <v>0.722987468473627</v>
      </c>
      <c r="N6004" s="12" t="n">
        <f aca="false">Q!$N$5/(Q!$N$5+Q!$N$6)</f>
        <v>0.733030935041352</v>
      </c>
      <c r="O6004" s="12" t="n">
        <f aca="false">Q!$O$5/(Q!$O$5+Q!$O$6)</f>
        <v>0.718066283041511</v>
      </c>
      <c r="P6004" s="8" t="s">
        <v>636</v>
      </c>
    </row>
    <row r="6005" customFormat="false" ht="17.15" hidden="false" customHeight="false" outlineLevel="0" collapsed="false">
      <c r="A6005" s="1" t="s">
        <v>472</v>
      </c>
      <c r="B6005" s="8" t="s">
        <v>73</v>
      </c>
      <c r="C6005" s="38" t="n">
        <f aca="false">Q!$D$5</f>
        <v>387.497</v>
      </c>
      <c r="D6005" s="38" t="n">
        <f aca="false">Q!$E$5</f>
        <v>426.305</v>
      </c>
      <c r="E6005" s="38" t="n">
        <f aca="false">Q!$P$5</f>
        <v>220.32</v>
      </c>
      <c r="F6005" s="38" t="n">
        <f aca="false">Sens!$F$6003*Sens!$F$6004</f>
        <v>256.304015003807</v>
      </c>
      <c r="G6005" s="38" t="n">
        <f aca="false">Sens!$E$6005+Sens!$F$6005</f>
        <v>476.624015003807</v>
      </c>
      <c r="H6005" s="38" t="n">
        <f aca="false">Sens!$H$6003*Sens!$H$6004</f>
        <v>527.734391091543</v>
      </c>
      <c r="I6005" s="38" t="n">
        <f aca="false">Sens!$I$6003*Sens!$I$6004</f>
        <v>577.157693029577</v>
      </c>
      <c r="J6005" s="38" t="n">
        <f aca="false">Sens!$J$6003*Sens!$J$6004</f>
        <v>623.024923663827</v>
      </c>
      <c r="K6005" s="38" t="n">
        <f aca="false">Sens!$K$6003*Sens!$K$6004</f>
        <v>663.382568393781</v>
      </c>
      <c r="L6005" s="38" t="n">
        <f aca="false">Sens!$L$6003*Sens!$L$6004</f>
        <v>706.564873010432</v>
      </c>
      <c r="M6005" s="38" t="n">
        <f aca="false">Sens!$M$6003*Sens!$M$6004</f>
        <v>752.784687406019</v>
      </c>
      <c r="N6005" s="38" t="n">
        <f aca="false">Q!$N$5</f>
        <v>192.955</v>
      </c>
      <c r="O6005" s="38" t="n">
        <f aca="false">Q!$O$5</f>
        <v>233.35</v>
      </c>
      <c r="P6005" s="5" t="s">
        <v>637</v>
      </c>
    </row>
    <row r="6006" customFormat="false" ht="17.15" hidden="false" customHeight="false" outlineLevel="0" collapsed="false">
      <c r="A6006" s="1" t="s">
        <v>475</v>
      </c>
      <c r="B6006" s="8" t="s">
        <v>73</v>
      </c>
      <c r="C6006" s="38" t="n">
        <f aca="false">Q!$D$6</f>
        <v>142.906</v>
      </c>
      <c r="D6006" s="38" t="n">
        <f aca="false">Q!$E$6</f>
        <v>161.894</v>
      </c>
      <c r="E6006" s="38" t="n">
        <f aca="false">Q!$P$6</f>
        <v>81.986</v>
      </c>
      <c r="F6006" s="38" t="n">
        <f aca="false">Sens!$F$6003*(1-Sens!$F$6004)</f>
        <v>100.632414204623</v>
      </c>
      <c r="G6006" s="38" t="n">
        <f aca="false">Sens!$E$6006+Sens!$F$6006</f>
        <v>182.618414204623</v>
      </c>
      <c r="H6006" s="38" t="n">
        <f aca="false">Sens!$H$6003*(1-Sens!$H$6004)</f>
        <v>202.201346530158</v>
      </c>
      <c r="I6006" s="38" t="n">
        <f aca="false">Sens!$I$6003*(1-Sens!$I$6004)</f>
        <v>221.137876668296</v>
      </c>
      <c r="J6006" s="38" t="n">
        <f aca="false">Sens!$J$6003*(1-Sens!$J$6004)</f>
        <v>238.711898661958</v>
      </c>
      <c r="K6006" s="38" t="n">
        <f aca="false">Sens!$K$6003*(1-Sens!$K$6004)</f>
        <v>254.174923708144</v>
      </c>
      <c r="L6006" s="38" t="n">
        <f aca="false">Sens!$L$6003*(1-Sens!$L$6004)</f>
        <v>270.720216732733</v>
      </c>
      <c r="M6006" s="38" t="n">
        <f aca="false">Sens!$M$6003*(1-Sens!$M$6004)</f>
        <v>288.429331137484</v>
      </c>
      <c r="N6006" s="38" t="n">
        <f aca="false">Q!$N$6</f>
        <v>70.274</v>
      </c>
      <c r="O6006" s="38" t="n">
        <f aca="false">Q!$O$6</f>
        <v>91.62</v>
      </c>
      <c r="P6006" s="5" t="s">
        <v>638</v>
      </c>
    </row>
    <row r="6007" customFormat="false" ht="17.15" hidden="false" customHeight="false" outlineLevel="0" collapsed="false">
      <c r="A6007" s="5" t="s">
        <v>639</v>
      </c>
      <c r="B6007" s="0" t="s">
        <v>73</v>
      </c>
      <c r="C6007" s="38" t="n">
        <f aca="false">Sens!$C$5997*Sens!$C$6004</f>
        <v>41.0683128828457</v>
      </c>
      <c r="D6007" s="38" t="n">
        <f aca="false">Sens!$D$5997*Sens!$D$6004</f>
        <v>49.7441234599175</v>
      </c>
      <c r="E6007" s="38" t="n">
        <f aca="false">Sens!$E$5997*Sens!$E$6004</f>
        <v>27.0034224924414</v>
      </c>
      <c r="F6007" s="38" t="n">
        <f aca="false">Sens!$F$5997*Sens!$F$6004</f>
        <v>34.5772885649197</v>
      </c>
      <c r="G6007" s="38" t="n">
        <f aca="false">Sens!$G$5997*Sens!$G$6004</f>
        <v>61.6023917531772</v>
      </c>
      <c r="H6007" s="38" t="n">
        <f aca="false">Sens!$H$5997*Sens!$H$6004</f>
        <v>73.9568187320519</v>
      </c>
      <c r="I6007" s="38" t="n">
        <f aca="false">Sens!$I$5997*Sens!$I$6004</f>
        <v>86.3101265625461</v>
      </c>
      <c r="J6007" s="38" t="n">
        <f aca="false">Sens!$J$5997*Sens!$J$6004</f>
        <v>97.8339983977065</v>
      </c>
      <c r="K6007" s="38" t="n">
        <f aca="false">Sens!$K$5997*Sens!$K$6004</f>
        <v>107.617398237477</v>
      </c>
      <c r="L6007" s="38" t="n">
        <f aca="false">Sens!$L$5997*Sens!$L$6004</f>
        <v>118.379138061225</v>
      </c>
      <c r="M6007" s="38" t="n">
        <f aca="false">Sens!$M$5997*Sens!$M$6004</f>
        <v>130.217051867347</v>
      </c>
      <c r="N6007" s="38" t="n">
        <f aca="false">Sens!$N$5997*Sens!$N$6004</f>
        <v>21.7087111412496</v>
      </c>
      <c r="O6007" s="38" t="n">
        <f aca="false">Sens!$O$5997*Sens!$O$6004</f>
        <v>28.0189463642798</v>
      </c>
      <c r="P6007" s="5" t="s">
        <v>640</v>
      </c>
    </row>
    <row r="6008" customFormat="false" ht="15" hidden="false" customHeight="false" outlineLevel="0" collapsed="false">
      <c r="A6008" s="5" t="s">
        <v>641</v>
      </c>
      <c r="B6008" s="0" t="s">
        <v>73</v>
      </c>
      <c r="C6008" s="38" t="n">
        <f aca="false">Sens!$C$5997-Sens!$C$6007</f>
        <v>15.1456871171543</v>
      </c>
      <c r="D6008" s="38" t="n">
        <f aca="false">Sens!$D$5997-Sens!$D$6007</f>
        <v>18.8908765400825</v>
      </c>
      <c r="E6008" s="38" t="n">
        <f aca="false">Sens!$E$5997-Sens!$E$6007</f>
        <v>10.0485775075586</v>
      </c>
      <c r="F6008" s="38" t="n">
        <f aca="false">Sens!$F$5997-Sens!$F$6007</f>
        <v>13.5760496178185</v>
      </c>
      <c r="G6008" s="38" t="n">
        <f aca="false">Sens!$G$5997-Sens!$G$6007</f>
        <v>23.6029464295611</v>
      </c>
      <c r="H6008" s="38" t="n">
        <f aca="false">Sens!$H$5997-Sens!$H$6007</f>
        <v>28.3365431268884</v>
      </c>
      <c r="I6008" s="38" t="n">
        <f aca="false">Sens!$I$5997-Sens!$I$6007</f>
        <v>33.0697110226949</v>
      </c>
      <c r="J6008" s="38" t="n">
        <f aca="false">Sens!$J$5997-Sens!$J$6007</f>
        <v>37.4850806511378</v>
      </c>
      <c r="K6008" s="38" t="n">
        <f aca="false">Sens!$K$5997-Sens!$K$6007</f>
        <v>41.2335887162515</v>
      </c>
      <c r="L6008" s="38" t="n">
        <f aca="false">Sens!$L$5997-Sens!$L$6007</f>
        <v>45.3569475878767</v>
      </c>
      <c r="M6008" s="38" t="n">
        <f aca="false">Sens!$M$5997-Sens!$M$6007</f>
        <v>49.8926423466644</v>
      </c>
      <c r="N6008" s="38" t="n">
        <f aca="false">Sens!$N$5997-Sens!$N$6007</f>
        <v>7.90628885875037</v>
      </c>
      <c r="O6008" s="38" t="n">
        <f aca="false">Sens!$O$5997-Sens!$O$6007</f>
        <v>11.0010536357202</v>
      </c>
    </row>
    <row r="6009" customFormat="false" ht="19.4" hidden="false" customHeight="false" outlineLevel="0" collapsed="false">
      <c r="A6009" s="31" t="s">
        <v>1174</v>
      </c>
    </row>
    <row r="6010" customFormat="false" ht="17.15" hidden="false" customHeight="false" outlineLevel="0" collapsed="false">
      <c r="A6010" s="6" t="s">
        <v>16</v>
      </c>
      <c r="B6010" s="6" t="s">
        <v>17</v>
      </c>
      <c r="C6010" s="20" t="s">
        <v>457</v>
      </c>
      <c r="D6010" s="20" t="s">
        <v>458</v>
      </c>
      <c r="E6010" s="20" t="s">
        <v>540</v>
      </c>
      <c r="F6010" s="20" t="s">
        <v>541</v>
      </c>
      <c r="G6010" s="20" t="s">
        <v>542</v>
      </c>
      <c r="H6010" s="20" t="s">
        <v>543</v>
      </c>
      <c r="I6010" s="20" t="s">
        <v>544</v>
      </c>
      <c r="J6010" s="20" t="s">
        <v>545</v>
      </c>
      <c r="K6010" s="20" t="s">
        <v>546</v>
      </c>
      <c r="L6010" s="20" t="s">
        <v>547</v>
      </c>
      <c r="M6010" s="20" t="s">
        <v>548</v>
      </c>
      <c r="N6010" s="20" t="s">
        <v>549</v>
      </c>
      <c r="O6010" s="20" t="s">
        <v>550</v>
      </c>
      <c r="P6010" s="6" t="s">
        <v>23</v>
      </c>
      <c r="R6010" s="20" t="n">
        <v>2023</v>
      </c>
      <c r="S6010" s="20" t="n">
        <v>2024</v>
      </c>
      <c r="T6010" s="20" t="n">
        <v>2025</v>
      </c>
      <c r="U6010" s="20" t="n">
        <v>2026</v>
      </c>
      <c r="V6010" s="20" t="n">
        <v>2027</v>
      </c>
      <c r="W6010" s="20" t="n">
        <v>2028</v>
      </c>
      <c r="X6010" s="20" t="n">
        <v>2029</v>
      </c>
      <c r="Y6010" s="20" t="n">
        <v>2030</v>
      </c>
      <c r="Z6010" s="20" t="n">
        <v>2031</v>
      </c>
      <c r="AA6010" s="20" t="n">
        <v>2032</v>
      </c>
    </row>
    <row r="6011" customFormat="false" ht="17.15" hidden="false" customHeight="false" outlineLevel="0" collapsed="false">
      <c r="A6011" s="1" t="s">
        <v>551</v>
      </c>
    </row>
    <row r="6012" customFormat="false" ht="17.15" hidden="false" customHeight="false" outlineLevel="0" collapsed="false">
      <c r="A6012" s="14" t="s">
        <v>552</v>
      </c>
      <c r="B6012" s="13" t="s">
        <v>108</v>
      </c>
      <c r="C6012" s="32" t="n">
        <f aca="false">mw_ye24</f>
        <v>360</v>
      </c>
      <c r="D6012" s="32" t="n">
        <f aca="false">mw_ye25</f>
        <v>1440</v>
      </c>
      <c r="E6012" s="32" t="n">
        <f aca="false">mw_open</f>
        <v>2080</v>
      </c>
      <c r="F6012" s="32" t="n">
        <f aca="false">Sens!$E$6012+pace_B*0.5</f>
        <v>3897.15</v>
      </c>
      <c r="G6012" s="32" t="n">
        <f aca="false">Sens!$F$6012</f>
        <v>3897.15</v>
      </c>
      <c r="H6012" s="32" t="n">
        <f aca="false">Sens!$G$6012+pace_B</f>
        <v>7531.45</v>
      </c>
      <c r="I6012" s="32" t="n">
        <f aca="false">Sens!$H$6012+pace_B</f>
        <v>11165.75</v>
      </c>
      <c r="J6012" s="32" t="n">
        <f aca="false">Sens!$I$6012+pace_B</f>
        <v>14800.05</v>
      </c>
      <c r="K6012" s="32" t="n">
        <f aca="false">Sens!$J$6012+pace_B</f>
        <v>18434.35</v>
      </c>
      <c r="L6012" s="32" t="n">
        <f aca="false">Sens!$K$6012+pace_B</f>
        <v>22068.65</v>
      </c>
      <c r="M6012" s="32" t="n">
        <f aca="false">Sens!$L$6012+pace_B</f>
        <v>25702.95</v>
      </c>
      <c r="N6012" s="32" t="n">
        <f aca="false">(mw_ye24+mw_ye25)/2</f>
        <v>900</v>
      </c>
      <c r="O6012" s="32" t="n">
        <f aca="false">mw_ye25</f>
        <v>1440</v>
      </c>
      <c r="P6012" s="5" t="s">
        <v>553</v>
      </c>
    </row>
    <row r="6013" customFormat="false" ht="17.15" hidden="false" customHeight="false" outlineLevel="0" collapsed="false">
      <c r="A6013" s="5" t="s">
        <v>554</v>
      </c>
      <c r="B6013" s="0" t="s">
        <v>108</v>
      </c>
      <c r="C6013" s="33" t="n">
        <f aca="false">(mw_ye23+mw_ye24)/2</f>
        <v>240</v>
      </c>
      <c r="D6013" s="33" t="n">
        <f aca="false">(Sens!$C$6012+Sens!$D$6012)/2</f>
        <v>900</v>
      </c>
      <c r="E6013" s="33" t="n">
        <f aca="false">(Sens!$D$6012+Sens!$E$6012)/2</f>
        <v>1760</v>
      </c>
      <c r="F6013" s="33" t="n">
        <f aca="false">(Sens!$E$6012+Sens!$F$6012)/2</f>
        <v>2988.575</v>
      </c>
      <c r="G6013" s="33" t="n">
        <f aca="false">(Sens!$E$6013+Sens!$F$6013)/2</f>
        <v>2374.2875</v>
      </c>
      <c r="H6013" s="33" t="n">
        <f aca="false">(Sens!$G$6012+Sens!$H$6012)/2</f>
        <v>5714.3</v>
      </c>
      <c r="I6013" s="33" t="n">
        <f aca="false">(Sens!$H$6012+Sens!$I$6012)/2</f>
        <v>9348.6</v>
      </c>
      <c r="J6013" s="33" t="n">
        <f aca="false">(Sens!$I$6012+Sens!$J$6012)/2</f>
        <v>12982.9</v>
      </c>
      <c r="K6013" s="33" t="n">
        <f aca="false">(Sens!$J$6012+Sens!$K$6012)/2</f>
        <v>16617.2</v>
      </c>
      <c r="L6013" s="33" t="n">
        <f aca="false">(Sens!$K$6012+Sens!$L$6012)/2</f>
        <v>20251.5</v>
      </c>
      <c r="M6013" s="33" t="n">
        <f aca="false">(Sens!$L$6012+Sens!$M$6012)/2</f>
        <v>23885.8</v>
      </c>
      <c r="N6013" s="33" t="n">
        <f aca="false">(Sens!$C$6012+Sens!$N$6012)/2</f>
        <v>630</v>
      </c>
      <c r="O6013" s="33" t="n">
        <f aca="false">(Sens!$N$6012+Sens!$O$6012)/2</f>
        <v>1170</v>
      </c>
    </row>
    <row r="6014" customFormat="false" ht="15" hidden="false" customHeight="false" outlineLevel="0" collapsed="false">
      <c r="A6014" s="5" t="s">
        <v>555</v>
      </c>
      <c r="B6014" s="5" t="s">
        <v>102</v>
      </c>
      <c r="C6014" s="34" t="n">
        <v>1</v>
      </c>
      <c r="D6014" s="34" t="n">
        <v>1</v>
      </c>
      <c r="E6014" s="34" t="n">
        <v>0.5</v>
      </c>
      <c r="F6014" s="34" t="n">
        <v>0.5</v>
      </c>
      <c r="G6014" s="34" t="n">
        <v>1</v>
      </c>
      <c r="H6014" s="34" t="n">
        <v>1</v>
      </c>
      <c r="I6014" s="34" t="n">
        <v>1</v>
      </c>
      <c r="J6014" s="34" t="n">
        <v>1</v>
      </c>
      <c r="K6014" s="34" t="n">
        <v>1</v>
      </c>
      <c r="L6014" s="34" t="n">
        <v>1</v>
      </c>
      <c r="M6014" s="34" t="n">
        <v>1</v>
      </c>
      <c r="N6014" s="34" t="n">
        <v>0.5</v>
      </c>
      <c r="O6014" s="34" t="n">
        <v>0.5</v>
      </c>
    </row>
    <row r="6015" customFormat="false" ht="17.15" hidden="false" customHeight="false" outlineLevel="0" collapsed="false">
      <c r="A6015" s="5" t="s">
        <v>556</v>
      </c>
      <c r="B6015" s="0" t="s">
        <v>108</v>
      </c>
      <c r="C6015" s="33" t="n">
        <f aca="false">Sens!$C$6012-mw_ye23</f>
        <v>240</v>
      </c>
      <c r="D6015" s="33" t="n">
        <f aca="false">Sens!$D$6012-Sens!$C$6012</f>
        <v>1080</v>
      </c>
      <c r="E6015" s="33" t="n">
        <f aca="false">Sens!$E$6012-Sens!$D$6012</f>
        <v>640</v>
      </c>
      <c r="F6015" s="33" t="n">
        <f aca="false">Sens!$F$6012-Sens!$E$6012</f>
        <v>1817.15</v>
      </c>
      <c r="G6015" s="33" t="n">
        <f aca="false">Sens!$E$6015+Sens!$F$6015</f>
        <v>2457.15</v>
      </c>
      <c r="H6015" s="33" t="n">
        <f aca="false">Sens!$H$6012-Sens!$G$6012</f>
        <v>3634.3</v>
      </c>
      <c r="I6015" s="33" t="n">
        <f aca="false">Sens!$I$6012-Sens!$H$6012</f>
        <v>3634.3</v>
      </c>
      <c r="J6015" s="33" t="n">
        <f aca="false">Sens!$J$6012-Sens!$I$6012</f>
        <v>3634.3</v>
      </c>
      <c r="K6015" s="33" t="n">
        <f aca="false">Sens!$K$6012-Sens!$J$6012</f>
        <v>3634.3</v>
      </c>
      <c r="L6015" s="33" t="n">
        <f aca="false">Sens!$L$6012-Sens!$K$6012</f>
        <v>3634.3</v>
      </c>
      <c r="M6015" s="33" t="n">
        <f aca="false">Sens!$M$6012-Sens!$L$6012</f>
        <v>3634.3</v>
      </c>
      <c r="N6015" s="33" t="n">
        <f aca="false">Sens!$N$6012-Sens!$C$6012</f>
        <v>540</v>
      </c>
      <c r="O6015" s="33" t="n">
        <f aca="false">Sens!$O$6012-Sens!$N$6012</f>
        <v>540</v>
      </c>
    </row>
    <row r="6016" customFormat="false" ht="17.15" hidden="false" customHeight="false" outlineLevel="0" collapsed="false">
      <c r="A6016" s="5" t="s">
        <v>557</v>
      </c>
      <c r="B6016" s="0" t="s">
        <v>108</v>
      </c>
      <c r="C6016" s="33" t="n">
        <f aca="false">Sens!$C$6015/ext_sh</f>
        <v>300</v>
      </c>
      <c r="D6016" s="33" t="n">
        <f aca="false">Sens!$D$6015/ext_sh</f>
        <v>1350</v>
      </c>
      <c r="E6016" s="33" t="n">
        <f aca="false">Sens!$E$6015/ext_sh</f>
        <v>800</v>
      </c>
      <c r="F6016" s="33" t="n">
        <f aca="false">Sens!$F$6015/ext_sh</f>
        <v>2271.4375</v>
      </c>
      <c r="G6016" s="33" t="n">
        <f aca="false">Sens!$G$6015/ext_sh</f>
        <v>3071.4375</v>
      </c>
      <c r="H6016" s="33" t="n">
        <f aca="false">Sens!$H$6015/ext_sh</f>
        <v>4542.875</v>
      </c>
      <c r="I6016" s="33" t="n">
        <f aca="false">Sens!$I$6015/ext_sh</f>
        <v>4542.875</v>
      </c>
      <c r="J6016" s="33" t="n">
        <f aca="false">Sens!$J$6015/ext_sh</f>
        <v>4542.875</v>
      </c>
      <c r="K6016" s="33" t="n">
        <f aca="false">Sens!$K$6015/ext_sh</f>
        <v>4542.875</v>
      </c>
      <c r="L6016" s="33" t="n">
        <f aca="false">Sens!$L$6015/ext_sh</f>
        <v>4542.875</v>
      </c>
      <c r="M6016" s="33" t="n">
        <f aca="false">Sens!$M$6015/ext_sh</f>
        <v>4542.875</v>
      </c>
      <c r="N6016" s="33" t="n">
        <f aca="false">Sens!$N$6015/ext_sh</f>
        <v>675</v>
      </c>
      <c r="O6016" s="33" t="n">
        <f aca="false">Sens!$O$6015/ext_sh</f>
        <v>675</v>
      </c>
      <c r="P6016" s="8" t="s">
        <v>558</v>
      </c>
      <c r="R6016" s="33" t="n">
        <f aca="false">mw_ye23/ext_sh</f>
        <v>150</v>
      </c>
      <c r="S6016" s="33" t="n">
        <f aca="false">Sens!$C$6016</f>
        <v>300</v>
      </c>
      <c r="T6016" s="33" t="n">
        <f aca="false">Sens!$D$6016</f>
        <v>1350</v>
      </c>
      <c r="U6016" s="33" t="n">
        <f aca="false">Sens!$G$6016</f>
        <v>3071.4375</v>
      </c>
      <c r="V6016" s="33" t="n">
        <f aca="false">Sens!$H$6016</f>
        <v>4542.875</v>
      </c>
      <c r="W6016" s="33" t="n">
        <f aca="false">Sens!$I$6016</f>
        <v>4542.875</v>
      </c>
      <c r="X6016" s="33" t="n">
        <f aca="false">Sens!$J$6016</f>
        <v>4542.875</v>
      </c>
      <c r="Y6016" s="33" t="n">
        <f aca="false">Sens!$K$6016</f>
        <v>4542.875</v>
      </c>
      <c r="Z6016" s="33" t="n">
        <f aca="false">Sens!$L$6016</f>
        <v>4542.875</v>
      </c>
      <c r="AA6016" s="33" t="n">
        <f aca="false">Sens!$M$6016</f>
        <v>4542.875</v>
      </c>
    </row>
    <row r="6017" customFormat="false" ht="17.15" hidden="false" customHeight="false" outlineLevel="0" collapsed="false">
      <c r="A6017" s="1" t="s">
        <v>559</v>
      </c>
    </row>
    <row r="6018" customFormat="false" ht="17.15" hidden="false" customHeight="false" outlineLevel="0" collapsed="false">
      <c r="A6018" s="0" t="s">
        <v>560</v>
      </c>
      <c r="B6018" s="0" t="s">
        <v>52</v>
      </c>
      <c r="F6018" s="35" t="n">
        <f aca="false">na_vr26</f>
        <v>0</v>
      </c>
      <c r="G6018" s="35" t="n">
        <f aca="false">na_vr26</f>
        <v>0</v>
      </c>
      <c r="H6018" s="35" t="n">
        <f aca="false">na_vr27</f>
        <v>0.5</v>
      </c>
      <c r="I6018" s="35" t="n">
        <f aca="false">na_vr28</f>
        <v>1</v>
      </c>
      <c r="J6018" s="35" t="n">
        <f aca="false">na_vr28</f>
        <v>1</v>
      </c>
      <c r="K6018" s="35" t="n">
        <f aca="false">na_vr28</f>
        <v>1</v>
      </c>
      <c r="L6018" s="35" t="n">
        <f aca="false">na_vr28</f>
        <v>1</v>
      </c>
      <c r="M6018" s="35" t="n">
        <f aca="false">na_vr28</f>
        <v>1</v>
      </c>
    </row>
    <row r="6019" customFormat="false" ht="17.15" hidden="false" customHeight="false" outlineLevel="0" collapsed="false">
      <c r="A6019" s="5" t="s">
        <v>561</v>
      </c>
      <c r="B6019" s="0" t="s">
        <v>151</v>
      </c>
      <c r="F6019" s="36" t="n">
        <f aca="false">cust_sh*tk_he_gb300*cf_chip+(1-cust_sh)*((1-Sens!$F$6018)*tk_he_gb300+Sens!$F$6018*tk_he_vr200)</f>
        <v>10.8864110021101</v>
      </c>
      <c r="G6019" s="36" t="n">
        <f aca="false">cust_sh*tk_he_gb300*cf_chip+(1-cust_sh)*((1-Sens!$G$6018)*tk_he_gb300+Sens!$G$6018*tk_he_vr200)</f>
        <v>10.8864110021101</v>
      </c>
      <c r="H6019" s="36" t="n">
        <f aca="false">cust_sh*tk_he_gb300*cf_chip+(1-cust_sh)*((1-Sens!$H$6018)*tk_he_gb300+Sens!$H$6018*tk_he_vr200)</f>
        <v>11.2211760027286</v>
      </c>
      <c r="I6019" s="36" t="n">
        <f aca="false">cust_sh*tk_he_gb300*cf_chip+(1-cust_sh)*((1-Sens!$I$6018)*tk_he_gb300+Sens!$I$6018*tk_he_vr200)</f>
        <v>11.5559410033471</v>
      </c>
      <c r="J6019" s="36" t="n">
        <f aca="false">cust_sh*tk_he_gb300*cf_chip+(1-cust_sh)*((1-Sens!$J$6018)*tk_he_gb300+Sens!$J$6018*tk_he_vr200)</f>
        <v>11.5559410033471</v>
      </c>
      <c r="K6019" s="36" t="n">
        <f aca="false">cust_sh*tk_he_gb300*cf_chip+(1-cust_sh)*((1-Sens!$K$6018)*tk_he_gb300+Sens!$K$6018*tk_he_vr200)</f>
        <v>11.5559410033471</v>
      </c>
      <c r="L6019" s="36" t="n">
        <f aca="false">cust_sh*tk_he_gb300*cf_chip+(1-cust_sh)*((1-Sens!$L$6018)*tk_he_gb300+Sens!$L$6018*tk_he_vr200)</f>
        <v>11.5559410033471</v>
      </c>
      <c r="M6019" s="36" t="n">
        <f aca="false">cust_sh*tk_he_gb300*cf_chip+(1-cust_sh)*((1-Sens!$M$6018)*tk_he_gb300+Sens!$M$6018*tk_he_vr200)</f>
        <v>11.5559410033471</v>
      </c>
    </row>
    <row r="6020" customFormat="false" ht="17.15" hidden="false" customHeight="false" outlineLevel="0" collapsed="false">
      <c r="A6020" s="5" t="s">
        <v>562</v>
      </c>
      <c r="B6020" s="0" t="s">
        <v>151</v>
      </c>
      <c r="F6020" s="36" t="n">
        <f aca="false">cust_sh*tk_ox_gb300+(1-cust_sh)*((1-Sens!$F$6018)*tk_ox_gb300+Sens!$F$6018*tk_ox_vr200)</f>
        <v>1.98263481314457</v>
      </c>
      <c r="G6020" s="36" t="n">
        <f aca="false">cust_sh*tk_ox_gb300+(1-cust_sh)*((1-Sens!$G$6018)*tk_ox_gb300+Sens!$G$6018*tk_ox_vr200)</f>
        <v>1.98263481314457</v>
      </c>
      <c r="H6020" s="36" t="n">
        <f aca="false">cust_sh*tk_ox_gb300+(1-cust_sh)*((1-Sens!$H$6018)*tk_ox_gb300+Sens!$H$6018*tk_ox_vr200)</f>
        <v>2.01034999693694</v>
      </c>
      <c r="I6020" s="36" t="n">
        <f aca="false">cust_sh*tk_ox_gb300+(1-cust_sh)*((1-Sens!$I$6018)*tk_ox_gb300+Sens!$I$6018*tk_ox_vr200)</f>
        <v>2.0380651807293</v>
      </c>
      <c r="J6020" s="36" t="n">
        <f aca="false">cust_sh*tk_ox_gb300+(1-cust_sh)*((1-Sens!$J$6018)*tk_ox_gb300+Sens!$J$6018*tk_ox_vr200)</f>
        <v>2.0380651807293</v>
      </c>
      <c r="K6020" s="36" t="n">
        <f aca="false">cust_sh*tk_ox_gb300+(1-cust_sh)*((1-Sens!$K$6018)*tk_ox_gb300+Sens!$K$6018*tk_ox_vr200)</f>
        <v>2.0380651807293</v>
      </c>
      <c r="L6020" s="36" t="n">
        <f aca="false">cust_sh*tk_ox_gb300+(1-cust_sh)*((1-Sens!$L$6018)*tk_ox_gb300+Sens!$L$6018*tk_ox_vr200)</f>
        <v>2.0380651807293</v>
      </c>
      <c r="M6020" s="36" t="n">
        <f aca="false">cust_sh*tk_ox_gb300+(1-cust_sh)*((1-Sens!$M$6018)*tk_ox_gb300+Sens!$M$6018*tk_ox_vr200)</f>
        <v>2.0380651807293</v>
      </c>
    </row>
    <row r="6021" customFormat="false" ht="17.15" hidden="false" customHeight="false" outlineLevel="0" collapsed="false">
      <c r="A6021" s="5" t="s">
        <v>563</v>
      </c>
      <c r="B6021" s="0" t="s">
        <v>170</v>
      </c>
      <c r="F6021" s="36" t="n">
        <f aca="false">cust_sh*tk_cx_gb300*cf_cx+(1-cust_sh)*((1-Sens!$F$6018)*tk_cx_gb300+Sens!$F$6018*tk_cx_vr200)</f>
        <v>32.237224</v>
      </c>
      <c r="G6021" s="36" t="n">
        <f aca="false">cust_sh*tk_cx_gb300*cf_cx+(1-cust_sh)*((1-Sens!$G$6018)*tk_cx_gb300+Sens!$G$6018*tk_cx_vr200)</f>
        <v>32.237224</v>
      </c>
      <c r="H6021" s="36" t="n">
        <f aca="false">cust_sh*tk_cx_gb300*cf_cx+(1-cust_sh)*((1-Sens!$H$6018)*tk_cx_gb300+Sens!$H$6018*tk_cx_vr200)</f>
        <v>33.574506</v>
      </c>
      <c r="I6021" s="36" t="n">
        <f aca="false">cust_sh*tk_cx_gb300*cf_cx+(1-cust_sh)*((1-Sens!$I$6018)*tk_cx_gb300+Sens!$I$6018*tk_cx_vr200)</f>
        <v>34.911788</v>
      </c>
      <c r="J6021" s="36" t="n">
        <f aca="false">cust_sh*tk_cx_gb300*cf_cx+(1-cust_sh)*((1-Sens!$J$6018)*tk_cx_gb300+Sens!$J$6018*tk_cx_vr200)</f>
        <v>34.911788</v>
      </c>
      <c r="K6021" s="36" t="n">
        <f aca="false">cust_sh*tk_cx_gb300*cf_cx+(1-cust_sh)*((1-Sens!$K$6018)*tk_cx_gb300+Sens!$K$6018*tk_cx_vr200)</f>
        <v>34.911788</v>
      </c>
      <c r="L6021" s="36" t="n">
        <f aca="false">cust_sh*tk_cx_gb300*cf_cx+(1-cust_sh)*((1-Sens!$L$6018)*tk_cx_gb300+Sens!$L$6018*tk_cx_vr200)</f>
        <v>34.911788</v>
      </c>
      <c r="M6021" s="36" t="n">
        <f aca="false">cust_sh*tk_cx_gb300*cf_cx+(1-cust_sh)*((1-Sens!$M$6018)*tk_cx_gb300+Sens!$M$6018*tk_cx_vr200)</f>
        <v>34.911788</v>
      </c>
    </row>
    <row r="6022" customFormat="false" ht="17.15" hidden="false" customHeight="false" outlineLevel="0" collapsed="false">
      <c r="A6022" s="5" t="s">
        <v>564</v>
      </c>
      <c r="B6022" s="0" t="s">
        <v>108</v>
      </c>
      <c r="F6022" s="33" t="n">
        <f aca="false">Sens!$F$6012-mw_open</f>
        <v>1817.15</v>
      </c>
      <c r="G6022" s="33" t="n">
        <f aca="false">Sens!$F$6022</f>
        <v>1817.15</v>
      </c>
      <c r="H6022" s="33" t="n">
        <f aca="false">Sens!$H$6012-mw_open</f>
        <v>5451.45</v>
      </c>
      <c r="I6022" s="33" t="n">
        <f aca="false">Sens!$I$6012-mw_open</f>
        <v>9085.75</v>
      </c>
      <c r="J6022" s="33" t="n">
        <f aca="false">Sens!$J$6012-mw_open</f>
        <v>12720.05</v>
      </c>
      <c r="K6022" s="33" t="n">
        <f aca="false">Sens!$K$6012-mw_open</f>
        <v>16354.35</v>
      </c>
      <c r="L6022" s="33" t="n">
        <f aca="false">Sens!$L$6012-mw_open</f>
        <v>19988.65</v>
      </c>
      <c r="M6022" s="33" t="n">
        <f aca="false">Sens!$M$6012-mw_open</f>
        <v>23622.95</v>
      </c>
    </row>
    <row r="6023" customFormat="false" ht="17.15" hidden="false" customHeight="false" outlineLevel="0" collapsed="false">
      <c r="A6023" s="0" t="s">
        <v>565</v>
      </c>
      <c r="B6023" s="0" t="s">
        <v>566</v>
      </c>
      <c r="F6023" s="33" t="n">
        <f aca="false">Sens!$F$6015*Sens!$F$6019</f>
        <v>19782.2417524844</v>
      </c>
      <c r="G6023" s="33" t="n">
        <f aca="false">Sens!$F$6023</f>
        <v>19782.2417524844</v>
      </c>
      <c r="H6023" s="33" t="n">
        <f aca="false">Sens!$G$6023+Sens!$H$6015*Sens!$H$6019</f>
        <v>60563.3616992009</v>
      </c>
      <c r="I6023" s="33" t="n">
        <f aca="false">Sens!$H$6023+Sens!$I$6015*Sens!$I$6019</f>
        <v>102561.118087665</v>
      </c>
      <c r="J6023" s="33" t="n">
        <f aca="false">Sens!$I$6023+Sens!$J$6015*Sens!$J$6019</f>
        <v>144558.87447613</v>
      </c>
      <c r="K6023" s="33" t="n">
        <f aca="false">Sens!$J$6023+Sens!$K$6015*Sens!$K$6019</f>
        <v>186556.630864594</v>
      </c>
      <c r="L6023" s="33" t="n">
        <f aca="false">Sens!$K$6023+Sens!$L$6015*Sens!$L$6019</f>
        <v>228554.387253058</v>
      </c>
      <c r="M6023" s="33" t="n">
        <f aca="false">Sens!$L$6023+Sens!$M$6015*Sens!$M$6019</f>
        <v>270552.143641523</v>
      </c>
    </row>
    <row r="6024" customFormat="false" ht="17.15" hidden="false" customHeight="false" outlineLevel="0" collapsed="false">
      <c r="A6024" s="0" t="s">
        <v>567</v>
      </c>
      <c r="B6024" s="0" t="s">
        <v>566</v>
      </c>
      <c r="F6024" s="33" t="n">
        <f aca="false">Sens!$F$6015*Sens!$F$6020</f>
        <v>3602.74485070566</v>
      </c>
      <c r="G6024" s="33" t="n">
        <f aca="false">Sens!$F$6024</f>
        <v>3602.74485070566</v>
      </c>
      <c r="H6024" s="33" t="n">
        <f aca="false">Sens!$G$6024+Sens!$H$6015*Sens!$H$6020</f>
        <v>10908.9598445736</v>
      </c>
      <c r="I6024" s="33" t="n">
        <f aca="false">Sens!$H$6024+Sens!$I$6015*Sens!$I$6020</f>
        <v>18315.9001308981</v>
      </c>
      <c r="J6024" s="33" t="n">
        <f aca="false">Sens!$I$6024+Sens!$J$6015*Sens!$J$6020</f>
        <v>25722.8404172225</v>
      </c>
      <c r="K6024" s="33" t="n">
        <f aca="false">Sens!$J$6024+Sens!$K$6015*Sens!$K$6020</f>
        <v>33129.780703547</v>
      </c>
      <c r="L6024" s="33" t="n">
        <f aca="false">Sens!$K$6024+Sens!$L$6015*Sens!$L$6020</f>
        <v>40536.7209898715</v>
      </c>
      <c r="M6024" s="33" t="n">
        <f aca="false">Sens!$L$6024+Sens!$M$6015*Sens!$M$6020</f>
        <v>47943.661276196</v>
      </c>
    </row>
    <row r="6025" customFormat="false" ht="17.15" hidden="false" customHeight="false" outlineLevel="0" collapsed="false">
      <c r="A6025" s="5" t="s">
        <v>568</v>
      </c>
      <c r="B6025" s="0" t="s">
        <v>151</v>
      </c>
      <c r="F6025" s="36" t="n">
        <f aca="false">IF(Sens!$F$6022&gt;0,Sens!$F$6023/Sens!$F$6022,Sens!$F$6019)</f>
        <v>10.8864110021101</v>
      </c>
      <c r="G6025" s="36" t="n">
        <f aca="false">IF(Sens!$G$6022&gt;0,Sens!$G$6023/Sens!$G$6022,Sens!$G$6019)</f>
        <v>10.8864110021101</v>
      </c>
      <c r="H6025" s="36" t="n">
        <f aca="false">IF(Sens!$H$6022&gt;0,Sens!$H$6023/Sens!$H$6022,Sens!$H$6019)</f>
        <v>11.1095876691891</v>
      </c>
      <c r="I6025" s="36" t="n">
        <f aca="false">IF(Sens!$I$6022&gt;0,Sens!$I$6023/Sens!$I$6022,Sens!$I$6019)</f>
        <v>11.2881290028523</v>
      </c>
      <c r="J6025" s="36" t="n">
        <f aca="false">IF(Sens!$J$6022&gt;0,Sens!$J$6023/Sens!$J$6022,Sens!$J$6019)</f>
        <v>11.3646467172794</v>
      </c>
      <c r="K6025" s="36" t="n">
        <f aca="false">IF(Sens!$K$6022&gt;0,Sens!$K$6023/Sens!$K$6022,Sens!$K$6019)</f>
        <v>11.4071565586278</v>
      </c>
      <c r="L6025" s="36" t="n">
        <f aca="false">IF(Sens!$L$6022&gt;0,Sens!$L$6023/Sens!$L$6022,Sens!$L$6019)</f>
        <v>11.4342082758495</v>
      </c>
      <c r="M6025" s="36" t="n">
        <f aca="false">IF(Sens!$M$6022&gt;0,Sens!$M$6023/Sens!$M$6022,Sens!$M$6019)</f>
        <v>11.4529363877722</v>
      </c>
    </row>
    <row r="6026" customFormat="false" ht="17.15" hidden="false" customHeight="false" outlineLevel="0" collapsed="false">
      <c r="A6026" s="5" t="s">
        <v>569</v>
      </c>
      <c r="B6026" s="0" t="s">
        <v>151</v>
      </c>
      <c r="F6026" s="36" t="n">
        <f aca="false">IF(Sens!$F$6022&gt;0,Sens!$F$6024/Sens!$F$6022,Sens!$F$6020)</f>
        <v>1.98263481314457</v>
      </c>
      <c r="G6026" s="36" t="n">
        <f aca="false">IF(Sens!$G$6022&gt;0,Sens!$G$6024/Sens!$G$6022,Sens!$G$6020)</f>
        <v>1.98263481314457</v>
      </c>
      <c r="H6026" s="36" t="n">
        <f aca="false">IF(Sens!$H$6022&gt;0,Sens!$H$6024/Sens!$H$6022,Sens!$H$6020)</f>
        <v>2.00111160233948</v>
      </c>
      <c r="I6026" s="36" t="n">
        <f aca="false">IF(Sens!$I$6022&gt;0,Sens!$I$6024/Sens!$I$6022,Sens!$I$6020)</f>
        <v>2.01589303369541</v>
      </c>
      <c r="J6026" s="36" t="n">
        <f aca="false">IF(Sens!$J$6022&gt;0,Sens!$J$6024/Sens!$J$6022,Sens!$J$6020)</f>
        <v>2.02222793284795</v>
      </c>
      <c r="K6026" s="36" t="n">
        <f aca="false">IF(Sens!$K$6022&gt;0,Sens!$K$6024/Sens!$K$6022,Sens!$K$6020)</f>
        <v>2.02574732126603</v>
      </c>
      <c r="L6026" s="36" t="n">
        <f aca="false">IF(Sens!$L$6022&gt;0,Sens!$L$6024/Sens!$L$6022,Sens!$L$6020)</f>
        <v>2.02798693207753</v>
      </c>
      <c r="M6026" s="36" t="n">
        <f aca="false">IF(Sens!$M$6022&gt;0,Sens!$M$6024/Sens!$M$6022,Sens!$M$6020)</f>
        <v>2.02953743187011</v>
      </c>
    </row>
    <row r="6027" customFormat="false" ht="17.15" hidden="false" customHeight="false" outlineLevel="0" collapsed="false">
      <c r="A6027" s="14" t="s">
        <v>570</v>
      </c>
      <c r="B6027" s="13" t="s">
        <v>151</v>
      </c>
      <c r="C6027" s="13"/>
      <c r="D6027" s="13"/>
      <c r="E6027" s="13"/>
      <c r="F6027" s="37" t="n">
        <f aca="false">Sens!$F$6025*k_B</f>
        <v>10.7987645808025</v>
      </c>
      <c r="G6027" s="37" t="n">
        <f aca="false">Sens!$G$6025*k_B</f>
        <v>10.7987645808025</v>
      </c>
      <c r="H6027" s="37" t="n">
        <f aca="false">Sens!$H$6025*k_B</f>
        <v>11.0201444540452</v>
      </c>
      <c r="I6027" s="37" t="n">
        <f aca="false">Sens!$I$6025*k_B</f>
        <v>11.1972483526393</v>
      </c>
      <c r="J6027" s="37" t="n">
        <f aca="false">Sens!$J$6025*k_B</f>
        <v>11.2731500234653</v>
      </c>
      <c r="K6027" s="37" t="n">
        <f aca="false">Sens!$K$6025*k_B</f>
        <v>11.3153176183687</v>
      </c>
      <c r="L6027" s="37" t="n">
        <f aca="false">Sens!$L$6025*k_B</f>
        <v>11.3421515423981</v>
      </c>
      <c r="M6027" s="37" t="n">
        <f aca="false">Sens!$M$6025*k_B</f>
        <v>11.3607288744184</v>
      </c>
      <c r="N6027" s="13"/>
      <c r="O6027" s="13"/>
      <c r="P6027" s="5" t="s">
        <v>571</v>
      </c>
    </row>
    <row r="6028" customFormat="false" ht="17.15" hidden="false" customHeight="false" outlineLevel="0" collapsed="false">
      <c r="A6028" s="5" t="s">
        <v>572</v>
      </c>
      <c r="B6028" s="0" t="s">
        <v>108</v>
      </c>
      <c r="F6028" s="33" t="n">
        <f aca="false">Sens!$F$6022/2</f>
        <v>908.575</v>
      </c>
      <c r="H6028" s="33" t="n">
        <f aca="false">(Sens!$G$6022+Sens!$H$6022)/2</f>
        <v>3634.3</v>
      </c>
      <c r="I6028" s="33" t="n">
        <f aca="false">(Sens!$H$6022+Sens!$I$6022)/2</f>
        <v>7268.6</v>
      </c>
      <c r="J6028" s="33" t="n">
        <f aca="false">(Sens!$I$6022+Sens!$J$6022)/2</f>
        <v>10902.9</v>
      </c>
      <c r="K6028" s="33" t="n">
        <f aca="false">(Sens!$J$6022+Sens!$K$6022)/2</f>
        <v>14537.2</v>
      </c>
      <c r="L6028" s="33" t="n">
        <f aca="false">(Sens!$K$6022+Sens!$L$6022)/2</f>
        <v>18171.5</v>
      </c>
      <c r="M6028" s="33" t="n">
        <f aca="false">(Sens!$L$6022+Sens!$M$6022)/2</f>
        <v>21805.8</v>
      </c>
    </row>
    <row r="6029" customFormat="false" ht="17.15" hidden="false" customHeight="false" outlineLevel="0" collapsed="false">
      <c r="A6029" s="1" t="s">
        <v>573</v>
      </c>
    </row>
    <row r="6030" customFormat="false" ht="17.15" hidden="false" customHeight="false" outlineLevel="0" collapsed="false">
      <c r="A6030" s="1" t="s">
        <v>574</v>
      </c>
      <c r="B6030" s="8" t="s">
        <v>73</v>
      </c>
      <c r="C6030" s="38" t="n">
        <f aca="false">Sens!$C$6013*rpm_open*Sens!$C$6014/1000</f>
        <v>2.32100535697364</v>
      </c>
      <c r="D6030" s="38" t="n">
        <f aca="false">Sens!$D$6013*rpm_open*Sens!$D$6014/1000</f>
        <v>8.70377008865116</v>
      </c>
      <c r="E6030" s="38" t="n">
        <f aca="false">Sens!$E$6013*rpm_open*Sens!$E$6014/1000</f>
        <v>8.51035297557002</v>
      </c>
      <c r="F6030" s="38" t="n">
        <f aca="false">(mw_open*rpm_open+Sens!$F$6028*Sens!$F$6027)*Sens!$F$6014/1000</f>
        <v>14.9634336447205</v>
      </c>
      <c r="G6030" s="38" t="n">
        <f aca="false">Sens!$E$6030+Sens!$F$6030</f>
        <v>23.4737866202905</v>
      </c>
      <c r="H6030" s="38" t="n">
        <f aca="false">(mw_open*rpm_open+Sens!$H$6028*Sens!$H$6027)/1000</f>
        <v>60.1658907497746</v>
      </c>
      <c r="I6030" s="38" t="n">
        <f aca="false">(mw_open*rpm_open+Sens!$I$6028*Sens!$I$6027)/1000</f>
        <v>101.503699136432</v>
      </c>
      <c r="J6030" s="38" t="n">
        <f aca="false">(mw_open*rpm_open+Sens!$J$6028*Sens!$J$6027)/1000</f>
        <v>143.025407151278</v>
      </c>
      <c r="K6030" s="38" t="n">
        <f aca="false">(mw_open*rpm_open+Sens!$K$6028*Sens!$K$6027)/1000</f>
        <v>184.608415042187</v>
      </c>
      <c r="L6030" s="38" t="n">
        <f aca="false">(mw_open*rpm_open+Sens!$L$6028*Sens!$L$6027)/1000</f>
        <v>226.219286513125</v>
      </c>
      <c r="M6030" s="38" t="n">
        <f aca="false">(mw_open*rpm_open+Sens!$M$6028*Sens!$M$6027)/1000</f>
        <v>267.845161450232</v>
      </c>
      <c r="N6030" s="38" t="n">
        <f aca="false">Sens!$N$6013*rpm_open*Sens!$N$6014/1000</f>
        <v>3.04631953102791</v>
      </c>
      <c r="O6030" s="38" t="n">
        <f aca="false">Sens!$O$6013*rpm_open*Sens!$O$6014/1000</f>
        <v>5.65745055762326</v>
      </c>
      <c r="P6030" s="5" t="s">
        <v>575</v>
      </c>
    </row>
    <row r="6031" customFormat="false" ht="17.15" hidden="false" customHeight="false" outlineLevel="0" collapsed="false">
      <c r="A6031" s="5" t="s">
        <v>576</v>
      </c>
      <c r="B6031" s="0" t="s">
        <v>151</v>
      </c>
      <c r="C6031" s="36" t="n">
        <f aca="false">Sens!$C$6030*1000/(Sens!$C$6013*Sens!$C$6014)</f>
        <v>9.67085565405685</v>
      </c>
      <c r="D6031" s="36" t="n">
        <f aca="false">Sens!$D$6030*1000/(Sens!$D$6013*Sens!$D$6014)</f>
        <v>9.67085565405685</v>
      </c>
      <c r="E6031" s="36" t="n">
        <f aca="false">Sens!$E$6030*1000/(Sens!$E$6013*Sens!$E$6014)</f>
        <v>9.67085565405685</v>
      </c>
      <c r="F6031" s="36" t="n">
        <f aca="false">Sens!$F$6030*1000/(Sens!$F$6013*Sens!$F$6014)</f>
        <v>10.0137581588017</v>
      </c>
      <c r="G6031" s="36" t="n">
        <f aca="false">Sens!$G$6030*1000/(Sens!$G$6013*Sens!$G$6014)</f>
        <v>9.88666562928478</v>
      </c>
      <c r="H6031" s="36" t="n">
        <f aca="false">Sens!$H$6030*1000/(Sens!$H$6013*Sens!$H$6014)</f>
        <v>10.5290045586992</v>
      </c>
      <c r="I6031" s="36" t="n">
        <f aca="false">Sens!$I$6030*1000/(Sens!$I$6013*Sens!$I$6014)</f>
        <v>10.8576363451674</v>
      </c>
      <c r="J6031" s="36" t="n">
        <f aca="false">Sens!$J$6030*1000/(Sens!$J$6013*Sens!$J$6014)</f>
        <v>11.0164452588619</v>
      </c>
      <c r="K6031" s="36" t="n">
        <f aca="false">Sens!$K$6030*1000/(Sens!$K$6013*Sens!$K$6014)</f>
        <v>11.1094778327388</v>
      </c>
      <c r="L6031" s="36" t="n">
        <f aca="false">Sens!$L$6030*1000/(Sens!$L$6013*Sens!$L$6014)</f>
        <v>11.1704953466718</v>
      </c>
      <c r="M6031" s="36" t="n">
        <f aca="false">Sens!$M$6030*1000/(Sens!$M$6013*Sens!$M$6014)</f>
        <v>11.2135729785158</v>
      </c>
      <c r="N6031" s="36" t="n">
        <f aca="false">Sens!$N$6030*1000/(Sens!$N$6013*Sens!$N$6014)</f>
        <v>9.67085565405685</v>
      </c>
      <c r="O6031" s="36" t="n">
        <f aca="false">Sens!$O$6030*1000/(Sens!$O$6013*Sens!$O$6014)</f>
        <v>9.67085565405685</v>
      </c>
    </row>
    <row r="6032" customFormat="false" ht="17.15" hidden="false" customHeight="false" outlineLevel="0" collapsed="false">
      <c r="A6032" s="0" t="s">
        <v>577</v>
      </c>
      <c r="B6032" s="0" t="s">
        <v>73</v>
      </c>
      <c r="C6032" s="38" t="n">
        <f aca="false">Sens!$C$6013/ext_sh*(ox_open+rent_mw)*Sens!$C$6014/1000</f>
        <v>0.642569210675032</v>
      </c>
      <c r="D6032" s="38" t="n">
        <f aca="false">Sens!$D$6013/ext_sh*(ox_open+rent_mw)*Sens!$D$6014/1000</f>
        <v>2.40963454003137</v>
      </c>
      <c r="E6032" s="38" t="n">
        <f aca="false">Sens!$E$6013/ext_sh*(ox_open+rent_mw)*Sens!$E$6014/1000</f>
        <v>2.35608710580845</v>
      </c>
      <c r="F6032" s="38" t="n">
        <f aca="false">((mw_open*ox_open+Sens!$F$6028*Sens!$F$6026)/ext_sh+Sens!$F$6013/ext_sh*rent_mw)*Sens!$F$6014/1000</f>
        <v>4.05421991106232</v>
      </c>
      <c r="G6032" s="38" t="n">
        <f aca="false">Sens!$E$6032+Sens!$F$6032</f>
        <v>6.41030701687077</v>
      </c>
      <c r="H6032" s="38" t="n">
        <f aca="false">((mw_open*ox_open+Sens!$H$6028*Sens!$H$6026)/ext_sh+Sens!$H$6013/ext_sh*rent_mw)*Sens!$H$6014/1000</f>
        <v>15.8108975546616</v>
      </c>
      <c r="I6032" s="38" t="n">
        <f aca="false">((mw_open*ox_open+Sens!$I$6028*Sens!$I$6026)/ext_sh+Sens!$I$6013/ext_sh*rent_mw)*Sens!$I$6014/1000</f>
        <v>26.1871623400817</v>
      </c>
      <c r="J6032" s="38" t="n">
        <f aca="false">((mw_open*ox_open+Sens!$J$6028*Sens!$J$6026)/ext_sh+Sens!$J$6013/ext_sh*rent_mw)*Sens!$J$6014/1000</f>
        <v>36.5826128954935</v>
      </c>
      <c r="K6032" s="38" t="n">
        <f aca="false">((mw_open*ox_open+Sens!$K$6028*Sens!$K$6026)/ext_sh+Sens!$K$6013/ext_sh*rent_mw)*Sens!$K$6014/1000</f>
        <v>46.9844587075692</v>
      </c>
      <c r="L6032" s="38" t="n">
        <f aca="false">((mw_open*ox_open+Sens!$L$6028*Sens!$L$6026)/ext_sh+Sens!$L$6013/ext_sh*rent_mw)*Sens!$L$6014/1000</f>
        <v>57.3892114544922</v>
      </c>
      <c r="M6032" s="38" t="n">
        <f aca="false">((mw_open*ox_open+Sens!$M$6028*Sens!$M$6026)/ext_sh+Sens!$M$6013/ext_sh*rent_mw)*Sens!$M$6014/1000</f>
        <v>67.7955294740252</v>
      </c>
      <c r="N6032" s="38" t="n">
        <f aca="false">Sens!$N$6013/ext_sh*(ox_open+rent_mw)*Sens!$N$6014/1000</f>
        <v>0.84337208901098</v>
      </c>
      <c r="O6032" s="38" t="n">
        <f aca="false">Sens!$O$6013/ext_sh*(ox_open+rent_mw)*Sens!$O$6014/1000</f>
        <v>1.56626245102039</v>
      </c>
    </row>
    <row r="6033" customFormat="false" ht="17.15" hidden="false" customHeight="false" outlineLevel="0" collapsed="false">
      <c r="A6033" s="0" t="s">
        <v>578</v>
      </c>
      <c r="B6033" s="0" t="s">
        <v>73</v>
      </c>
      <c r="C6033" s="38" t="n">
        <f aca="false">Q!$D$7</f>
        <v>107.556</v>
      </c>
      <c r="D6033" s="38" t="n">
        <f aca="false">Q!$E$7</f>
        <v>128.725</v>
      </c>
      <c r="E6033" s="38" t="n">
        <f aca="false">Q!$P$7</f>
        <v>79.819</v>
      </c>
      <c r="N6033" s="38" t="n">
        <f aca="false">Q!$N$7</f>
        <v>60.14</v>
      </c>
      <c r="O6033" s="38" t="n">
        <f aca="false">Q!$O$7</f>
        <v>68.585</v>
      </c>
    </row>
    <row r="6034" customFormat="false" ht="17.15" hidden="false" customHeight="false" outlineLevel="0" collapsed="false">
      <c r="A6034" s="1" t="s">
        <v>579</v>
      </c>
      <c r="B6034" s="8" t="s">
        <v>73</v>
      </c>
      <c r="C6034" s="38" t="n">
        <f aca="false">Sens!$C$6033-Sens!$C$6030</f>
        <v>105.234994643026</v>
      </c>
      <c r="D6034" s="38" t="n">
        <f aca="false">Sens!$D$6033-Sens!$D$6030</f>
        <v>120.021229911349</v>
      </c>
      <c r="E6034" s="38" t="n">
        <f aca="false">Sens!$E$6033-Sens!$E$6030</f>
        <v>71.30864702443</v>
      </c>
      <c r="F6034" s="38" t="n">
        <f aca="false">Sens!$O$6034*(1+Sens!$F$6035)</f>
        <v>78.5950104186653</v>
      </c>
      <c r="G6034" s="38" t="n">
        <f aca="false">Sens!$E$6034+Sens!$F$6034</f>
        <v>149.903657443095</v>
      </c>
      <c r="H6034" s="38" t="n">
        <f aca="false">Sens!$G$6034*(1+Sens!$H$6035)</f>
        <v>180.893560768142</v>
      </c>
      <c r="I6034" s="38" t="n">
        <f aca="false">Sens!$H$6034*(1+Sens!$I$6035)</f>
        <v>210.64839721501</v>
      </c>
      <c r="J6034" s="38" t="n">
        <f aca="false">Sens!$I$6034*(1+Sens!$J$6035)</f>
        <v>236.398909446495</v>
      </c>
      <c r="K6034" s="38" t="n">
        <f aca="false">Sens!$J$6034*(1+Sens!$K$6035)</f>
        <v>255.310822202215</v>
      </c>
      <c r="L6034" s="38" t="n">
        <f aca="false">Sens!$K$6034*(1+Sens!$L$6035)</f>
        <v>275.735687978392</v>
      </c>
      <c r="M6034" s="38" t="n">
        <f aca="false">Sens!$L$6034*(1+Sens!$M$6035)</f>
        <v>297.794543016663</v>
      </c>
      <c r="N6034" s="38" t="n">
        <f aca="false">Sens!$N$6033-Sens!$N$6030</f>
        <v>57.0936804689721</v>
      </c>
      <c r="O6034" s="38" t="n">
        <f aca="false">Sens!$O$6033-Sens!$O$6030</f>
        <v>62.9275494423768</v>
      </c>
      <c r="P6034" s="5" t="s">
        <v>580</v>
      </c>
    </row>
    <row r="6035" customFormat="false" ht="17.15" hidden="false" customHeight="false" outlineLevel="0" collapsed="false">
      <c r="A6035" s="0" t="s">
        <v>581</v>
      </c>
      <c r="B6035" s="0" t="s">
        <v>52</v>
      </c>
      <c r="E6035" s="12" t="n">
        <f aca="false">Sens!$E$6034/Sens!$N$6034-1</f>
        <v>0.248976181579029</v>
      </c>
      <c r="F6035" s="12" t="n">
        <f aca="false">Sens!$E$6035</f>
        <v>0.248976181579029</v>
      </c>
      <c r="G6035" s="12" t="n">
        <f aca="false">Sens!$G$6034/Sens!$D$6034-1</f>
        <v>0.248976181579029</v>
      </c>
      <c r="H6035" s="12" t="n">
        <f aca="false">Sens!$E$6035+(g_awso_lt-Sens!$E$6035)*1/4</f>
        <v>0.206732136184272</v>
      </c>
      <c r="I6035" s="12" t="n">
        <f aca="false">Sens!$E$6035+(g_awso_lt-Sens!$E$6035)*2/4</f>
        <v>0.164488090789515</v>
      </c>
      <c r="J6035" s="12" t="n">
        <f aca="false">Sens!$E$6035+(g_awso_lt-Sens!$E$6035)*3/4</f>
        <v>0.122244045394757</v>
      </c>
      <c r="K6035" s="12" t="n">
        <f aca="false">Sens!$E$6035+(g_awso_lt-Sens!$E$6035)*4/4</f>
        <v>0.08</v>
      </c>
      <c r="L6035" s="12" t="n">
        <f aca="false">g_awso_lt</f>
        <v>0.08</v>
      </c>
      <c r="M6035" s="12" t="n">
        <f aca="false">g_awso_lt</f>
        <v>0.08</v>
      </c>
      <c r="P6035" s="8" t="s">
        <v>582</v>
      </c>
    </row>
    <row r="6036" customFormat="false" ht="17.15" hidden="false" customHeight="false" outlineLevel="0" collapsed="false">
      <c r="A6036" s="1" t="s">
        <v>583</v>
      </c>
    </row>
    <row r="6037" customFormat="false" ht="17.15" hidden="false" customHeight="false" outlineLevel="0" collapsed="false">
      <c r="A6037" s="0" t="s">
        <v>584</v>
      </c>
      <c r="B6037" s="0" t="s">
        <v>73</v>
      </c>
      <c r="F6037" s="38" t="n">
        <f aca="false">cx_rt*Sens!$F$6003+cx_awso*Sens!$F$6034</f>
        <v>36.8045765066526</v>
      </c>
    </row>
    <row r="6038" customFormat="false" ht="17.15" hidden="false" customHeight="false" outlineLevel="0" collapsed="false">
      <c r="A6038" s="0" t="s">
        <v>585</v>
      </c>
      <c r="B6038" s="0" t="s">
        <v>52</v>
      </c>
      <c r="C6038" s="12" t="n">
        <f aca="false">tk_cx_h100/(tk_cx_h100+tk_fac*(1-colo_sh))</f>
        <v>0.730756458006641</v>
      </c>
      <c r="D6038" s="12" t="n">
        <f aca="false">tk_cx_h100/(tk_cx_h100+tk_fac*(1-colo_sh))</f>
        <v>0.730756458006641</v>
      </c>
      <c r="E6038" s="12" t="n">
        <f aca="false">Sens!$F$6038</f>
        <v>0.760792334328868</v>
      </c>
      <c r="F6038" s="12" t="n">
        <f aca="false">Sens!$F$6021/(Sens!$F$6021+tk_fac*(1-colo_sh))</f>
        <v>0.760792334328868</v>
      </c>
      <c r="G6038" s="12" t="n">
        <f aca="false">Sens!$G$6021/(Sens!$G$6021+tk_fac*(1-colo_sh))</f>
        <v>0.760792334328868</v>
      </c>
      <c r="H6038" s="12" t="n">
        <f aca="false">Sens!$H$6021/(Sens!$H$6021+tk_fac*(1-colo_sh))</f>
        <v>0.768110668862996</v>
      </c>
      <c r="I6038" s="12" t="n">
        <f aca="false">Sens!$I$6021/(Sens!$I$6021+tk_fac*(1-colo_sh))</f>
        <v>0.77499450139483</v>
      </c>
      <c r="J6038" s="12" t="n">
        <f aca="false">Sens!$J$6021/(Sens!$J$6021+tk_fac*(1-colo_sh))</f>
        <v>0.77499450139483</v>
      </c>
      <c r="K6038" s="12" t="n">
        <f aca="false">Sens!$K$6021/(Sens!$K$6021+tk_fac*(1-colo_sh))</f>
        <v>0.77499450139483</v>
      </c>
      <c r="L6038" s="12" t="n">
        <f aca="false">Sens!$L$6021/(Sens!$L$6021+tk_fac*(1-colo_sh))</f>
        <v>0.77499450139483</v>
      </c>
      <c r="M6038" s="12" t="n">
        <f aca="false">Sens!$M$6021/(Sens!$M$6021+tk_fac*(1-colo_sh))</f>
        <v>0.77499450139483</v>
      </c>
    </row>
    <row r="6039" customFormat="false" ht="17.15" hidden="false" customHeight="false" outlineLevel="0" collapsed="false">
      <c r="A6039" s="1" t="s">
        <v>586</v>
      </c>
      <c r="B6039" s="8" t="s">
        <v>73</v>
      </c>
      <c r="C6039" s="38" t="n">
        <f aca="false">Q!$D$46-cx_rt*Q!$D$16-cx_awso*Sens!$C$6034</f>
        <v>25.2781053077374</v>
      </c>
      <c r="D6039" s="38" t="n">
        <f aca="false">Q!$E$46-cx_rt*Q!$E$16-cx_awso*Sens!$D$6034</f>
        <v>69.5686316310026</v>
      </c>
      <c r="E6039" s="38" t="n">
        <f aca="false">Q!$P$46-cx_rt*Q!$P$16-cx_awso*Sens!$E$6034</f>
        <v>64.1899206485108</v>
      </c>
      <c r="F6039" s="38" t="n">
        <f aca="false">MAX(Sens!$F$6016*(Sens!$F$6021+tk_fac*(1-colo_sh))/1000,capex_g26-Q!$P$46-Sens!$F$6037)</f>
        <v>96.2481299895</v>
      </c>
      <c r="G6039" s="38" t="n">
        <f aca="false">Sens!$E$6039+Sens!$F$6039</f>
        <v>160.438050638011</v>
      </c>
      <c r="H6039" s="38" t="n">
        <f aca="false">Sens!$H$6016*(Sens!$H$6021+tk_fac*(1-colo_sh))/1000+Sens!$H$6040</f>
        <v>198.57136494475</v>
      </c>
      <c r="I6039" s="38" t="n">
        <f aca="false">Sens!$I$6016*(Sens!$I$6021+tk_fac*(1-colo_sh))/1000+Sens!$I$6040</f>
        <v>204.6464699105</v>
      </c>
      <c r="J6039" s="38" t="n">
        <f aca="false">Sens!$J$6016*(Sens!$J$6021+tk_fac*(1-colo_sh))/1000+Sens!$J$6040</f>
        <v>209.8832381105</v>
      </c>
      <c r="K6039" s="38" t="n">
        <f aca="false">Sens!$K$6016*(Sens!$K$6021+tk_fac*(1-colo_sh))/1000+Sens!$K$6040</f>
        <v>215.1200063105</v>
      </c>
      <c r="L6039" s="38" t="n">
        <f aca="false">Sens!$L$6016*(Sens!$L$6021+tk_fac*(1-colo_sh))/1000+Sens!$L$6040</f>
        <v>251.7773837105</v>
      </c>
      <c r="M6039" s="38" t="n">
        <f aca="false">Sens!$M$6016*(Sens!$M$6021+tk_fac*(1-colo_sh))/1000+Sens!$M$6040</f>
        <v>311.87584476575</v>
      </c>
      <c r="P6039" s="5" t="s">
        <v>587</v>
      </c>
      <c r="R6039" s="38" t="n">
        <f aca="false">Q!$C$46-cx_rt*Q!$C$16-cx_awso*(Q!$C$7-mw_ye23/2*rpm_open/1000)</f>
        <v>1.50429979529945</v>
      </c>
      <c r="S6039" s="38" t="n">
        <f aca="false">Sens!$C$6039</f>
        <v>25.2781053077374</v>
      </c>
      <c r="T6039" s="38" t="n">
        <f aca="false">Sens!$D$6039</f>
        <v>69.5686316310026</v>
      </c>
      <c r="U6039" s="38" t="n">
        <f aca="false">Sens!$G$6039</f>
        <v>160.438050638011</v>
      </c>
      <c r="V6039" s="38" t="n">
        <f aca="false">Sens!$H$6039</f>
        <v>198.57136494475</v>
      </c>
      <c r="W6039" s="38" t="n">
        <f aca="false">Sens!$I$6039</f>
        <v>204.6464699105</v>
      </c>
      <c r="X6039" s="38" t="n">
        <f aca="false">Sens!$J$6039</f>
        <v>209.8832381105</v>
      </c>
      <c r="Y6039" s="38" t="n">
        <f aca="false">Sens!$K$6039</f>
        <v>215.1200063105</v>
      </c>
      <c r="Z6039" s="38" t="n">
        <f aca="false">Sens!$L$6039</f>
        <v>251.7773837105</v>
      </c>
      <c r="AA6039" s="38" t="n">
        <f aca="false">Sens!$M$6039</f>
        <v>311.87584476575</v>
      </c>
    </row>
    <row r="6040" customFormat="false" ht="17.15" hidden="false" customHeight="false" outlineLevel="0" collapsed="false">
      <c r="A6040" s="0" t="s">
        <v>588</v>
      </c>
      <c r="B6040" s="0" t="s">
        <v>73</v>
      </c>
      <c r="H6040" s="38" t="n">
        <f aca="false">SUMPRODUCT(--(Sens!$R$6010:$AA$6010=2027-tk_life),Sens!$R$6016:$AA$6016)*Sens!$H$6021/1000</f>
        <v>0</v>
      </c>
      <c r="I6040" s="38" t="n">
        <f aca="false">SUMPRODUCT(--(Sens!$R$6010:$AA$6010=2028-tk_life),Sens!$R$6016:$AA$6016)*Sens!$I$6021/1000</f>
        <v>0</v>
      </c>
      <c r="J6040" s="38" t="n">
        <f aca="false">SUMPRODUCT(--(Sens!$R$6010:$AA$6010=2029-tk_life),Sens!$R$6016:$AA$6016)*Sens!$J$6021/1000</f>
        <v>5.2367682</v>
      </c>
      <c r="K6040" s="38" t="n">
        <f aca="false">SUMPRODUCT(--(Sens!$R$6010:$AA$6010=2030-tk_life),Sens!$R$6016:$AA$6016)*Sens!$K$6021/1000</f>
        <v>10.4735364</v>
      </c>
      <c r="L6040" s="38" t="n">
        <f aca="false">SUMPRODUCT(--(Sens!$R$6010:$AA$6010=2031-tk_life),Sens!$R$6016:$AA$6016)*Sens!$L$6021/1000</f>
        <v>47.1309138</v>
      </c>
      <c r="M6040" s="38" t="n">
        <f aca="false">SUMPRODUCT(--(Sens!$R$6010:$AA$6010=2032-tk_life),Sens!$R$6016:$AA$6016)*Sens!$M$6021/1000</f>
        <v>107.22937485525</v>
      </c>
    </row>
    <row r="6041" customFormat="false" ht="17.15" hidden="false" customHeight="false" outlineLevel="0" collapsed="false">
      <c r="A6041" s="5" t="s">
        <v>589</v>
      </c>
      <c r="B6041" s="0" t="s">
        <v>73</v>
      </c>
      <c r="C6041" s="38" t="n">
        <f aca="false">Sens!$C$6039*Sens!$C$6038</f>
        <v>18.472138699801</v>
      </c>
      <c r="D6041" s="38" t="n">
        <f aca="false">Sens!$D$6039*Sens!$D$6038</f>
        <v>50.8377268390402</v>
      </c>
      <c r="E6041" s="38" t="n">
        <f aca="false">Sens!$E$6039*Sens!$E$6038</f>
        <v>48.8351995705653</v>
      </c>
      <c r="F6041" s="38" t="n">
        <f aca="false">Sens!$F$6039*Sens!$F$6038</f>
        <v>73.2248394895</v>
      </c>
      <c r="G6041" s="38" t="n">
        <f aca="false">Sens!$E$6041+Sens!$F$6041</f>
        <v>122.060039060065</v>
      </c>
      <c r="H6041" s="38" t="n">
        <f aca="false">(Sens!$H$6039-Sens!$H$6040)*Sens!$H$6038+Sens!$H$6040</f>
        <v>152.52478394475</v>
      </c>
      <c r="I6041" s="38" t="n">
        <f aca="false">(Sens!$I$6039-Sens!$I$6040)*Sens!$I$6038+Sens!$I$6040</f>
        <v>158.5998889105</v>
      </c>
      <c r="J6041" s="38" t="n">
        <f aca="false">(Sens!$J$6039-Sens!$J$6040)*Sens!$J$6038+Sens!$J$6040</f>
        <v>163.8366571105</v>
      </c>
      <c r="K6041" s="38" t="n">
        <f aca="false">(Sens!$K$6039-Sens!$K$6040)*Sens!$K$6038+Sens!$K$6040</f>
        <v>169.0734253105</v>
      </c>
      <c r="L6041" s="38" t="n">
        <f aca="false">(Sens!$L$6039-Sens!$L$6040)*Sens!$L$6038+Sens!$L$6040</f>
        <v>205.7308027105</v>
      </c>
      <c r="M6041" s="38" t="n">
        <f aca="false">(Sens!$M$6039-Sens!$M$6040)*Sens!$M$6038+Sens!$M$6040</f>
        <v>265.82926376575</v>
      </c>
      <c r="R6041" s="38" t="n">
        <f aca="false">Sens!$R$6039*Sens!$C$6038</f>
        <v>1.09927679019314</v>
      </c>
      <c r="S6041" s="38" t="n">
        <f aca="false">Sens!$C$6041</f>
        <v>18.472138699801</v>
      </c>
      <c r="T6041" s="38" t="n">
        <f aca="false">Sens!$D$6041</f>
        <v>50.8377268390402</v>
      </c>
      <c r="U6041" s="38" t="n">
        <f aca="false">Sens!$G$6041</f>
        <v>122.060039060065</v>
      </c>
      <c r="V6041" s="38" t="n">
        <f aca="false">Sens!$H$6041</f>
        <v>152.52478394475</v>
      </c>
      <c r="W6041" s="38" t="n">
        <f aca="false">Sens!$I$6041</f>
        <v>158.5998889105</v>
      </c>
      <c r="X6041" s="38" t="n">
        <f aca="false">Sens!$J$6041</f>
        <v>163.8366571105</v>
      </c>
      <c r="Y6041" s="38" t="n">
        <f aca="false">Sens!$K$6041</f>
        <v>169.0734253105</v>
      </c>
      <c r="Z6041" s="38" t="n">
        <f aca="false">Sens!$L$6041</f>
        <v>205.7308027105</v>
      </c>
      <c r="AA6041" s="38" t="n">
        <f aca="false">Sens!$M$6041</f>
        <v>265.82926376575</v>
      </c>
    </row>
    <row r="6042" customFormat="false" ht="15" hidden="false" customHeight="false" outlineLevel="0" collapsed="false">
      <c r="A6042" s="5" t="s">
        <v>590</v>
      </c>
      <c r="B6042" s="0" t="s">
        <v>73</v>
      </c>
      <c r="R6042" s="38" t="n">
        <f aca="false">Sens!$R$6039-Sens!$R$6041</f>
        <v>0.405023005106309</v>
      </c>
      <c r="S6042" s="38" t="n">
        <f aca="false">Sens!$S$6039-Sens!$S$6041</f>
        <v>6.80596660793636</v>
      </c>
      <c r="T6042" s="38" t="n">
        <f aca="false">Sens!$T$6039-Sens!$T$6041</f>
        <v>18.7309047919624</v>
      </c>
      <c r="U6042" s="38" t="n">
        <f aca="false">Sens!$U$6039-Sens!$U$6041</f>
        <v>38.3780115779455</v>
      </c>
      <c r="V6042" s="38" t="n">
        <f aca="false">Sens!$V$6039-Sens!$V$6041</f>
        <v>46.046581</v>
      </c>
      <c r="W6042" s="38" t="n">
        <f aca="false">Sens!$W$6039-Sens!$W$6041</f>
        <v>46.046581</v>
      </c>
      <c r="X6042" s="38" t="n">
        <f aca="false">Sens!$X$6039-Sens!$X$6041</f>
        <v>46.046581</v>
      </c>
      <c r="Y6042" s="38" t="n">
        <f aca="false">Sens!$Y$6039-Sens!$Y$6041</f>
        <v>46.046581</v>
      </c>
      <c r="Z6042" s="38" t="n">
        <f aca="false">Sens!$Z$6039-Sens!$Z$6041</f>
        <v>46.046581</v>
      </c>
      <c r="AA6042" s="38" t="n">
        <f aca="false">Sens!$AA$6039-Sens!$AA$6041</f>
        <v>46.046581</v>
      </c>
    </row>
    <row r="6043" customFormat="false" ht="17.15" hidden="false" customHeight="false" outlineLevel="0" collapsed="false">
      <c r="A6043" s="0" t="s">
        <v>591</v>
      </c>
      <c r="B6043" s="0" t="s">
        <v>73</v>
      </c>
      <c r="C6043" s="38" t="n">
        <f aca="false">Sens!$S$6043</f>
        <v>0.183212798365523</v>
      </c>
      <c r="D6043" s="38" t="n">
        <f aca="false">Sens!$T$6043</f>
        <v>3.2619025816657</v>
      </c>
      <c r="E6043" s="38" t="n">
        <f aca="false">Sens!$G$6043/2</f>
        <v>5.86742852741953</v>
      </c>
      <c r="F6043" s="38" t="n">
        <f aca="false">Sens!$G$6043/2</f>
        <v>5.86742852741953</v>
      </c>
      <c r="G6043" s="38" t="n">
        <f aca="false">Sens!$U$6043</f>
        <v>11.7348570548391</v>
      </c>
      <c r="H6043" s="38" t="n">
        <f aca="false">Sens!$V$6043</f>
        <v>32.0781968981833</v>
      </c>
      <c r="I6043" s="38" t="n">
        <f aca="false">Sens!$W$6043</f>
        <v>57.4989942223083</v>
      </c>
      <c r="J6043" s="38" t="n">
        <f aca="false">Sens!$X$6043</f>
        <v>83.932309040725</v>
      </c>
      <c r="K6043" s="38" t="n">
        <f aca="false">Sens!$Y$6043</f>
        <v>111.055205760776</v>
      </c>
      <c r="L6043" s="38" t="n">
        <f aca="false">Sens!$Z$6043</f>
        <v>136.155420195893</v>
      </c>
      <c r="M6043" s="38" t="n">
        <f aca="false">Sens!$AA$6043</f>
        <v>161.970932841136</v>
      </c>
      <c r="N6043" s="38" t="n">
        <f aca="false">Sens!$D$6043/2</f>
        <v>1.63095129083285</v>
      </c>
      <c r="O6043" s="38" t="n">
        <f aca="false">Sens!$D$6043/2</f>
        <v>1.63095129083285</v>
      </c>
      <c r="R6043" s="38" t="n">
        <f aca="false">SUMPRODUCT(--(Sens!$R$6010:$AA$6010&lt;Sens!R$6010),--(Sens!$R$6010:$AA$6010&gt;=Sens!R$6010-tk_life),Sens!$R$6041:$AA$6041)/tk_life</f>
        <v>0</v>
      </c>
      <c r="S6043" s="38" t="n">
        <f aca="false">SUMPRODUCT(--(Sens!$R$6010:$AA$6010&lt;Sens!S$6010),--(Sens!$R$6010:$AA$6010&gt;=Sens!S$6010-tk_life),Sens!$R$6041:$AA$6041)/tk_life</f>
        <v>0.183212798365523</v>
      </c>
      <c r="T6043" s="38" t="n">
        <f aca="false">SUMPRODUCT(--(Sens!$R$6010:$AA$6010&lt;Sens!T$6010),--(Sens!$R$6010:$AA$6010&gt;=Sens!T$6010-tk_life),Sens!$R$6041:$AA$6041)/tk_life</f>
        <v>3.2619025816657</v>
      </c>
      <c r="U6043" s="38" t="n">
        <f aca="false">SUMPRODUCT(--(Sens!$R$6010:$AA$6010&lt;Sens!U$6010),--(Sens!$R$6010:$AA$6010&gt;=Sens!U$6010-tk_life),Sens!$R$6041:$AA$6041)/tk_life</f>
        <v>11.7348570548391</v>
      </c>
      <c r="V6043" s="38" t="n">
        <f aca="false">SUMPRODUCT(--(Sens!$R$6010:$AA$6010&lt;Sens!V$6010),--(Sens!$R$6010:$AA$6010&gt;=Sens!V$6010-tk_life),Sens!$R$6041:$AA$6041)/tk_life</f>
        <v>32.0781968981833</v>
      </c>
      <c r="W6043" s="38" t="n">
        <f aca="false">SUMPRODUCT(--(Sens!$R$6010:$AA$6010&lt;Sens!W$6010),--(Sens!$R$6010:$AA$6010&gt;=Sens!W$6010-tk_life),Sens!$R$6041:$AA$6041)/tk_life</f>
        <v>57.4989942223083</v>
      </c>
      <c r="X6043" s="38" t="n">
        <f aca="false">SUMPRODUCT(--(Sens!$R$6010:$AA$6010&lt;Sens!X$6010),--(Sens!$R$6010:$AA$6010&gt;=Sens!X$6010-tk_life),Sens!$R$6041:$AA$6041)/tk_life</f>
        <v>83.932309040725</v>
      </c>
      <c r="Y6043" s="38" t="n">
        <f aca="false">SUMPRODUCT(--(Sens!$R$6010:$AA$6010&lt;Sens!Y$6010),--(Sens!$R$6010:$AA$6010&gt;=Sens!Y$6010-tk_life),Sens!$R$6041:$AA$6041)/tk_life</f>
        <v>111.055205760776</v>
      </c>
      <c r="Z6043" s="38" t="n">
        <f aca="false">SUMPRODUCT(--(Sens!$R$6010:$AA$6010&lt;Sens!Z$6010),--(Sens!$R$6010:$AA$6010&gt;=Sens!Z$6010-tk_life),Sens!$R$6041:$AA$6041)/tk_life</f>
        <v>136.155420195893</v>
      </c>
      <c r="AA6043" s="38" t="n">
        <f aca="false">SUMPRODUCT(--(Sens!$R$6010:$AA$6010&lt;Sens!AA$6010),--(Sens!$R$6010:$AA$6010&gt;=Sens!AA$6010-tk_life),Sens!$R$6041:$AA$6041)/tk_life</f>
        <v>161.970932841136</v>
      </c>
    </row>
    <row r="6044" customFormat="false" ht="17.15" hidden="false" customHeight="false" outlineLevel="0" collapsed="false">
      <c r="A6044" s="0" t="s">
        <v>592</v>
      </c>
      <c r="B6044" s="0" t="s">
        <v>73</v>
      </c>
      <c r="C6044" s="38" t="n">
        <f aca="false">Sens!$S$6044</f>
        <v>0.0202511502553155</v>
      </c>
      <c r="D6044" s="38" t="n">
        <f aca="false">Sens!$T$6044</f>
        <v>0.360549480652134</v>
      </c>
      <c r="E6044" s="38" t="n">
        <f aca="false">Sens!$G$6044/2</f>
        <v>0.648547360125127</v>
      </c>
      <c r="F6044" s="38" t="n">
        <f aca="false">Sens!$G$6044/2</f>
        <v>0.648547360125127</v>
      </c>
      <c r="G6044" s="38" t="n">
        <f aca="false">Sens!$U$6044</f>
        <v>1.29709472025025</v>
      </c>
      <c r="H6044" s="38" t="n">
        <f aca="false">Sens!$V$6044</f>
        <v>3.21599529914753</v>
      </c>
      <c r="I6044" s="38" t="n">
        <f aca="false">Sens!$W$6044</f>
        <v>5.51832434914753</v>
      </c>
      <c r="J6044" s="38" t="n">
        <f aca="false">Sens!$X$6044</f>
        <v>7.82065339914753</v>
      </c>
      <c r="K6044" s="38" t="n">
        <f aca="false">Sens!$Y$6044</f>
        <v>10.1229824491475</v>
      </c>
      <c r="L6044" s="38" t="n">
        <f aca="false">Sens!$Z$6044</f>
        <v>12.4253114991475</v>
      </c>
      <c r="M6044" s="38" t="n">
        <f aca="false">Sens!$AA$6044</f>
        <v>14.7276405491475</v>
      </c>
      <c r="N6044" s="38" t="n">
        <f aca="false">Sens!$D$6044/2</f>
        <v>0.180274740326067</v>
      </c>
      <c r="O6044" s="38" t="n">
        <f aca="false">Sens!$D$6044/2</f>
        <v>0.180274740326067</v>
      </c>
      <c r="R6044" s="38" t="n">
        <f aca="false">SUMPRODUCT(--(Sens!$R$6010:$AA$6010&lt;Sens!R$6010),Sens!$R$6042:$AA$6042)/fac_life</f>
        <v>0</v>
      </c>
      <c r="S6044" s="38" t="n">
        <f aca="false">SUMPRODUCT(--(Sens!$R$6010:$AA$6010&lt;Sens!S$6010),Sens!$R$6042:$AA$6042)/fac_life</f>
        <v>0.0202511502553155</v>
      </c>
      <c r="T6044" s="38" t="n">
        <f aca="false">SUMPRODUCT(--(Sens!$R$6010:$AA$6010&lt;Sens!T$6010),Sens!$R$6042:$AA$6042)/fac_life</f>
        <v>0.360549480652134</v>
      </c>
      <c r="U6044" s="38" t="n">
        <f aca="false">SUMPRODUCT(--(Sens!$R$6010:$AA$6010&lt;Sens!U$6010),Sens!$R$6042:$AA$6042)/fac_life</f>
        <v>1.29709472025025</v>
      </c>
      <c r="V6044" s="38" t="n">
        <f aca="false">SUMPRODUCT(--(Sens!$R$6010:$AA$6010&lt;Sens!V$6010),Sens!$R$6042:$AA$6042)/fac_life</f>
        <v>3.21599529914753</v>
      </c>
      <c r="W6044" s="38" t="n">
        <f aca="false">SUMPRODUCT(--(Sens!$R$6010:$AA$6010&lt;Sens!W$6010),Sens!$R$6042:$AA$6042)/fac_life</f>
        <v>5.51832434914753</v>
      </c>
      <c r="X6044" s="38" t="n">
        <f aca="false">SUMPRODUCT(--(Sens!$R$6010:$AA$6010&lt;Sens!X$6010),Sens!$R$6042:$AA$6042)/fac_life</f>
        <v>7.82065339914753</v>
      </c>
      <c r="Y6044" s="38" t="n">
        <f aca="false">SUMPRODUCT(--(Sens!$R$6010:$AA$6010&lt;Sens!Y$6010),Sens!$R$6042:$AA$6042)/fac_life</f>
        <v>10.1229824491475</v>
      </c>
      <c r="Z6044" s="38" t="n">
        <f aca="false">SUMPRODUCT(--(Sens!$R$6010:$AA$6010&lt;Sens!Z$6010),Sens!$R$6042:$AA$6042)/fac_life</f>
        <v>12.4253114991475</v>
      </c>
      <c r="AA6044" s="38" t="n">
        <f aca="false">SUMPRODUCT(--(Sens!$R$6010:$AA$6010&lt;Sens!AA$6010),Sens!$R$6042:$AA$6042)/fac_life</f>
        <v>14.7276405491475</v>
      </c>
    </row>
    <row r="6045" customFormat="false" ht="17.15" hidden="false" customHeight="false" outlineLevel="0" collapsed="false">
      <c r="A6045" s="1" t="s">
        <v>593</v>
      </c>
      <c r="B6045" s="8" t="s">
        <v>73</v>
      </c>
      <c r="C6045" s="38" t="n">
        <f aca="false">Sens!$C$6043+Sens!$C$6044</f>
        <v>0.203463948620839</v>
      </c>
      <c r="D6045" s="38" t="n">
        <f aca="false">Sens!$D$6043+Sens!$D$6044</f>
        <v>3.62245206231783</v>
      </c>
      <c r="E6045" s="38" t="n">
        <f aca="false">Sens!$E$6043+Sens!$E$6044</f>
        <v>6.51597588754466</v>
      </c>
      <c r="F6045" s="38" t="n">
        <f aca="false">Sens!$F$6043+Sens!$F$6044</f>
        <v>6.51597588754466</v>
      </c>
      <c r="G6045" s="38" t="n">
        <f aca="false">Sens!$G$6043+Sens!$G$6044</f>
        <v>13.0319517750893</v>
      </c>
      <c r="H6045" s="38" t="n">
        <f aca="false">Sens!$H$6043+Sens!$H$6044</f>
        <v>35.2941921973308</v>
      </c>
      <c r="I6045" s="38" t="n">
        <f aca="false">Sens!$I$6043+Sens!$I$6044</f>
        <v>63.0173185714558</v>
      </c>
      <c r="J6045" s="38" t="n">
        <f aca="false">Sens!$J$6043+Sens!$J$6044</f>
        <v>91.7529624398725</v>
      </c>
      <c r="K6045" s="38" t="n">
        <f aca="false">Sens!$K$6043+Sens!$K$6044</f>
        <v>121.178188209924</v>
      </c>
      <c r="L6045" s="38" t="n">
        <f aca="false">Sens!$L$6043+Sens!$L$6044</f>
        <v>148.58073169504</v>
      </c>
      <c r="M6045" s="38" t="n">
        <f aca="false">Sens!$M$6043+Sens!$M$6044</f>
        <v>176.698573390283</v>
      </c>
      <c r="N6045" s="38" t="n">
        <f aca="false">Sens!$N$6043+Sens!$N$6044</f>
        <v>1.81122603115892</v>
      </c>
      <c r="O6045" s="38" t="n">
        <f aca="false">Sens!$O$6043+Sens!$O$6044</f>
        <v>1.81122603115892</v>
      </c>
      <c r="R6045" s="38" t="n">
        <f aca="false">Sens!$R$6043+Sens!$R$6044</f>
        <v>0</v>
      </c>
      <c r="S6045" s="38" t="n">
        <f aca="false">Sens!$S$6043+Sens!$S$6044</f>
        <v>0.203463948620839</v>
      </c>
      <c r="T6045" s="38" t="n">
        <f aca="false">Sens!$T$6043+Sens!$T$6044</f>
        <v>3.62245206231783</v>
      </c>
      <c r="U6045" s="38" t="n">
        <f aca="false">Sens!$U$6043+Sens!$U$6044</f>
        <v>13.0319517750893</v>
      </c>
      <c r="V6045" s="38" t="n">
        <f aca="false">Sens!$V$6043+Sens!$V$6044</f>
        <v>35.2941921973308</v>
      </c>
      <c r="W6045" s="38" t="n">
        <f aca="false">Sens!$W$6043+Sens!$W$6044</f>
        <v>63.0173185714558</v>
      </c>
      <c r="X6045" s="38" t="n">
        <f aca="false">Sens!$X$6043+Sens!$X$6044</f>
        <v>91.7529624398725</v>
      </c>
      <c r="Y6045" s="38" t="n">
        <f aca="false">Sens!$Y$6043+Sens!$Y$6044</f>
        <v>121.178188209924</v>
      </c>
      <c r="Z6045" s="38" t="n">
        <f aca="false">Sens!$Z$6043+Sens!$Z$6044</f>
        <v>148.58073169504</v>
      </c>
      <c r="AA6045" s="38" t="n">
        <f aca="false">Sens!$AA$6043+Sens!$AA$6044</f>
        <v>176.698573390283</v>
      </c>
    </row>
    <row r="6046" customFormat="false" ht="17.15" hidden="false" customHeight="false" outlineLevel="0" collapsed="false">
      <c r="A6046" s="0" t="s">
        <v>594</v>
      </c>
      <c r="B6046" s="0" t="s">
        <v>73</v>
      </c>
      <c r="C6046" s="38" t="n">
        <f aca="false">Sens!$S$6046</f>
        <v>26.578941154416</v>
      </c>
      <c r="D6046" s="38" t="n">
        <f aca="false">Sens!$T$6046</f>
        <v>92.5251207231008</v>
      </c>
      <c r="G6046" s="38" t="n">
        <f aca="false">Sens!$U$6046</f>
        <v>239.931219586022</v>
      </c>
      <c r="H6046" s="38" t="n">
        <f aca="false">Sens!$V$6046</f>
        <v>403.208392333442</v>
      </c>
      <c r="I6046" s="38" t="n">
        <f aca="false">Sens!$W$6046</f>
        <v>544.837543672486</v>
      </c>
      <c r="J6046" s="38" t="n">
        <f aca="false">Sens!$X$6046</f>
        <v>662.967819343113</v>
      </c>
      <c r="K6046" s="38" t="n">
        <f aca="false">Sens!$Y$6046</f>
        <v>756.90963744369</v>
      </c>
      <c r="L6046" s="38" t="n">
        <f aca="false">Sens!$Z$6046</f>
        <v>860.10628945915</v>
      </c>
      <c r="M6046" s="38" t="n">
        <f aca="false">Sens!$AA$6046</f>
        <v>995.283560834616</v>
      </c>
      <c r="R6046" s="38" t="n">
        <f aca="false">SUM(Sens!$R$6039:$R$6039)-SUM(Sens!$R$6045:$R$6045)</f>
        <v>1.50429979529945</v>
      </c>
      <c r="S6046" s="38" t="n">
        <f aca="false">SUM(Sens!$R$6039:$S$6039)-SUM(Sens!$R$6045:$S$6045)</f>
        <v>26.578941154416</v>
      </c>
      <c r="T6046" s="38" t="n">
        <f aca="false">SUM(Sens!$R$6039:$T$6039)-SUM(Sens!$R$6045:$T$6045)</f>
        <v>92.5251207231008</v>
      </c>
      <c r="U6046" s="38" t="n">
        <f aca="false">SUM(Sens!$R$6039:$U$6039)-SUM(Sens!$R$6045:$U$6045)</f>
        <v>239.931219586022</v>
      </c>
      <c r="V6046" s="38" t="n">
        <f aca="false">SUM(Sens!$R$6039:$V$6039)-SUM(Sens!$R$6045:$V$6045)</f>
        <v>403.208392333442</v>
      </c>
      <c r="W6046" s="38" t="n">
        <f aca="false">SUM(Sens!$R$6039:$W$6039)-SUM(Sens!$R$6045:$W$6045)</f>
        <v>544.837543672486</v>
      </c>
      <c r="X6046" s="38" t="n">
        <f aca="false">SUM(Sens!$R$6039:$X$6039)-SUM(Sens!$R$6045:$X$6045)</f>
        <v>662.967819343113</v>
      </c>
      <c r="Y6046" s="38" t="n">
        <f aca="false">SUM(Sens!$R$6039:$Y$6039)-SUM(Sens!$R$6045:$Y$6045)</f>
        <v>756.90963744369</v>
      </c>
      <c r="Z6046" s="38" t="n">
        <f aca="false">SUM(Sens!$R$6039:$Z$6039)-SUM(Sens!$R$6045:$Z$6045)</f>
        <v>860.10628945915</v>
      </c>
      <c r="AA6046" s="38" t="n">
        <f aca="false">SUM(Sens!$R$6039:$AA$6039)-SUM(Sens!$R$6045:$AA$6045)</f>
        <v>995.283560834616</v>
      </c>
    </row>
    <row r="6047" customFormat="false" ht="17.15" hidden="false" customHeight="false" outlineLevel="0" collapsed="false">
      <c r="A6047" s="1" t="s">
        <v>595</v>
      </c>
    </row>
    <row r="6048" customFormat="false" ht="17.15" hidden="false" customHeight="false" outlineLevel="0" collapsed="false">
      <c r="A6048" s="0" t="s">
        <v>596</v>
      </c>
      <c r="B6048" s="0" t="s">
        <v>73</v>
      </c>
      <c r="C6048" s="38" t="n">
        <f aca="false">Sens!$C$6030-ext_sh*Sens!$C$6032</f>
        <v>1.80694998843362</v>
      </c>
      <c r="D6048" s="38" t="n">
        <f aca="false">Sens!$D$6030-ext_sh*Sens!$D$6032</f>
        <v>6.77606245662607</v>
      </c>
      <c r="E6048" s="38" t="n">
        <f aca="false">Sens!$E$6030-ext_sh*Sens!$E$6032</f>
        <v>6.62548329092326</v>
      </c>
      <c r="F6048" s="38" t="n">
        <f aca="false">Sens!$F$6030-ext_sh*Sens!$F$6032</f>
        <v>11.7200577158706</v>
      </c>
      <c r="G6048" s="38" t="n">
        <f aca="false">Sens!$G$6030-ext_sh*Sens!$G$6032</f>
        <v>18.3455410067939</v>
      </c>
      <c r="H6048" s="38" t="n">
        <f aca="false">Sens!$H$6030-ext_sh*Sens!$H$6032</f>
        <v>47.5171727060453</v>
      </c>
      <c r="I6048" s="38" t="n">
        <f aca="false">Sens!$I$6030-ext_sh*Sens!$I$6032</f>
        <v>80.5539692643667</v>
      </c>
      <c r="J6048" s="38" t="n">
        <f aca="false">Sens!$J$6030-ext_sh*Sens!$J$6032</f>
        <v>113.759316834883</v>
      </c>
      <c r="K6048" s="38" t="n">
        <f aca="false">Sens!$K$6030-ext_sh*Sens!$K$6032</f>
        <v>147.020848076132</v>
      </c>
      <c r="L6048" s="38" t="n">
        <f aca="false">Sens!$L$6030-ext_sh*Sens!$L$6032</f>
        <v>180.307917349531</v>
      </c>
      <c r="M6048" s="38" t="n">
        <f aca="false">Sens!$M$6030-ext_sh*Sens!$M$6032</f>
        <v>213.608737871012</v>
      </c>
      <c r="N6048" s="38" t="n">
        <f aca="false">Sens!$N$6030-ext_sh*Sens!$N$6032</f>
        <v>2.37162185981912</v>
      </c>
      <c r="O6048" s="38" t="n">
        <f aca="false">Sens!$O$6030-ext_sh*Sens!$O$6032</f>
        <v>4.40444059680694</v>
      </c>
    </row>
    <row r="6049" customFormat="false" ht="17.15" hidden="false" customHeight="false" outlineLevel="0" collapsed="false">
      <c r="A6049" s="1" t="s">
        <v>597</v>
      </c>
      <c r="B6049" s="8" t="s">
        <v>73</v>
      </c>
      <c r="C6049" s="38" t="n">
        <f aca="false">Sens!$C$6048-ext_sh*Sens!$C$6045</f>
        <v>1.64417882953695</v>
      </c>
      <c r="D6049" s="38" t="n">
        <f aca="false">Sens!$D$6048-ext_sh*Sens!$D$6045</f>
        <v>3.8781008067718</v>
      </c>
      <c r="E6049" s="38" t="n">
        <f aca="false">Sens!$E$6048-ext_sh*Sens!$E$6045</f>
        <v>1.41270258088753</v>
      </c>
      <c r="F6049" s="38" t="n">
        <f aca="false">Sens!$F$6048-ext_sh*Sens!$F$6045</f>
        <v>6.50727700583486</v>
      </c>
      <c r="G6049" s="38" t="n">
        <f aca="false">Sens!$G$6048-ext_sh*Sens!$G$6045</f>
        <v>7.9199795867224</v>
      </c>
      <c r="H6049" s="38" t="n">
        <f aca="false">Sens!$H$6048-ext_sh*Sens!$H$6045</f>
        <v>19.2818189481807</v>
      </c>
      <c r="I6049" s="38" t="n">
        <f aca="false">Sens!$I$6048-ext_sh*Sens!$I$6045</f>
        <v>30.140114407202</v>
      </c>
      <c r="J6049" s="38" t="n">
        <f aca="false">Sens!$J$6048-ext_sh*Sens!$J$6045</f>
        <v>40.3569468829854</v>
      </c>
      <c r="K6049" s="38" t="n">
        <f aca="false">Sens!$K$6048-ext_sh*Sens!$K$6045</f>
        <v>50.0782975081929</v>
      </c>
      <c r="L6049" s="38" t="n">
        <f aca="false">Sens!$L$6048-ext_sh*Sens!$L$6045</f>
        <v>61.443331993499</v>
      </c>
      <c r="M6049" s="38" t="n">
        <f aca="false">Sens!$M$6048-ext_sh*Sens!$M$6045</f>
        <v>72.2498791587849</v>
      </c>
      <c r="N6049" s="38" t="n">
        <f aca="false">Sens!$N$6048-ext_sh*Sens!$N$6045</f>
        <v>0.92264103489199</v>
      </c>
      <c r="O6049" s="38" t="n">
        <f aca="false">Sens!$O$6048-ext_sh*Sens!$O$6045</f>
        <v>2.95545977187981</v>
      </c>
    </row>
    <row r="6050" customFormat="false" ht="17.15" hidden="false" customHeight="false" outlineLevel="0" collapsed="false">
      <c r="A6050" s="0" t="s">
        <v>598</v>
      </c>
      <c r="B6050" s="0" t="s">
        <v>52</v>
      </c>
      <c r="C6050" s="12" t="n">
        <f aca="false">Sens!$C$6049/Sens!$C$6030</f>
        <v>0.708390794789371</v>
      </c>
      <c r="D6050" s="12" t="n">
        <f aca="false">Sens!$D$6049/Sens!$D$6030</f>
        <v>0.445565630441968</v>
      </c>
      <c r="E6050" s="12" t="n">
        <f aca="false">Sens!$E$6049/Sens!$E$6030</f>
        <v>0.165998118402711</v>
      </c>
      <c r="F6050" s="12" t="n">
        <f aca="false">Sens!$F$6049/Sens!$F$6030</f>
        <v>0.434878595403858</v>
      </c>
      <c r="G6050" s="12" t="n">
        <f aca="false">Sens!$G$6049/Sens!$G$6030</f>
        <v>0.3373967615381</v>
      </c>
      <c r="H6050" s="12" t="n">
        <f aca="false">Sens!$H$6049/Sens!$H$6030</f>
        <v>0.320477578041224</v>
      </c>
      <c r="I6050" s="12" t="n">
        <f aca="false">Sens!$I$6049/Sens!$I$6030</f>
        <v>0.296936118226494</v>
      </c>
      <c r="J6050" s="12" t="n">
        <f aca="false">Sens!$J$6049/Sens!$J$6030</f>
        <v>0.282166278613001</v>
      </c>
      <c r="K6050" s="12" t="n">
        <f aca="false">Sens!$K$6049/Sens!$K$6030</f>
        <v>0.271267685694333</v>
      </c>
      <c r="L6050" s="12" t="n">
        <f aca="false">Sens!$L$6049/Sens!$L$6030</f>
        <v>0.27160960915653</v>
      </c>
      <c r="M6050" s="12" t="n">
        <f aca="false">Sens!$M$6049/Sens!$M$6030</f>
        <v>0.26974494804234</v>
      </c>
      <c r="N6050" s="12" t="n">
        <f aca="false">Sens!$N$6049/Sens!$N$6030</f>
        <v>0.302870734830849</v>
      </c>
      <c r="O6050" s="12" t="n">
        <f aca="false">Sens!$O$6049/Sens!$O$6030</f>
        <v>0.52240134346334</v>
      </c>
    </row>
    <row r="6051" customFormat="false" ht="17.15" hidden="false" customHeight="false" outlineLevel="0" collapsed="false">
      <c r="A6051" s="5" t="s">
        <v>599</v>
      </c>
      <c r="B6051" s="0" t="s">
        <v>73</v>
      </c>
      <c r="C6051" s="38" t="n">
        <f aca="false">rd2*(1-ext_sh)/ext_sh*Sens!$C$6013*he_open*Sens!$C$6014/1000</f>
        <v>0</v>
      </c>
      <c r="D6051" s="38" t="n">
        <f aca="false">rd2*(1-ext_sh)/ext_sh*Sens!$D$6013*he_open*Sens!$D$6014/1000</f>
        <v>0</v>
      </c>
      <c r="E6051" s="38" t="n">
        <f aca="false">rd2*(1-ext_sh)/ext_sh*Sens!$E$6013*he_open*Sens!$E$6014/1000</f>
        <v>0</v>
      </c>
      <c r="F6051" s="38" t="n">
        <f aca="false">rd2*(1-ext_sh)/ext_sh*(mw_open*he_open+Sens!$F$6028*Sens!$F$6025)*Sens!$F$6014/1000</f>
        <v>0</v>
      </c>
      <c r="G6051" s="38" t="n">
        <f aca="false">Sens!$E$6051+Sens!$F$6051</f>
        <v>0</v>
      </c>
      <c r="H6051" s="38" t="n">
        <f aca="false">rd2*(1-ext_sh)/ext_sh*(mw_open*he_open+Sens!$H$6028*Sens!$H$6025)*Sens!$H$6014/1000</f>
        <v>0</v>
      </c>
      <c r="I6051" s="38" t="n">
        <f aca="false">rd2*(1-ext_sh)/ext_sh*(mw_open*he_open+Sens!$I$6028*Sens!$I$6025)*Sens!$I$6014/1000</f>
        <v>0</v>
      </c>
      <c r="J6051" s="38" t="n">
        <f aca="false">rd2*(1-ext_sh)/ext_sh*(mw_open*he_open+Sens!$J$6028*Sens!$J$6025)*Sens!$J$6014/1000</f>
        <v>0</v>
      </c>
      <c r="K6051" s="38" t="n">
        <f aca="false">rd2*(1-ext_sh)/ext_sh*(mw_open*he_open+Sens!$K$6028*Sens!$K$6025)*Sens!$K$6014/1000</f>
        <v>0</v>
      </c>
      <c r="L6051" s="38" t="n">
        <f aca="false">rd2*(1-ext_sh)/ext_sh*(mw_open*he_open+Sens!$L$6028*Sens!$L$6025)*Sens!$L$6014/1000</f>
        <v>0</v>
      </c>
      <c r="M6051" s="38" t="n">
        <f aca="false">rd2*(1-ext_sh)/ext_sh*(mw_open*he_open+Sens!$M$6028*Sens!$M$6025)*Sens!$M$6014/1000</f>
        <v>0</v>
      </c>
      <c r="N6051" s="38" t="n">
        <f aca="false">rd2*(1-ext_sh)/ext_sh*Sens!$N$6013*he_open*Sens!$N$6014/1000</f>
        <v>0</v>
      </c>
      <c r="O6051" s="38" t="n">
        <f aca="false">rd2*(1-ext_sh)/ext_sh*Sens!$O$6013*he_open*Sens!$O$6014/1000</f>
        <v>0</v>
      </c>
      <c r="P6051" s="8" t="s">
        <v>600</v>
      </c>
    </row>
    <row r="6052" customFormat="false" ht="17.15" hidden="false" customHeight="false" outlineLevel="0" collapsed="false">
      <c r="A6052" s="5" t="s">
        <v>601</v>
      </c>
      <c r="B6052" s="0" t="s">
        <v>73</v>
      </c>
      <c r="C6052" s="38" t="n">
        <f aca="false">(1-ext_sh)*(Sens!$C$6032+Sens!$C$6045)-Sens!$C$6051</f>
        <v>0.169206631859174</v>
      </c>
      <c r="D6052" s="38" t="n">
        <f aca="false">(1-ext_sh)*(Sens!$D$6032+Sens!$D$6045)-Sens!$D$6051</f>
        <v>1.20641732046984</v>
      </c>
      <c r="E6052" s="38" t="n">
        <f aca="false">(1-ext_sh)*(Sens!$E$6032+Sens!$E$6045)-Sens!$E$6051</f>
        <v>1.77441259867062</v>
      </c>
      <c r="F6052" s="38" t="n">
        <f aca="false">(1-ext_sh)*(Sens!$F$6032+Sens!$F$6045)-Sens!$F$6051</f>
        <v>2.1140391597214</v>
      </c>
      <c r="G6052" s="38" t="n">
        <f aca="false">(1-ext_sh)*(Sens!$G$6032+Sens!$G$6045)-Sens!$G$6051</f>
        <v>3.88845175839202</v>
      </c>
      <c r="H6052" s="38" t="n">
        <f aca="false">(1-ext_sh)*(Sens!$H$6032+Sens!$H$6045)-Sens!$H$6051</f>
        <v>10.2210179503985</v>
      </c>
      <c r="I6052" s="38" t="n">
        <f aca="false">(1-ext_sh)*(Sens!$I$6032+Sens!$I$6045)-Sens!$I$6051</f>
        <v>17.8408961823075</v>
      </c>
      <c r="J6052" s="38" t="n">
        <f aca="false">(1-ext_sh)*(Sens!$J$6032+Sens!$J$6045)-Sens!$J$6051</f>
        <v>25.6671150670732</v>
      </c>
      <c r="K6052" s="38" t="n">
        <f aca="false">(1-ext_sh)*(Sens!$K$6032+Sens!$K$6045)-Sens!$K$6051</f>
        <v>33.6325293834986</v>
      </c>
      <c r="L6052" s="38" t="n">
        <f aca="false">(1-ext_sh)*(Sens!$L$6032+Sens!$L$6045)-Sens!$L$6051</f>
        <v>41.1939886299065</v>
      </c>
      <c r="M6052" s="38" t="n">
        <f aca="false">(1-ext_sh)*(Sens!$M$6032+Sens!$M$6045)-Sens!$M$6051</f>
        <v>48.8988205728617</v>
      </c>
      <c r="N6052" s="38" t="n">
        <f aca="false">(1-ext_sh)*(Sens!$N$6032+Sens!$N$6045)-Sens!$N$6051</f>
        <v>0.530919624033979</v>
      </c>
      <c r="O6052" s="38" t="n">
        <f aca="false">(1-ext_sh)*(Sens!$O$6032+Sens!$O$6045)-Sens!$O$6051</f>
        <v>0.675497696435861</v>
      </c>
    </row>
    <row r="6053" customFormat="false" ht="17.15" hidden="false" customHeight="false" outlineLevel="0" collapsed="false">
      <c r="A6053" s="0" t="s">
        <v>602</v>
      </c>
      <c r="B6053" s="0" t="s">
        <v>73</v>
      </c>
      <c r="C6053" s="38" t="n">
        <f aca="false">Q!$D$24</f>
        <v>39.834</v>
      </c>
      <c r="D6053" s="38" t="n">
        <f aca="false">Q!$E$24</f>
        <v>45.606</v>
      </c>
      <c r="E6053" s="38" t="n">
        <f aca="false">Q!$P$24</f>
        <v>30.782</v>
      </c>
      <c r="N6053" s="38" t="n">
        <f aca="false">Q!$N$24</f>
        <v>21.707</v>
      </c>
      <c r="O6053" s="38" t="n">
        <f aca="false">Q!$O$24</f>
        <v>23.899</v>
      </c>
    </row>
    <row r="6054" customFormat="false" ht="17.15" hidden="false" customHeight="false" outlineLevel="0" collapsed="false">
      <c r="A6054" s="0" t="s">
        <v>603</v>
      </c>
      <c r="B6054" s="0" t="s">
        <v>73</v>
      </c>
      <c r="C6054" s="38" t="n">
        <f aca="false">Sens!$C$6053-Sens!$C$6049</f>
        <v>38.1898211704631</v>
      </c>
      <c r="D6054" s="38" t="n">
        <f aca="false">Sens!$D$6053-Sens!$D$6049</f>
        <v>41.7278991932282</v>
      </c>
      <c r="E6054" s="38" t="n">
        <f aca="false">Sens!$E$6053-Sens!$E$6049</f>
        <v>29.3692974191125</v>
      </c>
      <c r="F6054" s="38" t="n">
        <f aca="false">Sens!$F$6034*Sens!$F$6055</f>
        <v>29.458060516894</v>
      </c>
      <c r="G6054" s="38" t="n">
        <f aca="false">Sens!$E$6054+Sens!$F$6054</f>
        <v>58.8273579360065</v>
      </c>
      <c r="H6054" s="38" t="n">
        <f aca="false">Sens!$H$6034*Sens!$H$6055</f>
        <v>67.8004040185081</v>
      </c>
      <c r="I6054" s="38" t="n">
        <f aca="false">Sens!$I$6034*Sens!$I$6055</f>
        <v>78.9527630302702</v>
      </c>
      <c r="J6054" s="38" t="n">
        <f aca="false">Sens!$J$6034*Sens!$J$6055</f>
        <v>88.6042681781841</v>
      </c>
      <c r="K6054" s="38" t="n">
        <f aca="false">Sens!$K$6034*Sens!$K$6055</f>
        <v>95.6926096324389</v>
      </c>
      <c r="L6054" s="38" t="n">
        <f aca="false">Sens!$L$6034*Sens!$L$6055</f>
        <v>103.348018403034</v>
      </c>
      <c r="M6054" s="38" t="n">
        <f aca="false">Sens!$M$6034*Sens!$M$6055</f>
        <v>111.615859875277</v>
      </c>
      <c r="N6054" s="38" t="n">
        <f aca="false">Sens!$N$6053-Sens!$N$6049</f>
        <v>20.784358965108</v>
      </c>
      <c r="O6054" s="38" t="n">
        <f aca="false">Sens!$O$6053-Sens!$O$6049</f>
        <v>20.9435402281202</v>
      </c>
      <c r="P6054" s="5" t="s">
        <v>604</v>
      </c>
    </row>
    <row r="6055" customFormat="false" ht="17.15" hidden="false" customHeight="false" outlineLevel="0" collapsed="false">
      <c r="A6055" s="0" t="s">
        <v>605</v>
      </c>
      <c r="B6055" s="0" t="s">
        <v>52</v>
      </c>
      <c r="C6055" s="12" t="n">
        <f aca="false">Sens!$C$6054/Sens!$C$6034</f>
        <v>0.362900395443635</v>
      </c>
      <c r="D6055" s="12" t="n">
        <f aca="false">Sens!$D$6054/Sens!$D$6034</f>
        <v>0.34767098474203</v>
      </c>
      <c r="E6055" s="12" t="n">
        <f aca="false">Sens!$E$6054/Sens!$E$6034</f>
        <v>0.411861655558416</v>
      </c>
      <c r="F6055" s="12" t="n">
        <f aca="false">(Sens!$O$6054+Sens!$E$6054)/(Sens!$O$6034+Sens!$E$6034)</f>
        <v>0.37480827803158</v>
      </c>
      <c r="G6055" s="12" t="n">
        <f aca="false">Sens!$G$6054/Sens!$G$6034</f>
        <v>0.392434440489471</v>
      </c>
      <c r="H6055" s="12" t="n">
        <f aca="false">Sens!$F$6055</f>
        <v>0.37480827803158</v>
      </c>
      <c r="I6055" s="12" t="n">
        <f aca="false">Sens!$F$6055</f>
        <v>0.37480827803158</v>
      </c>
      <c r="J6055" s="12" t="n">
        <f aca="false">Sens!$F$6055</f>
        <v>0.37480827803158</v>
      </c>
      <c r="K6055" s="12" t="n">
        <f aca="false">Sens!$F$6055</f>
        <v>0.37480827803158</v>
      </c>
      <c r="L6055" s="12" t="n">
        <f aca="false">Sens!$F$6055</f>
        <v>0.37480827803158</v>
      </c>
      <c r="M6055" s="12" t="n">
        <f aca="false">Sens!$F$6055</f>
        <v>0.37480827803158</v>
      </c>
      <c r="N6055" s="12" t="n">
        <f aca="false">Sens!$N$6054/Sens!$N$6034</f>
        <v>0.364039571356823</v>
      </c>
      <c r="O6055" s="12" t="n">
        <f aca="false">Sens!$O$6054/Sens!$O$6034</f>
        <v>0.332819892300086</v>
      </c>
      <c r="P6055" s="8" t="s">
        <v>606</v>
      </c>
    </row>
    <row r="6056" customFormat="false" ht="17.15" hidden="false" customHeight="false" outlineLevel="0" collapsed="false">
      <c r="A6056" s="0" t="s">
        <v>607</v>
      </c>
      <c r="B6056" s="0" t="s">
        <v>52</v>
      </c>
      <c r="D6056" s="12" t="n">
        <f aca="false">(Q!$E$31-ext_sh*Sens!$D$6045)/Sens!$D$6034</f>
        <v>0.154572973163571</v>
      </c>
    </row>
    <row r="6057" customFormat="false" ht="17.15" hidden="false" customHeight="false" outlineLevel="0" collapsed="false">
      <c r="A6057" s="0" t="s">
        <v>608</v>
      </c>
      <c r="B6057" s="0" t="s">
        <v>73</v>
      </c>
      <c r="C6057" s="38" t="n">
        <f aca="false">Q!$D$31</f>
        <v>13.32</v>
      </c>
      <c r="D6057" s="38" t="n">
        <f aca="false">Q!$E$31</f>
        <v>21.45</v>
      </c>
      <c r="E6057" s="38" t="n">
        <f aca="false">Q!$P$31</f>
        <v>15.353</v>
      </c>
      <c r="F6057" s="38" t="n">
        <f aca="false">ext_sh*Sens!$F$6045+Sens!$D$6056*Sens!$F$6034</f>
        <v>17.3614451462707</v>
      </c>
      <c r="G6057" s="38" t="n">
        <f aca="false">Sens!$E$6057+Sens!$F$6057</f>
        <v>32.7144451462707</v>
      </c>
      <c r="H6057" s="38" t="n">
        <f aca="false">ext_sh*Sens!$H$6045+Sens!$D$6056*Sens!$H$6034</f>
        <v>56.1966092719415</v>
      </c>
      <c r="I6057" s="38" t="n">
        <f aca="false">ext_sh*Sens!$I$6045+Sens!$D$6056*Sens!$I$6034</f>
        <v>82.9744039068297</v>
      </c>
      <c r="J6057" s="38" t="n">
        <f aca="false">ext_sh*Sens!$J$6045+Sens!$D$6056*Sens!$J$6034</f>
        <v>109.943252237669</v>
      </c>
      <c r="K6057" s="38" t="n">
        <f aca="false">ext_sh*Sens!$K$6045+Sens!$D$6056*Sens!$K$6034</f>
        <v>136.406703436571</v>
      </c>
      <c r="L6057" s="38" t="n">
        <f aca="false">ext_sh*Sens!$L$6045+Sens!$D$6056*Sens!$L$6034</f>
        <v>161.485870454155</v>
      </c>
      <c r="M6057" s="38" t="n">
        <f aca="false">ext_sh*Sens!$M$6045+Sens!$D$6056*Sens!$M$6034</f>
        <v>187.389846618199</v>
      </c>
      <c r="N6057" s="38" t="n">
        <f aca="false">Q!$N$31</f>
        <v>9.234</v>
      </c>
      <c r="O6057" s="38" t="n">
        <f aca="false">Q!$O$31</f>
        <v>12.216</v>
      </c>
    </row>
    <row r="6058" customFormat="false" ht="17.15" hidden="false" customHeight="false" outlineLevel="0" collapsed="false">
      <c r="A6058" s="1" t="s">
        <v>609</v>
      </c>
    </row>
    <row r="6059" customFormat="false" ht="17.15" hidden="false" customHeight="false" outlineLevel="0" collapsed="false">
      <c r="A6059" s="14" t="s">
        <v>610</v>
      </c>
      <c r="B6059" s="13" t="s">
        <v>52</v>
      </c>
      <c r="C6059" s="13"/>
      <c r="D6059" s="13"/>
      <c r="E6059" s="13"/>
      <c r="F6059" s="13"/>
      <c r="G6059" s="16" t="n">
        <f aca="false">Sens!$G$6049*(1-tax)/(ext_sh*(Sens!$D$6046+Sens!$G$6046)/2)</f>
        <v>0.0492184452944045</v>
      </c>
      <c r="H6059" s="16" t="n">
        <f aca="false">Sens!$H$6049*(1-tax)/(ext_sh*(Sens!$G$6046+Sens!$H$6046)/2)</f>
        <v>0.0619414246858107</v>
      </c>
      <c r="I6059" s="16" t="n">
        <f aca="false">Sens!$I$6049*(1-tax)/(ext_sh*(Sens!$H$6046+Sens!$I$6046)/2)</f>
        <v>0.0656831488051666</v>
      </c>
      <c r="J6059" s="16" t="n">
        <f aca="false">Sens!$J$6049*(1-tax)/(ext_sh*(Sens!$I$6046+Sens!$J$6046)/2)</f>
        <v>0.0690334849962116</v>
      </c>
      <c r="K6059" s="16" t="n">
        <f aca="false">Sens!$K$6049*(1-tax)/(ext_sh*(Sens!$J$6046+Sens!$K$6046)/2)</f>
        <v>0.0728680488295485</v>
      </c>
      <c r="L6059" s="16" t="n">
        <f aca="false">Sens!$L$6049*(1-tax)/(ext_sh*(Sens!$K$6046+Sens!$L$6046)/2)</f>
        <v>0.0785052878122331</v>
      </c>
      <c r="M6059" s="16" t="n">
        <f aca="false">Sens!$M$6049*(1-tax)/(ext_sh*(Sens!$L$6046+Sens!$M$6046)/2)</f>
        <v>0.0804526580722741</v>
      </c>
      <c r="N6059" s="13"/>
      <c r="O6059" s="13"/>
      <c r="P6059" s="8" t="s">
        <v>611</v>
      </c>
    </row>
    <row r="6060" customFormat="false" ht="17.15" hidden="false" customHeight="false" outlineLevel="0" collapsed="false">
      <c r="A6060" s="5" t="s">
        <v>612</v>
      </c>
      <c r="B6060" s="0" t="s">
        <v>57</v>
      </c>
      <c r="H6060" s="36" t="n">
        <f aca="false">Sens!$H$6030*1000/(mw_open*he_open+Sens!$H$6028*Sens!$H$6025)</f>
        <v>0.991949006767191</v>
      </c>
      <c r="I6060" s="36" t="n">
        <f aca="false">Sens!$I$6030*1000/(mw_open*he_open+Sens!$I$6028*Sens!$I$6025)</f>
        <v>0.991949006767191</v>
      </c>
      <c r="J6060" s="36" t="n">
        <f aca="false">Sens!$J$6030*1000/(mw_open*he_open+Sens!$J$6028*Sens!$J$6025)</f>
        <v>0.991949006767191</v>
      </c>
      <c r="K6060" s="36" t="n">
        <f aca="false">Sens!$K$6030*1000/(mw_open*he_open+Sens!$K$6028*Sens!$K$6025)</f>
        <v>0.991949006767191</v>
      </c>
      <c r="L6060" s="36" t="n">
        <f aca="false">Sens!$L$6030*1000/(mw_open*he_open+Sens!$L$6028*Sens!$L$6025)</f>
        <v>0.991949006767191</v>
      </c>
      <c r="M6060" s="36" t="n">
        <f aca="false">Sens!$M$6030*1000/(mw_open*he_open+Sens!$M$6028*Sens!$M$6025)</f>
        <v>0.991949006767192</v>
      </c>
    </row>
    <row r="6061" customFormat="false" ht="17.15" hidden="false" customHeight="false" outlineLevel="0" collapsed="false">
      <c r="A6061" s="5" t="s">
        <v>613</v>
      </c>
      <c r="B6061" s="0" t="s">
        <v>57</v>
      </c>
      <c r="H6061" s="36" t="n">
        <f aca="false">Sens!$H$6060*(Sens!$H$6030+wacc*ext_sh*(Sens!$G$6046+Sens!$H$6046)/2/(1-tax)-Sens!$H$6049)/Sens!$H$6030</f>
        <v>1.3149781212103</v>
      </c>
      <c r="I6061" s="36" t="n">
        <f aca="false">Sens!$I$6060*(Sens!$I$6030+wacc*ext_sh*(Sens!$H$6046+Sens!$I$6046)/2/(1-tax)-Sens!$I$6049)/Sens!$I$6030</f>
        <v>1.25742005569107</v>
      </c>
      <c r="J6061" s="36" t="n">
        <f aca="false">Sens!$J$6060*(Sens!$J$6030+wacc*ext_sh*(Sens!$I$6046+Sens!$J$6046)/2/(1-tax)-Sens!$J$6049)/Sens!$J$6030</f>
        <v>1.21838845868559</v>
      </c>
      <c r="K6061" s="36" t="n">
        <f aca="false">Sens!$K$6060*(Sens!$K$6030+wacc*ext_sh*(Sens!$J$6046+Sens!$K$6046)/2/(1-tax)-Sens!$K$6049)/Sens!$K$6030</f>
        <v>1.18402644209548</v>
      </c>
      <c r="L6061" s="36" t="n">
        <f aca="false">Sens!$L$6060*(Sens!$L$6030+wacc*ext_sh*(Sens!$K$6046+Sens!$L$6046)/2/(1-tax)-Sens!$L$6049)/Sens!$L$6030</f>
        <v>1.15111215322059</v>
      </c>
      <c r="M6061" s="36" t="n">
        <f aca="false">Sens!$M$6060*(Sens!$M$6030+wacc*ext_sh*(Sens!$L$6046+Sens!$M$6046)/2/(1-tax)-Sens!$M$6049)/Sens!$M$6030</f>
        <v>1.1397166845677</v>
      </c>
    </row>
    <row r="6062" customFormat="false" ht="17.15" hidden="false" customHeight="false" outlineLevel="0" collapsed="false">
      <c r="A6062" s="5" t="s">
        <v>614</v>
      </c>
      <c r="B6062" s="0" t="s">
        <v>52</v>
      </c>
      <c r="C6062" s="12" t="n">
        <f aca="false">Sens!$C$6031/tk_pq</f>
        <v>0.195316432429398</v>
      </c>
      <c r="D6062" s="12" t="n">
        <f aca="false">Sens!$D$6031/tk_pq</f>
        <v>0.195316432429398</v>
      </c>
      <c r="E6062" s="12" t="n">
        <f aca="false">Sens!$E$6031/tk_pq</f>
        <v>0.195316432429398</v>
      </c>
      <c r="F6062" s="12" t="n">
        <f aca="false">Sens!$F$6031/tk_pq</f>
        <v>0.202241827274866</v>
      </c>
      <c r="G6062" s="12" t="n">
        <f aca="false">Sens!$G$6031/tk_pq</f>
        <v>0.199675016194063</v>
      </c>
      <c r="H6062" s="12" t="n">
        <f aca="false">Sens!$H$6031/tk_pq</f>
        <v>0.212647947710325</v>
      </c>
      <c r="I6062" s="12" t="n">
        <f aca="false">Sens!$I$6031/tk_pq</f>
        <v>0.219285125475351</v>
      </c>
      <c r="J6062" s="12" t="n">
        <f aca="false">Sens!$J$6031/tk_pq</f>
        <v>0.222492493217189</v>
      </c>
      <c r="K6062" s="12" t="n">
        <f aca="false">Sens!$K$6031/tk_pq</f>
        <v>0.224371415939166</v>
      </c>
      <c r="L6062" s="12" t="n">
        <f aca="false">Sens!$L$6031/tk_pq</f>
        <v>0.225603749825993</v>
      </c>
      <c r="M6062" s="12" t="n">
        <f aca="false">Sens!$M$6031/tk_pq</f>
        <v>0.22647376274628</v>
      </c>
      <c r="N6062" s="12" t="n">
        <f aca="false">Sens!$N$6031/tk_pq</f>
        <v>0.195316432429398</v>
      </c>
      <c r="O6062" s="12" t="n">
        <f aca="false">Sens!$O$6031/tk_pq</f>
        <v>0.195316432429398</v>
      </c>
      <c r="P6062" s="5" t="s">
        <v>615</v>
      </c>
    </row>
    <row r="6065" customFormat="false" ht="17.15" hidden="false" customHeight="false" outlineLevel="0" collapsed="false">
      <c r="A6065" s="1" t="s">
        <v>642</v>
      </c>
    </row>
    <row r="6066" customFormat="false" ht="17.15" hidden="false" customHeight="false" outlineLevel="0" collapsed="false">
      <c r="A6066" s="0" t="s">
        <v>643</v>
      </c>
      <c r="B6066" s="0" t="s">
        <v>73</v>
      </c>
      <c r="C6066" s="38" t="n">
        <f aca="false">Sens!$C$6030</f>
        <v>2.32100535697364</v>
      </c>
      <c r="D6066" s="38" t="n">
        <f aca="false">Sens!$D$6030</f>
        <v>8.70377008865116</v>
      </c>
      <c r="E6066" s="38" t="n">
        <f aca="false">Sens!$E$6030</f>
        <v>8.51035297557002</v>
      </c>
      <c r="F6066" s="38" t="n">
        <f aca="false">Sens!$F$6030</f>
        <v>14.9634336447205</v>
      </c>
      <c r="G6066" s="38" t="n">
        <f aca="false">Sens!$G$6030</f>
        <v>23.4737866202905</v>
      </c>
      <c r="H6066" s="38" t="n">
        <f aca="false">Sens!$H$6030</f>
        <v>60.1658907497746</v>
      </c>
      <c r="I6066" s="38" t="n">
        <f aca="false">Sens!$I$6030</f>
        <v>101.503699136432</v>
      </c>
      <c r="J6066" s="38" t="n">
        <f aca="false">Sens!$J$6030</f>
        <v>143.025407151278</v>
      </c>
      <c r="K6066" s="38" t="n">
        <f aca="false">Sens!$K$6030</f>
        <v>184.608415042187</v>
      </c>
      <c r="L6066" s="38" t="n">
        <f aca="false">Sens!$L$6030</f>
        <v>226.219286513125</v>
      </c>
      <c r="M6066" s="38" t="n">
        <f aca="false">Sens!$M$6030</f>
        <v>267.845161450232</v>
      </c>
      <c r="N6066" s="38" t="n">
        <f aca="false">Sens!$N$6030</f>
        <v>3.04631953102791</v>
      </c>
      <c r="O6066" s="38" t="n">
        <f aca="false">Sens!$O$6030</f>
        <v>5.65745055762326</v>
      </c>
      <c r="P6066" s="8" t="s">
        <v>644</v>
      </c>
    </row>
    <row r="6067" customFormat="false" ht="17.15" hidden="false" customHeight="false" outlineLevel="0" collapsed="false">
      <c r="A6067" s="0" t="s">
        <v>645</v>
      </c>
      <c r="B6067" s="0" t="s">
        <v>73</v>
      </c>
      <c r="C6067" s="38" t="n">
        <f aca="false">Sens!$C$6034</f>
        <v>105.234994643026</v>
      </c>
      <c r="D6067" s="38" t="n">
        <f aca="false">Sens!$D$6034</f>
        <v>120.021229911349</v>
      </c>
      <c r="E6067" s="38" t="n">
        <f aca="false">Sens!$E$6034</f>
        <v>71.30864702443</v>
      </c>
      <c r="F6067" s="38" t="n">
        <f aca="false">Sens!$F$6034</f>
        <v>78.5950104186653</v>
      </c>
      <c r="G6067" s="38" t="n">
        <f aca="false">Sens!$G$6034</f>
        <v>149.903657443095</v>
      </c>
      <c r="H6067" s="38" t="n">
        <f aca="false">Sens!$H$6034</f>
        <v>180.893560768142</v>
      </c>
      <c r="I6067" s="38" t="n">
        <f aca="false">Sens!$I$6034</f>
        <v>210.64839721501</v>
      </c>
      <c r="J6067" s="38" t="n">
        <f aca="false">Sens!$J$6034</f>
        <v>236.398909446495</v>
      </c>
      <c r="K6067" s="38" t="n">
        <f aca="false">Sens!$K$6034</f>
        <v>255.310822202215</v>
      </c>
      <c r="L6067" s="38" t="n">
        <f aca="false">Sens!$L$6034</f>
        <v>275.735687978392</v>
      </c>
      <c r="M6067" s="38" t="n">
        <f aca="false">Sens!$M$6034</f>
        <v>297.794543016663</v>
      </c>
      <c r="N6067" s="38" t="n">
        <f aca="false">Sens!$N$6034</f>
        <v>57.0936804689721</v>
      </c>
      <c r="O6067" s="38" t="n">
        <f aca="false">Sens!$O$6034</f>
        <v>62.9275494423768</v>
      </c>
      <c r="P6067" s="8" t="s">
        <v>644</v>
      </c>
    </row>
    <row r="6068" customFormat="false" ht="17.15" hidden="false" customHeight="false" outlineLevel="0" collapsed="false">
      <c r="A6068" s="1" t="s">
        <v>476</v>
      </c>
      <c r="B6068" s="8" t="s">
        <v>73</v>
      </c>
      <c r="C6068" s="38" t="n">
        <f aca="false">Q!$D$7</f>
        <v>107.556</v>
      </c>
      <c r="D6068" s="38" t="n">
        <f aca="false">Q!$E$7</f>
        <v>128.725</v>
      </c>
      <c r="E6068" s="38" t="n">
        <f aca="false">Q!$P$7</f>
        <v>79.819</v>
      </c>
      <c r="F6068" s="38" t="n">
        <f aca="false">Sens!$F$6066+Sens!$F$6067</f>
        <v>93.5584440633857</v>
      </c>
      <c r="G6068" s="38" t="n">
        <f aca="false">Sens!$G$6066+Sens!$G$6067</f>
        <v>173.377444063386</v>
      </c>
      <c r="H6068" s="38" t="n">
        <f aca="false">Sens!$H$6066+Sens!$H$6067</f>
        <v>241.059451517916</v>
      </c>
      <c r="I6068" s="38" t="n">
        <f aca="false">Sens!$I$6066+Sens!$I$6067</f>
        <v>312.152096351442</v>
      </c>
      <c r="J6068" s="38" t="n">
        <f aca="false">Sens!$J$6066+Sens!$J$6067</f>
        <v>379.424316597773</v>
      </c>
      <c r="K6068" s="38" t="n">
        <f aca="false">Sens!$K$6066+Sens!$K$6067</f>
        <v>439.919237244402</v>
      </c>
      <c r="L6068" s="38" t="n">
        <f aca="false">Sens!$L$6066+Sens!$L$6067</f>
        <v>501.954974491517</v>
      </c>
      <c r="M6068" s="38" t="n">
        <f aca="false">Sens!$M$6066+Sens!$M$6067</f>
        <v>565.639704466895</v>
      </c>
      <c r="N6068" s="38" t="n">
        <f aca="false">Q!$N$7</f>
        <v>60.14</v>
      </c>
      <c r="O6068" s="38" t="n">
        <f aca="false">Q!$O$7</f>
        <v>68.585</v>
      </c>
      <c r="P6068" s="5" t="s">
        <v>646</v>
      </c>
    </row>
    <row r="6069" customFormat="false" ht="15" hidden="false" customHeight="false" outlineLevel="0" collapsed="false">
      <c r="A6069" s="3" t="s">
        <v>647</v>
      </c>
      <c r="B6069" s="8" t="s">
        <v>73</v>
      </c>
      <c r="C6069" s="38" t="n">
        <f aca="false">Q!$D$8</f>
        <v>637.959</v>
      </c>
      <c r="D6069" s="38" t="n">
        <f aca="false">Q!$E$8</f>
        <v>716.924</v>
      </c>
      <c r="E6069" s="38" t="n">
        <f aca="false">Q!$P$8</f>
        <v>382.125</v>
      </c>
      <c r="F6069" s="38" t="n">
        <f aca="false">Sens!$F$6003+Sens!$F$6068</f>
        <v>450.494873271816</v>
      </c>
      <c r="G6069" s="38" t="n">
        <f aca="false">Sens!$G$6003+Sens!$G$6068</f>
        <v>832.619873271816</v>
      </c>
      <c r="H6069" s="38" t="n">
        <f aca="false">Sens!$H$6003+Sens!$H$6068</f>
        <v>970.995189139617</v>
      </c>
      <c r="I6069" s="38" t="n">
        <f aca="false">Sens!$I$6003+Sens!$I$6068</f>
        <v>1110.44766604932</v>
      </c>
      <c r="J6069" s="38" t="n">
        <f aca="false">Sens!$J$6003+Sens!$J$6068</f>
        <v>1241.16113892356</v>
      </c>
      <c r="K6069" s="38" t="n">
        <f aca="false">Sens!$K$6003+Sens!$K$6068</f>
        <v>1357.47672934633</v>
      </c>
      <c r="L6069" s="38" t="n">
        <f aca="false">Sens!$L$6003+Sens!$L$6068</f>
        <v>1479.24006423468</v>
      </c>
      <c r="M6069" s="38" t="n">
        <f aca="false">Sens!$M$6003+Sens!$M$6068</f>
        <v>1606.8537230104</v>
      </c>
      <c r="N6069" s="38" t="n">
        <f aca="false">Q!$N$8</f>
        <v>323.369</v>
      </c>
      <c r="O6069" s="38" t="n">
        <f aca="false">Q!$O$8</f>
        <v>393.555</v>
      </c>
    </row>
    <row r="6070" customFormat="false" ht="17.15" hidden="false" customHeight="false" outlineLevel="0" collapsed="false">
      <c r="A6070" s="24" t="s">
        <v>655</v>
      </c>
      <c r="B6070" s="25" t="s">
        <v>73</v>
      </c>
      <c r="C6070" s="39" t="n">
        <f aca="false">Sens!$C$6003-(Sens!$C$6005+Sens!$C$6006)</f>
        <v>0</v>
      </c>
      <c r="D6070" s="39" t="n">
        <f aca="false">Sens!$D$6003-(Sens!$D$6005+Sens!$D$6006)</f>
        <v>0</v>
      </c>
      <c r="E6070" s="39" t="n">
        <f aca="false">Sens!$E$6003-(Sens!$E$6005+Sens!$E$6006)</f>
        <v>0</v>
      </c>
      <c r="F6070" s="39" t="n">
        <f aca="false">Sens!$F$6003-(Sens!$F$6005+Sens!$F$6006)</f>
        <v>0</v>
      </c>
      <c r="G6070" s="39" t="n">
        <f aca="false">Sens!$G$6003-(Sens!$G$6005+Sens!$G$6006)</f>
        <v>0</v>
      </c>
      <c r="H6070" s="39" t="n">
        <f aca="false">Sens!$H$6003-(Sens!$H$6005+Sens!$H$6006)</f>
        <v>0</v>
      </c>
      <c r="I6070" s="39" t="n">
        <f aca="false">Sens!$I$6003-(Sens!$I$6005+Sens!$I$6006)</f>
        <v>0</v>
      </c>
      <c r="J6070" s="39" t="n">
        <f aca="false">Sens!$J$6003-(Sens!$J$6005+Sens!$J$6006)</f>
        <v>0</v>
      </c>
      <c r="K6070" s="39" t="n">
        <f aca="false">Sens!$K$6003-(Sens!$K$6005+Sens!$K$6006)</f>
        <v>0</v>
      </c>
      <c r="L6070" s="39" t="n">
        <f aca="false">Sens!$L$6003-(Sens!$L$6005+Sens!$L$6006)</f>
        <v>0</v>
      </c>
      <c r="M6070" s="39" t="n">
        <f aca="false">Sens!$M$6003-(Sens!$M$6005+Sens!$M$6006)</f>
        <v>0</v>
      </c>
      <c r="N6070" s="39" t="n">
        <f aca="false">Sens!$N$6003-(Sens!$N$6005+Sens!$N$6006)</f>
        <v>0</v>
      </c>
      <c r="O6070" s="39" t="n">
        <f aca="false">Sens!$O$6003-(Sens!$O$6005+Sens!$O$6006)</f>
        <v>0</v>
      </c>
    </row>
    <row r="6071" customFormat="false" ht="17.15" hidden="false" customHeight="false" outlineLevel="0" collapsed="false">
      <c r="A6071" s="24" t="s">
        <v>656</v>
      </c>
      <c r="B6071" s="25" t="s">
        <v>73</v>
      </c>
      <c r="C6071" s="39" t="n">
        <f aca="false">Sens!$C$6066+Sens!$C$6067-Sens!$C$6068</f>
        <v>0</v>
      </c>
      <c r="D6071" s="39" t="n">
        <f aca="false">Sens!$D$6066+Sens!$D$6067-Sens!$D$6068</f>
        <v>0</v>
      </c>
      <c r="E6071" s="39" t="n">
        <f aca="false">Sens!$E$6066+Sens!$E$6067-Sens!$E$6068</f>
        <v>0</v>
      </c>
      <c r="F6071" s="39" t="n">
        <f aca="false">Sens!$F$6066+Sens!$F$6067-Sens!$F$6068</f>
        <v>0</v>
      </c>
      <c r="G6071" s="39" t="n">
        <f aca="false">Sens!$G$6066+Sens!$G$6067-Sens!$G$6068</f>
        <v>0</v>
      </c>
      <c r="H6071" s="39" t="n">
        <f aca="false">Sens!$H$6066+Sens!$H$6067-Sens!$H$6068</f>
        <v>0</v>
      </c>
      <c r="I6071" s="39" t="n">
        <f aca="false">Sens!$I$6066+Sens!$I$6067-Sens!$I$6068</f>
        <v>0</v>
      </c>
      <c r="J6071" s="39" t="n">
        <f aca="false">Sens!$J$6066+Sens!$J$6067-Sens!$J$6068</f>
        <v>0</v>
      </c>
      <c r="K6071" s="39" t="n">
        <f aca="false">Sens!$K$6066+Sens!$K$6067-Sens!$K$6068</f>
        <v>0</v>
      </c>
      <c r="L6071" s="39" t="n">
        <f aca="false">Sens!$L$6066+Sens!$L$6067-Sens!$L$6068</f>
        <v>0</v>
      </c>
      <c r="M6071" s="39" t="n">
        <f aca="false">Sens!$M$6066+Sens!$M$6067-Sens!$M$6068</f>
        <v>0</v>
      </c>
      <c r="N6071" s="39" t="n">
        <f aca="false">Sens!$N$6066+Sens!$N$6067-Sens!$N$6068</f>
        <v>0</v>
      </c>
      <c r="O6071" s="39" t="n">
        <f aca="false">Sens!$O$6066+Sens!$O$6067-Sens!$O$6068</f>
        <v>0</v>
      </c>
    </row>
    <row r="6072" customFormat="false" ht="17.15" hidden="false" customHeight="false" outlineLevel="0" collapsed="false">
      <c r="A6072" s="24" t="s">
        <v>657</v>
      </c>
      <c r="B6072" s="25" t="s">
        <v>73</v>
      </c>
      <c r="C6072" s="39" t="n">
        <f aca="false">Sens!$C$6005+Sens!$C$6006+Sens!$C$6068-Sens!$C$6069</f>
        <v>0</v>
      </c>
      <c r="D6072" s="39" t="n">
        <f aca="false">Sens!$D$6005+Sens!$D$6006+Sens!$D$6068-Sens!$D$6069</f>
        <v>0</v>
      </c>
      <c r="E6072" s="39" t="n">
        <f aca="false">Sens!$E$6005+Sens!$E$6006+Sens!$E$6068-Sens!$E$6069</f>
        <v>0</v>
      </c>
      <c r="F6072" s="39" t="n">
        <f aca="false">Sens!$F$6005+Sens!$F$6006+Sens!$F$6068-Sens!$F$6069</f>
        <v>0</v>
      </c>
      <c r="G6072" s="39" t="n">
        <f aca="false">Sens!$G$6005+Sens!$G$6006+Sens!$G$6068-Sens!$G$6069</f>
        <v>0</v>
      </c>
      <c r="H6072" s="39" t="n">
        <f aca="false">Sens!$H$6005+Sens!$H$6006+Sens!$H$6068-Sens!$H$6069</f>
        <v>0</v>
      </c>
      <c r="I6072" s="39" t="n">
        <f aca="false">Sens!$I$6005+Sens!$I$6006+Sens!$I$6068-Sens!$I$6069</f>
        <v>0</v>
      </c>
      <c r="J6072" s="39" t="n">
        <f aca="false">Sens!$J$6005+Sens!$J$6006+Sens!$J$6068-Sens!$J$6069</f>
        <v>0</v>
      </c>
      <c r="K6072" s="39" t="n">
        <f aca="false">Sens!$K$6005+Sens!$K$6006+Sens!$K$6068-Sens!$K$6069</f>
        <v>0</v>
      </c>
      <c r="L6072" s="39" t="n">
        <f aca="false">Sens!$L$6005+Sens!$L$6006+Sens!$L$6068-Sens!$L$6069</f>
        <v>0</v>
      </c>
      <c r="M6072" s="39" t="n">
        <f aca="false">Sens!$M$6005+Sens!$M$6006+Sens!$M$6068-Sens!$M$6069</f>
        <v>0</v>
      </c>
      <c r="N6072" s="39" t="n">
        <f aca="false">Sens!$N$6005+Sens!$N$6006+Sens!$N$6068-Sens!$N$6069</f>
        <v>0</v>
      </c>
      <c r="O6072" s="39" t="n">
        <f aca="false">Sens!$O$6005+Sens!$O$6006+Sens!$O$6068-Sens!$O$6069</f>
        <v>0</v>
      </c>
    </row>
    <row r="6073" customFormat="false" ht="15" hidden="false" customHeight="false" outlineLevel="0" collapsed="false">
      <c r="A6073" s="5" t="s">
        <v>651</v>
      </c>
      <c r="B6073" s="0" t="s">
        <v>52</v>
      </c>
      <c r="G6073" s="12" t="n">
        <f aca="false">Sens!$G$6069/Sens!$D$6069-1</f>
        <v>0.161378156222718</v>
      </c>
      <c r="H6073" s="12" t="n">
        <f aca="false">Sens!$H$6069/Sens!$G$6069-1</f>
        <v>0.166192665236357</v>
      </c>
      <c r="I6073" s="12" t="n">
        <f aca="false">Sens!$I$6069/Sens!$H$6069-1</f>
        <v>0.143618092519351</v>
      </c>
      <c r="J6073" s="12" t="n">
        <f aca="false">Sens!$J$6069/Sens!$I$6069-1</f>
        <v>0.117712411733268</v>
      </c>
      <c r="K6073" s="12" t="n">
        <f aca="false">Sens!$K$6069/Sens!$J$6069-1</f>
        <v>0.0937151404237868</v>
      </c>
      <c r="L6073" s="12" t="n">
        <f aca="false">Sens!$L$6069/Sens!$K$6069-1</f>
        <v>0.0896982852494186</v>
      </c>
      <c r="M6073" s="12" t="n">
        <f aca="false">Sens!$M$6069/Sens!$L$6069-1</f>
        <v>0.0862697420528154</v>
      </c>
    </row>
    <row r="6074" customFormat="false" ht="17.15" hidden="false" customHeight="false" outlineLevel="0" collapsed="false">
      <c r="A6074" s="0" t="s">
        <v>652</v>
      </c>
      <c r="B6074" s="0" t="s">
        <v>52</v>
      </c>
      <c r="C6074" s="12" t="n">
        <f aca="false">Sens!$C$6068/Sens!$C$6069</f>
        <v>0.168593906504964</v>
      </c>
      <c r="D6074" s="12" t="n">
        <f aca="false">Sens!$D$6068/Sens!$D$6069</f>
        <v>0.179551807444025</v>
      </c>
      <c r="E6074" s="12" t="n">
        <f aca="false">Sens!$E$6068/Sens!$E$6069</f>
        <v>0.208881910369643</v>
      </c>
      <c r="F6074" s="12" t="n">
        <f aca="false">Sens!$F$6068/Sens!$F$6069</f>
        <v>0.207679264769203</v>
      </c>
      <c r="G6074" s="12" t="n">
        <f aca="false">Sens!$G$6068/Sens!$G$6069</f>
        <v>0.208231210458731</v>
      </c>
      <c r="H6074" s="12" t="n">
        <f aca="false">Sens!$H$6068/Sens!$H$6069</f>
        <v>0.248260191414043</v>
      </c>
      <c r="I6074" s="12" t="n">
        <f aca="false">Sens!$I$6068/Sens!$I$6069</f>
        <v>0.28110473450946</v>
      </c>
      <c r="J6074" s="12" t="n">
        <f aca="false">Sens!$J$6068/Sens!$J$6069</f>
        <v>0.30570109287086</v>
      </c>
      <c r="K6074" s="12" t="n">
        <f aca="false">Sens!$K$6068/Sens!$K$6069</f>
        <v>0.324071291782835</v>
      </c>
      <c r="L6074" s="12" t="n">
        <f aca="false">Sens!$L$6068/Sens!$L$6069</f>
        <v>0.339333003903741</v>
      </c>
      <c r="M6074" s="12" t="n">
        <f aca="false">Sens!$M$6068/Sens!$M$6069</f>
        <v>0.3520169237354</v>
      </c>
      <c r="N6074" s="12" t="n">
        <f aca="false">Sens!$N$6068/Sens!$N$6069</f>
        <v>0.185979484737251</v>
      </c>
      <c r="O6074" s="12" t="n">
        <f aca="false">Sens!$O$6068/Sens!$O$6069</f>
        <v>0.174270432341096</v>
      </c>
    </row>
    <row r="6075" customFormat="false" ht="17.15" hidden="false" customHeight="false" outlineLevel="0" collapsed="false">
      <c r="A6075" s="0" t="s">
        <v>653</v>
      </c>
      <c r="B6075" s="0" t="s">
        <v>52</v>
      </c>
      <c r="C6075" s="12" t="n">
        <f aca="false">Sens!$C$6066/Sens!$C$6068</f>
        <v>0.0215795060896058</v>
      </c>
      <c r="D6075" s="12" t="n">
        <f aca="false">Sens!$D$6066/Sens!$D$6068</f>
        <v>0.0676152269462122</v>
      </c>
      <c r="E6075" s="12" t="n">
        <f aca="false">Sens!$E$6066/Sens!$E$6068</f>
        <v>0.106620641395783</v>
      </c>
      <c r="F6075" s="12" t="n">
        <f aca="false">Sens!$F$6066/Sens!$F$6068</f>
        <v>0.159936751776064</v>
      </c>
      <c r="G6075" s="12" t="n">
        <f aca="false">Sens!$G$6066/Sens!$G$6068</f>
        <v>0.135391237003751</v>
      </c>
      <c r="H6075" s="12" t="n">
        <f aca="false">Sens!$H$6066/Sens!$H$6068</f>
        <v>0.249589428545194</v>
      </c>
      <c r="I6075" s="12" t="n">
        <f aca="false">Sens!$I$6066/Sens!$I$6068</f>
        <v>0.325173850577483</v>
      </c>
      <c r="J6075" s="12" t="n">
        <f aca="false">Sens!$J$6066/Sens!$J$6068</f>
        <v>0.376953718817392</v>
      </c>
      <c r="K6075" s="12" t="n">
        <f aca="false">Sens!$K$6066/Sens!$K$6068</f>
        <v>0.419641605578676</v>
      </c>
      <c r="L6075" s="12" t="n">
        <f aca="false">Sens!$L$6066/Sens!$L$6068</f>
        <v>0.450676451094615</v>
      </c>
      <c r="M6075" s="12" t="n">
        <f aca="false">Sens!$M$6066/Sens!$M$6068</f>
        <v>0.473526096798086</v>
      </c>
      <c r="N6075" s="12" t="n">
        <f aca="false">Sens!$N$6066/Sens!$N$6068</f>
        <v>0.0506537999838362</v>
      </c>
      <c r="O6075" s="12" t="n">
        <f aca="false">Sens!$O$6066/Sens!$O$6068</f>
        <v>0.0824881615167056</v>
      </c>
    </row>
    <row r="6078" customFormat="false" ht="19.4" hidden="false" customHeight="false" outlineLevel="0" collapsed="false">
      <c r="A6078" s="31" t="s">
        <v>1175</v>
      </c>
    </row>
    <row r="6079" customFormat="false" ht="17.15" hidden="false" customHeight="false" outlineLevel="0" collapsed="false">
      <c r="A6079" s="6" t="s">
        <v>16</v>
      </c>
      <c r="B6079" s="6" t="s">
        <v>17</v>
      </c>
      <c r="C6079" s="20" t="s">
        <v>457</v>
      </c>
      <c r="D6079" s="20" t="s">
        <v>458</v>
      </c>
      <c r="E6079" s="20" t="s">
        <v>540</v>
      </c>
      <c r="F6079" s="20" t="s">
        <v>541</v>
      </c>
      <c r="G6079" s="20" t="s">
        <v>542</v>
      </c>
      <c r="H6079" s="20" t="s">
        <v>543</v>
      </c>
      <c r="I6079" s="20" t="s">
        <v>544</v>
      </c>
      <c r="J6079" s="20" t="s">
        <v>545</v>
      </c>
      <c r="K6079" s="20" t="s">
        <v>546</v>
      </c>
      <c r="L6079" s="20" t="s">
        <v>547</v>
      </c>
      <c r="M6079" s="20" t="s">
        <v>548</v>
      </c>
      <c r="N6079" s="20" t="s">
        <v>549</v>
      </c>
      <c r="O6079" s="20" t="s">
        <v>550</v>
      </c>
      <c r="P6079" s="6" t="s">
        <v>23</v>
      </c>
      <c r="R6079" s="20" t="n">
        <v>2023</v>
      </c>
      <c r="S6079" s="20" t="n">
        <v>2024</v>
      </c>
      <c r="T6079" s="20" t="n">
        <v>2025</v>
      </c>
      <c r="U6079" s="20" t="n">
        <v>2026</v>
      </c>
      <c r="V6079" s="20" t="n">
        <v>2027</v>
      </c>
      <c r="W6079" s="20" t="n">
        <v>2028</v>
      </c>
      <c r="X6079" s="20" t="n">
        <v>2029</v>
      </c>
      <c r="Y6079" s="20" t="n">
        <v>2030</v>
      </c>
      <c r="Z6079" s="20" t="n">
        <v>2031</v>
      </c>
      <c r="AA6079" s="20" t="n">
        <v>2032</v>
      </c>
    </row>
    <row r="6080" customFormat="false" ht="17.15" hidden="false" customHeight="false" outlineLevel="0" collapsed="false">
      <c r="A6080" s="1" t="s">
        <v>668</v>
      </c>
    </row>
    <row r="6081" customFormat="false" ht="15" hidden="false" customHeight="false" outlineLevel="0" collapsed="false">
      <c r="A6081" s="0" t="s">
        <v>479</v>
      </c>
      <c r="B6081" s="0" t="s">
        <v>73</v>
      </c>
      <c r="C6081" s="38" t="n">
        <f aca="false">Sens!$C$5991</f>
        <v>247.029</v>
      </c>
      <c r="D6081" s="38" t="n">
        <f aca="false">Sens!$D$5991</f>
        <v>269.287</v>
      </c>
      <c r="E6081" s="38" t="n">
        <f aca="false">Sens!$E$5991</f>
        <v>134.686</v>
      </c>
      <c r="F6081" s="38" t="n">
        <f aca="false">Sens!$F$5991</f>
        <v>160.728085930082</v>
      </c>
      <c r="G6081" s="38" t="n">
        <f aca="false">Sens!$G$5991</f>
        <v>295.414085930082</v>
      </c>
      <c r="H6081" s="38" t="n">
        <f aca="false">Sens!$H$5991</f>
        <v>320.828163943375</v>
      </c>
      <c r="I6081" s="38" t="n">
        <f aca="false">Sens!$I$5991</f>
        <v>344.575578072228</v>
      </c>
      <c r="J6081" s="38" t="n">
        <f aca="false">Sens!$J$5991</f>
        <v>365.942555779681</v>
      </c>
      <c r="K6081" s="38" t="n">
        <f aca="false">Sens!$K$5991</f>
        <v>384.239683568665</v>
      </c>
      <c r="L6081" s="38" t="n">
        <f aca="false">Sens!$L$5991</f>
        <v>403.451667747098</v>
      </c>
      <c r="M6081" s="38" t="n">
        <f aca="false">Sens!$M$5991</f>
        <v>423.624251134453</v>
      </c>
      <c r="N6081" s="38" t="n">
        <f aca="false">Sens!$N$5991</f>
        <v>118.892</v>
      </c>
      <c r="O6081" s="38" t="n">
        <f aca="false">Sens!$O$5991</f>
        <v>150.395</v>
      </c>
    </row>
    <row r="6082" customFormat="false" ht="15" hidden="false" customHeight="false" outlineLevel="0" collapsed="false">
      <c r="A6082" s="0" t="s">
        <v>480</v>
      </c>
      <c r="B6082" s="0" t="s">
        <v>73</v>
      </c>
      <c r="C6082" s="38" t="n">
        <f aca="false">Sens!$C$5993</f>
        <v>21.215</v>
      </c>
      <c r="D6082" s="38" t="n">
        <f aca="false">Sens!$D$5993</f>
        <v>22.561</v>
      </c>
      <c r="E6082" s="38" t="n">
        <f aca="false">Sens!$E$5993</f>
        <v>11.579</v>
      </c>
      <c r="F6082" s="38" t="n">
        <f aca="false">Sens!$F$5993</f>
        <v>12.0952613121125</v>
      </c>
      <c r="G6082" s="38" t="n">
        <f aca="false">Sens!$G$5993</f>
        <v>23.6742613121125</v>
      </c>
      <c r="H6082" s="38" t="n">
        <f aca="false">Sens!$H$5993</f>
        <v>24.8803243963206</v>
      </c>
      <c r="I6082" s="38" t="n">
        <f aca="false">Sens!$I$5993</f>
        <v>25.9741308664154</v>
      </c>
      <c r="J6082" s="38" t="n">
        <f aca="false">Sens!$J$5993</f>
        <v>26.9346894124267</v>
      </c>
      <c r="K6082" s="38" t="n">
        <f aca="false">Sens!$K$5993</f>
        <v>27.7427300947995</v>
      </c>
      <c r="L6082" s="38" t="n">
        <f aca="false">Sens!$L$5993</f>
        <v>28.5750119976435</v>
      </c>
      <c r="M6082" s="38" t="n">
        <f aca="false">Sens!$M$5993</f>
        <v>29.4322623575728</v>
      </c>
      <c r="N6082" s="38" t="n">
        <f aca="false">Sens!$N$5993</f>
        <v>11.128</v>
      </c>
      <c r="O6082" s="38" t="n">
        <f aca="false">Sens!$O$5993</f>
        <v>11.433</v>
      </c>
    </row>
    <row r="6083" customFormat="false" ht="15" hidden="false" customHeight="false" outlineLevel="0" collapsed="false">
      <c r="A6083" s="0" t="s">
        <v>481</v>
      </c>
      <c r="B6083" s="0" t="s">
        <v>73</v>
      </c>
      <c r="C6083" s="38" t="n">
        <f aca="false">Sens!$C$5995</f>
        <v>156.146</v>
      </c>
      <c r="D6083" s="38" t="n">
        <f aca="false">Sens!$D$5995</f>
        <v>172.162</v>
      </c>
      <c r="E6083" s="38" t="n">
        <f aca="false">Sens!$E$5995</f>
        <v>88.358</v>
      </c>
      <c r="F6083" s="38" t="n">
        <f aca="false">Sens!$F$5995</f>
        <v>103.62028337149</v>
      </c>
      <c r="G6083" s="38" t="n">
        <f aca="false">Sens!$G$5995</f>
        <v>191.97828337149</v>
      </c>
      <c r="H6083" s="38" t="n">
        <f aca="false">Sens!$H$5995</f>
        <v>212.128608444755</v>
      </c>
      <c r="I6083" s="38" t="n">
        <f aca="false">Sens!$I$5995</f>
        <v>231.92183134134</v>
      </c>
      <c r="J6083" s="38" t="n">
        <f aca="false">Sens!$J$5995</f>
        <v>250.859136487863</v>
      </c>
      <c r="K6083" s="38" t="n">
        <f aca="false">Sens!$K$5995</f>
        <v>268.419276042014</v>
      </c>
      <c r="L6083" s="38" t="n">
        <f aca="false">Sens!$L$5995</f>
        <v>287.208625364954</v>
      </c>
      <c r="M6083" s="38" t="n">
        <f aca="false">Sens!$M$5995</f>
        <v>307.313229140501</v>
      </c>
      <c r="N6083" s="38" t="n">
        <f aca="false">Sens!$N$5995</f>
        <v>76.86</v>
      </c>
      <c r="O6083" s="38" t="n">
        <f aca="false">Sens!$O$5995</f>
        <v>95.302</v>
      </c>
    </row>
    <row r="6084" customFormat="false" ht="15" hidden="false" customHeight="false" outlineLevel="0" collapsed="false">
      <c r="A6084" s="0" t="s">
        <v>482</v>
      </c>
      <c r="B6084" s="0" t="s">
        <v>73</v>
      </c>
      <c r="C6084" s="38" t="n">
        <f aca="false">Sens!$C$5997</f>
        <v>56.214</v>
      </c>
      <c r="D6084" s="38" t="n">
        <f aca="false">Sens!$D$5997</f>
        <v>68.635</v>
      </c>
      <c r="E6084" s="38" t="n">
        <f aca="false">Sens!$E$5997</f>
        <v>37.052</v>
      </c>
      <c r="F6084" s="38" t="n">
        <f aca="false">Sens!$F$5997</f>
        <v>48.1533381827382</v>
      </c>
      <c r="G6084" s="38" t="n">
        <f aca="false">Sens!$G$5997</f>
        <v>85.2053381827382</v>
      </c>
      <c r="H6084" s="38" t="n">
        <f aca="false">Sens!$H$5997</f>
        <v>102.29336185894</v>
      </c>
      <c r="I6084" s="38" t="n">
        <f aca="false">Sens!$I$5997</f>
        <v>119.379837585241</v>
      </c>
      <c r="J6084" s="38" t="n">
        <f aca="false">Sens!$J$5997</f>
        <v>135.319079048844</v>
      </c>
      <c r="K6084" s="38" t="n">
        <f aca="false">Sens!$K$5997</f>
        <v>148.850986953729</v>
      </c>
      <c r="L6084" s="38" t="n">
        <f aca="false">Sens!$L$5997</f>
        <v>163.736085649102</v>
      </c>
      <c r="M6084" s="38" t="n">
        <f aca="false">Sens!$M$5997</f>
        <v>180.109694214012</v>
      </c>
      <c r="N6084" s="38" t="n">
        <f aca="false">Sens!$N$5997</f>
        <v>29.615</v>
      </c>
      <c r="O6084" s="38" t="n">
        <f aca="false">Sens!$O$5997</f>
        <v>39.02</v>
      </c>
    </row>
    <row r="6085" customFormat="false" ht="15" hidden="false" customHeight="false" outlineLevel="0" collapsed="false">
      <c r="A6085" s="0" t="s">
        <v>483</v>
      </c>
      <c r="B6085" s="0" t="s">
        <v>73</v>
      </c>
      <c r="C6085" s="38" t="n">
        <f aca="false">Sens!$C$5999</f>
        <v>44.374</v>
      </c>
      <c r="D6085" s="38" t="n">
        <f aca="false">Sens!$D$5999</f>
        <v>49.619</v>
      </c>
      <c r="E6085" s="38" t="n">
        <f aca="false">Sens!$E$5999</f>
        <v>27.157</v>
      </c>
      <c r="F6085" s="38" t="n">
        <f aca="false">Sens!$F$5999</f>
        <v>28.9776360923374</v>
      </c>
      <c r="G6085" s="38" t="n">
        <f aca="false">Sens!$G$5999</f>
        <v>56.1346360923374</v>
      </c>
      <c r="H6085" s="38" t="n">
        <f aca="false">Sens!$H$5999</f>
        <v>62.4937078946075</v>
      </c>
      <c r="I6085" s="38" t="n">
        <f aca="false">Sens!$I$5999</f>
        <v>68.6715233062498</v>
      </c>
      <c r="J6085" s="38" t="n">
        <f aca="false">Sens!$J$5999</f>
        <v>74.4692882949818</v>
      </c>
      <c r="K6085" s="38" t="n">
        <f aca="false">Sens!$K$5999</f>
        <v>79.6821384756306</v>
      </c>
      <c r="L6085" s="38" t="n">
        <f aca="false">Sens!$L$5999</f>
        <v>85.2598881689247</v>
      </c>
      <c r="M6085" s="38" t="n">
        <f aca="false">Sens!$M$5999</f>
        <v>91.2280803407494</v>
      </c>
      <c r="N6085" s="38" t="n">
        <f aca="false">Sens!$N$5999</f>
        <v>23.923</v>
      </c>
      <c r="O6085" s="38" t="n">
        <f aca="false">Sens!$O$5999</f>
        <v>25.696</v>
      </c>
    </row>
    <row r="6086" customFormat="false" ht="15" hidden="false" customHeight="false" outlineLevel="0" collapsed="false">
      <c r="A6086" s="0" t="s">
        <v>484</v>
      </c>
      <c r="B6086" s="0" t="s">
        <v>73</v>
      </c>
      <c r="C6086" s="38" t="n">
        <f aca="false">Sens!$C$6001</f>
        <v>5.425</v>
      </c>
      <c r="D6086" s="38" t="n">
        <f aca="false">Sens!$D$6001</f>
        <v>5.935</v>
      </c>
      <c r="E6086" s="38" t="n">
        <f aca="false">Sens!$E$6001</f>
        <v>3.474</v>
      </c>
      <c r="F6086" s="38" t="n">
        <f aca="false">Sens!$F$6001</f>
        <v>3.36182431966931</v>
      </c>
      <c r="G6086" s="38" t="n">
        <f aca="false">Sens!$G$6001</f>
        <v>6.83582431966931</v>
      </c>
      <c r="H6086" s="38" t="n">
        <f aca="false">Sens!$H$6001</f>
        <v>7.31157108370141</v>
      </c>
      <c r="I6086" s="38" t="n">
        <f aca="false">Sens!$I$6001</f>
        <v>7.77266852639815</v>
      </c>
      <c r="J6086" s="38" t="n">
        <f aca="false">Sens!$J$6001</f>
        <v>8.2120733019884</v>
      </c>
      <c r="K6086" s="38" t="n">
        <f aca="false">Sens!$K$6001</f>
        <v>8.62267696708783</v>
      </c>
      <c r="L6086" s="38" t="n">
        <f aca="false">Sens!$L$6001</f>
        <v>9.05381081544222</v>
      </c>
      <c r="M6086" s="38" t="n">
        <f aca="false">Sens!$M$6001</f>
        <v>9.50650135621433</v>
      </c>
      <c r="N6086" s="38" t="n">
        <f aca="false">Sens!$N$6001</f>
        <v>2.811</v>
      </c>
      <c r="O6086" s="38" t="n">
        <f aca="false">Sens!$O$6001</f>
        <v>3.124</v>
      </c>
    </row>
    <row r="6087" customFormat="false" ht="17.15" hidden="false" customHeight="false" outlineLevel="0" collapsed="false">
      <c r="A6087" s="0" t="s">
        <v>669</v>
      </c>
      <c r="B6087" s="0" t="s">
        <v>73</v>
      </c>
      <c r="C6087" s="38" t="n">
        <f aca="false">Sens!$C$6068</f>
        <v>107.556</v>
      </c>
      <c r="D6087" s="38" t="n">
        <f aca="false">Sens!$D$6068</f>
        <v>128.725</v>
      </c>
      <c r="E6087" s="38" t="n">
        <f aca="false">Sens!$E$6068</f>
        <v>79.819</v>
      </c>
      <c r="F6087" s="38" t="n">
        <f aca="false">Sens!$F$6068</f>
        <v>93.5584440633857</v>
      </c>
      <c r="G6087" s="38" t="n">
        <f aca="false">Sens!$G$6068</f>
        <v>173.377444063386</v>
      </c>
      <c r="H6087" s="38" t="n">
        <f aca="false">Sens!$H$6068</f>
        <v>241.059451517916</v>
      </c>
      <c r="I6087" s="38" t="n">
        <f aca="false">Sens!$I$6068</f>
        <v>312.152096351442</v>
      </c>
      <c r="J6087" s="38" t="n">
        <f aca="false">Sens!$J$6068</f>
        <v>379.424316597773</v>
      </c>
      <c r="K6087" s="38" t="n">
        <f aca="false">Sens!$K$6068</f>
        <v>439.919237244402</v>
      </c>
      <c r="L6087" s="38" t="n">
        <f aca="false">Sens!$L$6068</f>
        <v>501.954974491517</v>
      </c>
      <c r="M6087" s="38" t="n">
        <f aca="false">Sens!$M$6068</f>
        <v>565.639704466895</v>
      </c>
      <c r="N6087" s="38" t="n">
        <f aca="false">Sens!$N$6068</f>
        <v>60.14</v>
      </c>
      <c r="O6087" s="38" t="n">
        <f aca="false">Sens!$O$6068</f>
        <v>68.585</v>
      </c>
    </row>
    <row r="6088" customFormat="false" ht="15" hidden="false" customHeight="false" outlineLevel="0" collapsed="false">
      <c r="A6088" s="1" t="s">
        <v>472</v>
      </c>
      <c r="B6088" s="8" t="s">
        <v>73</v>
      </c>
      <c r="C6088" s="38" t="n">
        <f aca="false">Sens!$C$6005</f>
        <v>387.497</v>
      </c>
      <c r="D6088" s="38" t="n">
        <f aca="false">Sens!$D$6005</f>
        <v>426.305</v>
      </c>
      <c r="E6088" s="38" t="n">
        <f aca="false">Sens!$E$6005</f>
        <v>220.32</v>
      </c>
      <c r="F6088" s="38" t="n">
        <f aca="false">Sens!$F$6005</f>
        <v>256.304015003807</v>
      </c>
      <c r="G6088" s="38" t="n">
        <f aca="false">Sens!$G$6005</f>
        <v>476.624015003807</v>
      </c>
      <c r="H6088" s="38" t="n">
        <f aca="false">Sens!$H$6005</f>
        <v>527.734391091543</v>
      </c>
      <c r="I6088" s="38" t="n">
        <f aca="false">Sens!$I$6005</f>
        <v>577.157693029577</v>
      </c>
      <c r="J6088" s="38" t="n">
        <f aca="false">Sens!$J$6005</f>
        <v>623.024923663827</v>
      </c>
      <c r="K6088" s="38" t="n">
        <f aca="false">Sens!$K$6005</f>
        <v>663.382568393781</v>
      </c>
      <c r="L6088" s="38" t="n">
        <f aca="false">Sens!$L$6005</f>
        <v>706.564873010432</v>
      </c>
      <c r="M6088" s="38" t="n">
        <f aca="false">Sens!$M$6005</f>
        <v>752.784687406019</v>
      </c>
      <c r="N6088" s="38" t="n">
        <f aca="false">Sens!$N$6005</f>
        <v>192.955</v>
      </c>
      <c r="O6088" s="38" t="n">
        <f aca="false">Sens!$O$6005</f>
        <v>233.35</v>
      </c>
    </row>
    <row r="6089" customFormat="false" ht="15" hidden="false" customHeight="false" outlineLevel="0" collapsed="false">
      <c r="A6089" s="1" t="s">
        <v>475</v>
      </c>
      <c r="B6089" s="8" t="s">
        <v>73</v>
      </c>
      <c r="C6089" s="38" t="n">
        <f aca="false">Sens!$C$6006</f>
        <v>142.906</v>
      </c>
      <c r="D6089" s="38" t="n">
        <f aca="false">Sens!$D$6006</f>
        <v>161.894</v>
      </c>
      <c r="E6089" s="38" t="n">
        <f aca="false">Sens!$E$6006</f>
        <v>81.986</v>
      </c>
      <c r="F6089" s="38" t="n">
        <f aca="false">Sens!$F$6006</f>
        <v>100.632414204623</v>
      </c>
      <c r="G6089" s="38" t="n">
        <f aca="false">Sens!$G$6006</f>
        <v>182.618414204623</v>
      </c>
      <c r="H6089" s="38" t="n">
        <f aca="false">Sens!$H$6006</f>
        <v>202.201346530158</v>
      </c>
      <c r="I6089" s="38" t="n">
        <f aca="false">Sens!$I$6006</f>
        <v>221.137876668296</v>
      </c>
      <c r="J6089" s="38" t="n">
        <f aca="false">Sens!$J$6006</f>
        <v>238.711898661958</v>
      </c>
      <c r="K6089" s="38" t="n">
        <f aca="false">Sens!$K$6006</f>
        <v>254.174923708144</v>
      </c>
      <c r="L6089" s="38" t="n">
        <f aca="false">Sens!$L$6006</f>
        <v>270.720216732733</v>
      </c>
      <c r="M6089" s="38" t="n">
        <f aca="false">Sens!$M$6006</f>
        <v>288.429331137484</v>
      </c>
      <c r="N6089" s="38" t="n">
        <f aca="false">Sens!$N$6006</f>
        <v>70.274</v>
      </c>
      <c r="O6089" s="38" t="n">
        <f aca="false">Sens!$O$6006</f>
        <v>91.62</v>
      </c>
    </row>
    <row r="6090" customFormat="false" ht="15" hidden="false" customHeight="false" outlineLevel="0" collapsed="false">
      <c r="A6090" s="1" t="s">
        <v>476</v>
      </c>
      <c r="B6090" s="8" t="s">
        <v>73</v>
      </c>
      <c r="C6090" s="38" t="n">
        <f aca="false">Sens!$C$6068</f>
        <v>107.556</v>
      </c>
      <c r="D6090" s="38" t="n">
        <f aca="false">Sens!$D$6068</f>
        <v>128.725</v>
      </c>
      <c r="E6090" s="38" t="n">
        <f aca="false">Sens!$E$6068</f>
        <v>79.819</v>
      </c>
      <c r="F6090" s="38" t="n">
        <f aca="false">Sens!$F$6068</f>
        <v>93.5584440633857</v>
      </c>
      <c r="G6090" s="38" t="n">
        <f aca="false">Sens!$G$6068</f>
        <v>173.377444063386</v>
      </c>
      <c r="H6090" s="38" t="n">
        <f aca="false">Sens!$H$6068</f>
        <v>241.059451517916</v>
      </c>
      <c r="I6090" s="38" t="n">
        <f aca="false">Sens!$I$6068</f>
        <v>312.152096351442</v>
      </c>
      <c r="J6090" s="38" t="n">
        <f aca="false">Sens!$J$6068</f>
        <v>379.424316597773</v>
      </c>
      <c r="K6090" s="38" t="n">
        <f aca="false">Sens!$K$6068</f>
        <v>439.919237244402</v>
      </c>
      <c r="L6090" s="38" t="n">
        <f aca="false">Sens!$L$6068</f>
        <v>501.954974491517</v>
      </c>
      <c r="M6090" s="38" t="n">
        <f aca="false">Sens!$M$6068</f>
        <v>565.639704466895</v>
      </c>
      <c r="N6090" s="38" t="n">
        <f aca="false">Sens!$N$6068</f>
        <v>60.14</v>
      </c>
      <c r="O6090" s="38" t="n">
        <f aca="false">Sens!$O$6068</f>
        <v>68.585</v>
      </c>
    </row>
    <row r="6091" customFormat="false" ht="17.15" hidden="false" customHeight="false" outlineLevel="0" collapsed="false">
      <c r="A6091" s="0" t="s">
        <v>643</v>
      </c>
      <c r="B6091" s="0" t="s">
        <v>73</v>
      </c>
      <c r="C6091" s="38" t="n">
        <f aca="false">Sens!$C$6066</f>
        <v>2.32100535697364</v>
      </c>
      <c r="D6091" s="38" t="n">
        <f aca="false">Sens!$D$6066</f>
        <v>8.70377008865116</v>
      </c>
      <c r="E6091" s="38" t="n">
        <f aca="false">Sens!$E$6066</f>
        <v>8.51035297557002</v>
      </c>
      <c r="F6091" s="38" t="n">
        <f aca="false">Sens!$F$6066</f>
        <v>14.9634336447205</v>
      </c>
      <c r="G6091" s="38" t="n">
        <f aca="false">Sens!$G$6066</f>
        <v>23.4737866202905</v>
      </c>
      <c r="H6091" s="38" t="n">
        <f aca="false">Sens!$H$6066</f>
        <v>60.1658907497746</v>
      </c>
      <c r="I6091" s="38" t="n">
        <f aca="false">Sens!$I$6066</f>
        <v>101.503699136432</v>
      </c>
      <c r="J6091" s="38" t="n">
        <f aca="false">Sens!$J$6066</f>
        <v>143.025407151278</v>
      </c>
      <c r="K6091" s="38" t="n">
        <f aca="false">Sens!$K$6066</f>
        <v>184.608415042187</v>
      </c>
      <c r="L6091" s="38" t="n">
        <f aca="false">Sens!$L$6066</f>
        <v>226.219286513125</v>
      </c>
      <c r="M6091" s="38" t="n">
        <f aca="false">Sens!$M$6066</f>
        <v>267.845161450232</v>
      </c>
      <c r="N6091" s="38" t="n">
        <f aca="false">Sens!$N$6066</f>
        <v>3.04631953102791</v>
      </c>
      <c r="O6091" s="38" t="n">
        <f aca="false">Sens!$O$6066</f>
        <v>5.65745055762326</v>
      </c>
    </row>
    <row r="6092" customFormat="false" ht="17.15" hidden="false" customHeight="false" outlineLevel="0" collapsed="false">
      <c r="A6092" s="0" t="s">
        <v>645</v>
      </c>
      <c r="B6092" s="0" t="s">
        <v>73</v>
      </c>
      <c r="C6092" s="38" t="n">
        <f aca="false">Sens!$C$6067</f>
        <v>105.234994643026</v>
      </c>
      <c r="D6092" s="38" t="n">
        <f aca="false">Sens!$D$6067</f>
        <v>120.021229911349</v>
      </c>
      <c r="E6092" s="38" t="n">
        <f aca="false">Sens!$E$6067</f>
        <v>71.30864702443</v>
      </c>
      <c r="F6092" s="38" t="n">
        <f aca="false">Sens!$F$6067</f>
        <v>78.5950104186653</v>
      </c>
      <c r="G6092" s="38" t="n">
        <f aca="false">Sens!$G$6067</f>
        <v>149.903657443095</v>
      </c>
      <c r="H6092" s="38" t="n">
        <f aca="false">Sens!$H$6067</f>
        <v>180.893560768142</v>
      </c>
      <c r="I6092" s="38" t="n">
        <f aca="false">Sens!$I$6067</f>
        <v>210.64839721501</v>
      </c>
      <c r="J6092" s="38" t="n">
        <f aca="false">Sens!$J$6067</f>
        <v>236.398909446495</v>
      </c>
      <c r="K6092" s="38" t="n">
        <f aca="false">Sens!$K$6067</f>
        <v>255.310822202215</v>
      </c>
      <c r="L6092" s="38" t="n">
        <f aca="false">Sens!$L$6067</f>
        <v>275.735687978392</v>
      </c>
      <c r="M6092" s="38" t="n">
        <f aca="false">Sens!$M$6067</f>
        <v>297.794543016663</v>
      </c>
      <c r="N6092" s="38" t="n">
        <f aca="false">Sens!$N$6067</f>
        <v>57.0936804689721</v>
      </c>
      <c r="O6092" s="38" t="n">
        <f aca="false">Sens!$O$6067</f>
        <v>62.9275494423768</v>
      </c>
    </row>
    <row r="6093" customFormat="false" ht="15" hidden="false" customHeight="false" outlineLevel="0" collapsed="false">
      <c r="A6093" s="3" t="s">
        <v>477</v>
      </c>
      <c r="B6093" s="8" t="s">
        <v>73</v>
      </c>
      <c r="C6093" s="38" t="n">
        <f aca="false">Sens!$C$6069</f>
        <v>637.959</v>
      </c>
      <c r="D6093" s="38" t="n">
        <f aca="false">Sens!$D$6069</f>
        <v>716.924</v>
      </c>
      <c r="E6093" s="38" t="n">
        <f aca="false">Sens!$E$6069</f>
        <v>382.125</v>
      </c>
      <c r="F6093" s="38" t="n">
        <f aca="false">Sens!$F$6069</f>
        <v>450.494873271816</v>
      </c>
      <c r="G6093" s="38" t="n">
        <f aca="false">Sens!$G$6069</f>
        <v>832.619873271816</v>
      </c>
      <c r="H6093" s="38" t="n">
        <f aca="false">Sens!$H$6069</f>
        <v>970.995189139617</v>
      </c>
      <c r="I6093" s="38" t="n">
        <f aca="false">Sens!$I$6069</f>
        <v>1110.44766604932</v>
      </c>
      <c r="J6093" s="38" t="n">
        <f aca="false">Sens!$J$6069</f>
        <v>1241.16113892356</v>
      </c>
      <c r="K6093" s="38" t="n">
        <f aca="false">Sens!$K$6069</f>
        <v>1357.47672934633</v>
      </c>
      <c r="L6093" s="38" t="n">
        <f aca="false">Sens!$L$6069</f>
        <v>1479.24006423468</v>
      </c>
      <c r="M6093" s="38" t="n">
        <f aca="false">Sens!$M$6069</f>
        <v>1606.8537230104</v>
      </c>
      <c r="N6093" s="38" t="n">
        <f aca="false">Sens!$N$6069</f>
        <v>323.369</v>
      </c>
      <c r="O6093" s="38" t="n">
        <f aca="false">Sens!$O$6069</f>
        <v>393.555</v>
      </c>
    </row>
    <row r="6094" customFormat="false" ht="17.15" hidden="false" customHeight="false" outlineLevel="0" collapsed="false">
      <c r="A6094" s="24" t="s">
        <v>655</v>
      </c>
      <c r="B6094" s="25" t="s">
        <v>73</v>
      </c>
      <c r="C6094" s="39" t="n">
        <f aca="false">Sens!$C$6081+Sens!$C$6082+Sens!$C$6083+Sens!$C$6084+Sens!$C$6085+Sens!$C$6086-(Sens!$C$6088+Sens!$C$6089)</f>
        <v>0</v>
      </c>
      <c r="D6094" s="39" t="n">
        <f aca="false">Sens!$D$6081+Sens!$D$6082+Sens!$D$6083+Sens!$D$6084+Sens!$D$6085+Sens!$D$6086-(Sens!$D$6088+Sens!$D$6089)</f>
        <v>0</v>
      </c>
      <c r="E6094" s="39" t="n">
        <f aca="false">Sens!$E$6081+Sens!$E$6082+Sens!$E$6083+Sens!$E$6084+Sens!$E$6085+Sens!$E$6086-(Sens!$E$6088+Sens!$E$6089)</f>
        <v>0</v>
      </c>
      <c r="F6094" s="39" t="n">
        <f aca="false">Sens!$F$6081+Sens!$F$6082+Sens!$F$6083+Sens!$F$6084+Sens!$F$6085+Sens!$F$6086-(Sens!$F$6088+Sens!$F$6089)</f>
        <v>0</v>
      </c>
      <c r="G6094" s="39" t="n">
        <f aca="false">Sens!$G$6081+Sens!$G$6082+Sens!$G$6083+Sens!$G$6084+Sens!$G$6085+Sens!$G$6086-(Sens!$G$6088+Sens!$G$6089)</f>
        <v>0</v>
      </c>
      <c r="H6094" s="39" t="n">
        <f aca="false">Sens!$H$6081+Sens!$H$6082+Sens!$H$6083+Sens!$H$6084+Sens!$H$6085+Sens!$H$6086-(Sens!$H$6088+Sens!$H$6089)</f>
        <v>0</v>
      </c>
      <c r="I6094" s="39" t="n">
        <f aca="false">Sens!$I$6081+Sens!$I$6082+Sens!$I$6083+Sens!$I$6084+Sens!$I$6085+Sens!$I$6086-(Sens!$I$6088+Sens!$I$6089)</f>
        <v>0</v>
      </c>
      <c r="J6094" s="39" t="n">
        <f aca="false">Sens!$J$6081+Sens!$J$6082+Sens!$J$6083+Sens!$J$6084+Sens!$J$6085+Sens!$J$6086-(Sens!$J$6088+Sens!$J$6089)</f>
        <v>0</v>
      </c>
      <c r="K6094" s="39" t="n">
        <f aca="false">Sens!$K$6081+Sens!$K$6082+Sens!$K$6083+Sens!$K$6084+Sens!$K$6085+Sens!$K$6086-(Sens!$K$6088+Sens!$K$6089)</f>
        <v>0</v>
      </c>
      <c r="L6094" s="39" t="n">
        <f aca="false">Sens!$L$6081+Sens!$L$6082+Sens!$L$6083+Sens!$L$6084+Sens!$L$6085+Sens!$L$6086-(Sens!$L$6088+Sens!$L$6089)</f>
        <v>0</v>
      </c>
      <c r="M6094" s="39" t="n">
        <f aca="false">Sens!$M$6081+Sens!$M$6082+Sens!$M$6083+Sens!$M$6084+Sens!$M$6085+Sens!$M$6086-(Sens!$M$6088+Sens!$M$6089)</f>
        <v>0</v>
      </c>
      <c r="N6094" s="39" t="n">
        <f aca="false">Sens!$N$6081+Sens!$N$6082+Sens!$N$6083+Sens!$N$6084+Sens!$N$6085+Sens!$N$6086-(Sens!$N$6088+Sens!$N$6089)</f>
        <v>0</v>
      </c>
      <c r="O6094" s="39" t="n">
        <f aca="false">Sens!$O$6081+Sens!$O$6082+Sens!$O$6083+Sens!$O$6084+Sens!$O$6085+Sens!$O$6086-(Sens!$O$6088+Sens!$O$6089)</f>
        <v>0</v>
      </c>
    </row>
    <row r="6095" customFormat="false" ht="17.15" hidden="false" customHeight="false" outlineLevel="0" collapsed="false">
      <c r="A6095" s="24" t="s">
        <v>656</v>
      </c>
      <c r="B6095" s="25" t="s">
        <v>73</v>
      </c>
      <c r="C6095" s="39" t="n">
        <f aca="false">Sens!$C$6091+Sens!$C$6092-Sens!$C$6090</f>
        <v>0</v>
      </c>
      <c r="D6095" s="39" t="n">
        <f aca="false">Sens!$D$6091+Sens!$D$6092-Sens!$D$6090</f>
        <v>0</v>
      </c>
      <c r="E6095" s="39" t="n">
        <f aca="false">Sens!$E$6091+Sens!$E$6092-Sens!$E$6090</f>
        <v>0</v>
      </c>
      <c r="F6095" s="39" t="n">
        <f aca="false">Sens!$F$6091+Sens!$F$6092-Sens!$F$6090</f>
        <v>0</v>
      </c>
      <c r="G6095" s="39" t="n">
        <f aca="false">Sens!$G$6091+Sens!$G$6092-Sens!$G$6090</f>
        <v>0</v>
      </c>
      <c r="H6095" s="39" t="n">
        <f aca="false">Sens!$H$6091+Sens!$H$6092-Sens!$H$6090</f>
        <v>0</v>
      </c>
      <c r="I6095" s="39" t="n">
        <f aca="false">Sens!$I$6091+Sens!$I$6092-Sens!$I$6090</f>
        <v>0</v>
      </c>
      <c r="J6095" s="39" t="n">
        <f aca="false">Sens!$J$6091+Sens!$J$6092-Sens!$J$6090</f>
        <v>0</v>
      </c>
      <c r="K6095" s="39" t="n">
        <f aca="false">Sens!$K$6091+Sens!$K$6092-Sens!$K$6090</f>
        <v>0</v>
      </c>
      <c r="L6095" s="39" t="n">
        <f aca="false">Sens!$L$6091+Sens!$L$6092-Sens!$L$6090</f>
        <v>0</v>
      </c>
      <c r="M6095" s="39" t="n">
        <f aca="false">Sens!$M$6091+Sens!$M$6092-Sens!$M$6090</f>
        <v>0</v>
      </c>
      <c r="N6095" s="39" t="n">
        <f aca="false">Sens!$N$6091+Sens!$N$6092-Sens!$N$6090</f>
        <v>0</v>
      </c>
      <c r="O6095" s="39" t="n">
        <f aca="false">Sens!$O$6091+Sens!$O$6092-Sens!$O$6090</f>
        <v>0</v>
      </c>
    </row>
    <row r="6096" customFormat="false" ht="17.15" hidden="false" customHeight="false" outlineLevel="0" collapsed="false">
      <c r="A6096" s="24" t="s">
        <v>710</v>
      </c>
      <c r="B6096" s="25" t="s">
        <v>73</v>
      </c>
      <c r="C6096" s="39" t="n">
        <f aca="false">Sens!$C$6081+Sens!$C$6082+Sens!$C$6083+Sens!$C$6084+Sens!$C$6085+Sens!$C$6086+Sens!$C$6087-Sens!$C$6093</f>
        <v>0</v>
      </c>
      <c r="D6096" s="39" t="n">
        <f aca="false">Sens!$D$6081+Sens!$D$6082+Sens!$D$6083+Sens!$D$6084+Sens!$D$6085+Sens!$D$6086+Sens!$D$6087-Sens!$D$6093</f>
        <v>0</v>
      </c>
      <c r="E6096" s="39" t="n">
        <f aca="false">Sens!$E$6081+Sens!$E$6082+Sens!$E$6083+Sens!$E$6084+Sens!$E$6085+Sens!$E$6086+Sens!$E$6087-Sens!$E$6093</f>
        <v>0</v>
      </c>
      <c r="F6096" s="39" t="n">
        <f aca="false">Sens!$F$6081+Sens!$F$6082+Sens!$F$6083+Sens!$F$6084+Sens!$F$6085+Sens!$F$6086+Sens!$F$6087-Sens!$F$6093</f>
        <v>0</v>
      </c>
      <c r="G6096" s="39" t="n">
        <f aca="false">Sens!$G$6081+Sens!$G$6082+Sens!$G$6083+Sens!$G$6084+Sens!$G$6085+Sens!$G$6086+Sens!$G$6087-Sens!$G$6093</f>
        <v>0</v>
      </c>
      <c r="H6096" s="39" t="n">
        <f aca="false">Sens!$H$6081+Sens!$H$6082+Sens!$H$6083+Sens!$H$6084+Sens!$H$6085+Sens!$H$6086+Sens!$H$6087-Sens!$H$6093</f>
        <v>0</v>
      </c>
      <c r="I6096" s="39" t="n">
        <f aca="false">Sens!$I$6081+Sens!$I$6082+Sens!$I$6083+Sens!$I$6084+Sens!$I$6085+Sens!$I$6086+Sens!$I$6087-Sens!$I$6093</f>
        <v>0</v>
      </c>
      <c r="J6096" s="39" t="n">
        <f aca="false">Sens!$J$6081+Sens!$J$6082+Sens!$J$6083+Sens!$J$6084+Sens!$J$6085+Sens!$J$6086+Sens!$J$6087-Sens!$J$6093</f>
        <v>0</v>
      </c>
      <c r="K6096" s="39" t="n">
        <f aca="false">Sens!$K$6081+Sens!$K$6082+Sens!$K$6083+Sens!$K$6084+Sens!$K$6085+Sens!$K$6086+Sens!$K$6087-Sens!$K$6093</f>
        <v>0</v>
      </c>
      <c r="L6096" s="39" t="n">
        <f aca="false">Sens!$L$6081+Sens!$L$6082+Sens!$L$6083+Sens!$L$6084+Sens!$L$6085+Sens!$L$6086+Sens!$L$6087-Sens!$L$6093</f>
        <v>0</v>
      </c>
      <c r="M6096" s="39" t="n">
        <f aca="false">Sens!$M$6081+Sens!$M$6082+Sens!$M$6083+Sens!$M$6084+Sens!$M$6085+Sens!$M$6086+Sens!$M$6087-Sens!$M$6093</f>
        <v>0</v>
      </c>
      <c r="N6096" s="39" t="n">
        <f aca="false">Sens!$N$6081+Sens!$N$6082+Sens!$N$6083+Sens!$N$6084+Sens!$N$6085+Sens!$N$6086+Sens!$N$6087-Sens!$N$6093</f>
        <v>0</v>
      </c>
      <c r="O6096" s="39" t="n">
        <f aca="false">Sens!$O$6081+Sens!$O$6082+Sens!$O$6083+Sens!$O$6084+Sens!$O$6085+Sens!$O$6086+Sens!$O$6087-Sens!$O$6093</f>
        <v>0</v>
      </c>
    </row>
    <row r="6097" customFormat="false" ht="17.15" hidden="false" customHeight="false" outlineLevel="0" collapsed="false">
      <c r="A6097" s="24" t="s">
        <v>657</v>
      </c>
      <c r="B6097" s="25" t="s">
        <v>73</v>
      </c>
      <c r="C6097" s="39" t="n">
        <f aca="false">Sens!$C$6088+Sens!$C$6089+Sens!$C$6090-Sens!$C$6093</f>
        <v>0</v>
      </c>
      <c r="D6097" s="39" t="n">
        <f aca="false">Sens!$D$6088+Sens!$D$6089+Sens!$D$6090-Sens!$D$6093</f>
        <v>0</v>
      </c>
      <c r="E6097" s="39" t="n">
        <f aca="false">Sens!$E$6088+Sens!$E$6089+Sens!$E$6090-Sens!$E$6093</f>
        <v>0</v>
      </c>
      <c r="F6097" s="39" t="n">
        <f aca="false">Sens!$F$6088+Sens!$F$6089+Sens!$F$6090-Sens!$F$6093</f>
        <v>0</v>
      </c>
      <c r="G6097" s="39" t="n">
        <f aca="false">Sens!$G$6088+Sens!$G$6089+Sens!$G$6090-Sens!$G$6093</f>
        <v>0</v>
      </c>
      <c r="H6097" s="39" t="n">
        <f aca="false">Sens!$H$6088+Sens!$H$6089+Sens!$H$6090-Sens!$H$6093</f>
        <v>0</v>
      </c>
      <c r="I6097" s="39" t="n">
        <f aca="false">Sens!$I$6088+Sens!$I$6089+Sens!$I$6090-Sens!$I$6093</f>
        <v>0</v>
      </c>
      <c r="J6097" s="39" t="n">
        <f aca="false">Sens!$J$6088+Sens!$J$6089+Sens!$J$6090-Sens!$J$6093</f>
        <v>0</v>
      </c>
      <c r="K6097" s="39" t="n">
        <f aca="false">Sens!$K$6088+Sens!$K$6089+Sens!$K$6090-Sens!$K$6093</f>
        <v>0</v>
      </c>
      <c r="L6097" s="39" t="n">
        <f aca="false">Sens!$L$6088+Sens!$L$6089+Sens!$L$6090-Sens!$L$6093</f>
        <v>0</v>
      </c>
      <c r="M6097" s="39" t="n">
        <f aca="false">Sens!$M$6088+Sens!$M$6089+Sens!$M$6090-Sens!$M$6093</f>
        <v>0</v>
      </c>
      <c r="N6097" s="39" t="n">
        <f aca="false">Sens!$N$6088+Sens!$N$6089+Sens!$N$6090-Sens!$N$6093</f>
        <v>0</v>
      </c>
      <c r="O6097" s="39" t="n">
        <f aca="false">Sens!$O$6088+Sens!$O$6089+Sens!$O$6090-Sens!$O$6093</f>
        <v>0</v>
      </c>
    </row>
    <row r="6098" customFormat="false" ht="17.15" hidden="false" customHeight="false" outlineLevel="0" collapsed="false">
      <c r="A6098" s="1" t="s">
        <v>671</v>
      </c>
    </row>
    <row r="6099" customFormat="false" ht="17.15" hidden="false" customHeight="false" outlineLevel="0" collapsed="false">
      <c r="A6099" s="0" t="s">
        <v>672</v>
      </c>
      <c r="B6099" s="0" t="s">
        <v>73</v>
      </c>
      <c r="C6099" s="38" t="n">
        <f aca="false">Sens!$C$6007*m_ad</f>
        <v>20.5341564414228</v>
      </c>
      <c r="D6099" s="38" t="n">
        <f aca="false">Sens!$D$6007*m_ad</f>
        <v>24.8720617299587</v>
      </c>
      <c r="E6099" s="38" t="n">
        <f aca="false">Sens!$E$6007*m_ad</f>
        <v>13.5017112462207</v>
      </c>
      <c r="F6099" s="38" t="n">
        <f aca="false">Sens!$F$6007*m_ad</f>
        <v>17.2886442824599</v>
      </c>
      <c r="G6099" s="38" t="n">
        <f aca="false">Sens!$G$6007*m_ad</f>
        <v>30.8011958765886</v>
      </c>
      <c r="H6099" s="38" t="n">
        <f aca="false">Sens!$H$6007*m_ad</f>
        <v>36.978409366026</v>
      </c>
      <c r="I6099" s="38" t="n">
        <f aca="false">Sens!$I$6007*m_ad</f>
        <v>43.155063281273</v>
      </c>
      <c r="J6099" s="38" t="n">
        <f aca="false">Sens!$J$6007*m_ad</f>
        <v>48.9169991988532</v>
      </c>
      <c r="K6099" s="38" t="n">
        <f aca="false">Sens!$K$6007*m_ad</f>
        <v>53.8086991187386</v>
      </c>
      <c r="L6099" s="38" t="n">
        <f aca="false">Sens!$L$6007*m_ad</f>
        <v>59.1895690306124</v>
      </c>
      <c r="M6099" s="38" t="n">
        <f aca="false">Sens!$M$6007*m_ad</f>
        <v>65.1085259336737</v>
      </c>
      <c r="N6099" s="38" t="n">
        <f aca="false">Sens!$N$6007*m_ad</f>
        <v>10.8543555706248</v>
      </c>
      <c r="O6099" s="38" t="n">
        <f aca="false">Sens!$O$6007*m_ad</f>
        <v>14.0094731821399</v>
      </c>
    </row>
    <row r="6100" customFormat="false" ht="17.15" hidden="false" customHeight="false" outlineLevel="0" collapsed="false">
      <c r="A6100" s="0" t="s">
        <v>673</v>
      </c>
      <c r="B6100" s="0" t="s">
        <v>73</v>
      </c>
      <c r="C6100" s="38" t="n">
        <f aca="false">Sens!$C$6005-Sens!$C$6007</f>
        <v>346.428687117154</v>
      </c>
      <c r="D6100" s="38" t="n">
        <f aca="false">Sens!$D$6005-Sens!$D$6007</f>
        <v>376.560876540083</v>
      </c>
      <c r="E6100" s="38" t="n">
        <f aca="false">Sens!$E$6005-Sens!$E$6007</f>
        <v>193.316577507559</v>
      </c>
      <c r="F6100" s="38" t="n">
        <f aca="false">Sens!$F$6005-Sens!$F$6007</f>
        <v>221.726726438887</v>
      </c>
      <c r="G6100" s="38" t="n">
        <f aca="false">Sens!$G$6005-Sens!$G$6007</f>
        <v>415.02162325063</v>
      </c>
      <c r="H6100" s="38" t="n">
        <f aca="false">Sens!$H$6005-Sens!$H$6007</f>
        <v>453.777572359491</v>
      </c>
      <c r="I6100" s="38" t="n">
        <f aca="false">Sens!$I$6005-Sens!$I$6007</f>
        <v>490.847566467031</v>
      </c>
      <c r="J6100" s="38" t="n">
        <f aca="false">Sens!$J$6005-Sens!$J$6007</f>
        <v>525.190925266121</v>
      </c>
      <c r="K6100" s="38" t="n">
        <f aca="false">Sens!$K$6005-Sens!$K$6007</f>
        <v>555.765170156304</v>
      </c>
      <c r="L6100" s="38" t="n">
        <f aca="false">Sens!$L$6005-Sens!$L$6007</f>
        <v>588.185734949207</v>
      </c>
      <c r="M6100" s="38" t="n">
        <f aca="false">Sens!$M$6005-Sens!$M$6007</f>
        <v>622.567635538672</v>
      </c>
      <c r="N6100" s="38" t="n">
        <f aca="false">Sens!$N$6005-Sens!$N$6007</f>
        <v>171.24628885875</v>
      </c>
      <c r="O6100" s="38" t="n">
        <f aca="false">Sens!$O$6005-Sens!$O$6007</f>
        <v>205.33105363572</v>
      </c>
    </row>
    <row r="6101" customFormat="false" ht="17.15" hidden="false" customHeight="false" outlineLevel="0" collapsed="false">
      <c r="A6101" s="0" t="s">
        <v>674</v>
      </c>
      <c r="B6101" s="0" t="s">
        <v>73</v>
      </c>
      <c r="C6101" s="38" t="n">
        <f aca="false">Sens!$C$6052*Sens!$C$6004</f>
        <v>0.123617442257179</v>
      </c>
      <c r="D6101" s="38" t="n">
        <f aca="false">Sens!$D$6052*Sens!$D$6004</f>
        <v>0.874366899302609</v>
      </c>
      <c r="E6101" s="38" t="n">
        <f aca="false">Sens!$E$6052*Sens!$E$6004</f>
        <v>1.29318830502574</v>
      </c>
      <c r="F6101" s="38" t="n">
        <f aca="false">Sens!$F$6052*Sens!$F$6004</f>
        <v>1.51802024162534</v>
      </c>
      <c r="G6101" s="38" t="n">
        <f aca="false">Sens!$G$6052*Sens!$G$6004</f>
        <v>2.81130189308167</v>
      </c>
      <c r="H6101" s="38" t="n">
        <f aca="false">Sens!$H$6052*Sens!$H$6004</f>
        <v>7.38966789318209</v>
      </c>
      <c r="I6101" s="38" t="n">
        <f aca="false">Sens!$I$6052*Sens!$I$6004</f>
        <v>12.8987443661473</v>
      </c>
      <c r="J6101" s="38" t="n">
        <f aca="false">Sens!$J$6052*Sens!$J$6004</f>
        <v>18.5570025453645</v>
      </c>
      <c r="K6101" s="38" t="n">
        <f aca="false">Sens!$K$6052*Sens!$K$6004</f>
        <v>24.3158972773405</v>
      </c>
      <c r="L6101" s="38" t="n">
        <f aca="false">Sens!$L$6052*Sens!$L$6004</f>
        <v>29.7827375558674</v>
      </c>
      <c r="M6101" s="38" t="n">
        <f aca="false">Sens!$M$6052*Sens!$M$6004</f>
        <v>35.3532344973194</v>
      </c>
      <c r="N6101" s="38" t="n">
        <f aca="false">Sens!$N$6052*Sens!$N$6004</f>
        <v>0.389180508437431</v>
      </c>
      <c r="O6101" s="38" t="n">
        <f aca="false">Sens!$O$6052*Sens!$O$6004</f>
        <v>0.485052120082802</v>
      </c>
    </row>
    <row r="6102" customFormat="false" ht="17.15" hidden="false" customHeight="false" outlineLevel="0" collapsed="false">
      <c r="A6102" s="0" t="s">
        <v>675</v>
      </c>
      <c r="B6102" s="0" t="s">
        <v>52</v>
      </c>
      <c r="C6102" s="28" t="n">
        <f aca="false">(Sens!$C$6103-Sens!$C$6099+Sens!$C$6101)/Sens!$C$6100</f>
        <v>0.0131526665379575</v>
      </c>
      <c r="D6102" s="28" t="n">
        <f aca="false">(Sens!$D$6103-Sens!$D$6099+Sens!$D$6101)/Sens!$D$6100</f>
        <v>0.0149280116962589</v>
      </c>
      <c r="E6102" s="28" t="n">
        <f aca="false">(Sens!$E$6103-Sens!$E$6099+Sens!$E$6101)/Sens!$E$6100</f>
        <v>0.0268030663774938</v>
      </c>
      <c r="F6102" s="28" t="n">
        <f aca="false">Sens!$O$6102+(Sens!$E$6102-Sens!$N$6102)</f>
        <v>0.0232379346966962</v>
      </c>
      <c r="G6102" s="28" t="n">
        <f aca="false">(Sens!$G$6103-Sens!$G$6099+Sens!$G$6101)/Sens!$G$6100</f>
        <v>0.0248738876928168</v>
      </c>
      <c r="H6102" s="28" t="n">
        <f aca="false">Sens!$G$6102+step_na</f>
        <v>0.0278738876928168</v>
      </c>
      <c r="I6102" s="28" t="n">
        <f aca="false">Sens!$H$6102+step_na</f>
        <v>0.0308738876928168</v>
      </c>
      <c r="J6102" s="28" t="n">
        <f aca="false">Sens!$I$6102+step_na</f>
        <v>0.0338738876928168</v>
      </c>
      <c r="K6102" s="28" t="n">
        <f aca="false">Sens!$J$6102+step_na</f>
        <v>0.0368738876928168</v>
      </c>
      <c r="L6102" s="28" t="n">
        <f aca="false">Sens!$K$6102</f>
        <v>0.0368738876928168</v>
      </c>
      <c r="M6102" s="28" t="n">
        <f aca="false">Sens!$L$6102</f>
        <v>0.0368738876928168</v>
      </c>
      <c r="N6102" s="28" t="n">
        <f aca="false">(Sens!$N$6103-Sens!$N$6099+Sens!$N$6101)/Sens!$N$6100</f>
        <v>0.0168927744775755</v>
      </c>
      <c r="O6102" s="28" t="n">
        <f aca="false">(Sens!$O$6103-Sens!$O$6099+Sens!$O$6101)/Sens!$O$6100</f>
        <v>0.0133276427967779</v>
      </c>
      <c r="P6102" s="8" t="s">
        <v>676</v>
      </c>
    </row>
    <row r="6103" customFormat="false" ht="17.15" hidden="false" customHeight="false" outlineLevel="0" collapsed="false">
      <c r="A6103" s="1" t="s">
        <v>677</v>
      </c>
      <c r="B6103" s="8" t="s">
        <v>73</v>
      </c>
      <c r="C6103" s="38" t="n">
        <f aca="false">Q!$D$22</f>
        <v>24.967</v>
      </c>
      <c r="D6103" s="38" t="n">
        <f aca="false">Q!$E$22</f>
        <v>29.619</v>
      </c>
      <c r="E6103" s="38" t="n">
        <f aca="false">Q!$P$22</f>
        <v>17.39</v>
      </c>
      <c r="F6103" s="38" t="n">
        <f aca="false">Sens!$F$6099+Sens!$F$6100*Sens!$F$6102-Sens!$F$6101</f>
        <v>20.9230952303336</v>
      </c>
      <c r="G6103" s="38" t="n">
        <f aca="false">Sens!$E$6103+Sens!$F$6103</f>
        <v>38.3130952303336</v>
      </c>
      <c r="H6103" s="38" t="n">
        <f aca="false">Sens!$H$6099+Sens!$H$6100*Sens!$H$6102-Sens!$H$6101</f>
        <v>42.2372865623114</v>
      </c>
      <c r="I6103" s="38" t="n">
        <f aca="false">Sens!$I$6099+Sens!$I$6100*Sens!$I$6102-Sens!$I$6101</f>
        <v>45.4106915565213</v>
      </c>
      <c r="J6103" s="38" t="n">
        <f aca="false">Sens!$J$6099+Sens!$J$6100*Sens!$J$6102-Sens!$J$6101</f>
        <v>48.1502550732398</v>
      </c>
      <c r="K6103" s="38" t="n">
        <f aca="false">Sens!$K$6099+Sens!$K$6100*Sens!$K$6102-Sens!$K$6101</f>
        <v>49.9860243093208</v>
      </c>
      <c r="L6103" s="38" t="n">
        <f aca="false">Sens!$L$6099+Sens!$L$6100*Sens!$L$6102-Sens!$L$6101</f>
        <v>51.095526207779</v>
      </c>
      <c r="M6103" s="38" t="n">
        <f aca="false">Sens!$M$6099+Sens!$M$6100*Sens!$M$6102-Sens!$M$6101</f>
        <v>52.7117805103898</v>
      </c>
      <c r="N6103" s="38" t="n">
        <f aca="false">Q!$N$22</f>
        <v>13.358</v>
      </c>
      <c r="O6103" s="38" t="n">
        <f aca="false">Q!$O$22</f>
        <v>16.261</v>
      </c>
    </row>
    <row r="6104" customFormat="false" ht="17.15" hidden="false" customHeight="false" outlineLevel="0" collapsed="false">
      <c r="A6104" s="0" t="s">
        <v>678</v>
      </c>
      <c r="B6104" s="0" t="s">
        <v>73</v>
      </c>
      <c r="C6104" s="38" t="n">
        <f aca="false">Sens!$C$6008*m_ad</f>
        <v>7.57284355857716</v>
      </c>
      <c r="D6104" s="38" t="n">
        <f aca="false">Sens!$D$6008*m_ad</f>
        <v>9.44543827004127</v>
      </c>
      <c r="E6104" s="38" t="n">
        <f aca="false">Sens!$E$6008*m_ad</f>
        <v>5.02428875377928</v>
      </c>
      <c r="F6104" s="38" t="n">
        <f aca="false">Sens!$F$6008*m_ad</f>
        <v>6.78802480890925</v>
      </c>
      <c r="G6104" s="38" t="n">
        <f aca="false">Sens!$G$6008*m_ad</f>
        <v>11.8014732147805</v>
      </c>
      <c r="H6104" s="38" t="n">
        <f aca="false">Sens!$H$6008*m_ad</f>
        <v>14.1682715634442</v>
      </c>
      <c r="I6104" s="38" t="n">
        <f aca="false">Sens!$I$6008*m_ad</f>
        <v>16.5348555113474</v>
      </c>
      <c r="J6104" s="38" t="n">
        <f aca="false">Sens!$J$6008*m_ad</f>
        <v>18.7425403255689</v>
      </c>
      <c r="K6104" s="38" t="n">
        <f aca="false">Sens!$K$6008*m_ad</f>
        <v>20.6167943581258</v>
      </c>
      <c r="L6104" s="38" t="n">
        <f aca="false">Sens!$L$6008*m_ad</f>
        <v>22.6784737939383</v>
      </c>
      <c r="M6104" s="38" t="n">
        <f aca="false">Sens!$M$6008*m_ad</f>
        <v>24.9463211733322</v>
      </c>
      <c r="N6104" s="38" t="n">
        <f aca="false">Sens!$N$6008*m_ad</f>
        <v>3.95314442937518</v>
      </c>
      <c r="O6104" s="38" t="n">
        <f aca="false">Sens!$O$6008*m_ad</f>
        <v>5.50052681786011</v>
      </c>
    </row>
    <row r="6105" customFormat="false" ht="17.15" hidden="false" customHeight="false" outlineLevel="0" collapsed="false">
      <c r="A6105" s="0" t="s">
        <v>679</v>
      </c>
      <c r="B6105" s="0" t="s">
        <v>73</v>
      </c>
      <c r="C6105" s="38" t="n">
        <f aca="false">Sens!$C$6006-Sens!$C$6008</f>
        <v>127.760312882846</v>
      </c>
      <c r="D6105" s="38" t="n">
        <f aca="false">Sens!$D$6006-Sens!$D$6008</f>
        <v>143.003123459917</v>
      </c>
      <c r="E6105" s="38" t="n">
        <f aca="false">Sens!$E$6006-Sens!$E$6008</f>
        <v>71.9374224924414</v>
      </c>
      <c r="F6105" s="38" t="n">
        <f aca="false">Sens!$F$6006-Sens!$F$6008</f>
        <v>87.0563645868046</v>
      </c>
      <c r="G6105" s="38" t="n">
        <f aca="false">Sens!$G$6006-Sens!$G$6008</f>
        <v>159.015467775062</v>
      </c>
      <c r="H6105" s="38" t="n">
        <f aca="false">Sens!$H$6006-Sens!$H$6008</f>
        <v>173.864803403269</v>
      </c>
      <c r="I6105" s="38" t="n">
        <f aca="false">Sens!$I$6006-Sens!$I$6008</f>
        <v>188.068165645601</v>
      </c>
      <c r="J6105" s="38" t="n">
        <f aca="false">Sens!$J$6006-Sens!$J$6008</f>
        <v>201.22681801082</v>
      </c>
      <c r="K6105" s="38" t="n">
        <f aca="false">Sens!$K$6006-Sens!$K$6008</f>
        <v>212.941334991893</v>
      </c>
      <c r="L6105" s="38" t="n">
        <f aca="false">Sens!$L$6006-Sens!$L$6008</f>
        <v>225.363269144856</v>
      </c>
      <c r="M6105" s="38" t="n">
        <f aca="false">Sens!$M$6006-Sens!$M$6008</f>
        <v>238.536688790819</v>
      </c>
      <c r="N6105" s="38" t="n">
        <f aca="false">Sens!$N$6006-Sens!$N$6008</f>
        <v>62.3677111412496</v>
      </c>
      <c r="O6105" s="38" t="n">
        <f aca="false">Sens!$O$6006-Sens!$O$6008</f>
        <v>80.6189463642798</v>
      </c>
    </row>
    <row r="6106" customFormat="false" ht="17.15" hidden="false" customHeight="false" outlineLevel="0" collapsed="false">
      <c r="A6106" s="0" t="s">
        <v>680</v>
      </c>
      <c r="B6106" s="0" t="s">
        <v>73</v>
      </c>
      <c r="C6106" s="38" t="n">
        <f aca="false">Sens!$C$6052*(1-Sens!$C$6004)</f>
        <v>0.0455891896019953</v>
      </c>
      <c r="D6106" s="38" t="n">
        <f aca="false">Sens!$D$6052*(1-Sens!$D$6004)</f>
        <v>0.332050421167231</v>
      </c>
      <c r="E6106" s="38" t="n">
        <f aca="false">Sens!$E$6052*(1-Sens!$E$6004)</f>
        <v>0.481224293644882</v>
      </c>
      <c r="F6106" s="38" t="n">
        <f aca="false">Sens!$F$6052*(1-Sens!$F$6004)</f>
        <v>0.596018918096053</v>
      </c>
      <c r="G6106" s="38" t="n">
        <f aca="false">Sens!$G$6052*(1-Sens!$G$6004)</f>
        <v>1.07714986531035</v>
      </c>
      <c r="H6106" s="38" t="n">
        <f aca="false">Sens!$H$6052*(1-Sens!$H$6004)</f>
        <v>2.83135005721638</v>
      </c>
      <c r="I6106" s="38" t="n">
        <f aca="false">Sens!$I$6052*(1-Sens!$I$6004)</f>
        <v>4.9421518161602</v>
      </c>
      <c r="J6106" s="38" t="n">
        <f aca="false">Sens!$J$6052*(1-Sens!$J$6004)</f>
        <v>7.11011252170866</v>
      </c>
      <c r="K6106" s="38" t="n">
        <f aca="false">Sens!$K$6052*(1-Sens!$K$6004)</f>
        <v>9.31663210615807</v>
      </c>
      <c r="L6106" s="38" t="n">
        <f aca="false">Sens!$L$6052*(1-Sens!$L$6004)</f>
        <v>11.411251074039</v>
      </c>
      <c r="M6106" s="38" t="n">
        <f aca="false">Sens!$M$6052*(1-Sens!$M$6004)</f>
        <v>13.5455860755423</v>
      </c>
      <c r="N6106" s="38" t="n">
        <f aca="false">Sens!$N$6052*(1-Sens!$N$6004)</f>
        <v>0.141739115596548</v>
      </c>
      <c r="O6106" s="38" t="n">
        <f aca="false">Sens!$O$6052*(1-Sens!$O$6004)</f>
        <v>0.190445576353059</v>
      </c>
    </row>
    <row r="6107" customFormat="false" ht="17.15" hidden="false" customHeight="false" outlineLevel="0" collapsed="false">
      <c r="A6107" s="0" t="s">
        <v>681</v>
      </c>
      <c r="B6107" s="0" t="s">
        <v>52</v>
      </c>
      <c r="C6107" s="28" t="n">
        <f aca="false">(Sens!$C$6108-Sens!$C$6104+Sens!$C$6106)/Sens!$C$6105</f>
        <v>-0.0292364215826579</v>
      </c>
      <c r="D6107" s="28" t="n">
        <f aca="false">(Sens!$D$6108-Sens!$D$6104+Sens!$D$6106)/Sens!$D$6105</f>
        <v>-0.0305125352740778</v>
      </c>
      <c r="E6107" s="28" t="n">
        <f aca="false">(Sens!$E$6108-Sens!$E$6104+Sens!$E$6106)/Sens!$E$6105</f>
        <v>-0.019490056934994</v>
      </c>
      <c r="F6107" s="28" t="n">
        <f aca="false">Sens!$O$6107+(Sens!$E$6107-Sens!$N$6107)</f>
        <v>-0.0367332293992226</v>
      </c>
      <c r="G6107" s="28" t="n">
        <f aca="false">(Sens!$G$6108-Sens!$G$6104+Sens!$G$6106)/Sens!$G$6105</f>
        <v>-0.0288599526442178</v>
      </c>
      <c r="H6107" s="28" t="n">
        <f aca="false">Sens!$G$6107+step_in</f>
        <v>-0.0288599526442178</v>
      </c>
      <c r="I6107" s="28" t="n">
        <f aca="false">Sens!$H$6107+step_in</f>
        <v>-0.0288599526442178</v>
      </c>
      <c r="J6107" s="28" t="n">
        <f aca="false">Sens!$I$6107+step_in</f>
        <v>-0.0288599526442178</v>
      </c>
      <c r="K6107" s="28" t="n">
        <f aca="false">Sens!$J$6107+step_in</f>
        <v>-0.0288599526442178</v>
      </c>
      <c r="L6107" s="28" t="n">
        <f aca="false">Sens!$K$6107</f>
        <v>-0.0288599526442178</v>
      </c>
      <c r="M6107" s="28" t="n">
        <f aca="false">Sens!$L$6107</f>
        <v>-0.0288599526442178</v>
      </c>
      <c r="N6107" s="28" t="n">
        <f aca="false">(Sens!$N$6108-Sens!$N$6104+Sens!$N$6106)/Sens!$N$6105</f>
        <v>-0.02085061789158</v>
      </c>
      <c r="O6107" s="28" t="n">
        <f aca="false">(Sens!$O$6108-Sens!$O$6104+Sens!$O$6106)/Sens!$O$6105</f>
        <v>-0.0380937903558086</v>
      </c>
      <c r="P6107" s="8" t="s">
        <v>676</v>
      </c>
    </row>
    <row r="6108" customFormat="false" ht="17.15" hidden="false" customHeight="false" outlineLevel="0" collapsed="false">
      <c r="A6108" s="1" t="s">
        <v>682</v>
      </c>
      <c r="B6108" s="8" t="s">
        <v>73</v>
      </c>
      <c r="C6108" s="38" t="n">
        <f aca="false">Q!$D$23</f>
        <v>3.792</v>
      </c>
      <c r="D6108" s="38" t="n">
        <f aca="false">Q!$E$23</f>
        <v>4.75</v>
      </c>
      <c r="E6108" s="38" t="n">
        <f aca="false">Q!$P$23</f>
        <v>3.141</v>
      </c>
      <c r="F6108" s="38" t="n">
        <f aca="false">Sens!$F$6104+Sens!$F$6105*Sens!$F$6107-Sens!$F$6106</f>
        <v>2.99414447978375</v>
      </c>
      <c r="G6108" s="38" t="n">
        <f aca="false">Sens!$E$6108+Sens!$F$6108</f>
        <v>6.13514447978375</v>
      </c>
      <c r="H6108" s="38" t="n">
        <f aca="false">Sens!$H$6104+Sens!$H$6105*Sens!$H$6107-Sens!$H$6106</f>
        <v>6.31919151351322</v>
      </c>
      <c r="I6108" s="38" t="n">
        <f aca="false">Sens!$I$6104+Sens!$I$6105*Sens!$I$6107-Sens!$I$6106</f>
        <v>6.16506534077027</v>
      </c>
      <c r="J6108" s="38" t="n">
        <f aca="false">Sens!$J$6104+Sens!$J$6105*Sens!$J$6107-Sens!$J$6106</f>
        <v>5.8250313653213</v>
      </c>
      <c r="K6108" s="38" t="n">
        <f aca="false">Sens!$K$6104+Sens!$K$6105*Sens!$K$6107-Sens!$K$6106</f>
        <v>5.15468540810514</v>
      </c>
      <c r="L6108" s="38" t="n">
        <f aca="false">Sens!$L$6104+Sens!$L$6105*Sens!$L$6107-Sens!$L$6106</f>
        <v>4.76324944463266</v>
      </c>
      <c r="M6108" s="38" t="n">
        <f aca="false">Sens!$M$6104+Sens!$M$6105*Sens!$M$6107-Sens!$M$6106</f>
        <v>4.51657755537829</v>
      </c>
      <c r="N6108" s="38" t="n">
        <f aca="false">Q!$N$23</f>
        <v>2.511</v>
      </c>
      <c r="O6108" s="38" t="n">
        <f aca="false">Q!$O$23</f>
        <v>2.239</v>
      </c>
    </row>
    <row r="6109" customFormat="false" ht="17.15" hidden="false" customHeight="false" outlineLevel="0" collapsed="false">
      <c r="A6109" s="0" t="s">
        <v>683</v>
      </c>
      <c r="B6109" s="0" t="s">
        <v>73</v>
      </c>
      <c r="C6109" s="38" t="n">
        <f aca="false">Sens!$C$6049</f>
        <v>1.64417882953695</v>
      </c>
      <c r="D6109" s="38" t="n">
        <f aca="false">Sens!$D$6049</f>
        <v>3.8781008067718</v>
      </c>
      <c r="E6109" s="38" t="n">
        <f aca="false">Sens!$E$6049</f>
        <v>1.41270258088753</v>
      </c>
      <c r="F6109" s="38" t="n">
        <f aca="false">Sens!$F$6049</f>
        <v>6.50727700583486</v>
      </c>
      <c r="G6109" s="38" t="n">
        <f aca="false">Sens!$G$6049</f>
        <v>7.9199795867224</v>
      </c>
      <c r="H6109" s="38" t="n">
        <f aca="false">Sens!$H$6049</f>
        <v>19.2818189481807</v>
      </c>
      <c r="I6109" s="38" t="n">
        <f aca="false">Sens!$I$6049</f>
        <v>30.140114407202</v>
      </c>
      <c r="J6109" s="38" t="n">
        <f aca="false">Sens!$J$6049</f>
        <v>40.3569468829854</v>
      </c>
      <c r="K6109" s="38" t="n">
        <f aca="false">Sens!$K$6049</f>
        <v>50.0782975081929</v>
      </c>
      <c r="L6109" s="38" t="n">
        <f aca="false">Sens!$L$6049</f>
        <v>61.443331993499</v>
      </c>
      <c r="M6109" s="38" t="n">
        <f aca="false">Sens!$M$6049</f>
        <v>72.2498791587849</v>
      </c>
      <c r="N6109" s="38" t="n">
        <f aca="false">Sens!$N$6049</f>
        <v>0.92264103489199</v>
      </c>
      <c r="O6109" s="38" t="n">
        <f aca="false">Sens!$O$6049</f>
        <v>2.95545977187981</v>
      </c>
    </row>
    <row r="6110" customFormat="false" ht="17.15" hidden="false" customHeight="false" outlineLevel="0" collapsed="false">
      <c r="A6110" s="0" t="s">
        <v>603</v>
      </c>
      <c r="B6110" s="0" t="s">
        <v>73</v>
      </c>
      <c r="C6110" s="38" t="n">
        <f aca="false">Sens!$C$6054</f>
        <v>38.1898211704631</v>
      </c>
      <c r="D6110" s="38" t="n">
        <f aca="false">Sens!$D$6054</f>
        <v>41.7278991932282</v>
      </c>
      <c r="E6110" s="38" t="n">
        <f aca="false">Sens!$E$6054</f>
        <v>29.3692974191125</v>
      </c>
      <c r="F6110" s="38" t="n">
        <f aca="false">Sens!$F$6054</f>
        <v>29.458060516894</v>
      </c>
      <c r="G6110" s="38" t="n">
        <f aca="false">Sens!$G$6054</f>
        <v>58.8273579360065</v>
      </c>
      <c r="H6110" s="38" t="n">
        <f aca="false">Sens!$H$6054</f>
        <v>67.8004040185081</v>
      </c>
      <c r="I6110" s="38" t="n">
        <f aca="false">Sens!$I$6054</f>
        <v>78.9527630302702</v>
      </c>
      <c r="J6110" s="38" t="n">
        <f aca="false">Sens!$J$6054</f>
        <v>88.6042681781841</v>
      </c>
      <c r="K6110" s="38" t="n">
        <f aca="false">Sens!$K$6054</f>
        <v>95.6926096324389</v>
      </c>
      <c r="L6110" s="38" t="n">
        <f aca="false">Sens!$L$6054</f>
        <v>103.348018403034</v>
      </c>
      <c r="M6110" s="38" t="n">
        <f aca="false">Sens!$M$6054</f>
        <v>111.615859875277</v>
      </c>
      <c r="N6110" s="38" t="n">
        <f aca="false">Sens!$N$6054</f>
        <v>20.784358965108</v>
      </c>
      <c r="O6110" s="38" t="n">
        <f aca="false">Sens!$O$6054</f>
        <v>20.9435402281202</v>
      </c>
    </row>
    <row r="6111" customFormat="false" ht="17.15" hidden="false" customHeight="false" outlineLevel="0" collapsed="false">
      <c r="A6111" s="1" t="s">
        <v>684</v>
      </c>
      <c r="B6111" s="8" t="s">
        <v>73</v>
      </c>
      <c r="C6111" s="38" t="n">
        <f aca="false">Q!$D$24</f>
        <v>39.834</v>
      </c>
      <c r="D6111" s="38" t="n">
        <f aca="false">Q!$E$24</f>
        <v>45.606</v>
      </c>
      <c r="E6111" s="38" t="n">
        <f aca="false">Q!$P$24</f>
        <v>30.782</v>
      </c>
      <c r="F6111" s="38" t="n">
        <f aca="false">Sens!$F$6109+Sens!$F$6110</f>
        <v>35.9653375227289</v>
      </c>
      <c r="G6111" s="38" t="n">
        <f aca="false">Sens!$G$6109+Sens!$G$6110</f>
        <v>66.7473375227289</v>
      </c>
      <c r="H6111" s="38" t="n">
        <f aca="false">Sens!$H$6109+Sens!$H$6110</f>
        <v>87.0822229666888</v>
      </c>
      <c r="I6111" s="38" t="n">
        <f aca="false">Sens!$I$6109+Sens!$I$6110</f>
        <v>109.092877437472</v>
      </c>
      <c r="J6111" s="38" t="n">
        <f aca="false">Sens!$J$6109+Sens!$J$6110</f>
        <v>128.96121506117</v>
      </c>
      <c r="K6111" s="38" t="n">
        <f aca="false">Sens!$K$6109+Sens!$K$6110</f>
        <v>145.770907140632</v>
      </c>
      <c r="L6111" s="38" t="n">
        <f aca="false">Sens!$L$6109+Sens!$L$6110</f>
        <v>164.791350396533</v>
      </c>
      <c r="M6111" s="38" t="n">
        <f aca="false">Sens!$M$6109+Sens!$M$6110</f>
        <v>183.865739034062</v>
      </c>
      <c r="N6111" s="38" t="n">
        <f aca="false">Q!$N$24</f>
        <v>21.707</v>
      </c>
      <c r="O6111" s="38" t="n">
        <f aca="false">Q!$O$24</f>
        <v>23.899</v>
      </c>
    </row>
    <row r="6112" customFormat="false" ht="17.15" hidden="false" customHeight="false" outlineLevel="0" collapsed="false">
      <c r="A6112" s="5" t="s">
        <v>685</v>
      </c>
      <c r="B6112" s="0" t="s">
        <v>73</v>
      </c>
      <c r="C6112" s="38" t="n">
        <f aca="false">Q!$D$26</f>
        <v>0</v>
      </c>
      <c r="D6112" s="38" t="n">
        <f aca="false">Q!$E$26</f>
        <v>0</v>
      </c>
      <c r="E6112" s="38" t="n">
        <f aca="false">Q!$P$26</f>
        <v>0</v>
      </c>
      <c r="F6112" s="41" t="n">
        <v>0</v>
      </c>
      <c r="G6112" s="38" t="n">
        <f aca="false">Sens!$E$6112+Sens!$F$6112</f>
        <v>0</v>
      </c>
      <c r="H6112" s="41" t="n">
        <v>0</v>
      </c>
      <c r="I6112" s="41" t="n">
        <v>0</v>
      </c>
      <c r="J6112" s="41" t="n">
        <v>0</v>
      </c>
      <c r="K6112" s="41" t="n">
        <v>0</v>
      </c>
      <c r="L6112" s="41" t="n">
        <v>0</v>
      </c>
      <c r="M6112" s="41" t="n">
        <v>0</v>
      </c>
      <c r="N6112" s="38" t="n">
        <f aca="false">Q!$N$26</f>
        <v>0</v>
      </c>
      <c r="O6112" s="38" t="n">
        <f aca="false">Q!$O$26</f>
        <v>0</v>
      </c>
    </row>
    <row r="6113" customFormat="false" ht="15" hidden="false" customHeight="false" outlineLevel="0" collapsed="false">
      <c r="A6113" s="3" t="s">
        <v>494</v>
      </c>
      <c r="B6113" s="8" t="s">
        <v>73</v>
      </c>
      <c r="C6113" s="38" t="n">
        <f aca="false">Q!$D$25</f>
        <v>68.593</v>
      </c>
      <c r="D6113" s="38" t="n">
        <f aca="false">Q!$E$25</f>
        <v>79.975</v>
      </c>
      <c r="E6113" s="38" t="n">
        <f aca="false">Q!$P$25</f>
        <v>51.313</v>
      </c>
      <c r="F6113" s="38" t="n">
        <f aca="false">Sens!$F$6103+Sens!$F$6108+Sens!$F$6111+Sens!$F$6112</f>
        <v>59.8825772328462</v>
      </c>
      <c r="G6113" s="38" t="n">
        <f aca="false">Sens!$G$6103+Sens!$G$6108+Sens!$G$6111+Sens!$G$6112</f>
        <v>111.195577232846</v>
      </c>
      <c r="H6113" s="38" t="n">
        <f aca="false">Sens!$H$6103+Sens!$H$6108+Sens!$H$6111+Sens!$H$6112</f>
        <v>135.638701042513</v>
      </c>
      <c r="I6113" s="38" t="n">
        <f aca="false">Sens!$I$6103+Sens!$I$6108+Sens!$I$6111+Sens!$I$6112</f>
        <v>160.668634334764</v>
      </c>
      <c r="J6113" s="38" t="n">
        <f aca="false">Sens!$J$6103+Sens!$J$6108+Sens!$J$6111+Sens!$J$6112</f>
        <v>182.936501499731</v>
      </c>
      <c r="K6113" s="38" t="n">
        <f aca="false">Sens!$K$6103+Sens!$K$6108+Sens!$K$6111+Sens!$K$6112</f>
        <v>200.911616858058</v>
      </c>
      <c r="L6113" s="38" t="n">
        <f aca="false">Sens!$L$6103+Sens!$L$6108+Sens!$L$6111+Sens!$L$6112</f>
        <v>220.650126048945</v>
      </c>
      <c r="M6113" s="38" t="n">
        <f aca="false">Sens!$M$6103+Sens!$M$6108+Sens!$M$6111+Sens!$M$6112</f>
        <v>241.09409709983</v>
      </c>
      <c r="N6113" s="38" t="n">
        <f aca="false">Q!$N$25</f>
        <v>37.576</v>
      </c>
      <c r="O6113" s="38" t="n">
        <f aca="false">Q!$O$25</f>
        <v>42.399</v>
      </c>
    </row>
    <row r="6114" customFormat="false" ht="17.15" hidden="false" customHeight="false" outlineLevel="0" collapsed="false">
      <c r="A6114" s="24" t="s">
        <v>711</v>
      </c>
      <c r="B6114" s="25" t="s">
        <v>73</v>
      </c>
      <c r="C6114" s="39" t="n">
        <f aca="false">Sens!$C$6103+Sens!$C$6108+Sens!$C$6111+Sens!$C$6112-Sens!$C$6113</f>
        <v>0</v>
      </c>
      <c r="D6114" s="39" t="n">
        <f aca="false">Sens!$D$6103+Sens!$D$6108+Sens!$D$6111+Sens!$D$6112-Sens!$D$6113</f>
        <v>0</v>
      </c>
      <c r="E6114" s="39" t="n">
        <f aca="false">Sens!$E$6103+Sens!$E$6108+Sens!$E$6111+Sens!$E$6112-Sens!$E$6113</f>
        <v>0</v>
      </c>
      <c r="F6114" s="39" t="n">
        <f aca="false">Sens!$F$6103+Sens!$F$6108+Sens!$F$6111+Sens!$F$6112-Sens!$F$6113</f>
        <v>0</v>
      </c>
      <c r="G6114" s="39" t="n">
        <f aca="false">Sens!$G$6103+Sens!$G$6108+Sens!$G$6111+Sens!$G$6112-Sens!$G$6113</f>
        <v>0</v>
      </c>
      <c r="H6114" s="39" t="n">
        <f aca="false">Sens!$H$6103+Sens!$H$6108+Sens!$H$6111+Sens!$H$6112-Sens!$H$6113</f>
        <v>0</v>
      </c>
      <c r="I6114" s="39" t="n">
        <f aca="false">Sens!$I$6103+Sens!$I$6108+Sens!$I$6111+Sens!$I$6112-Sens!$I$6113</f>
        <v>0</v>
      </c>
      <c r="J6114" s="39" t="n">
        <f aca="false">Sens!$J$6103+Sens!$J$6108+Sens!$J$6111+Sens!$J$6112-Sens!$J$6113</f>
        <v>0</v>
      </c>
      <c r="K6114" s="39" t="n">
        <f aca="false">Sens!$K$6103+Sens!$K$6108+Sens!$K$6111+Sens!$K$6112-Sens!$K$6113</f>
        <v>0</v>
      </c>
      <c r="L6114" s="39" t="n">
        <f aca="false">Sens!$L$6103+Sens!$L$6108+Sens!$L$6111+Sens!$L$6112-Sens!$L$6113</f>
        <v>0</v>
      </c>
      <c r="M6114" s="39" t="n">
        <f aca="false">Sens!$M$6103+Sens!$M$6108+Sens!$M$6111+Sens!$M$6112-Sens!$M$6113</f>
        <v>0</v>
      </c>
      <c r="N6114" s="39" t="n">
        <f aca="false">Sens!$N$6103+Sens!$N$6108+Sens!$N$6111+Sens!$N$6112-Sens!$N$6113</f>
        <v>0</v>
      </c>
      <c r="O6114" s="39" t="n">
        <f aca="false">Sens!$O$6103+Sens!$O$6108+Sens!$O$6111+Sens!$O$6112-Sens!$O$6113</f>
        <v>0</v>
      </c>
    </row>
    <row r="6115" customFormat="false" ht="17.15" hidden="false" customHeight="false" outlineLevel="0" collapsed="false">
      <c r="A6115" s="0" t="s">
        <v>687</v>
      </c>
      <c r="B6115" s="0" t="s">
        <v>52</v>
      </c>
      <c r="C6115" s="12" t="n">
        <f aca="false">Sens!$C$6103/Sens!$C$6088</f>
        <v>0.0644314665661928</v>
      </c>
      <c r="D6115" s="12" t="n">
        <f aca="false">Sens!$D$6103/Sens!$D$6088</f>
        <v>0.0694784250712518</v>
      </c>
      <c r="E6115" s="12" t="n">
        <f aca="false">Sens!$E$6103/Sens!$E$6088</f>
        <v>0.0789306463326071</v>
      </c>
      <c r="F6115" s="12" t="n">
        <f aca="false">Sens!$F$6103/Sens!$F$6088</f>
        <v>0.0816338957078875</v>
      </c>
      <c r="G6115" s="12" t="n">
        <f aca="false">Sens!$G$6103/Sens!$G$6088</f>
        <v>0.080384315570057</v>
      </c>
      <c r="H6115" s="12" t="n">
        <f aca="false">Sens!$H$6103/Sens!$H$6088</f>
        <v>0.080035122355679</v>
      </c>
      <c r="I6115" s="12" t="n">
        <f aca="false">Sens!$I$6103/Sens!$I$6088</f>
        <v>0.0786798687862144</v>
      </c>
      <c r="J6115" s="12" t="n">
        <f aca="false">Sens!$J$6103/Sens!$J$6088</f>
        <v>0.0772846370095153</v>
      </c>
      <c r="K6115" s="12" t="n">
        <f aca="false">Sens!$K$6103/Sens!$K$6088</f>
        <v>0.0753502227686655</v>
      </c>
      <c r="L6115" s="12" t="n">
        <f aca="false">Sens!$L$6103/Sens!$L$6088</f>
        <v>0.0723154067793922</v>
      </c>
      <c r="M6115" s="12" t="n">
        <f aca="false">Sens!$M$6103/Sens!$M$6088</f>
        <v>0.070022386735876</v>
      </c>
      <c r="N6115" s="12" t="n">
        <f aca="false">Sens!$N$6103/Sens!$N$6088</f>
        <v>0.069228576611127</v>
      </c>
      <c r="O6115" s="12" t="n">
        <f aca="false">Sens!$O$6103/Sens!$O$6088</f>
        <v>0.069685022498393</v>
      </c>
    </row>
    <row r="6116" customFormat="false" ht="17.15" hidden="false" customHeight="false" outlineLevel="0" collapsed="false">
      <c r="A6116" s="0" t="s">
        <v>688</v>
      </c>
      <c r="B6116" s="0" t="s">
        <v>52</v>
      </c>
      <c r="C6116" s="12" t="n">
        <f aca="false">Sens!$C$6108/Sens!$C$6089</f>
        <v>0.026534925055631</v>
      </c>
      <c r="D6116" s="12" t="n">
        <f aca="false">Sens!$D$6108/Sens!$D$6089</f>
        <v>0.0293401855535103</v>
      </c>
      <c r="E6116" s="12" t="n">
        <f aca="false">Sens!$E$6108/Sens!$E$6089</f>
        <v>0.03831141902276</v>
      </c>
      <c r="F6116" s="12" t="n">
        <f aca="false">Sens!$F$6108/Sens!$F$6089</f>
        <v>0.0297532808235678</v>
      </c>
      <c r="G6116" s="12" t="n">
        <f aca="false">Sens!$G$6108/Sens!$G$6089</f>
        <v>0.0335954317997163</v>
      </c>
      <c r="H6116" s="12" t="n">
        <f aca="false">Sens!$H$6108/Sens!$H$6089</f>
        <v>0.0312519754292078</v>
      </c>
      <c r="I6116" s="12" t="n">
        <f aca="false">Sens!$I$6108/Sens!$I$6089</f>
        <v>0.0278788303191397</v>
      </c>
      <c r="J6116" s="12" t="n">
        <f aca="false">Sens!$J$6108/Sens!$J$6089</f>
        <v>0.0244019313573061</v>
      </c>
      <c r="K6116" s="12" t="n">
        <f aca="false">Sens!$K$6108/Sens!$K$6089</f>
        <v>0.020280070641524</v>
      </c>
      <c r="L6116" s="12" t="n">
        <f aca="false">Sens!$L$6108/Sens!$L$6089</f>
        <v>0.0175947312030086</v>
      </c>
      <c r="M6116" s="12" t="n">
        <f aca="false">Sens!$M$6108/Sens!$M$6089</f>
        <v>0.0156592172424565</v>
      </c>
      <c r="N6116" s="12" t="n">
        <f aca="false">Sens!$N$6108/Sens!$N$6089</f>
        <v>0.0357315650169337</v>
      </c>
      <c r="O6116" s="12" t="n">
        <f aca="false">Sens!$O$6108/Sens!$O$6089</f>
        <v>0.0244378956559703</v>
      </c>
    </row>
    <row r="6117" customFormat="false" ht="17.15" hidden="false" customHeight="false" outlineLevel="0" collapsed="false">
      <c r="A6117" s="13" t="s">
        <v>689</v>
      </c>
      <c r="B6117" s="13" t="s">
        <v>52</v>
      </c>
      <c r="C6117" s="16" t="n">
        <f aca="false">Sens!$C$6111/Sens!$C$6090</f>
        <v>0.370355907620217</v>
      </c>
      <c r="D6117" s="16" t="n">
        <f aca="false">Sens!$D$6111/Sens!$D$6090</f>
        <v>0.35429015342785</v>
      </c>
      <c r="E6117" s="16" t="n">
        <f aca="false">Sens!$E$6111/Sens!$E$6090</f>
        <v>0.385647527531039</v>
      </c>
      <c r="F6117" s="16" t="n">
        <f aca="false">Sens!$F$6111/Sens!$F$6090</f>
        <v>0.384415729470259</v>
      </c>
      <c r="G6117" s="16" t="n">
        <f aca="false">Sens!$G$6111/Sens!$G$6090</f>
        <v>0.38498282105443</v>
      </c>
      <c r="H6117" s="16" t="n">
        <f aca="false">Sens!$H$6111/Sens!$H$6090</f>
        <v>0.361247909668527</v>
      </c>
      <c r="I6117" s="16" t="n">
        <f aca="false">Sens!$I$6111/Sens!$I$6090</f>
        <v>0.349486287974975</v>
      </c>
      <c r="J6117" s="16" t="n">
        <f aca="false">Sens!$J$6111/Sens!$J$6090</f>
        <v>0.339886531832068</v>
      </c>
      <c r="K6117" s="16" t="n">
        <f aca="false">Sens!$K$6111/Sens!$K$6090</f>
        <v>0.33135833762061</v>
      </c>
      <c r="L6117" s="16" t="n">
        <f aca="false">Sens!$L$6111/Sens!$L$6090</f>
        <v>0.328299068185284</v>
      </c>
      <c r="M6117" s="16" t="n">
        <f aca="false">Sens!$M$6111/Sens!$M$6090</f>
        <v>0.325058049465166</v>
      </c>
      <c r="N6117" s="16" t="n">
        <f aca="false">Sens!$N$6111/Sens!$N$6090</f>
        <v>0.360941137346192</v>
      </c>
      <c r="O6117" s="16" t="n">
        <f aca="false">Sens!$O$6111/Sens!$O$6090</f>
        <v>0.348458117664212</v>
      </c>
    </row>
    <row r="6118" customFormat="false" ht="17.15" hidden="false" customHeight="false" outlineLevel="0" collapsed="false">
      <c r="A6118" s="0" t="s">
        <v>690</v>
      </c>
      <c r="B6118" s="0" t="s">
        <v>52</v>
      </c>
      <c r="C6118" s="12" t="n">
        <f aca="false">Sens!$C$6109/Sens!$C$6091</f>
        <v>0.708390794789371</v>
      </c>
      <c r="D6118" s="12" t="n">
        <f aca="false">Sens!$D$6109/Sens!$D$6091</f>
        <v>0.445565630441968</v>
      </c>
      <c r="E6118" s="12" t="n">
        <f aca="false">Sens!$E$6109/Sens!$E$6091</f>
        <v>0.165998118402711</v>
      </c>
      <c r="F6118" s="12" t="n">
        <f aca="false">Sens!$F$6109/Sens!$F$6091</f>
        <v>0.434878595403858</v>
      </c>
      <c r="G6118" s="12" t="n">
        <f aca="false">Sens!$G$6109/Sens!$G$6091</f>
        <v>0.3373967615381</v>
      </c>
      <c r="H6118" s="12" t="n">
        <f aca="false">Sens!$H$6109/Sens!$H$6091</f>
        <v>0.320477578041224</v>
      </c>
      <c r="I6118" s="12" t="n">
        <f aca="false">Sens!$I$6109/Sens!$I$6091</f>
        <v>0.296936118226494</v>
      </c>
      <c r="J6118" s="12" t="n">
        <f aca="false">Sens!$J$6109/Sens!$J$6091</f>
        <v>0.282166278613001</v>
      </c>
      <c r="K6118" s="12" t="n">
        <f aca="false">Sens!$K$6109/Sens!$K$6091</f>
        <v>0.271267685694333</v>
      </c>
      <c r="L6118" s="12" t="n">
        <f aca="false">Sens!$L$6109/Sens!$L$6091</f>
        <v>0.27160960915653</v>
      </c>
      <c r="M6118" s="12" t="n">
        <f aca="false">Sens!$M$6109/Sens!$M$6091</f>
        <v>0.26974494804234</v>
      </c>
      <c r="N6118" s="12" t="n">
        <f aca="false">Sens!$N$6109/Sens!$N$6091</f>
        <v>0.302870734830849</v>
      </c>
      <c r="O6118" s="12" t="n">
        <f aca="false">Sens!$O$6109/Sens!$O$6091</f>
        <v>0.52240134346334</v>
      </c>
    </row>
    <row r="6119" customFormat="false" ht="15" hidden="false" customHeight="false" outlineLevel="0" collapsed="false">
      <c r="A6119" s="5" t="s">
        <v>691</v>
      </c>
      <c r="B6119" s="0" t="s">
        <v>52</v>
      </c>
      <c r="C6119" s="12" t="n">
        <f aca="false">Sens!$C$6113/Sens!$C$6093</f>
        <v>0.107519448742004</v>
      </c>
      <c r="D6119" s="12" t="n">
        <f aca="false">Sens!$D$6113/Sens!$D$6093</f>
        <v>0.111552967957552</v>
      </c>
      <c r="E6119" s="12" t="n">
        <f aca="false">Sens!$E$6113/Sens!$E$6093</f>
        <v>0.13428328426562</v>
      </c>
      <c r="F6119" s="12" t="n">
        <f aca="false">Sens!$F$6113/Sens!$F$6093</f>
        <v>0.132926212451512</v>
      </c>
      <c r="G6119" s="12" t="n">
        <f aca="false">Sens!$G$6113/Sens!$G$6093</f>
        <v>0.133549030959228</v>
      </c>
      <c r="H6119" s="12" t="n">
        <f aca="false">Sens!$H$6113/Sens!$H$6093</f>
        <v>0.139690394514416</v>
      </c>
      <c r="I6119" s="12" t="n">
        <f aca="false">Sens!$I$6113/Sens!$I$6093</f>
        <v>0.144688164284573</v>
      </c>
      <c r="J6119" s="12" t="n">
        <f aca="false">Sens!$J$6113/Sens!$J$6093</f>
        <v>0.147391419021054</v>
      </c>
      <c r="K6119" s="12" t="n">
        <f aca="false">Sens!$K$6113/Sens!$K$6093</f>
        <v>0.148003728177944</v>
      </c>
      <c r="L6119" s="12" t="n">
        <f aca="false">Sens!$L$6113/Sens!$L$6093</f>
        <v>0.149164514525979</v>
      </c>
      <c r="M6119" s="12" t="n">
        <f aca="false">Sens!$M$6113/Sens!$M$6093</f>
        <v>0.150041098108262</v>
      </c>
      <c r="N6119" s="12" t="n">
        <f aca="false">Sens!$N$6113/Sens!$N$6093</f>
        <v>0.116201614873411</v>
      </c>
      <c r="O6119" s="12" t="n">
        <f aca="false">Sens!$O$6113/Sens!$O$6093</f>
        <v>0.107733353660861</v>
      </c>
    </row>
    <row r="6120" customFormat="false" ht="17.15" hidden="false" customHeight="false" outlineLevel="0" collapsed="false">
      <c r="A6120" s="1" t="s">
        <v>692</v>
      </c>
    </row>
    <row r="6121" customFormat="false" ht="17.15" hidden="false" customHeight="false" outlineLevel="0" collapsed="false">
      <c r="A6121" s="5" t="s">
        <v>693</v>
      </c>
      <c r="B6121" s="0" t="s">
        <v>52</v>
      </c>
      <c r="D6121" s="28" t="n">
        <f aca="false">(Q!$E$29+Q!$E$30-(1-ext_sh)*Sens!$D$6045)/Sens!$D$6003</f>
        <v>0.0334674312393194</v>
      </c>
    </row>
    <row r="6122" customFormat="false" ht="17.15" hidden="false" customHeight="false" outlineLevel="0" collapsed="false">
      <c r="A6122" s="0" t="s">
        <v>498</v>
      </c>
      <c r="B6122" s="0" t="s">
        <v>73</v>
      </c>
      <c r="C6122" s="38" t="n">
        <f aca="false">Q!$D$29</f>
        <v>14.285</v>
      </c>
      <c r="D6122" s="38" t="n">
        <f aca="false">Q!$E$29</f>
        <v>15.503</v>
      </c>
      <c r="E6122" s="38" t="n">
        <f aca="false">Q!$P$29</f>
        <v>8.78</v>
      </c>
      <c r="F6122" s="38" t="n">
        <f aca="false">(Sens!$D$6121*Sens!$F$6003+(1-ext_sh)*Sens!$F$6045)*Sens!$F$6004</f>
        <v>9.51361751569285</v>
      </c>
      <c r="G6122" s="38" t="n">
        <f aca="false">Sens!$E$6122+Sens!$F$6122</f>
        <v>18.2936175156929</v>
      </c>
      <c r="H6122" s="38" t="n">
        <f aca="false">(Sens!$D$6121*Sens!$H$6003+(1-ext_sh)*Sens!$H$6045)*Sens!$H$6004</f>
        <v>22.7653661801943</v>
      </c>
      <c r="I6122" s="38" t="n">
        <f aca="false">(Sens!$D$6121*Sens!$I$6003+(1-ext_sh)*Sens!$I$6045)*Sens!$I$6004</f>
        <v>28.4281317305062</v>
      </c>
      <c r="J6122" s="38" t="n">
        <f aca="false">(Sens!$D$6121*Sens!$J$6003+(1-ext_sh)*Sens!$J$6045)*Sens!$J$6004</f>
        <v>34.1182922009732</v>
      </c>
      <c r="K6122" s="38" t="n">
        <f aca="false">(Sens!$D$6121*Sens!$K$6003+(1-ext_sh)*Sens!$K$6045)*Sens!$K$6004</f>
        <v>39.7237727987046</v>
      </c>
      <c r="L6122" s="38" t="n">
        <f aca="false">(Sens!$D$6121*Sens!$L$6003+(1-ext_sh)*Sens!$L$6045)*Sens!$L$6004</f>
        <v>45.1313127180263</v>
      </c>
      <c r="M6122" s="38" t="n">
        <f aca="false">(Sens!$D$6121*Sens!$M$6003+(1-ext_sh)*Sens!$M$6045)*Sens!$M$6004</f>
        <v>50.743940615442</v>
      </c>
      <c r="N6122" s="38" t="n">
        <f aca="false">Q!$N$29</f>
        <v>7.272</v>
      </c>
      <c r="O6122" s="38" t="n">
        <f aca="false">Q!$O$29</f>
        <v>8.231</v>
      </c>
    </row>
    <row r="6123" customFormat="false" ht="17.15" hidden="false" customHeight="false" outlineLevel="0" collapsed="false">
      <c r="A6123" s="0" t="s">
        <v>500</v>
      </c>
      <c r="B6123" s="0" t="s">
        <v>73</v>
      </c>
      <c r="C6123" s="38" t="n">
        <f aca="false">Q!$D$30</f>
        <v>4.462</v>
      </c>
      <c r="D6123" s="38" t="n">
        <f aca="false">Q!$E$30</f>
        <v>4.907</v>
      </c>
      <c r="E6123" s="38" t="n">
        <f aca="false">Q!$P$30</f>
        <v>2.57</v>
      </c>
      <c r="F6123" s="38" t="n">
        <f aca="false">(Sens!$D$6121*Sens!$F$6003+(1-ext_sh)*Sens!$F$6045)*(1-Sens!$F$6004)</f>
        <v>3.7353230631574</v>
      </c>
      <c r="G6123" s="38" t="n">
        <f aca="false">Sens!$E$6123+Sens!$F$6123</f>
        <v>6.3053230631574</v>
      </c>
      <c r="H6123" s="38" t="n">
        <f aca="false">(Sens!$D$6121*Sens!$H$6003+(1-ext_sh)*Sens!$H$6045)*(1-Sens!$H$6004)</f>
        <v>8.72254636724805</v>
      </c>
      <c r="I6123" s="38" t="n">
        <f aca="false">(Sens!$D$6121*Sens!$I$6003+(1-ext_sh)*Sens!$I$6045)*(1-Sens!$I$6004)</f>
        <v>10.8922340713019</v>
      </c>
      <c r="J6123" s="38" t="n">
        <f aca="false">(Sens!$D$6121*Sens!$J$6003+(1-ext_sh)*Sens!$J$6045)*(1-Sens!$J$6004)</f>
        <v>13.0724181345791</v>
      </c>
      <c r="K6123" s="38" t="n">
        <f aca="false">(Sens!$D$6121*Sens!$K$6003+(1-ext_sh)*Sens!$K$6045)*(1-Sens!$K$6004)</f>
        <v>15.2201571183236</v>
      </c>
      <c r="L6123" s="38" t="n">
        <f aca="false">(Sens!$D$6121*Sens!$L$6003+(1-ext_sh)*Sens!$L$6045)*(1-Sens!$L$6004)</f>
        <v>17.2920551631732</v>
      </c>
      <c r="M6123" s="38" t="n">
        <f aca="false">(Sens!$D$6121*Sens!$M$6003+(1-ext_sh)*Sens!$M$6045)*(1-Sens!$M$6004)</f>
        <v>19.4425326336348</v>
      </c>
      <c r="N6123" s="38" t="n">
        <f aca="false">Q!$N$30</f>
        <v>2.316</v>
      </c>
      <c r="O6123" s="38" t="n">
        <f aca="false">Q!$O$30</f>
        <v>2.591</v>
      </c>
    </row>
    <row r="6124" customFormat="false" ht="17.15" hidden="false" customHeight="false" outlineLevel="0" collapsed="false">
      <c r="A6124" s="0" t="s">
        <v>501</v>
      </c>
      <c r="B6124" s="0" t="s">
        <v>73</v>
      </c>
      <c r="C6124" s="38" t="n">
        <f aca="false">Sens!$C$6057</f>
        <v>13.32</v>
      </c>
      <c r="D6124" s="38" t="n">
        <f aca="false">Sens!$D$6057</f>
        <v>21.45</v>
      </c>
      <c r="E6124" s="38" t="n">
        <f aca="false">Sens!$E$6057</f>
        <v>15.353</v>
      </c>
      <c r="F6124" s="38" t="n">
        <f aca="false">Sens!$F$6057</f>
        <v>17.3614451462707</v>
      </c>
      <c r="G6124" s="38" t="n">
        <f aca="false">Sens!$G$6057</f>
        <v>32.7144451462707</v>
      </c>
      <c r="H6124" s="38" t="n">
        <f aca="false">Sens!$H$6057</f>
        <v>56.1966092719415</v>
      </c>
      <c r="I6124" s="38" t="n">
        <f aca="false">Sens!$I$6057</f>
        <v>82.9744039068297</v>
      </c>
      <c r="J6124" s="38" t="n">
        <f aca="false">Sens!$J$6057</f>
        <v>109.943252237669</v>
      </c>
      <c r="K6124" s="38" t="n">
        <f aca="false">Sens!$K$6057</f>
        <v>136.406703436571</v>
      </c>
      <c r="L6124" s="38" t="n">
        <f aca="false">Sens!$L$6057</f>
        <v>161.485870454155</v>
      </c>
      <c r="M6124" s="38" t="n">
        <f aca="false">Sens!$M$6057</f>
        <v>187.389846618199</v>
      </c>
      <c r="N6124" s="38" t="n">
        <f aca="false">Sens!$N$6057</f>
        <v>9.234</v>
      </c>
      <c r="O6124" s="38" t="n">
        <f aca="false">Sens!$O$6057</f>
        <v>12.216</v>
      </c>
    </row>
    <row r="6125" customFormat="false" ht="17.15" hidden="false" customHeight="false" outlineLevel="0" collapsed="false">
      <c r="A6125" s="5" t="s">
        <v>694</v>
      </c>
      <c r="B6125" s="0" t="s">
        <v>73</v>
      </c>
      <c r="C6125" s="38" t="n">
        <f aca="false">Sens!$C$6122+Sens!$C$6123+Sens!$C$6124</f>
        <v>32.067</v>
      </c>
      <c r="D6125" s="38" t="n">
        <f aca="false">Sens!$D$6122+Sens!$D$6123+Sens!$D$6124</f>
        <v>41.86</v>
      </c>
      <c r="E6125" s="38" t="n">
        <f aca="false">Sens!$E$6122+Sens!$E$6123+Sens!$E$6124</f>
        <v>26.703</v>
      </c>
      <c r="F6125" s="38" t="n">
        <f aca="false">Sens!$F$6122+Sens!$F$6123+Sens!$F$6124</f>
        <v>30.6103857251209</v>
      </c>
      <c r="G6125" s="38" t="n">
        <f aca="false">Sens!$G$6122+Sens!$G$6123+Sens!$G$6124</f>
        <v>57.3133857251209</v>
      </c>
      <c r="H6125" s="38" t="n">
        <f aca="false">Sens!$H$6122+Sens!$H$6123+Sens!$H$6124</f>
        <v>87.6845218193838</v>
      </c>
      <c r="I6125" s="38" t="n">
        <f aca="false">Sens!$I$6122+Sens!$I$6123+Sens!$I$6124</f>
        <v>122.294769708638</v>
      </c>
      <c r="J6125" s="38" t="n">
        <f aca="false">Sens!$J$6122+Sens!$J$6123+Sens!$J$6124</f>
        <v>157.133962573221</v>
      </c>
      <c r="K6125" s="38" t="n">
        <f aca="false">Sens!$K$6122+Sens!$K$6123+Sens!$K$6124</f>
        <v>191.350633353599</v>
      </c>
      <c r="L6125" s="38" t="n">
        <f aca="false">Sens!$L$6122+Sens!$L$6123+Sens!$L$6124</f>
        <v>223.909238335354</v>
      </c>
      <c r="M6125" s="38" t="n">
        <f aca="false">Sens!$M$6122+Sens!$M$6123+Sens!$M$6124</f>
        <v>257.576319867276</v>
      </c>
      <c r="N6125" s="38" t="n">
        <f aca="false">Sens!$N$6122+Sens!$N$6123+Sens!$N$6124</f>
        <v>18.822</v>
      </c>
      <c r="O6125" s="38" t="n">
        <f aca="false">Sens!$O$6122+Sens!$O$6123+Sens!$O$6124</f>
        <v>23.038</v>
      </c>
    </row>
    <row r="6126" customFormat="false" ht="17.15" hidden="false" customHeight="false" outlineLevel="0" collapsed="false">
      <c r="A6126" s="0" t="s">
        <v>695</v>
      </c>
      <c r="B6126" s="0" t="s">
        <v>73</v>
      </c>
      <c r="C6126" s="38" t="n">
        <f aca="false">Sens!$C$6099+Sens!$C$6104</f>
        <v>28.107</v>
      </c>
      <c r="D6126" s="38" t="n">
        <f aca="false">Sens!$D$6099+Sens!$D$6104</f>
        <v>34.3175</v>
      </c>
      <c r="E6126" s="38" t="n">
        <f aca="false">Sens!$E$6099+Sens!$E$6104</f>
        <v>18.526</v>
      </c>
      <c r="F6126" s="38" t="n">
        <f aca="false">Sens!$F$6099+Sens!$F$6104</f>
        <v>24.0766690913691</v>
      </c>
      <c r="G6126" s="38" t="n">
        <f aca="false">Sens!$G$6099+Sens!$G$6104</f>
        <v>42.6026690913691</v>
      </c>
      <c r="H6126" s="38" t="n">
        <f aca="false">Sens!$H$6099+Sens!$H$6104</f>
        <v>51.1466809294702</v>
      </c>
      <c r="I6126" s="38" t="n">
        <f aca="false">Sens!$I$6099+Sens!$I$6104</f>
        <v>59.6899187926205</v>
      </c>
      <c r="J6126" s="38" t="n">
        <f aca="false">Sens!$J$6099+Sens!$J$6104</f>
        <v>67.6595395244221</v>
      </c>
      <c r="K6126" s="38" t="n">
        <f aca="false">Sens!$K$6099+Sens!$K$6104</f>
        <v>74.4254934768643</v>
      </c>
      <c r="L6126" s="38" t="n">
        <f aca="false">Sens!$L$6099+Sens!$L$6104</f>
        <v>81.8680428245508</v>
      </c>
      <c r="M6126" s="38" t="n">
        <f aca="false">Sens!$M$6099+Sens!$M$6104</f>
        <v>90.0548471070059</v>
      </c>
      <c r="N6126" s="38" t="n">
        <f aca="false">Sens!$N$6099+Sens!$N$6104</f>
        <v>14.8075</v>
      </c>
      <c r="O6126" s="38" t="n">
        <f aca="false">Sens!$O$6099+Sens!$O$6104</f>
        <v>19.51</v>
      </c>
    </row>
    <row r="6127" customFormat="false" ht="17.15" hidden="false" customHeight="false" outlineLevel="0" collapsed="false">
      <c r="A6127" s="0" t="s">
        <v>696</v>
      </c>
      <c r="B6127" s="0" t="s">
        <v>73</v>
      </c>
      <c r="C6127" s="38" t="n">
        <f aca="false">Sens!$C$6103+Sens!$C$6108+Sens!$C$6122+Sens!$C$6123-Sens!$C$6126</f>
        <v>19.399</v>
      </c>
      <c r="D6127" s="38" t="n">
        <f aca="false">Sens!$D$6103+Sens!$D$6108+Sens!$D$6122+Sens!$D$6123-Sens!$D$6126</f>
        <v>20.4615</v>
      </c>
      <c r="E6127" s="38" t="n">
        <f aca="false">Sens!$E$6103+Sens!$E$6108+Sens!$E$6122+Sens!$E$6123-Sens!$E$6126</f>
        <v>13.355</v>
      </c>
      <c r="F6127" s="38" t="n">
        <f aca="false">Sens!$F$6103+Sens!$F$6108+Sens!$F$6122+Sens!$F$6123-Sens!$F$6126</f>
        <v>13.0895111975985</v>
      </c>
      <c r="G6127" s="38" t="n">
        <f aca="false">Sens!$G$6103+Sens!$G$6108+Sens!$G$6122+Sens!$G$6123-Sens!$G$6126</f>
        <v>26.4445111975985</v>
      </c>
      <c r="H6127" s="38" t="n">
        <f aca="false">Sens!$H$6103+Sens!$H$6108+Sens!$H$6122+Sens!$H$6123-Sens!$H$6126</f>
        <v>28.8977096937968</v>
      </c>
      <c r="I6127" s="38" t="n">
        <f aca="false">Sens!$I$6103+Sens!$I$6108+Sens!$I$6122+Sens!$I$6123-Sens!$I$6126</f>
        <v>31.2062039064791</v>
      </c>
      <c r="J6127" s="38" t="n">
        <f aca="false">Sens!$J$6103+Sens!$J$6108+Sens!$J$6122+Sens!$J$6123-Sens!$J$6126</f>
        <v>33.5064572496913</v>
      </c>
      <c r="K6127" s="38" t="n">
        <f aca="false">Sens!$K$6103+Sens!$K$6108+Sens!$K$6122+Sens!$K$6123-Sens!$K$6126</f>
        <v>35.6591461575899</v>
      </c>
      <c r="L6127" s="38" t="n">
        <f aca="false">Sens!$L$6103+Sens!$L$6108+Sens!$L$6122+Sens!$L$6123-Sens!$L$6126</f>
        <v>36.4141007090604</v>
      </c>
      <c r="M6127" s="38" t="n">
        <f aca="false">Sens!$M$6103+Sens!$M$6108+Sens!$M$6122+Sens!$M$6123-Sens!$M$6126</f>
        <v>37.359984207839</v>
      </c>
      <c r="N6127" s="38" t="n">
        <f aca="false">Sens!$N$6103+Sens!$N$6108+Sens!$N$6122+Sens!$N$6123-Sens!$N$6126</f>
        <v>10.6495</v>
      </c>
      <c r="O6127" s="38" t="n">
        <f aca="false">Sens!$O$6103+Sens!$O$6108+Sens!$O$6122+Sens!$O$6123-Sens!$O$6126</f>
        <v>9.81200000000001</v>
      </c>
    </row>
    <row r="6128" customFormat="false" ht="17.15" hidden="false" customHeight="false" outlineLevel="0" collapsed="false">
      <c r="A6128" s="0" t="s">
        <v>697</v>
      </c>
      <c r="B6128" s="0" t="s">
        <v>73</v>
      </c>
      <c r="C6128" s="38" t="n">
        <f aca="false">Sens!$C$6110+Sens!$C$6124-ext_sh*Sens!$C$6045</f>
        <v>51.3470500115664</v>
      </c>
      <c r="D6128" s="38" t="n">
        <f aca="false">Sens!$D$6110+Sens!$D$6124-ext_sh*Sens!$D$6045</f>
        <v>60.2799375433739</v>
      </c>
      <c r="E6128" s="38" t="n">
        <f aca="false">Sens!$E$6110+Sens!$E$6124-ext_sh*Sens!$E$6045</f>
        <v>39.5095167090767</v>
      </c>
      <c r="F6128" s="38" t="n">
        <f aca="false">Sens!$F$6110+Sens!$F$6124-ext_sh*Sens!$F$6045</f>
        <v>41.606724953129</v>
      </c>
      <c r="G6128" s="38" t="n">
        <f aca="false">Sens!$G$6110+Sens!$G$6124-ext_sh*Sens!$G$6045</f>
        <v>81.1162416622057</v>
      </c>
      <c r="H6128" s="38" t="n">
        <f aca="false">Sens!$H$6110+Sens!$H$6124-ext_sh*Sens!$H$6045</f>
        <v>95.7616595325849</v>
      </c>
      <c r="I6128" s="38" t="n">
        <f aca="false">Sens!$I$6110+Sens!$I$6124-ext_sh*Sens!$I$6045</f>
        <v>111.513312079935</v>
      </c>
      <c r="J6128" s="38" t="n">
        <f aca="false">Sens!$J$6110+Sens!$J$6124-ext_sh*Sens!$J$6045</f>
        <v>125.145150463955</v>
      </c>
      <c r="K6128" s="38" t="n">
        <f aca="false">Sens!$K$6110+Sens!$K$6124-ext_sh*Sens!$K$6045</f>
        <v>135.156762501071</v>
      </c>
      <c r="L6128" s="38" t="n">
        <f aca="false">Sens!$L$6110+Sens!$L$6124-ext_sh*Sens!$L$6045</f>
        <v>145.969303501157</v>
      </c>
      <c r="M6128" s="38" t="n">
        <f aca="false">Sens!$M$6110+Sens!$M$6124-ext_sh*Sens!$M$6045</f>
        <v>157.646847781249</v>
      </c>
      <c r="N6128" s="38" t="n">
        <f aca="false">Sens!$N$6110+Sens!$N$6124-ext_sh*Sens!$N$6045</f>
        <v>28.5693781401809</v>
      </c>
      <c r="O6128" s="38" t="n">
        <f aca="false">Sens!$O$6110+Sens!$O$6124-ext_sh*Sens!$O$6045</f>
        <v>31.7105594031931</v>
      </c>
    </row>
    <row r="6129" customFormat="false" ht="17.15" hidden="false" customHeight="false" outlineLevel="0" collapsed="false">
      <c r="A6129" s="0" t="s">
        <v>698</v>
      </c>
      <c r="B6129" s="0" t="s">
        <v>73</v>
      </c>
      <c r="C6129" s="38" t="n">
        <f aca="false">Sens!$C$6048</f>
        <v>1.80694998843362</v>
      </c>
      <c r="D6129" s="38" t="n">
        <f aca="false">Sens!$D$6048</f>
        <v>6.77606245662607</v>
      </c>
      <c r="E6129" s="38" t="n">
        <f aca="false">Sens!$E$6048</f>
        <v>6.62548329092326</v>
      </c>
      <c r="F6129" s="38" t="n">
        <f aca="false">Sens!$F$6048</f>
        <v>11.7200577158706</v>
      </c>
      <c r="G6129" s="38" t="n">
        <f aca="false">Sens!$G$6048</f>
        <v>18.3455410067939</v>
      </c>
      <c r="H6129" s="38" t="n">
        <f aca="false">Sens!$H$6048</f>
        <v>47.5171727060453</v>
      </c>
      <c r="I6129" s="38" t="n">
        <f aca="false">Sens!$I$6048</f>
        <v>80.5539692643667</v>
      </c>
      <c r="J6129" s="38" t="n">
        <f aca="false">Sens!$J$6048</f>
        <v>113.759316834883</v>
      </c>
      <c r="K6129" s="38" t="n">
        <f aca="false">Sens!$K$6048</f>
        <v>147.020848076132</v>
      </c>
      <c r="L6129" s="38" t="n">
        <f aca="false">Sens!$L$6048</f>
        <v>180.307917349531</v>
      </c>
      <c r="M6129" s="38" t="n">
        <f aca="false">Sens!$M$6048</f>
        <v>213.608737871012</v>
      </c>
      <c r="N6129" s="38" t="n">
        <f aca="false">Sens!$N$6048</f>
        <v>2.37162185981912</v>
      </c>
      <c r="O6129" s="38" t="n">
        <f aca="false">Sens!$O$6048</f>
        <v>4.40444059680694</v>
      </c>
    </row>
    <row r="6130" customFormat="false" ht="17.15" hidden="false" customHeight="false" outlineLevel="0" collapsed="false">
      <c r="A6130" s="0" t="s">
        <v>699</v>
      </c>
      <c r="B6130" s="0" t="s">
        <v>73</v>
      </c>
      <c r="C6130" s="38" t="n">
        <f aca="false">Sens!$C$6113+Sens!$C$6125</f>
        <v>100.66</v>
      </c>
      <c r="D6130" s="38" t="n">
        <f aca="false">Sens!$D$6113+Sens!$D$6125</f>
        <v>121.835</v>
      </c>
      <c r="E6130" s="38" t="n">
        <f aca="false">Sens!$E$6113+Sens!$E$6125</f>
        <v>78.016</v>
      </c>
      <c r="F6130" s="38" t="n">
        <f aca="false">Sens!$F$6113+Sens!$F$6125</f>
        <v>90.4929629579672</v>
      </c>
      <c r="G6130" s="38" t="n">
        <f aca="false">Sens!$G$6113+Sens!$G$6125</f>
        <v>168.508962957967</v>
      </c>
      <c r="H6130" s="38" t="n">
        <f aca="false">Sens!$H$6113+Sens!$H$6125</f>
        <v>223.323222861897</v>
      </c>
      <c r="I6130" s="38" t="n">
        <f aca="false">Sens!$I$6113+Sens!$I$6125</f>
        <v>282.963404043402</v>
      </c>
      <c r="J6130" s="38" t="n">
        <f aca="false">Sens!$J$6113+Sens!$J$6125</f>
        <v>340.070464072952</v>
      </c>
      <c r="K6130" s="38" t="n">
        <f aca="false">Sens!$K$6113+Sens!$K$6125</f>
        <v>392.262250211657</v>
      </c>
      <c r="L6130" s="38" t="n">
        <f aca="false">Sens!$L$6113+Sens!$L$6125</f>
        <v>444.559364384299</v>
      </c>
      <c r="M6130" s="38" t="n">
        <f aca="false">Sens!$M$6113+Sens!$M$6125</f>
        <v>498.670416967106</v>
      </c>
      <c r="N6130" s="38" t="n">
        <f aca="false">Sens!$N$6113+Sens!$N$6125</f>
        <v>56.398</v>
      </c>
      <c r="O6130" s="38" t="n">
        <f aca="false">Sens!$O$6113+Sens!$O$6125</f>
        <v>65.437</v>
      </c>
    </row>
    <row r="6131" customFormat="false" ht="17.15" hidden="false" customHeight="false" outlineLevel="0" collapsed="false">
      <c r="A6131" s="1" t="s">
        <v>700</v>
      </c>
    </row>
    <row r="6132" customFormat="false" ht="15" hidden="false" customHeight="false" outlineLevel="0" collapsed="false">
      <c r="A6132" s="5" t="s">
        <v>504</v>
      </c>
      <c r="B6132" s="0" t="s">
        <v>73</v>
      </c>
      <c r="C6132" s="38" t="n">
        <f aca="false">Q!$D$34</f>
        <v>2.406</v>
      </c>
      <c r="D6132" s="38" t="n">
        <f aca="false">Q!$E$34</f>
        <v>2.274</v>
      </c>
      <c r="E6132" s="38" t="n">
        <f aca="false">Q!$P$34</f>
        <v>2.114</v>
      </c>
      <c r="F6132" s="38" t="n">
        <f aca="false">Sens!$F$6168</f>
        <v>3.24888964316061</v>
      </c>
      <c r="G6132" s="38" t="n">
        <f aca="false">Sens!$E$6132+Sens!$F$6132</f>
        <v>5.36288964316061</v>
      </c>
      <c r="H6132" s="38" t="n">
        <f aca="false">Sens!$H$6168</f>
        <v>7.42354178632123</v>
      </c>
      <c r="I6132" s="38" t="n">
        <f aca="false">Sens!$I$6168</f>
        <v>7.51827597635917</v>
      </c>
      <c r="J6132" s="38" t="n">
        <f aca="false">Sens!$J$6168</f>
        <v>7.76994062068418</v>
      </c>
      <c r="K6132" s="38" t="n">
        <f aca="false">Sens!$K$6168</f>
        <v>7.76994062068418</v>
      </c>
      <c r="L6132" s="38" t="n">
        <f aca="false">Sens!$L$6168</f>
        <v>7.76994062068418</v>
      </c>
      <c r="M6132" s="38" t="n">
        <f aca="false">Sens!$M$6168</f>
        <v>7.76994062068418</v>
      </c>
      <c r="N6132" s="38" t="n">
        <f aca="false">Q!$N$34</f>
        <v>1.057</v>
      </c>
      <c r="O6132" s="38" t="n">
        <f aca="false">Q!$O$34</f>
        <v>1.217</v>
      </c>
    </row>
    <row r="6133" customFormat="false" ht="15" hidden="false" customHeight="false" outlineLevel="0" collapsed="false">
      <c r="A6133" s="5" t="s">
        <v>701</v>
      </c>
      <c r="B6133" s="0" t="s">
        <v>73</v>
      </c>
      <c r="F6133" s="38" t="n">
        <f aca="false">Sens!$F$6169</f>
        <v>2.59</v>
      </c>
      <c r="H6133" s="38" t="n">
        <f aca="false">Sens!$H$6169</f>
        <v>4.00971603121774</v>
      </c>
      <c r="I6133" s="38" t="n">
        <f aca="false">Sens!$I$6169</f>
        <v>2.10589651022864</v>
      </c>
      <c r="J6133" s="38" t="n">
        <f aca="false">Sens!$J$6169</f>
        <v>2.10589651022864</v>
      </c>
      <c r="K6133" s="38" t="n">
        <f aca="false">Sens!$K$6169</f>
        <v>3.77985822695893</v>
      </c>
      <c r="L6133" s="38" t="n">
        <f aca="false">Sens!$L$6169</f>
        <v>7.24081936505971</v>
      </c>
      <c r="M6133" s="38" t="n">
        <f aca="false">Sens!$M$6169</f>
        <v>11.205150593419</v>
      </c>
    </row>
    <row r="6134" customFormat="false" ht="17.15" hidden="false" customHeight="false" outlineLevel="0" collapsed="false">
      <c r="A6134" s="5" t="s">
        <v>702</v>
      </c>
      <c r="B6134" s="0" t="s">
        <v>73</v>
      </c>
      <c r="C6134" s="38" t="n">
        <f aca="false">Q!$D$39</f>
        <v>2.427</v>
      </c>
      <c r="D6134" s="38" t="n">
        <f aca="false">Q!$E$39</f>
        <v>19.61</v>
      </c>
      <c r="E6134" s="38" t="n">
        <f aca="false">Q!$P$39</f>
        <v>71.492</v>
      </c>
      <c r="F6134" s="41" t="n">
        <v>0</v>
      </c>
      <c r="G6134" s="38" t="n">
        <f aca="false">Sens!$E$6134+Sens!$F$6134</f>
        <v>71.492</v>
      </c>
      <c r="H6134" s="41" t="n">
        <v>0</v>
      </c>
      <c r="I6134" s="41" t="n">
        <v>0</v>
      </c>
      <c r="J6134" s="41" t="n">
        <v>0</v>
      </c>
      <c r="K6134" s="41" t="n">
        <v>0</v>
      </c>
      <c r="L6134" s="41" t="n">
        <v>0</v>
      </c>
      <c r="M6134" s="41" t="n">
        <v>0</v>
      </c>
      <c r="N6134" s="38" t="n">
        <f aca="false">Q!$N$39</f>
        <v>6.017</v>
      </c>
      <c r="O6134" s="38" t="n">
        <f aca="false">Q!$O$39</f>
        <v>13.593</v>
      </c>
      <c r="P6134" s="5" t="s">
        <v>703</v>
      </c>
    </row>
    <row r="6135" customFormat="false" ht="15" hidden="false" customHeight="false" outlineLevel="0" collapsed="false">
      <c r="A6135" s="5" t="s">
        <v>507</v>
      </c>
      <c r="B6135" s="0" t="s">
        <v>73</v>
      </c>
      <c r="C6135" s="38" t="n">
        <f aca="false">Q!$D$36</f>
        <v>68.614</v>
      </c>
      <c r="D6135" s="38" t="n">
        <f aca="false">Q!$E$36</f>
        <v>97.311</v>
      </c>
      <c r="E6135" s="38" t="n">
        <f aca="false">Q!$P$36</f>
        <v>120.691</v>
      </c>
      <c r="F6135" s="38" t="n">
        <f aca="false">Sens!$F$6113-Sens!$F$6132+Sens!$F$6133+Sens!$F$6134</f>
        <v>59.2236875896856</v>
      </c>
      <c r="G6135" s="38" t="n">
        <f aca="false">Sens!$E$6135+Sens!$F$6135</f>
        <v>179.914687589686</v>
      </c>
      <c r="H6135" s="38" t="n">
        <f aca="false">Sens!$H$6113-Sens!$H$6132+Sens!$H$6133+Sens!$H$6134</f>
        <v>132.22487528741</v>
      </c>
      <c r="I6135" s="38" t="n">
        <f aca="false">Sens!$I$6113-Sens!$I$6132+Sens!$I$6133+Sens!$I$6134</f>
        <v>155.256254868633</v>
      </c>
      <c r="J6135" s="38" t="n">
        <f aca="false">Sens!$J$6113-Sens!$J$6132+Sens!$J$6133+Sens!$J$6134</f>
        <v>177.272457389275</v>
      </c>
      <c r="K6135" s="38" t="n">
        <f aca="false">Sens!$K$6113-Sens!$K$6132+Sens!$K$6133+Sens!$K$6134</f>
        <v>196.921534464333</v>
      </c>
      <c r="L6135" s="38" t="n">
        <f aca="false">Sens!$L$6113-Sens!$L$6132+Sens!$L$6133+Sens!$L$6134</f>
        <v>220.12100479332</v>
      </c>
      <c r="M6135" s="38" t="n">
        <f aca="false">Sens!$M$6113-Sens!$M$6132+Sens!$M$6133+Sens!$M$6134</f>
        <v>244.529307072564</v>
      </c>
      <c r="N6135" s="38" t="n">
        <f aca="false">Q!$N$36</f>
        <v>42.536</v>
      </c>
      <c r="O6135" s="38" t="n">
        <f aca="false">Q!$O$36</f>
        <v>54.775</v>
      </c>
    </row>
    <row r="6136" customFormat="false" ht="15" hidden="false" customHeight="false" outlineLevel="0" collapsed="false">
      <c r="A6136" s="5" t="s">
        <v>508</v>
      </c>
      <c r="B6136" s="0" t="s">
        <v>73</v>
      </c>
      <c r="C6136" s="38" t="n">
        <f aca="false">Q!$D$37</f>
        <v>9.265</v>
      </c>
      <c r="D6136" s="38" t="n">
        <f aca="false">Q!$E$37</f>
        <v>19.087</v>
      </c>
      <c r="E6136" s="38" t="n">
        <f aca="false">Q!$P$37</f>
        <v>27.759</v>
      </c>
      <c r="F6136" s="38" t="n">
        <f aca="false">Sens!$F$6135*tax</f>
        <v>10.2803157750071</v>
      </c>
      <c r="G6136" s="38" t="n">
        <f aca="false">Sens!$E$6136+Sens!$F$6136</f>
        <v>38.0393157750071</v>
      </c>
      <c r="H6136" s="38" t="n">
        <f aca="false">Sens!$H$6135*tax</f>
        <v>22.9521923842892</v>
      </c>
      <c r="I6136" s="38" t="n">
        <f aca="false">Sens!$I$6135*tax</f>
        <v>26.9500835063251</v>
      </c>
      <c r="J6136" s="38" t="n">
        <f aca="false">Sens!$J$6135*tax</f>
        <v>30.7717555988633</v>
      </c>
      <c r="K6136" s="38" t="n">
        <f aca="false">Sens!$K$6135*tax</f>
        <v>34.1825313414772</v>
      </c>
      <c r="L6136" s="38" t="n">
        <f aca="false">Sens!$L$6135*tax</f>
        <v>38.209600416393</v>
      </c>
      <c r="M6136" s="38" t="n">
        <f aca="false">Sens!$M$6135*tax</f>
        <v>42.4465040131586</v>
      </c>
      <c r="N6136" s="38" t="n">
        <f aca="false">Q!$N$37</f>
        <v>7.231</v>
      </c>
      <c r="O6136" s="38" t="n">
        <f aca="false">Q!$O$37</f>
        <v>11.856</v>
      </c>
    </row>
    <row r="6137" customFormat="false" ht="15" hidden="false" customHeight="false" outlineLevel="0" collapsed="false">
      <c r="A6137" s="3" t="s">
        <v>509</v>
      </c>
      <c r="B6137" s="8" t="s">
        <v>73</v>
      </c>
      <c r="C6137" s="38" t="n">
        <f aca="false">Q!$D$38</f>
        <v>59.248</v>
      </c>
      <c r="D6137" s="38" t="n">
        <f aca="false">Q!$E$38</f>
        <v>77.67</v>
      </c>
      <c r="E6137" s="38" t="n">
        <f aca="false">Q!$P$38</f>
        <v>92.902</v>
      </c>
      <c r="F6137" s="38" t="n">
        <f aca="false">Sens!$F$6135-Sens!$F$6136</f>
        <v>48.9433718146785</v>
      </c>
      <c r="G6137" s="38" t="n">
        <f aca="false">Sens!$E$6137+Sens!$F$6137</f>
        <v>141.845371814679</v>
      </c>
      <c r="H6137" s="38" t="n">
        <f aca="false">Sens!$H$6135-Sens!$H$6136</f>
        <v>109.272682903121</v>
      </c>
      <c r="I6137" s="38" t="n">
        <f aca="false">Sens!$I$6135-Sens!$I$6136</f>
        <v>128.306171362308</v>
      </c>
      <c r="J6137" s="38" t="n">
        <f aca="false">Sens!$J$6135-Sens!$J$6136</f>
        <v>146.500701790412</v>
      </c>
      <c r="K6137" s="38" t="n">
        <f aca="false">Sens!$K$6135-Sens!$K$6136</f>
        <v>162.739003122855</v>
      </c>
      <c r="L6137" s="38" t="n">
        <f aca="false">Sens!$L$6135-Sens!$L$6136</f>
        <v>181.911404376927</v>
      </c>
      <c r="M6137" s="38" t="n">
        <f aca="false">Sens!$M$6135-Sens!$M$6136</f>
        <v>202.082803059406</v>
      </c>
      <c r="N6137" s="38" t="n">
        <f aca="false">Q!$N$38</f>
        <v>35.291</v>
      </c>
      <c r="O6137" s="38" t="n">
        <f aca="false">Q!$O$38</f>
        <v>42.379</v>
      </c>
    </row>
    <row r="6138" customFormat="false" ht="17.15" hidden="false" customHeight="false" outlineLevel="0" collapsed="false">
      <c r="A6138" s="5" t="s">
        <v>512</v>
      </c>
      <c r="B6138" s="5" t="s">
        <v>33</v>
      </c>
      <c r="C6138" s="22" t="n">
        <f aca="false">Q!$D$41</f>
        <v>10.721</v>
      </c>
      <c r="D6138" s="22" t="n">
        <f aca="false">Q!$E$41</f>
        <v>10.827</v>
      </c>
      <c r="E6138" s="22" t="n">
        <f aca="false">(Q!$L$41+Q!$M$41)/2</f>
        <v>10.8885</v>
      </c>
      <c r="F6138" s="22" t="n">
        <f aca="false">Sens!$G$6138</f>
        <v>10.924806</v>
      </c>
      <c r="G6138" s="22" t="n">
        <f aca="false">Q!$M$41*(1+sh_g*0.25)</f>
        <v>10.924806</v>
      </c>
      <c r="H6138" s="22" t="n">
        <f aca="false">Sens!$G$6138*(1+sh_g)</f>
        <v>11.012204448</v>
      </c>
      <c r="I6138" s="22" t="n">
        <f aca="false">Sens!$H$6138*(1+sh_g)</f>
        <v>11.100302083584</v>
      </c>
      <c r="J6138" s="22" t="n">
        <f aca="false">Sens!$I$6138*(1+sh_g)</f>
        <v>11.1891045002527</v>
      </c>
      <c r="K6138" s="22" t="n">
        <f aca="false">Sens!$J$6138*(1+sh_g)</f>
        <v>11.2786173362547</v>
      </c>
      <c r="L6138" s="22" t="n">
        <f aca="false">Sens!$K$6138*(1+sh_g)</f>
        <v>11.3688462749447</v>
      </c>
      <c r="M6138" s="22" t="n">
        <f aca="false">Sens!$L$6138*(1+sh_g)</f>
        <v>11.4597970451443</v>
      </c>
      <c r="P6138" s="5" t="s">
        <v>704</v>
      </c>
    </row>
    <row r="6139" customFormat="false" ht="17.15" hidden="false" customHeight="false" outlineLevel="0" collapsed="false">
      <c r="A6139" s="42" t="s">
        <v>705</v>
      </c>
      <c r="B6139" s="13" t="s">
        <v>27</v>
      </c>
      <c r="C6139" s="43" t="n">
        <f aca="false">Sens!$C$6137/Sens!$C$6138</f>
        <v>5.52635015390355</v>
      </c>
      <c r="D6139" s="43" t="n">
        <f aca="false">Sens!$D$6137/Sens!$D$6138</f>
        <v>7.1737323358271</v>
      </c>
      <c r="E6139" s="43" t="n">
        <f aca="false">Sens!$E$6137/Sens!$E$6138</f>
        <v>8.53212104513937</v>
      </c>
      <c r="F6139" s="13"/>
      <c r="G6139" s="43" t="n">
        <f aca="false">Sens!$G$6137/Sens!$G$6138</f>
        <v>12.9837886196495</v>
      </c>
      <c r="H6139" s="43" t="n">
        <f aca="false">Sens!$H$6137/Sens!$H$6138</f>
        <v>9.92287088558062</v>
      </c>
      <c r="I6139" s="43" t="n">
        <f aca="false">Sens!$I$6137/Sens!$I$6138</f>
        <v>11.5587999674403</v>
      </c>
      <c r="J6139" s="43" t="n">
        <f aca="false">Sens!$J$6137/Sens!$J$6138</f>
        <v>13.0931569892035</v>
      </c>
      <c r="K6139" s="43" t="n">
        <f aca="false">Sens!$K$6137/Sens!$K$6138</f>
        <v>14.4289852444711</v>
      </c>
      <c r="L6139" s="43" t="n">
        <f aca="false">Sens!$L$6137/Sens!$L$6138</f>
        <v>16.0008676322621</v>
      </c>
      <c r="M6139" s="43" t="n">
        <f aca="false">Sens!$M$6137/Sens!$M$6138</f>
        <v>17.6340647450673</v>
      </c>
      <c r="N6139" s="13"/>
      <c r="O6139" s="13"/>
    </row>
    <row r="6140" customFormat="false" ht="17.15" hidden="false" customHeight="false" outlineLevel="0" collapsed="false">
      <c r="A6140" s="0" t="s">
        <v>706</v>
      </c>
      <c r="B6140" s="0" t="s">
        <v>27</v>
      </c>
      <c r="C6140" s="30" t="n">
        <f aca="false">(Sens!$C$6137-Sens!$C$6134*(1-tax))/Sens!$C$6138</f>
        <v>5.33926775917445</v>
      </c>
      <c r="D6140" s="30" t="n">
        <f aca="false">(Sens!$D$6137-Sens!$D$6134*(1-tax))/Sens!$D$6138</f>
        <v>5.67691812755503</v>
      </c>
      <c r="E6140" s="30" t="n">
        <f aca="false">(Sens!$E$6137-Sens!$E$6134*(1-tax))/Sens!$E$6138</f>
        <v>3.10602057006846</v>
      </c>
      <c r="G6140" s="30" t="n">
        <f aca="false">(Sens!$G$6137-Sens!$G$6134*(1-tax))/Sens!$G$6138</f>
        <v>7.57572050175252</v>
      </c>
      <c r="H6140" s="30" t="n">
        <f aca="false">(Sens!$H$6137-Sens!$H$6134*(1-tax))/Sens!$H$6138</f>
        <v>9.92287088558062</v>
      </c>
      <c r="I6140" s="30" t="n">
        <f aca="false">(Sens!$I$6137-Sens!$I$6134*(1-tax))/Sens!$I$6138</f>
        <v>11.5587999674403</v>
      </c>
      <c r="J6140" s="30" t="n">
        <f aca="false">(Sens!$J$6137-Sens!$J$6134*(1-tax))/Sens!$J$6138</f>
        <v>13.0931569892035</v>
      </c>
      <c r="K6140" s="30" t="n">
        <f aca="false">(Sens!$K$6137-Sens!$K$6134*(1-tax))/Sens!$K$6138</f>
        <v>14.4289852444711</v>
      </c>
      <c r="L6140" s="30" t="n">
        <f aca="false">(Sens!$L$6137-Sens!$L$6134*(1-tax))/Sens!$L$6138</f>
        <v>16.0008676322621</v>
      </c>
      <c r="M6140" s="30" t="n">
        <f aca="false">(Sens!$M$6137-Sens!$M$6134*(1-tax))/Sens!$M$6138</f>
        <v>17.6340647450673</v>
      </c>
      <c r="P6140" s="5" t="s">
        <v>707</v>
      </c>
    </row>
    <row r="6141" customFormat="false" ht="17.15" hidden="false" customHeight="false" outlineLevel="0" collapsed="false">
      <c r="A6141" s="0" t="s">
        <v>708</v>
      </c>
      <c r="B6141" s="0" t="s">
        <v>52</v>
      </c>
      <c r="H6141" s="12" t="n">
        <f aca="false">Sens!$H$6139/Sens!$G$6139-1</f>
        <v>-0.23574919645846</v>
      </c>
      <c r="I6141" s="12" t="n">
        <f aca="false">Sens!$I$6139/Sens!$H$6139-1</f>
        <v>0.164864493423664</v>
      </c>
      <c r="J6141" s="12" t="n">
        <f aca="false">Sens!$J$6139/Sens!$I$6139-1</f>
        <v>0.132743626162345</v>
      </c>
      <c r="K6141" s="12" t="n">
        <f aca="false">Sens!$K$6139/Sens!$J$6139-1</f>
        <v>0.102024917013454</v>
      </c>
      <c r="L6141" s="12" t="n">
        <f aca="false">Sens!$L$6139/Sens!$K$6139-1</f>
        <v>0.108939219297719</v>
      </c>
      <c r="M6141" s="12" t="n">
        <f aca="false">Sens!$M$6139/Sens!$L$6139-1</f>
        <v>0.102069284637555</v>
      </c>
    </row>
    <row r="6144" customFormat="false" ht="19.4" hidden="false" customHeight="false" outlineLevel="0" collapsed="false">
      <c r="A6144" s="31" t="s">
        <v>1176</v>
      </c>
    </row>
    <row r="6145" customFormat="false" ht="17.15" hidden="false" customHeight="false" outlineLevel="0" collapsed="false">
      <c r="A6145" s="6" t="s">
        <v>16</v>
      </c>
      <c r="B6145" s="6" t="s">
        <v>17</v>
      </c>
      <c r="C6145" s="20" t="s">
        <v>457</v>
      </c>
      <c r="D6145" s="20" t="s">
        <v>458</v>
      </c>
      <c r="E6145" s="20" t="s">
        <v>540</v>
      </c>
      <c r="F6145" s="20" t="s">
        <v>541</v>
      </c>
      <c r="G6145" s="20" t="s">
        <v>542</v>
      </c>
      <c r="H6145" s="20" t="s">
        <v>543</v>
      </c>
      <c r="I6145" s="20" t="s">
        <v>544</v>
      </c>
      <c r="J6145" s="20" t="s">
        <v>545</v>
      </c>
      <c r="K6145" s="20" t="s">
        <v>546</v>
      </c>
      <c r="L6145" s="20" t="s">
        <v>547</v>
      </c>
      <c r="M6145" s="20" t="s">
        <v>548</v>
      </c>
      <c r="N6145" s="20" t="s">
        <v>549</v>
      </c>
      <c r="O6145" s="20" t="s">
        <v>550</v>
      </c>
      <c r="P6145" s="6" t="s">
        <v>23</v>
      </c>
      <c r="R6145" s="20" t="n">
        <v>2023</v>
      </c>
      <c r="S6145" s="20" t="n">
        <v>2024</v>
      </c>
      <c r="T6145" s="20" t="n">
        <v>2025</v>
      </c>
      <c r="U6145" s="20" t="n">
        <v>2026</v>
      </c>
      <c r="V6145" s="20" t="n">
        <v>2027</v>
      </c>
      <c r="W6145" s="20" t="n">
        <v>2028</v>
      </c>
      <c r="X6145" s="20" t="n">
        <v>2029</v>
      </c>
      <c r="Y6145" s="20" t="n">
        <v>2030</v>
      </c>
      <c r="Z6145" s="20" t="n">
        <v>2031</v>
      </c>
      <c r="AA6145" s="20" t="n">
        <v>2032</v>
      </c>
    </row>
    <row r="6146" customFormat="false" ht="15" hidden="false" customHeight="false" outlineLevel="0" collapsed="false">
      <c r="A6146" s="5" t="s">
        <v>509</v>
      </c>
      <c r="B6146" s="0" t="s">
        <v>73</v>
      </c>
      <c r="C6146" s="38" t="n">
        <f aca="false">Sens!$C$6137</f>
        <v>59.248</v>
      </c>
      <c r="D6146" s="38" t="n">
        <f aca="false">Sens!$D$6137</f>
        <v>77.67</v>
      </c>
      <c r="E6146" s="38" t="n">
        <f aca="false">Sens!$E$6137</f>
        <v>92.902</v>
      </c>
      <c r="F6146" s="38" t="n">
        <f aca="false">Sens!$F$6137</f>
        <v>48.9433718146785</v>
      </c>
      <c r="G6146" s="38" t="n">
        <f aca="false">Sens!$G$6137</f>
        <v>141.845371814679</v>
      </c>
      <c r="H6146" s="38" t="n">
        <f aca="false">Sens!$H$6137</f>
        <v>109.272682903121</v>
      </c>
      <c r="I6146" s="38" t="n">
        <f aca="false">Sens!$I$6137</f>
        <v>128.306171362308</v>
      </c>
      <c r="J6146" s="38" t="n">
        <f aca="false">Sens!$J$6137</f>
        <v>146.500701790412</v>
      </c>
      <c r="K6146" s="38" t="n">
        <f aca="false">Sens!$K$6137</f>
        <v>162.739003122855</v>
      </c>
      <c r="L6146" s="38" t="n">
        <f aca="false">Sens!$L$6137</f>
        <v>181.911404376927</v>
      </c>
      <c r="M6146" s="38" t="n">
        <f aca="false">Sens!$M$6137</f>
        <v>202.082803059406</v>
      </c>
    </row>
    <row r="6147" customFormat="false" ht="17.15" hidden="false" customHeight="false" outlineLevel="0" collapsed="false">
      <c r="A6147" s="5" t="s">
        <v>730</v>
      </c>
      <c r="B6147" s="0" t="s">
        <v>73</v>
      </c>
      <c r="C6147" s="38" t="n">
        <f aca="false">Sens!$C$6125</f>
        <v>32.067</v>
      </c>
      <c r="D6147" s="38" t="n">
        <f aca="false">Sens!$D$6125</f>
        <v>41.86</v>
      </c>
      <c r="E6147" s="38" t="n">
        <f aca="false">Sens!$E$6125</f>
        <v>26.703</v>
      </c>
      <c r="F6147" s="38" t="n">
        <f aca="false">Sens!$F$6125</f>
        <v>30.6103857251209</v>
      </c>
      <c r="G6147" s="38" t="n">
        <f aca="false">Sens!$G$6125</f>
        <v>57.3133857251209</v>
      </c>
      <c r="H6147" s="38" t="n">
        <f aca="false">Sens!$H$6125</f>
        <v>87.6845218193838</v>
      </c>
      <c r="I6147" s="38" t="n">
        <f aca="false">Sens!$I$6125</f>
        <v>122.294769708638</v>
      </c>
      <c r="J6147" s="38" t="n">
        <f aca="false">Sens!$J$6125</f>
        <v>157.133962573221</v>
      </c>
      <c r="K6147" s="38" t="n">
        <f aca="false">Sens!$K$6125</f>
        <v>191.350633353599</v>
      </c>
      <c r="L6147" s="38" t="n">
        <f aca="false">Sens!$L$6125</f>
        <v>223.909238335354</v>
      </c>
      <c r="M6147" s="38" t="n">
        <f aca="false">Sens!$M$6125</f>
        <v>257.576319867276</v>
      </c>
    </row>
    <row r="6148" customFormat="false" ht="15" hidden="false" customHeight="false" outlineLevel="0" collapsed="false">
      <c r="A6148" s="5" t="s">
        <v>731</v>
      </c>
      <c r="B6148" s="0" t="s">
        <v>73</v>
      </c>
      <c r="C6148" s="38" t="n">
        <f aca="false">Q!$D$48</f>
        <v>22.011</v>
      </c>
      <c r="D6148" s="38" t="n">
        <f aca="false">Q!$E$48</f>
        <v>19.467</v>
      </c>
      <c r="E6148" s="38" t="n">
        <f aca="false">Q!$P$48</f>
        <v>10.07</v>
      </c>
      <c r="F6148" s="38" t="n">
        <f aca="false">sbc_r*Sens!$F$6069</f>
        <v>11.2170714500462</v>
      </c>
      <c r="G6148" s="38" t="n">
        <f aca="false">Sens!$E$6148+Sens!$F$6148</f>
        <v>21.2870714500462</v>
      </c>
      <c r="H6148" s="38" t="n">
        <f aca="false">sbc_r*Sens!$H$6069</f>
        <v>24.1772394325528</v>
      </c>
      <c r="I6148" s="38" t="n">
        <f aca="false">sbc_r*Sens!$I$6069</f>
        <v>27.6495284422397</v>
      </c>
      <c r="J6148" s="38" t="n">
        <f aca="false">sbc_r*Sens!$J$6069</f>
        <v>30.9042211184633</v>
      </c>
      <c r="K6148" s="38" t="n">
        <f aca="false">sbc_r*Sens!$K$6069</f>
        <v>33.8004145402678</v>
      </c>
      <c r="L6148" s="38" t="n">
        <f aca="false">sbc_r*Sens!$L$6069</f>
        <v>36.8322537652494</v>
      </c>
      <c r="M6148" s="38" t="n">
        <f aca="false">sbc_r*Sens!$M$6069</f>
        <v>40.0097627968013</v>
      </c>
    </row>
    <row r="6149" customFormat="false" ht="17.15" hidden="false" customHeight="false" outlineLevel="0" collapsed="false">
      <c r="A6149" s="5" t="s">
        <v>732</v>
      </c>
      <c r="B6149" s="0" t="s">
        <v>73</v>
      </c>
      <c r="C6149" s="38" t="n">
        <f aca="false">Q!$D$44-Sens!$C$6146-Sens!$C$6147-Sens!$C$6148</f>
        <v>2.551</v>
      </c>
      <c r="D6149" s="38" t="n">
        <f aca="false">Q!$E$44-Sens!$D$6146-Sens!$D$6147-Sens!$D$6148</f>
        <v>0.51700000000001</v>
      </c>
      <c r="E6149" s="38" t="n">
        <f aca="false">Q!$P$44-Sens!$E$6146-Sens!$E$6147-Sens!$E$6148</f>
        <v>-58.256</v>
      </c>
      <c r="F6149" s="38" t="n">
        <f aca="false">wc_2h26+oth_r*Sens!$F$6069</f>
        <v>7.34599241893378</v>
      </c>
      <c r="G6149" s="38" t="n">
        <f aca="false">Sens!$E$6149+Sens!$F$6149</f>
        <v>-50.9100075810662</v>
      </c>
      <c r="H6149" s="38" t="n">
        <f aca="false">oth_r*Sens!$H$6069</f>
        <v>11.6369707537667</v>
      </c>
      <c r="I6149" s="38" t="n">
        <f aca="false">oth_r*Sens!$I$6069</f>
        <v>13.3082502961262</v>
      </c>
      <c r="J6149" s="38" t="n">
        <f aca="false">oth_r*Sens!$J$6069</f>
        <v>14.8747965344332</v>
      </c>
      <c r="K6149" s="38" t="n">
        <f aca="false">oth_r*Sens!$K$6069</f>
        <v>16.2687901804328</v>
      </c>
      <c r="L6149" s="38" t="n">
        <f aca="false">oth_r*Sens!$L$6069</f>
        <v>17.7280727627002</v>
      </c>
      <c r="M6149" s="38" t="n">
        <f aca="false">oth_r*Sens!$M$6069</f>
        <v>19.2574690270319</v>
      </c>
      <c r="P6149" s="8" t="s">
        <v>733</v>
      </c>
    </row>
    <row r="6150" customFormat="false" ht="15" hidden="false" customHeight="false" outlineLevel="0" collapsed="false">
      <c r="A6150" s="3" t="s">
        <v>515</v>
      </c>
      <c r="B6150" s="8" t="s">
        <v>73</v>
      </c>
      <c r="C6150" s="38" t="n">
        <f aca="false">Q!$D$44</f>
        <v>115.877</v>
      </c>
      <c r="D6150" s="38" t="n">
        <f aca="false">Q!$E$44</f>
        <v>139.514</v>
      </c>
      <c r="E6150" s="38" t="n">
        <f aca="false">Q!$P$44</f>
        <v>71.419</v>
      </c>
      <c r="F6150" s="38" t="n">
        <f aca="false">Sens!$F$6146+Sens!$F$6147+Sens!$F$6148+Sens!$F$6149</f>
        <v>98.1168214087795</v>
      </c>
      <c r="G6150" s="38" t="n">
        <f aca="false">Sens!$E$6150+Sens!$F$6150</f>
        <v>169.535821408779</v>
      </c>
      <c r="H6150" s="38" t="n">
        <f aca="false">Sens!$H$6146+Sens!$H$6147+Sens!$H$6148+Sens!$H$6149</f>
        <v>232.771414908824</v>
      </c>
      <c r="I6150" s="38" t="n">
        <f aca="false">Sens!$I$6146+Sens!$I$6147+Sens!$I$6148+Sens!$I$6149</f>
        <v>291.558719809312</v>
      </c>
      <c r="J6150" s="38" t="n">
        <f aca="false">Sens!$J$6146+Sens!$J$6147+Sens!$J$6148+Sens!$J$6149</f>
        <v>349.413682016529</v>
      </c>
      <c r="K6150" s="38" t="n">
        <f aca="false">Sens!$K$6146+Sens!$K$6147+Sens!$K$6148+Sens!$K$6149</f>
        <v>404.158841197156</v>
      </c>
      <c r="L6150" s="38" t="n">
        <f aca="false">Sens!$L$6146+Sens!$L$6147+Sens!$L$6148+Sens!$L$6149</f>
        <v>460.380969240231</v>
      </c>
      <c r="M6150" s="38" t="n">
        <f aca="false">Sens!$M$6146+Sens!$M$6147+Sens!$M$6148+Sens!$M$6149</f>
        <v>518.926354750515</v>
      </c>
    </row>
    <row r="6151" customFormat="false" ht="17.15" hidden="false" customHeight="false" outlineLevel="0" collapsed="false">
      <c r="A6151" s="5" t="s">
        <v>734</v>
      </c>
      <c r="B6151" s="0" t="s">
        <v>73</v>
      </c>
      <c r="C6151" s="38" t="n">
        <f aca="false">Sens!$C$6039</f>
        <v>25.2781053077374</v>
      </c>
      <c r="D6151" s="38" t="n">
        <f aca="false">Sens!$D$6039</f>
        <v>69.5686316310026</v>
      </c>
      <c r="E6151" s="38" t="n">
        <f aca="false">Sens!$E$6039</f>
        <v>64.1899206485108</v>
      </c>
      <c r="F6151" s="38" t="n">
        <f aca="false">Sens!$F$6039</f>
        <v>96.2481299895</v>
      </c>
      <c r="G6151" s="38" t="n">
        <f aca="false">Sens!$G$6039</f>
        <v>160.438050638011</v>
      </c>
      <c r="H6151" s="38" t="n">
        <f aca="false">Sens!$H$6039</f>
        <v>198.57136494475</v>
      </c>
      <c r="I6151" s="38" t="n">
        <f aca="false">Sens!$I$6039</f>
        <v>204.6464699105</v>
      </c>
      <c r="J6151" s="38" t="n">
        <f aca="false">Sens!$J$6039</f>
        <v>209.8832381105</v>
      </c>
      <c r="K6151" s="38" t="n">
        <f aca="false">Sens!$K$6039</f>
        <v>215.1200063105</v>
      </c>
      <c r="L6151" s="38" t="n">
        <f aca="false">Sens!$L$6039</f>
        <v>251.7773837105</v>
      </c>
      <c r="M6151" s="38" t="n">
        <f aca="false">Sens!$M$6039</f>
        <v>311.87584476575</v>
      </c>
    </row>
    <row r="6152" customFormat="false" ht="17.15" hidden="false" customHeight="false" outlineLevel="0" collapsed="false">
      <c r="A6152" s="5" t="s">
        <v>735</v>
      </c>
      <c r="B6152" s="0" t="s">
        <v>73</v>
      </c>
      <c r="C6152" s="38" t="n">
        <f aca="false">cx_awso*Sens!$C$6067</f>
        <v>21.0469989286053</v>
      </c>
      <c r="D6152" s="38" t="n">
        <f aca="false">cx_awso*Sens!$D$6067</f>
        <v>24.0042459822698</v>
      </c>
      <c r="E6152" s="38" t="n">
        <f aca="false">cx_awso*Sens!$E$6067</f>
        <v>14.261729404886</v>
      </c>
      <c r="F6152" s="38" t="n">
        <f aca="false">cx_awso*Sens!$F$6067</f>
        <v>15.7190020837331</v>
      </c>
      <c r="G6152" s="38" t="n">
        <f aca="false">Sens!$E$6152+Sens!$F$6152</f>
        <v>29.9807314886191</v>
      </c>
      <c r="H6152" s="38" t="n">
        <f aca="false">cx_awso*Sens!$H$6067</f>
        <v>36.1787121536283</v>
      </c>
      <c r="I6152" s="38" t="n">
        <f aca="false">cx_awso*Sens!$I$6067</f>
        <v>42.1296794430021</v>
      </c>
      <c r="J6152" s="38" t="n">
        <f aca="false">cx_awso*Sens!$J$6067</f>
        <v>47.279781889299</v>
      </c>
      <c r="K6152" s="38" t="n">
        <f aca="false">cx_awso*Sens!$K$6067</f>
        <v>51.0621644404429</v>
      </c>
      <c r="L6152" s="38" t="n">
        <f aca="false">cx_awso*Sens!$L$6067</f>
        <v>55.1471375956783</v>
      </c>
      <c r="M6152" s="38" t="n">
        <f aca="false">cx_awso*Sens!$M$6067</f>
        <v>59.5589086033326</v>
      </c>
    </row>
    <row r="6153" customFormat="false" ht="17.15" hidden="false" customHeight="false" outlineLevel="0" collapsed="false">
      <c r="A6153" s="5" t="s">
        <v>736</v>
      </c>
      <c r="B6153" s="0" t="s">
        <v>73</v>
      </c>
      <c r="C6153" s="38" t="n">
        <f aca="false">Q!$D$46-Sens!$C$6151-Sens!$C$6152</f>
        <v>31.3328957636573</v>
      </c>
      <c r="D6153" s="38" t="n">
        <f aca="false">Q!$E$46-Sens!$D$6151-Sens!$D$6152</f>
        <v>34.7471223867276</v>
      </c>
      <c r="E6153" s="38" t="n">
        <f aca="false">Q!$P$46-Sens!$E$6151-Sens!$E$6152</f>
        <v>17.8583499466032</v>
      </c>
      <c r="F6153" s="38" t="n">
        <f aca="false">cx_rt*Sens!$F$6003</f>
        <v>21.0855744229195</v>
      </c>
      <c r="G6153" s="38" t="n">
        <f aca="false">Sens!$E$6153+Sens!$F$6153</f>
        <v>38.9439243695228</v>
      </c>
      <c r="H6153" s="38" t="n">
        <f aca="false">cx_rt*Sens!$H$6003</f>
        <v>43.1200434029767</v>
      </c>
      <c r="I6153" s="38" t="n">
        <f aca="false">cx_rt*Sens!$I$6003</f>
        <v>47.1583152318763</v>
      </c>
      <c r="J6153" s="38" t="n">
        <f aca="false">cx_rt*Sens!$J$6003</f>
        <v>50.9060281137911</v>
      </c>
      <c r="K6153" s="38" t="n">
        <f aca="false">cx_rt*Sens!$K$6003</f>
        <v>54.2035645673053</v>
      </c>
      <c r="L6153" s="38" t="n">
        <f aca="false">cx_rt*Sens!$L$6003</f>
        <v>57.7318979121519</v>
      </c>
      <c r="M6153" s="38" t="n">
        <f aca="false">cx_rt*Sens!$M$6003</f>
        <v>61.5084196557756</v>
      </c>
    </row>
    <row r="6154" customFormat="false" ht="15" hidden="false" customHeight="false" outlineLevel="0" collapsed="false">
      <c r="A6154" s="3" t="s">
        <v>737</v>
      </c>
      <c r="B6154" s="8" t="s">
        <v>73</v>
      </c>
      <c r="C6154" s="38" t="n">
        <f aca="false">Q!$D$46</f>
        <v>77.658</v>
      </c>
      <c r="D6154" s="38" t="n">
        <f aca="false">Q!$E$46</f>
        <v>128.32</v>
      </c>
      <c r="E6154" s="38" t="n">
        <f aca="false">Q!$P$46</f>
        <v>96.31</v>
      </c>
      <c r="F6154" s="38" t="n">
        <f aca="false">Sens!$F$6151+Sens!$F$6152+Sens!$F$6153</f>
        <v>133.052706496153</v>
      </c>
      <c r="G6154" s="38" t="n">
        <f aca="false">Sens!$E$6154+Sens!$F$6154</f>
        <v>229.362706496153</v>
      </c>
      <c r="H6154" s="38" t="n">
        <f aca="false">Sens!$H$6151+Sens!$H$6152+Sens!$H$6153</f>
        <v>277.870120501355</v>
      </c>
      <c r="I6154" s="38" t="n">
        <f aca="false">Sens!$I$6151+Sens!$I$6152+Sens!$I$6153</f>
        <v>293.934464585378</v>
      </c>
      <c r="J6154" s="38" t="n">
        <f aca="false">Sens!$J$6151+Sens!$J$6152+Sens!$J$6153</f>
        <v>308.06904811359</v>
      </c>
      <c r="K6154" s="38" t="n">
        <f aca="false">Sens!$K$6151+Sens!$K$6152+Sens!$K$6153</f>
        <v>320.385735318248</v>
      </c>
      <c r="L6154" s="38" t="n">
        <f aca="false">Sens!$L$6151+Sens!$L$6152+Sens!$L$6153</f>
        <v>364.65641921833</v>
      </c>
      <c r="M6154" s="38" t="n">
        <f aca="false">Sens!$M$6151+Sens!$M$6152+Sens!$M$6153</f>
        <v>432.943173024858</v>
      </c>
    </row>
    <row r="6155" customFormat="false" ht="17.15" hidden="false" customHeight="false" outlineLevel="0" collapsed="false">
      <c r="A6155" s="5" t="s">
        <v>523</v>
      </c>
      <c r="B6155" s="0" t="s">
        <v>73</v>
      </c>
      <c r="C6155" s="38" t="n">
        <f aca="false">Q!$D$50</f>
        <v>2.043</v>
      </c>
      <c r="D6155" s="38" t="n">
        <f aca="false">Q!$E$50</f>
        <v>1.557</v>
      </c>
      <c r="E6155" s="38" t="n">
        <f aca="false">lease_pr/2</f>
        <v>0.8</v>
      </c>
      <c r="F6155" s="38" t="n">
        <f aca="false">lease_pr/2</f>
        <v>0.8</v>
      </c>
      <c r="G6155" s="38" t="n">
        <f aca="false">Sens!$E$6155+Sens!$F$6155</f>
        <v>1.6</v>
      </c>
      <c r="H6155" s="38" t="n">
        <f aca="false">lease_pr</f>
        <v>1.6</v>
      </c>
      <c r="I6155" s="38" t="n">
        <f aca="false">lease_pr</f>
        <v>1.6</v>
      </c>
      <c r="J6155" s="38" t="n">
        <f aca="false">lease_pr</f>
        <v>1.6</v>
      </c>
      <c r="K6155" s="38" t="n">
        <f aca="false">lease_pr</f>
        <v>1.6</v>
      </c>
      <c r="L6155" s="38" t="n">
        <f aca="false">lease_pr</f>
        <v>1.6</v>
      </c>
      <c r="M6155" s="38" t="n">
        <f aca="false">lease_pr</f>
        <v>1.6</v>
      </c>
      <c r="P6155" s="8" t="s">
        <v>738</v>
      </c>
    </row>
    <row r="6156" customFormat="false" ht="15" hidden="false" customHeight="false" outlineLevel="0" collapsed="false">
      <c r="A6156" s="46" t="s">
        <v>739</v>
      </c>
      <c r="B6156" s="13" t="s">
        <v>73</v>
      </c>
      <c r="C6156" s="47" t="n">
        <f aca="false">Sens!$C$6150-Sens!$C$6154-Sens!$C$6155</f>
        <v>36.176</v>
      </c>
      <c r="D6156" s="47" t="n">
        <f aca="false">Sens!$D$6150-Sens!$D$6154-Sens!$D$6155</f>
        <v>9.63700000000002</v>
      </c>
      <c r="E6156" s="47" t="n">
        <f aca="false">Sens!$E$6150-Sens!$E$6154-Sens!$E$6155</f>
        <v>-25.691</v>
      </c>
      <c r="F6156" s="47" t="n">
        <f aca="false">Sens!$F$6150-Sens!$F$6154-Sens!$F$6155</f>
        <v>-35.7358850873731</v>
      </c>
      <c r="G6156" s="47" t="n">
        <f aca="false">Sens!$G$6150-Sens!$G$6154-Sens!$G$6155</f>
        <v>-61.4268850873731</v>
      </c>
      <c r="H6156" s="47" t="n">
        <f aca="false">Sens!$H$6150-Sens!$H$6154-Sens!$H$6155</f>
        <v>-46.6987055925312</v>
      </c>
      <c r="I6156" s="47" t="n">
        <f aca="false">Sens!$I$6150-Sens!$I$6154-Sens!$I$6155</f>
        <v>-3.97574477606648</v>
      </c>
      <c r="J6156" s="47" t="n">
        <f aca="false">Sens!$J$6150-Sens!$J$6154-Sens!$J$6155</f>
        <v>39.7446339029391</v>
      </c>
      <c r="K6156" s="47" t="n">
        <f aca="false">Sens!$K$6150-Sens!$K$6154-Sens!$K$6155</f>
        <v>82.1731058789073</v>
      </c>
      <c r="L6156" s="47" t="n">
        <f aca="false">Sens!$L$6150-Sens!$L$6154-Sens!$L$6155</f>
        <v>94.1245500219009</v>
      </c>
      <c r="M6156" s="47" t="n">
        <f aca="false">Sens!$M$6150-Sens!$M$6154-Sens!$M$6155</f>
        <v>84.3831817256571</v>
      </c>
      <c r="N6156" s="13"/>
      <c r="O6156" s="13"/>
    </row>
    <row r="6157" customFormat="false" ht="17.15" hidden="false" customHeight="false" outlineLevel="0" collapsed="false">
      <c r="A6157" s="5" t="s">
        <v>740</v>
      </c>
      <c r="B6157" s="0" t="s">
        <v>73</v>
      </c>
      <c r="C6157" s="38" t="n">
        <f aca="false">dps*Sens!$C$6138</f>
        <v>0</v>
      </c>
      <c r="D6157" s="38" t="n">
        <f aca="false">dps*Sens!$D$6138</f>
        <v>0</v>
      </c>
      <c r="E6157" s="38" t="n">
        <f aca="false">dps*Sens!$E$6138</f>
        <v>0</v>
      </c>
      <c r="F6157" s="38" t="n">
        <f aca="false">0</f>
        <v>0</v>
      </c>
      <c r="G6157" s="38" t="n">
        <f aca="false">dps*Sens!$G$6138</f>
        <v>0</v>
      </c>
      <c r="H6157" s="38" t="n">
        <f aca="false">dps*Sens!$H$6138</f>
        <v>0</v>
      </c>
      <c r="I6157" s="38" t="n">
        <f aca="false">dps*Sens!$I$6138</f>
        <v>0</v>
      </c>
      <c r="J6157" s="38" t="n">
        <f aca="false">dps*Sens!$J$6138</f>
        <v>0</v>
      </c>
      <c r="K6157" s="38" t="n">
        <f aca="false">dps*Sens!$K$6138</f>
        <v>0</v>
      </c>
      <c r="L6157" s="38" t="n">
        <f aca="false">dps*Sens!$L$6138</f>
        <v>0</v>
      </c>
      <c r="M6157" s="38" t="n">
        <f aca="false">dps*Sens!$M$6138</f>
        <v>0</v>
      </c>
      <c r="P6157" s="8" t="s">
        <v>741</v>
      </c>
    </row>
    <row r="6158" customFormat="false" ht="17.15" hidden="false" customHeight="false" outlineLevel="0" collapsed="false">
      <c r="A6158" s="5" t="s">
        <v>742</v>
      </c>
      <c r="B6158" s="0" t="s">
        <v>73</v>
      </c>
      <c r="C6158" s="38" t="n">
        <f aca="false">0</f>
        <v>0</v>
      </c>
      <c r="D6158" s="38" t="n">
        <f aca="false">0</f>
        <v>0</v>
      </c>
      <c r="E6158" s="38" t="n">
        <f aca="false">0</f>
        <v>0</v>
      </c>
      <c r="F6158" s="38" t="n">
        <f aca="false">0</f>
        <v>0</v>
      </c>
      <c r="G6158" s="38" t="n">
        <f aca="false">0</f>
        <v>0</v>
      </c>
      <c r="H6158" s="38" t="n">
        <f aca="false">0</f>
        <v>0</v>
      </c>
      <c r="I6158" s="38" t="n">
        <f aca="false">0</f>
        <v>0</v>
      </c>
      <c r="J6158" s="38" t="n">
        <f aca="false">0</f>
        <v>0</v>
      </c>
      <c r="K6158" s="38" t="n">
        <f aca="false">0</f>
        <v>0</v>
      </c>
      <c r="L6158" s="38" t="n">
        <f aca="false">0</f>
        <v>0</v>
      </c>
      <c r="M6158" s="38" t="n">
        <f aca="false">0</f>
        <v>0</v>
      </c>
      <c r="P6158" s="8" t="s">
        <v>743</v>
      </c>
    </row>
    <row r="6159" customFormat="false" ht="15" hidden="false" customHeight="false" outlineLevel="0" collapsed="false">
      <c r="A6159" s="3" t="s">
        <v>744</v>
      </c>
      <c r="B6159" s="8" t="s">
        <v>73</v>
      </c>
      <c r="C6159" s="38" t="n">
        <f aca="false">Sens!$C$6156-Sens!$C$6157</f>
        <v>36.176</v>
      </c>
      <c r="D6159" s="38" t="n">
        <f aca="false">Sens!$D$6156-Sens!$D$6157</f>
        <v>9.63700000000002</v>
      </c>
      <c r="E6159" s="38" t="n">
        <f aca="false">Sens!$E$6156-Sens!$E$6157</f>
        <v>-25.691</v>
      </c>
      <c r="F6159" s="38" t="n">
        <f aca="false">Sens!$F$6156-Sens!$F$6157</f>
        <v>-35.7358850873731</v>
      </c>
      <c r="G6159" s="38" t="n">
        <f aca="false">Sens!$G$6156-Sens!$G$6157</f>
        <v>-61.4268850873731</v>
      </c>
      <c r="H6159" s="38" t="n">
        <f aca="false">Sens!$H$6156-Sens!$H$6157</f>
        <v>-46.6987055925312</v>
      </c>
      <c r="I6159" s="38" t="n">
        <f aca="false">Sens!$I$6156-Sens!$I$6157</f>
        <v>-3.97574477606648</v>
      </c>
      <c r="J6159" s="38" t="n">
        <f aca="false">Sens!$J$6156-Sens!$J$6157</f>
        <v>39.7446339029391</v>
      </c>
      <c r="K6159" s="38" t="n">
        <f aca="false">Sens!$K$6156-Sens!$K$6157</f>
        <v>82.1731058789073</v>
      </c>
      <c r="L6159" s="38" t="n">
        <f aca="false">Sens!$L$6156-Sens!$L$6157</f>
        <v>94.1245500219009</v>
      </c>
      <c r="M6159" s="38" t="n">
        <f aca="false">Sens!$M$6156-Sens!$M$6157</f>
        <v>84.3831817256571</v>
      </c>
    </row>
    <row r="6160" customFormat="false" ht="17.15" hidden="false" customHeight="false" outlineLevel="0" collapsed="false">
      <c r="A6160" s="5" t="s">
        <v>745</v>
      </c>
      <c r="B6160" s="0" t="s">
        <v>73</v>
      </c>
      <c r="E6160" s="38" t="n">
        <f aca="false">Q!$P$53</f>
        <v>39.767</v>
      </c>
      <c r="F6160" s="38" t="n">
        <f aca="false">inv_2h26</f>
        <v>21.3</v>
      </c>
      <c r="G6160" s="38" t="n">
        <f aca="false">Sens!$E$6160+Sens!$F$6160</f>
        <v>61.067</v>
      </c>
      <c r="H6160" s="41" t="n">
        <v>0</v>
      </c>
      <c r="I6160" s="41" t="n">
        <v>0</v>
      </c>
      <c r="J6160" s="41" t="n">
        <v>0</v>
      </c>
      <c r="K6160" s="41" t="n">
        <v>0</v>
      </c>
      <c r="L6160" s="41" t="n">
        <v>0</v>
      </c>
      <c r="M6160" s="41" t="n">
        <v>0</v>
      </c>
    </row>
    <row r="6161" customFormat="false" ht="17.15" hidden="false" customHeight="false" outlineLevel="0" collapsed="false">
      <c r="A6161" s="5" t="s">
        <v>746</v>
      </c>
      <c r="B6161" s="0" t="s">
        <v>73</v>
      </c>
      <c r="F6161" s="38" t="n">
        <f aca="false">iss_2h26</f>
        <v>29.25</v>
      </c>
      <c r="G6161" s="38" t="n">
        <f aca="false">Sens!$F$6161</f>
        <v>29.25</v>
      </c>
      <c r="H6161" s="41" t="n">
        <v>0</v>
      </c>
      <c r="I6161" s="41" t="n">
        <v>0</v>
      </c>
      <c r="J6161" s="41" t="n">
        <v>0</v>
      </c>
      <c r="K6161" s="41" t="n">
        <v>0</v>
      </c>
      <c r="L6161" s="41" t="n">
        <v>0</v>
      </c>
      <c r="M6161" s="41" t="n">
        <v>0</v>
      </c>
    </row>
    <row r="6162" customFormat="false" ht="17.15" hidden="false" customHeight="false" outlineLevel="0" collapsed="false">
      <c r="A6162" s="5" t="s">
        <v>747</v>
      </c>
      <c r="B6162" s="0" t="s">
        <v>73</v>
      </c>
      <c r="F6162" s="38" t="n">
        <f aca="false">cash_q2</f>
        <v>122.988</v>
      </c>
      <c r="G6162" s="38" t="n">
        <f aca="false">cash_q2</f>
        <v>122.988</v>
      </c>
      <c r="H6162" s="38" t="n">
        <f aca="false">Sens!$G$6165</f>
        <v>95.2021149126269</v>
      </c>
      <c r="I6162" s="38" t="n">
        <f aca="false">Sens!$H$6165</f>
        <v>50</v>
      </c>
      <c r="J6162" s="38" t="n">
        <f aca="false">Sens!$I$6165</f>
        <v>50</v>
      </c>
      <c r="K6162" s="38" t="n">
        <f aca="false">Sens!$J$6165</f>
        <v>89.7446339029391</v>
      </c>
      <c r="L6162" s="38" t="n">
        <f aca="false">Sens!$K$6165</f>
        <v>171.917739781846</v>
      </c>
      <c r="M6162" s="38" t="n">
        <f aca="false">Sens!$L$6165</f>
        <v>266.042289803747</v>
      </c>
    </row>
    <row r="6163" customFormat="false" ht="15" hidden="false" customHeight="false" outlineLevel="0" collapsed="false">
      <c r="A6163" s="5" t="s">
        <v>748</v>
      </c>
      <c r="B6163" s="0" t="s">
        <v>73</v>
      </c>
      <c r="F6163" s="38" t="n">
        <f aca="false">Sens!$F$6162+Sens!$F$6159-Sens!$F$6158-Sens!$F$6160+Sens!$F$6161</f>
        <v>95.2021149126269</v>
      </c>
      <c r="H6163" s="38" t="n">
        <f aca="false">Sens!$H$6162+Sens!$H$6159-Sens!$H$6158-Sens!$H$6160+Sens!$H$6161</f>
        <v>48.5034093200957</v>
      </c>
      <c r="I6163" s="38" t="n">
        <f aca="false">Sens!$I$6162+Sens!$I$6159-Sens!$I$6158-Sens!$I$6160+Sens!$I$6161</f>
        <v>46.0242552239335</v>
      </c>
      <c r="J6163" s="38" t="n">
        <f aca="false">Sens!$J$6162+Sens!$J$6159-Sens!$J$6158-Sens!$J$6160+Sens!$J$6161</f>
        <v>89.7446339029391</v>
      </c>
      <c r="K6163" s="38" t="n">
        <f aca="false">Sens!$K$6162+Sens!$K$6159-Sens!$K$6158-Sens!$K$6160+Sens!$K$6161</f>
        <v>171.917739781846</v>
      </c>
      <c r="L6163" s="38" t="n">
        <f aca="false">Sens!$L$6162+Sens!$L$6159-Sens!$L$6158-Sens!$L$6160+Sens!$L$6161</f>
        <v>266.042289803747</v>
      </c>
      <c r="M6163" s="38" t="n">
        <f aca="false">Sens!$M$6162+Sens!$M$6159-Sens!$M$6158-Sens!$M$6160+Sens!$M$6161</f>
        <v>350.425471529404</v>
      </c>
    </row>
    <row r="6164" customFormat="false" ht="17.15" hidden="false" customHeight="false" outlineLevel="0" collapsed="false">
      <c r="A6164" s="5" t="s">
        <v>749</v>
      </c>
      <c r="B6164" s="0" t="s">
        <v>73</v>
      </c>
      <c r="F6164" s="38" t="n">
        <f aca="false">MAX(0,min_cash-Sens!$F$6163)</f>
        <v>0</v>
      </c>
      <c r="G6164" s="38" t="n">
        <f aca="false">Sens!$F$6164</f>
        <v>0</v>
      </c>
      <c r="H6164" s="38" t="n">
        <f aca="false">MAX(0,min_cash-Sens!$H$6163)</f>
        <v>1.49659067990431</v>
      </c>
      <c r="I6164" s="38" t="n">
        <f aca="false">MAX(0,min_cash-Sens!$I$6163)</f>
        <v>3.97574477606648</v>
      </c>
      <c r="J6164" s="38" t="n">
        <f aca="false">MAX(0,min_cash-Sens!$J$6163)</f>
        <v>0</v>
      </c>
      <c r="K6164" s="38" t="n">
        <f aca="false">MAX(0,min_cash-Sens!$K$6163)</f>
        <v>0</v>
      </c>
      <c r="L6164" s="38" t="n">
        <f aca="false">MAX(0,min_cash-Sens!$L$6163)</f>
        <v>0</v>
      </c>
      <c r="M6164" s="38" t="n">
        <f aca="false">MAX(0,min_cash-Sens!$M$6163)</f>
        <v>0</v>
      </c>
      <c r="P6164" s="5" t="s">
        <v>750</v>
      </c>
    </row>
    <row r="6165" customFormat="false" ht="15" hidden="false" customHeight="false" outlineLevel="0" collapsed="false">
      <c r="A6165" s="5" t="s">
        <v>751</v>
      </c>
      <c r="B6165" s="0" t="s">
        <v>73</v>
      </c>
      <c r="D6165" s="38" t="n">
        <f aca="false">Q!$E$61</f>
        <v>123.029</v>
      </c>
      <c r="E6165" s="38" t="n">
        <f aca="false">Q!$M$61</f>
        <v>122.988</v>
      </c>
      <c r="F6165" s="38" t="n">
        <f aca="false">Sens!$F$6163+Sens!$F$6164</f>
        <v>95.2021149126269</v>
      </c>
      <c r="G6165" s="38" t="n">
        <f aca="false">Sens!$F$6165</f>
        <v>95.2021149126269</v>
      </c>
      <c r="H6165" s="38" t="n">
        <f aca="false">Sens!$H$6163+Sens!$H$6164</f>
        <v>50</v>
      </c>
      <c r="I6165" s="38" t="n">
        <f aca="false">Sens!$I$6163+Sens!$I$6164</f>
        <v>50</v>
      </c>
      <c r="J6165" s="38" t="n">
        <f aca="false">Sens!$J$6163+Sens!$J$6164</f>
        <v>89.7446339029391</v>
      </c>
      <c r="K6165" s="38" t="n">
        <f aca="false">Sens!$K$6163+Sens!$K$6164</f>
        <v>171.917739781846</v>
      </c>
      <c r="L6165" s="38" t="n">
        <f aca="false">Sens!$L$6163+Sens!$L$6164</f>
        <v>266.042289803747</v>
      </c>
      <c r="M6165" s="38" t="n">
        <f aca="false">Sens!$M$6163+Sens!$M$6164</f>
        <v>350.425471529404</v>
      </c>
    </row>
    <row r="6166" customFormat="false" ht="15" hidden="false" customHeight="false" outlineLevel="0" collapsed="false">
      <c r="A6166" s="5" t="s">
        <v>752</v>
      </c>
      <c r="B6166" s="0" t="s">
        <v>73</v>
      </c>
      <c r="D6166" s="38" t="n">
        <f aca="false">Q!$E$62</f>
        <v>68.836</v>
      </c>
      <c r="E6166" s="38" t="n">
        <f aca="false">Q!$M$62</f>
        <v>132.995</v>
      </c>
      <c r="F6166" s="38" t="n">
        <f aca="false">debt_q2+Sens!$F$6161+Sens!$F$6164</f>
        <v>162.245</v>
      </c>
      <c r="G6166" s="38" t="n">
        <f aca="false">Sens!$F$6166</f>
        <v>162.245</v>
      </c>
      <c r="H6166" s="38" t="n">
        <f aca="false">Sens!$G$6166+Sens!$H$6164</f>
        <v>163.741590679904</v>
      </c>
      <c r="I6166" s="38" t="n">
        <f aca="false">Sens!$H$6166+Sens!$I$6164</f>
        <v>167.717335455971</v>
      </c>
      <c r="J6166" s="38" t="n">
        <f aca="false">Sens!$I$6166+Sens!$J$6164</f>
        <v>167.717335455971</v>
      </c>
      <c r="K6166" s="38" t="n">
        <f aca="false">Sens!$J$6166+Sens!$K$6164</f>
        <v>167.717335455971</v>
      </c>
      <c r="L6166" s="38" t="n">
        <f aca="false">Sens!$K$6166+Sens!$L$6164</f>
        <v>167.717335455971</v>
      </c>
      <c r="M6166" s="38" t="n">
        <f aca="false">Sens!$L$6166+Sens!$M$6164</f>
        <v>167.717335455971</v>
      </c>
    </row>
    <row r="6167" customFormat="false" ht="15" hidden="false" customHeight="false" outlineLevel="0" collapsed="false">
      <c r="A6167" s="5" t="s">
        <v>753</v>
      </c>
      <c r="B6167" s="0" t="s">
        <v>73</v>
      </c>
      <c r="D6167" s="38" t="n">
        <f aca="false">Sens!$D$6166-Sens!$D$6165</f>
        <v>-54.193</v>
      </c>
      <c r="E6167" s="38" t="n">
        <f aca="false">Sens!$E$6166-Sens!$E$6165</f>
        <v>10.007</v>
      </c>
      <c r="F6167" s="38" t="n">
        <f aca="false">Sens!$F$6166-Sens!$F$6165</f>
        <v>67.0428850873731</v>
      </c>
      <c r="G6167" s="38" t="n">
        <f aca="false">Sens!$G$6166-Sens!$G$6165</f>
        <v>67.0428850873731</v>
      </c>
      <c r="H6167" s="38" t="n">
        <f aca="false">Sens!$H$6166-Sens!$H$6165</f>
        <v>113.741590679904</v>
      </c>
      <c r="I6167" s="38" t="n">
        <f aca="false">Sens!$I$6166-Sens!$I$6165</f>
        <v>117.717335455971</v>
      </c>
      <c r="J6167" s="38" t="n">
        <f aca="false">Sens!$J$6166-Sens!$J$6165</f>
        <v>77.9727015530317</v>
      </c>
      <c r="K6167" s="38" t="n">
        <f aca="false">Sens!$K$6166-Sens!$K$6165</f>
        <v>-4.20040432587558</v>
      </c>
      <c r="L6167" s="38" t="n">
        <f aca="false">Sens!$L$6166-Sens!$L$6165</f>
        <v>-98.3249543477765</v>
      </c>
      <c r="M6167" s="38" t="n">
        <f aca="false">Sens!$M$6166-Sens!$M$6165</f>
        <v>-182.708136073434</v>
      </c>
    </row>
    <row r="6168" customFormat="false" ht="17.15" hidden="false" customHeight="false" outlineLevel="0" collapsed="false">
      <c r="A6168" s="5" t="s">
        <v>754</v>
      </c>
      <c r="B6168" s="0" t="s">
        <v>73</v>
      </c>
      <c r="F6168" s="38" t="n">
        <f aca="false">debt_q2*kd_book*0.5+iss_2h26*kd_new*0.25</f>
        <v>3.24888964316061</v>
      </c>
      <c r="H6168" s="38" t="n">
        <f aca="false">debt_q2*kd_book+(Sens!$G$6166-debt_q2)*kd_new</f>
        <v>7.42354178632123</v>
      </c>
      <c r="I6168" s="38" t="n">
        <f aca="false">debt_q2*kd_book+(Sens!$H$6166-debt_q2)*kd_new</f>
        <v>7.51827597635917</v>
      </c>
      <c r="J6168" s="38" t="n">
        <f aca="false">debt_q2*kd_book+(Sens!$I$6166-debt_q2)*kd_new</f>
        <v>7.76994062068418</v>
      </c>
      <c r="K6168" s="38" t="n">
        <f aca="false">debt_q2*kd_book+(Sens!$J$6166-debt_q2)*kd_new</f>
        <v>7.76994062068418</v>
      </c>
      <c r="L6168" s="38" t="n">
        <f aca="false">debt_q2*kd_book+(Sens!$K$6166-debt_q2)*kd_new</f>
        <v>7.76994062068418</v>
      </c>
      <c r="M6168" s="38" t="n">
        <f aca="false">debt_q2*kd_book+(Sens!$L$6166-debt_q2)*kd_new</f>
        <v>7.76994062068418</v>
      </c>
    </row>
    <row r="6169" customFormat="false" ht="17.15" hidden="false" customHeight="false" outlineLevel="0" collapsed="false">
      <c r="A6169" s="5" t="s">
        <v>755</v>
      </c>
      <c r="B6169" s="0" t="s">
        <v>73</v>
      </c>
      <c r="F6169" s="38" t="n">
        <f aca="false">cash_q2*y_cash*0.5</f>
        <v>2.59</v>
      </c>
      <c r="H6169" s="38" t="n">
        <f aca="false">Sens!$G$6165*y_cash</f>
        <v>4.00971603121774</v>
      </c>
      <c r="I6169" s="38" t="n">
        <f aca="false">Sens!$H$6165*y_cash</f>
        <v>2.10589651022864</v>
      </c>
      <c r="J6169" s="38" t="n">
        <f aca="false">Sens!$I$6165*y_cash</f>
        <v>2.10589651022864</v>
      </c>
      <c r="K6169" s="38" t="n">
        <f aca="false">Sens!$J$6165*y_cash</f>
        <v>3.77985822695893</v>
      </c>
      <c r="L6169" s="38" t="n">
        <f aca="false">Sens!$K$6165*y_cash</f>
        <v>7.24081936505971</v>
      </c>
      <c r="M6169" s="38" t="n">
        <f aca="false">Sens!$L$6165*y_cash</f>
        <v>11.205150593419</v>
      </c>
    </row>
    <row r="6170" customFormat="false" ht="17.15" hidden="false" customHeight="false" outlineLevel="0" collapsed="false">
      <c r="A6170" s="46" t="s">
        <v>756</v>
      </c>
      <c r="B6170" s="13" t="s">
        <v>73</v>
      </c>
      <c r="C6170" s="13"/>
      <c r="D6170" s="13"/>
      <c r="E6170" s="13"/>
      <c r="F6170" s="13"/>
      <c r="G6170" s="47" t="n">
        <f aca="false">SUM(Sens!$G$6159:$K$6159)</f>
        <v>9.81640432587554</v>
      </c>
      <c r="H6170" s="13"/>
      <c r="I6170" s="13"/>
      <c r="J6170" s="13"/>
      <c r="K6170" s="13"/>
      <c r="L6170" s="13"/>
      <c r="M6170" s="13"/>
      <c r="N6170" s="13"/>
      <c r="O6170" s="13"/>
    </row>
    <row r="6171" customFormat="false" ht="17.15" hidden="false" customHeight="false" outlineLevel="0" collapsed="false">
      <c r="A6171" s="0" t="s">
        <v>723</v>
      </c>
      <c r="B6171" s="0" t="s">
        <v>73</v>
      </c>
      <c r="G6171" s="38" t="n">
        <f aca="false">SUM(Sens!$G$6164:$K$6164)</f>
        <v>5.47233545597079</v>
      </c>
    </row>
    <row r="6174" customFormat="false" ht="19.4" hidden="false" customHeight="false" outlineLevel="0" collapsed="false">
      <c r="A6174" s="31" t="s">
        <v>1177</v>
      </c>
    </row>
    <row r="6175" customFormat="false" ht="17.15" hidden="false" customHeight="false" outlineLevel="0" collapsed="false">
      <c r="A6175" s="6" t="s">
        <v>16</v>
      </c>
      <c r="B6175" s="6" t="s">
        <v>17</v>
      </c>
      <c r="C6175" s="20" t="s">
        <v>457</v>
      </c>
      <c r="D6175" s="20" t="s">
        <v>458</v>
      </c>
      <c r="E6175" s="20" t="s">
        <v>540</v>
      </c>
      <c r="F6175" s="20" t="s">
        <v>541</v>
      </c>
      <c r="G6175" s="20" t="s">
        <v>542</v>
      </c>
      <c r="H6175" s="20" t="s">
        <v>543</v>
      </c>
      <c r="I6175" s="20" t="s">
        <v>544</v>
      </c>
      <c r="J6175" s="20" t="s">
        <v>545</v>
      </c>
      <c r="K6175" s="20" t="s">
        <v>546</v>
      </c>
      <c r="L6175" s="20" t="s">
        <v>547</v>
      </c>
      <c r="M6175" s="20" t="s">
        <v>548</v>
      </c>
      <c r="N6175" s="20" t="s">
        <v>549</v>
      </c>
      <c r="O6175" s="20" t="s">
        <v>550</v>
      </c>
      <c r="P6175" s="6" t="s">
        <v>23</v>
      </c>
      <c r="R6175" s="20" t="n">
        <v>2023</v>
      </c>
      <c r="S6175" s="20" t="n">
        <v>2024</v>
      </c>
      <c r="T6175" s="20" t="n">
        <v>2025</v>
      </c>
      <c r="U6175" s="20" t="n">
        <v>2026</v>
      </c>
      <c r="V6175" s="20" t="n">
        <v>2027</v>
      </c>
      <c r="W6175" s="20" t="n">
        <v>2028</v>
      </c>
      <c r="X6175" s="20" t="n">
        <v>2029</v>
      </c>
      <c r="Y6175" s="20" t="n">
        <v>2030</v>
      </c>
      <c r="Z6175" s="20" t="n">
        <v>2031</v>
      </c>
      <c r="AA6175" s="20" t="n">
        <v>2032</v>
      </c>
    </row>
    <row r="6176" customFormat="false" ht="17.15" hidden="false" customHeight="false" outlineLevel="0" collapsed="false">
      <c r="A6176" s="1" t="s">
        <v>851</v>
      </c>
    </row>
    <row r="6177" customFormat="false" ht="17.15" hidden="false" customHeight="false" outlineLevel="0" collapsed="false">
      <c r="A6177" s="0" t="s">
        <v>852</v>
      </c>
      <c r="B6177" s="0" t="s">
        <v>73</v>
      </c>
      <c r="H6177" s="38" t="n">
        <f aca="false">Sens!$H$6113*(1-tax)</f>
        <v>112.093921330558</v>
      </c>
      <c r="I6177" s="38" t="n">
        <f aca="false">Sens!$I$6113*(1-tax)</f>
        <v>132.779045500917</v>
      </c>
      <c r="J6177" s="38" t="n">
        <f aca="false">Sens!$J$6113*(1-tax)</f>
        <v>151.181555485193</v>
      </c>
      <c r="K6177" s="38" t="n">
        <f aca="false">Sens!$K$6113*(1-tax)</f>
        <v>166.036468953087</v>
      </c>
      <c r="L6177" s="38" t="n">
        <f aca="false">Sens!$L$6113*(1-tax)</f>
        <v>182.348678369869</v>
      </c>
      <c r="M6177" s="38" t="n">
        <f aca="false">Sens!$M$6113*(1-tax)</f>
        <v>199.243892383632</v>
      </c>
    </row>
    <row r="6178" customFormat="false" ht="15" hidden="false" customHeight="false" outlineLevel="0" collapsed="false">
      <c r="A6178" s="5" t="s">
        <v>853</v>
      </c>
      <c r="B6178" s="0" t="s">
        <v>73</v>
      </c>
      <c r="H6178" s="38" t="n">
        <f aca="false">Sens!$H$6125</f>
        <v>87.6845218193838</v>
      </c>
      <c r="I6178" s="38" t="n">
        <f aca="false">Sens!$I$6125</f>
        <v>122.294769708638</v>
      </c>
      <c r="J6178" s="38" t="n">
        <f aca="false">Sens!$J$6125</f>
        <v>157.133962573221</v>
      </c>
      <c r="K6178" s="38" t="n">
        <f aca="false">Sens!$K$6125</f>
        <v>191.350633353599</v>
      </c>
      <c r="L6178" s="38" t="n">
        <f aca="false">Sens!$L$6125</f>
        <v>223.909238335354</v>
      </c>
      <c r="M6178" s="38" t="n">
        <f aca="false">Sens!$M$6125</f>
        <v>257.576319867276</v>
      </c>
    </row>
    <row r="6179" customFormat="false" ht="15" hidden="false" customHeight="false" outlineLevel="0" collapsed="false">
      <c r="A6179" s="5" t="s">
        <v>854</v>
      </c>
      <c r="B6179" s="0" t="s">
        <v>73</v>
      </c>
      <c r="H6179" s="38" t="n">
        <f aca="false">Sens!$H$6154</f>
        <v>277.870120501355</v>
      </c>
      <c r="I6179" s="38" t="n">
        <f aca="false">Sens!$I$6154</f>
        <v>293.934464585378</v>
      </c>
      <c r="J6179" s="38" t="n">
        <f aca="false">Sens!$J$6154</f>
        <v>308.06904811359</v>
      </c>
      <c r="K6179" s="38" t="n">
        <f aca="false">Sens!$K$6154</f>
        <v>320.385735318248</v>
      </c>
      <c r="L6179" s="38" t="n">
        <f aca="false">Sens!$L$6154</f>
        <v>364.65641921833</v>
      </c>
      <c r="M6179" s="38" t="n">
        <f aca="false">Sens!$M$6154</f>
        <v>432.943173024858</v>
      </c>
    </row>
    <row r="6180" customFormat="false" ht="15" hidden="false" customHeight="false" outlineLevel="0" collapsed="false">
      <c r="A6180" s="5" t="s">
        <v>855</v>
      </c>
      <c r="B6180" s="0" t="s">
        <v>73</v>
      </c>
      <c r="H6180" s="38" t="n">
        <f aca="false">Sens!$H$6155</f>
        <v>1.6</v>
      </c>
      <c r="I6180" s="38" t="n">
        <f aca="false">Sens!$I$6155</f>
        <v>1.6</v>
      </c>
      <c r="J6180" s="38" t="n">
        <f aca="false">Sens!$J$6155</f>
        <v>1.6</v>
      </c>
      <c r="K6180" s="38" t="n">
        <f aca="false">Sens!$K$6155</f>
        <v>1.6</v>
      </c>
      <c r="L6180" s="38" t="n">
        <f aca="false">Sens!$L$6155</f>
        <v>1.6</v>
      </c>
      <c r="M6180" s="38" t="n">
        <f aca="false">Sens!$M$6155</f>
        <v>1.6</v>
      </c>
    </row>
    <row r="6181" customFormat="false" ht="15" hidden="false" customHeight="false" outlineLevel="0" collapsed="false">
      <c r="A6181" s="5" t="s">
        <v>856</v>
      </c>
      <c r="B6181" s="0" t="s">
        <v>73</v>
      </c>
      <c r="H6181" s="38" t="n">
        <f aca="false">Sens!$H$6149</f>
        <v>11.6369707537667</v>
      </c>
      <c r="I6181" s="38" t="n">
        <f aca="false">Sens!$I$6149</f>
        <v>13.3082502961262</v>
      </c>
      <c r="J6181" s="38" t="n">
        <f aca="false">Sens!$J$6149</f>
        <v>14.8747965344332</v>
      </c>
      <c r="K6181" s="38" t="n">
        <f aca="false">Sens!$K$6149</f>
        <v>16.2687901804328</v>
      </c>
      <c r="L6181" s="38" t="n">
        <f aca="false">Sens!$L$6149</f>
        <v>17.7280727627002</v>
      </c>
      <c r="M6181" s="38" t="n">
        <f aca="false">Sens!$M$6149</f>
        <v>19.2574690270319</v>
      </c>
    </row>
    <row r="6182" customFormat="false" ht="17.15" hidden="false" customHeight="false" outlineLevel="0" collapsed="false">
      <c r="A6182" s="1" t="s">
        <v>857</v>
      </c>
      <c r="B6182" s="8" t="s">
        <v>73</v>
      </c>
      <c r="H6182" s="38" t="n">
        <f aca="false">Sens!$H$6177+Sens!$H$6178-Sens!$H$6179-Sens!$H$6180+Sens!$H$6181</f>
        <v>-68.0547065976468</v>
      </c>
      <c r="I6182" s="38" t="n">
        <f aca="false">Sens!$I$6177+Sens!$I$6178-Sens!$I$6179-Sens!$I$6180+Sens!$I$6181</f>
        <v>-27.1523990796972</v>
      </c>
      <c r="J6182" s="38" t="n">
        <f aca="false">Sens!$J$6177+Sens!$J$6178-Sens!$J$6179-Sens!$J$6180+Sens!$J$6181</f>
        <v>13.5212664792573</v>
      </c>
      <c r="K6182" s="38" t="n">
        <f aca="false">Sens!$K$6177+Sens!$K$6178-Sens!$K$6179-Sens!$K$6180+Sens!$K$6181</f>
        <v>51.6701571688709</v>
      </c>
      <c r="L6182" s="38" t="n">
        <f aca="false">Sens!$L$6177+Sens!$L$6178-Sens!$L$6179-Sens!$L$6180+Sens!$L$6181</f>
        <v>57.7295702495933</v>
      </c>
      <c r="M6182" s="38" t="n">
        <f aca="false">Sens!$M$6177+Sens!$M$6178-Sens!$M$6179-Sens!$M$6180+Sens!$M$6181</f>
        <v>41.534508253082</v>
      </c>
    </row>
    <row r="6183" customFormat="false" ht="15" hidden="false" customHeight="false" outlineLevel="0" collapsed="false">
      <c r="A6183" s="5" t="s">
        <v>858</v>
      </c>
      <c r="B6183" s="0" t="s">
        <v>57</v>
      </c>
      <c r="H6183" s="51" t="n">
        <f aca="false">1/(1+wacc)^(2027-2026-0.5)</f>
        <v>0.942858177653364</v>
      </c>
      <c r="I6183" s="51" t="n">
        <f aca="false">1/(1+wacc)^(2028-2026-0.5)</f>
        <v>0.838183517758688</v>
      </c>
      <c r="J6183" s="51" t="n">
        <f aca="false">1/(1+wacc)^(2029-2026-0.5)</f>
        <v>0.745129677074952</v>
      </c>
      <c r="K6183" s="51" t="n">
        <f aca="false">1/(1+wacc)^(2030-2026-0.5)</f>
        <v>0.662406530186232</v>
      </c>
      <c r="L6183" s="51" t="n">
        <f aca="false">1/(1+wacc)^(2031-2026-0.5)</f>
        <v>0.588867179409399</v>
      </c>
      <c r="M6183" s="51" t="n">
        <f aca="false">1/(1+wacc)^(2032-2026-0.5)</f>
        <v>0.52349205387225</v>
      </c>
    </row>
    <row r="6184" customFormat="false" ht="15" hidden="false" customHeight="false" outlineLevel="0" collapsed="false">
      <c r="A6184" s="5" t="s">
        <v>859</v>
      </c>
      <c r="B6184" s="0" t="s">
        <v>73</v>
      </c>
      <c r="H6184" s="38" t="n">
        <f aca="false">Sens!$H$6182*Sens!$H$6183</f>
        <v>-64.1659366433916</v>
      </c>
      <c r="I6184" s="38" t="n">
        <f aca="false">Sens!$I$6182*Sens!$I$6183</f>
        <v>-22.7586933762084</v>
      </c>
      <c r="J6184" s="38" t="n">
        <f aca="false">Sens!$J$6182*Sens!$J$6183</f>
        <v>10.0750969253334</v>
      </c>
      <c r="K6184" s="38" t="n">
        <f aca="false">Sens!$K$6182*Sens!$K$6183</f>
        <v>34.226649524409</v>
      </c>
      <c r="L6184" s="38" t="n">
        <f aca="false">Sens!$L$6182*Sens!$L$6183</f>
        <v>33.9950492013948</v>
      </c>
      <c r="M6184" s="38" t="n">
        <f aca="false">Sens!$M$6182*Sens!$M$6183</f>
        <v>21.7429850319798</v>
      </c>
    </row>
    <row r="6185" customFormat="false" ht="15" hidden="false" customHeight="false" outlineLevel="0" collapsed="false">
      <c r="A6185" s="5" t="s">
        <v>860</v>
      </c>
      <c r="B6185" s="0" t="s">
        <v>73</v>
      </c>
      <c r="C6185" s="38" t="n">
        <f aca="false">SUM(Sens!$H$6184:$M$6184)</f>
        <v>13.115150663517</v>
      </c>
    </row>
    <row r="6186" customFormat="false" ht="17.15" hidden="false" customHeight="false" outlineLevel="0" collapsed="false">
      <c r="A6186" s="5" t="s">
        <v>861</v>
      </c>
      <c r="B6186" s="0" t="s">
        <v>73</v>
      </c>
      <c r="C6186" s="38" t="n">
        <f aca="false">Sens!$M$6177*(1+tg)*(1-tg/ronic)/(wacc-tg)</f>
        <v>1643.3111431308</v>
      </c>
    </row>
    <row r="6187" customFormat="false" ht="15" hidden="false" customHeight="false" outlineLevel="0" collapsed="false">
      <c r="A6187" s="5" t="s">
        <v>862</v>
      </c>
      <c r="B6187" s="0" t="s">
        <v>73</v>
      </c>
      <c r="C6187" s="38" t="n">
        <f aca="false">Sens!$C$6186/(1+wacc)^6</f>
        <v>811.103482778908</v>
      </c>
    </row>
    <row r="6188" customFormat="false" ht="17.15" hidden="false" customHeight="false" outlineLevel="0" collapsed="false">
      <c r="A6188" s="5" t="s">
        <v>863</v>
      </c>
      <c r="B6188" s="0" t="s">
        <v>73</v>
      </c>
      <c r="C6188" s="38" t="n">
        <f aca="false">Sens!$C$6185+Sens!$C$6187</f>
        <v>824.218633442425</v>
      </c>
    </row>
    <row r="6189" customFormat="false" ht="17.15" hidden="false" customHeight="false" outlineLevel="0" collapsed="false">
      <c r="A6189" s="5" t="s">
        <v>864</v>
      </c>
      <c r="B6189" s="0" t="s">
        <v>52</v>
      </c>
      <c r="C6189" s="12" t="n">
        <f aca="false">Sens!$C$6187/Sens!$C$6188</f>
        <v>0.984087777039521</v>
      </c>
    </row>
    <row r="6190" customFormat="false" ht="17.15" hidden="false" customHeight="false" outlineLevel="0" collapsed="false">
      <c r="A6190" s="5" t="s">
        <v>865</v>
      </c>
      <c r="B6190" s="0" t="s">
        <v>73</v>
      </c>
      <c r="C6190" s="38" t="n">
        <f aca="false">Sens!$G$6167</f>
        <v>67.0428850873731</v>
      </c>
    </row>
    <row r="6191" customFormat="false" ht="17.15" hidden="false" customHeight="false" outlineLevel="0" collapsed="false">
      <c r="A6191" s="5" t="s">
        <v>866</v>
      </c>
      <c r="B6191" s="0" t="s">
        <v>73</v>
      </c>
      <c r="C6191" s="38" t="n">
        <f aca="false">(ant_val*ant_sh+oai_val*oai_sh)*(1-liq_disc)</f>
        <v>178.944</v>
      </c>
    </row>
    <row r="6192" customFormat="false" ht="15" hidden="false" customHeight="false" outlineLevel="0" collapsed="false">
      <c r="A6192" s="5" t="s">
        <v>867</v>
      </c>
      <c r="B6192" s="0" t="s">
        <v>73</v>
      </c>
      <c r="C6192" s="38" t="n">
        <f aca="false">Sens!$C$6188-Sens!$C$6190+Sens!$C$6191</f>
        <v>936.119748355051</v>
      </c>
    </row>
    <row r="6193" customFormat="false" ht="17.15" hidden="false" customHeight="false" outlineLevel="0" collapsed="false">
      <c r="A6193" s="5" t="s">
        <v>868</v>
      </c>
      <c r="B6193" s="0" t="s">
        <v>27</v>
      </c>
      <c r="C6193" s="30" t="n">
        <f aca="false">Sens!$C$6192/sh_val</f>
        <v>84.8679147624493</v>
      </c>
    </row>
    <row r="6194" customFormat="false" ht="17.15" hidden="false" customHeight="false" outlineLevel="0" collapsed="false">
      <c r="A6194" s="1" t="s">
        <v>869</v>
      </c>
      <c r="B6194" s="8" t="s">
        <v>27</v>
      </c>
      <c r="C6194" s="30" t="n">
        <f aca="false">Sens!$C$6193*(1+ke)^tp_yf</f>
        <v>93.7319373662158</v>
      </c>
    </row>
    <row r="6195" customFormat="false" ht="17.15" hidden="false" customHeight="false" outlineLevel="0" collapsed="false">
      <c r="A6195" s="3" t="s">
        <v>870</v>
      </c>
    </row>
    <row r="6196" customFormat="false" ht="17.15" hidden="false" customHeight="false" outlineLevel="0" collapsed="false">
      <c r="A6196" s="5" t="s">
        <v>871</v>
      </c>
      <c r="B6196" s="0" t="s">
        <v>73</v>
      </c>
      <c r="C6196" s="38" t="n">
        <f aca="false">0.25*Sens!$H$6126+0.75*Sens!$I$6126</f>
        <v>57.5541093268329</v>
      </c>
    </row>
    <row r="6197" customFormat="false" ht="15" hidden="false" customHeight="false" outlineLevel="0" collapsed="false">
      <c r="A6197" s="5" t="s">
        <v>872</v>
      </c>
      <c r="B6197" s="0" t="s">
        <v>57</v>
      </c>
      <c r="C6197" s="30" t="n">
        <f aca="false">m_ads*m_x</f>
        <v>9.11</v>
      </c>
    </row>
    <row r="6198" customFormat="false" ht="17.15" hidden="false" customHeight="false" outlineLevel="0" collapsed="false">
      <c r="A6198" s="5" t="s">
        <v>873</v>
      </c>
      <c r="B6198" s="0" t="s">
        <v>73</v>
      </c>
      <c r="C6198" s="38" t="n">
        <f aca="false">Sens!$C$6196*Sens!$C$6197</f>
        <v>524.317935967448</v>
      </c>
    </row>
    <row r="6199" customFormat="false" ht="17.15" hidden="false" customHeight="false" outlineLevel="0" collapsed="false">
      <c r="A6199" s="5" t="s">
        <v>874</v>
      </c>
      <c r="B6199" s="0" t="s">
        <v>73</v>
      </c>
      <c r="C6199" s="38" t="n">
        <f aca="false">0.25*Sens!$H$6127+0.75*Sens!$I$6127</f>
        <v>30.6290803533085</v>
      </c>
    </row>
    <row r="6200" customFormat="false" ht="15" hidden="false" customHeight="false" outlineLevel="0" collapsed="false">
      <c r="A6200" s="5" t="s">
        <v>875</v>
      </c>
      <c r="B6200" s="0" t="s">
        <v>57</v>
      </c>
      <c r="C6200" s="30" t="n">
        <f aca="false">m_retail*m_x</f>
        <v>17.72</v>
      </c>
    </row>
    <row r="6201" customFormat="false" ht="17.15" hidden="false" customHeight="false" outlineLevel="0" collapsed="false">
      <c r="A6201" s="5" t="s">
        <v>876</v>
      </c>
      <c r="B6201" s="0" t="s">
        <v>73</v>
      </c>
      <c r="C6201" s="38" t="n">
        <f aca="false">Sens!$C$6199*Sens!$C$6200</f>
        <v>542.747303860627</v>
      </c>
    </row>
    <row r="6202" customFormat="false" ht="17.15" hidden="false" customHeight="false" outlineLevel="0" collapsed="false">
      <c r="A6202" s="0" t="s">
        <v>877</v>
      </c>
      <c r="B6202" s="0" t="s">
        <v>73</v>
      </c>
      <c r="C6202" s="38" t="n">
        <f aca="false">0.25*Sens!$H$6128+0.75*Sens!$I$6128</f>
        <v>107.575398943098</v>
      </c>
    </row>
    <row r="6203" customFormat="false" ht="17.15" hidden="false" customHeight="false" outlineLevel="0" collapsed="false">
      <c r="A6203" s="0" t="s">
        <v>878</v>
      </c>
      <c r="B6203" s="0" t="s">
        <v>57</v>
      </c>
      <c r="C6203" s="30" t="n">
        <f aca="false">m_cloud*m_x</f>
        <v>13.82</v>
      </c>
    </row>
    <row r="6204" customFormat="false" ht="17.15" hidden="false" customHeight="false" outlineLevel="0" collapsed="false">
      <c r="A6204" s="0" t="s">
        <v>879</v>
      </c>
      <c r="B6204" s="0" t="s">
        <v>73</v>
      </c>
      <c r="C6204" s="38" t="n">
        <f aca="false">Sens!$C$6202*Sens!$C$6203</f>
        <v>1486.69201339361</v>
      </c>
    </row>
    <row r="6205" customFormat="false" ht="17.15" hidden="false" customHeight="false" outlineLevel="0" collapsed="false">
      <c r="A6205" s="0" t="s">
        <v>880</v>
      </c>
      <c r="B6205" s="0" t="s">
        <v>73</v>
      </c>
      <c r="C6205" s="38" t="n">
        <f aca="false">0.25*Sens!$H$6129+0.75*Sens!$I$6129</f>
        <v>72.2947701247864</v>
      </c>
    </row>
    <row r="6206" customFormat="false" ht="17.15" hidden="false" customHeight="false" outlineLevel="0" collapsed="false">
      <c r="A6206" s="0" t="s">
        <v>881</v>
      </c>
      <c r="B6206" s="0" t="s">
        <v>57</v>
      </c>
      <c r="C6206" s="30" t="n">
        <f aca="false">m_ai_hi</f>
        <v>10</v>
      </c>
    </row>
    <row r="6207" customFormat="false" ht="17.15" hidden="false" customHeight="false" outlineLevel="0" collapsed="false">
      <c r="A6207" s="0" t="s">
        <v>882</v>
      </c>
      <c r="B6207" s="0" t="s">
        <v>73</v>
      </c>
      <c r="C6207" s="38" t="n">
        <f aca="false">Sens!$C$6205*Sens!$C$6206</f>
        <v>722.947701247864</v>
      </c>
    </row>
    <row r="6208" customFormat="false" ht="17.15" hidden="false" customHeight="false" outlineLevel="0" collapsed="false">
      <c r="A6208" s="5" t="s">
        <v>883</v>
      </c>
      <c r="B6208" s="0" t="s">
        <v>73</v>
      </c>
      <c r="C6208" s="38" t="n">
        <f aca="false">Sens!$C$6198+Sens!$C$6201+Sens!$C$6204+Sens!$C$6207</f>
        <v>3276.70495446955</v>
      </c>
    </row>
    <row r="6209" customFormat="false" ht="17.15" hidden="false" customHeight="false" outlineLevel="0" collapsed="false">
      <c r="A6209" s="5" t="s">
        <v>884</v>
      </c>
      <c r="B6209" s="0" t="s">
        <v>73</v>
      </c>
      <c r="C6209" s="38" t="n">
        <f aca="false">Sens!$H$6167</f>
        <v>113.741590679904</v>
      </c>
    </row>
    <row r="6210" customFormat="false" ht="15" hidden="false" customHeight="false" outlineLevel="0" collapsed="false">
      <c r="A6210" s="5" t="s">
        <v>885</v>
      </c>
      <c r="B6210" s="0" t="s">
        <v>73</v>
      </c>
      <c r="C6210" s="38" t="n">
        <f aca="false">Sens!$C$6208-Sens!$C$6209+Sens!$C$6191</f>
        <v>3341.90736378964</v>
      </c>
    </row>
    <row r="6211" customFormat="false" ht="15" hidden="false" customHeight="false" outlineLevel="0" collapsed="false">
      <c r="A6211" s="3" t="s">
        <v>886</v>
      </c>
      <c r="B6211" s="8" t="s">
        <v>27</v>
      </c>
      <c r="C6211" s="30" t="n">
        <f aca="false">Sens!$C$6210/sh_val</f>
        <v>302.974816835644</v>
      </c>
    </row>
    <row r="6212" customFormat="false" ht="17.15" hidden="false" customHeight="false" outlineLevel="0" collapsed="false">
      <c r="A6212" s="46" t="s">
        <v>887</v>
      </c>
      <c r="B6212" s="13" t="s">
        <v>27</v>
      </c>
      <c r="C6212" s="43" t="n">
        <f aca="false">w_dcf*Sens!$C$6194+(1-w_dcf)*Sens!$C$6211</f>
        <v>198.35337710093</v>
      </c>
      <c r="D6212" s="13"/>
      <c r="E6212" s="13"/>
      <c r="F6212" s="13"/>
      <c r="G6212" s="13"/>
      <c r="H6212" s="13"/>
      <c r="I6212" s="13"/>
      <c r="J6212" s="13"/>
      <c r="K6212" s="13"/>
      <c r="L6212" s="13"/>
      <c r="M6212" s="13"/>
      <c r="N6212" s="13"/>
      <c r="O6212" s="13"/>
    </row>
    <row r="6213" customFormat="false" ht="17.15" hidden="false" customHeight="false" outlineLevel="0" collapsed="false">
      <c r="A6213" s="5" t="s">
        <v>888</v>
      </c>
      <c r="B6213" s="0" t="s">
        <v>27</v>
      </c>
      <c r="C6213" s="30" t="n">
        <f aca="false">0.45*Sens!$C$6194+0.55*Sens!$C$6211</f>
        <v>208.815521074402</v>
      </c>
    </row>
    <row r="6216" customFormat="false" ht="19.4" hidden="false" customHeight="false" outlineLevel="0" collapsed="false">
      <c r="A6216" s="31" t="s">
        <v>1178</v>
      </c>
    </row>
    <row r="6217" customFormat="false" ht="17.15" hidden="false" customHeight="false" outlineLevel="0" collapsed="false">
      <c r="A6217" s="6" t="s">
        <v>16</v>
      </c>
      <c r="B6217" s="6" t="s">
        <v>17</v>
      </c>
      <c r="C6217" s="20" t="s">
        <v>457</v>
      </c>
      <c r="D6217" s="20" t="s">
        <v>458</v>
      </c>
      <c r="E6217" s="20" t="s">
        <v>540</v>
      </c>
      <c r="F6217" s="20" t="s">
        <v>541</v>
      </c>
      <c r="G6217" s="20" t="s">
        <v>542</v>
      </c>
      <c r="H6217" s="20" t="s">
        <v>543</v>
      </c>
      <c r="I6217" s="20" t="s">
        <v>544</v>
      </c>
      <c r="J6217" s="20" t="s">
        <v>545</v>
      </c>
      <c r="K6217" s="20" t="s">
        <v>546</v>
      </c>
      <c r="L6217" s="20" t="s">
        <v>547</v>
      </c>
      <c r="M6217" s="20" t="s">
        <v>548</v>
      </c>
      <c r="N6217" s="20" t="s">
        <v>549</v>
      </c>
      <c r="O6217" s="20" t="s">
        <v>550</v>
      </c>
      <c r="P6217" s="6" t="s">
        <v>23</v>
      </c>
      <c r="R6217" s="20" t="n">
        <v>2023</v>
      </c>
      <c r="S6217" s="20" t="n">
        <v>2024</v>
      </c>
      <c r="T6217" s="20" t="n">
        <v>2025</v>
      </c>
      <c r="U6217" s="20" t="n">
        <v>2026</v>
      </c>
      <c r="V6217" s="20" t="n">
        <v>2027</v>
      </c>
      <c r="W6217" s="20" t="n">
        <v>2028</v>
      </c>
      <c r="X6217" s="20" t="n">
        <v>2029</v>
      </c>
      <c r="Y6217" s="20" t="n">
        <v>2030</v>
      </c>
      <c r="Z6217" s="20" t="n">
        <v>2031</v>
      </c>
      <c r="AA6217" s="20" t="n">
        <v>2032</v>
      </c>
    </row>
    <row r="6218" customFormat="false" ht="17.15" hidden="false" customHeight="false" outlineLevel="0" collapsed="false">
      <c r="A6218" s="1" t="s">
        <v>620</v>
      </c>
    </row>
    <row r="6219" customFormat="false" ht="17.15" hidden="false" customHeight="false" outlineLevel="0" collapsed="false">
      <c r="A6219" s="0" t="s">
        <v>479</v>
      </c>
      <c r="B6219" s="0" t="s">
        <v>73</v>
      </c>
      <c r="C6219" s="38" t="n">
        <f aca="false">Q!$D$10</f>
        <v>247.029</v>
      </c>
      <c r="D6219" s="38" t="n">
        <f aca="false">Q!$E$10</f>
        <v>269.287</v>
      </c>
      <c r="E6219" s="38" t="n">
        <f aca="false">Q!$P$10</f>
        <v>134.686</v>
      </c>
      <c r="F6219" s="38" t="n">
        <f aca="false">Sens!$O$6219*(1+Sens!$F$6220)-pd_amt*Q!$O$10/(Q!$O$10+Q!$O$12)</f>
        <v>160.728085930082</v>
      </c>
      <c r="G6219" s="38" t="n">
        <f aca="false">Sens!$E$6219+Sens!$F$6219</f>
        <v>295.414085930082</v>
      </c>
      <c r="H6219" s="38" t="n">
        <f aca="false">Sens!$G$6219*(1+Sens!$H$6220)</f>
        <v>320.828163943375</v>
      </c>
      <c r="I6219" s="38" t="n">
        <f aca="false">Sens!$H$6219*(1+Sens!$I$6220)</f>
        <v>344.575578072228</v>
      </c>
      <c r="J6219" s="38" t="n">
        <f aca="false">Sens!$I$6219*(1+Sens!$J$6220)</f>
        <v>365.942555779681</v>
      </c>
      <c r="K6219" s="38" t="n">
        <f aca="false">Sens!$J$6219*(1+Sens!$K$6220)</f>
        <v>384.239683568665</v>
      </c>
      <c r="L6219" s="38" t="n">
        <f aca="false">Sens!$K$6219*(1+Sens!$L$6220)</f>
        <v>403.451667747098</v>
      </c>
      <c r="M6219" s="38" t="n">
        <f aca="false">Sens!$L$6219*(1+Sens!$M$6220)</f>
        <v>423.624251134453</v>
      </c>
      <c r="N6219" s="38" t="n">
        <f aca="false">Q!$N$10</f>
        <v>118.892</v>
      </c>
      <c r="O6219" s="38" t="n">
        <f aca="false">Q!$O$10</f>
        <v>150.395</v>
      </c>
      <c r="P6219" s="8" t="s">
        <v>621</v>
      </c>
    </row>
    <row r="6220" customFormat="false" ht="17.15" hidden="false" customHeight="false" outlineLevel="0" collapsed="false">
      <c r="A6220" s="0" t="s">
        <v>622</v>
      </c>
      <c r="B6220" s="0" t="s">
        <v>52</v>
      </c>
      <c r="E6220" s="12" t="n">
        <f aca="false">Sens!$E$6219/Sens!$N$6219-1</f>
        <v>0.132843252699929</v>
      </c>
      <c r="F6220" s="12" t="n">
        <f aca="false">Sens!$O$6219/(Q!$F$10+Q!$G$10)-1</f>
        <v>0.0980382135842941</v>
      </c>
      <c r="G6220" s="12" t="n">
        <f aca="false">Sens!$G$6219/Sens!$D$6219-1</f>
        <v>0.0970231980380869</v>
      </c>
      <c r="H6220" s="12" t="n">
        <f aca="false">Sens!$F$6220+(g_os-Sens!$F$6220)*1/4</f>
        <v>0.0860286601882206</v>
      </c>
      <c r="I6220" s="12" t="n">
        <f aca="false">Sens!$F$6220+(g_os-Sens!$F$6220)*2/4</f>
        <v>0.074019106792147</v>
      </c>
      <c r="J6220" s="12" t="n">
        <f aca="false">Sens!$F$6220+(g_os-Sens!$F$6220)*3/4</f>
        <v>0.0620095533960735</v>
      </c>
      <c r="K6220" s="12" t="n">
        <f aca="false">Sens!$F$6220+(g_os-Sens!$F$6220)*4/4</f>
        <v>0.05</v>
      </c>
      <c r="L6220" s="12" t="n">
        <f aca="false">g_os</f>
        <v>0.05</v>
      </c>
      <c r="M6220" s="12" t="n">
        <f aca="false">g_os</f>
        <v>0.05</v>
      </c>
      <c r="P6220" s="8" t="s">
        <v>623</v>
      </c>
    </row>
    <row r="6221" customFormat="false" ht="17.15" hidden="false" customHeight="false" outlineLevel="0" collapsed="false">
      <c r="A6221" s="0" t="s">
        <v>480</v>
      </c>
      <c r="B6221" s="0" t="s">
        <v>73</v>
      </c>
      <c r="C6221" s="38" t="n">
        <f aca="false">Q!$D$11</f>
        <v>21.215</v>
      </c>
      <c r="D6221" s="38" t="n">
        <f aca="false">Q!$E$11</f>
        <v>22.561</v>
      </c>
      <c r="E6221" s="38" t="n">
        <f aca="false">Q!$P$11</f>
        <v>11.579</v>
      </c>
      <c r="F6221" s="38" t="n">
        <f aca="false">Sens!$O$6221*(1+Sens!$F$6222)</f>
        <v>12.0952613121125</v>
      </c>
      <c r="G6221" s="38" t="n">
        <f aca="false">Sens!$E$6221+Sens!$F$6221</f>
        <v>23.6742613121125</v>
      </c>
      <c r="H6221" s="38" t="n">
        <f aca="false">Sens!$G$6221*(1+Sens!$H$6222)</f>
        <v>24.8803243963206</v>
      </c>
      <c r="I6221" s="38" t="n">
        <f aca="false">Sens!$H$6221*(1+Sens!$I$6222)</f>
        <v>25.9741308664154</v>
      </c>
      <c r="J6221" s="38" t="n">
        <f aca="false">Sens!$I$6221*(1+Sens!$J$6222)</f>
        <v>26.9346894124267</v>
      </c>
      <c r="K6221" s="38" t="n">
        <f aca="false">Sens!$J$6221*(1+Sens!$K$6222)</f>
        <v>27.7427300947995</v>
      </c>
      <c r="L6221" s="38" t="n">
        <f aca="false">Sens!$K$6221*(1+Sens!$L$6222)</f>
        <v>28.5750119976435</v>
      </c>
      <c r="M6221" s="38" t="n">
        <f aca="false">Sens!$L$6221*(1+Sens!$M$6222)</f>
        <v>29.4322623575728</v>
      </c>
      <c r="N6221" s="38" t="n">
        <f aca="false">Q!$N$11</f>
        <v>11.128</v>
      </c>
      <c r="O6221" s="38" t="n">
        <f aca="false">Q!$O$11</f>
        <v>11.433</v>
      </c>
      <c r="P6221" s="8" t="s">
        <v>621</v>
      </c>
    </row>
    <row r="6222" customFormat="false" ht="17.15" hidden="false" customHeight="false" outlineLevel="0" collapsed="false">
      <c r="A6222" s="0" t="s">
        <v>624</v>
      </c>
      <c r="B6222" s="0" t="s">
        <v>52</v>
      </c>
      <c r="E6222" s="12" t="n">
        <f aca="false">Sens!$E$6221/Sens!$N$6221-1</f>
        <v>0.0405283968368082</v>
      </c>
      <c r="F6222" s="12" t="n">
        <f aca="false">Sens!$O$6221/(Q!$F$11+Q!$G$11)-1</f>
        <v>0.0579254187100955</v>
      </c>
      <c r="G6222" s="12" t="n">
        <f aca="false">Sens!$G$6221/Sens!$D$6221-1</f>
        <v>0.0493445021103904</v>
      </c>
      <c r="H6222" s="12" t="n">
        <f aca="false">Sens!$F$6222+(g_ps-Sens!$F$6222)*1/4</f>
        <v>0.0509440640325716</v>
      </c>
      <c r="I6222" s="12" t="n">
        <f aca="false">Sens!$F$6222+(g_ps-Sens!$F$6222)*2/4</f>
        <v>0.0439627093550477</v>
      </c>
      <c r="J6222" s="12" t="n">
        <f aca="false">Sens!$F$6222+(g_ps-Sens!$F$6222)*3/4</f>
        <v>0.0369813546775239</v>
      </c>
      <c r="K6222" s="12" t="n">
        <f aca="false">Sens!$F$6222+(g_ps-Sens!$F$6222)*4/4</f>
        <v>0.03</v>
      </c>
      <c r="L6222" s="12" t="n">
        <f aca="false">g_ps</f>
        <v>0.03</v>
      </c>
      <c r="M6222" s="12" t="n">
        <f aca="false">g_ps</f>
        <v>0.03</v>
      </c>
      <c r="P6222" s="8" t="s">
        <v>625</v>
      </c>
    </row>
    <row r="6223" customFormat="false" ht="17.15" hidden="false" customHeight="false" outlineLevel="0" collapsed="false">
      <c r="A6223" s="0" t="s">
        <v>481</v>
      </c>
      <c r="B6223" s="0" t="s">
        <v>73</v>
      </c>
      <c r="C6223" s="38" t="n">
        <f aca="false">Q!$D$12</f>
        <v>156.146</v>
      </c>
      <c r="D6223" s="38" t="n">
        <f aca="false">Q!$E$12</f>
        <v>172.162</v>
      </c>
      <c r="E6223" s="38" t="n">
        <f aca="false">Q!$P$12</f>
        <v>88.358</v>
      </c>
      <c r="F6223" s="38" t="n">
        <f aca="false">Sens!$O$6223*(1+Sens!$F$6224)-pd_amt*Q!$O$12/(Q!$O$10+Q!$O$12)</f>
        <v>103.62028337149</v>
      </c>
      <c r="G6223" s="38" t="n">
        <f aca="false">Sens!$E$6223+Sens!$F$6223</f>
        <v>191.97828337149</v>
      </c>
      <c r="H6223" s="38" t="n">
        <f aca="false">Sens!$G$6223*(1+Sens!$H$6224)</f>
        <v>212.128608444755</v>
      </c>
      <c r="I6223" s="38" t="n">
        <f aca="false">Sens!$H$6223*(1+Sens!$I$6224)</f>
        <v>231.92183134134</v>
      </c>
      <c r="J6223" s="38" t="n">
        <f aca="false">Sens!$I$6223*(1+Sens!$J$6224)</f>
        <v>250.859136487863</v>
      </c>
      <c r="K6223" s="38" t="n">
        <f aca="false">Sens!$J$6223*(1+Sens!$K$6224)</f>
        <v>268.419276042014</v>
      </c>
      <c r="L6223" s="38" t="n">
        <f aca="false">Sens!$K$6223*(1+Sens!$L$6224)</f>
        <v>287.208625364954</v>
      </c>
      <c r="M6223" s="38" t="n">
        <f aca="false">Sens!$L$6223*(1+Sens!$M$6224)</f>
        <v>307.313229140501</v>
      </c>
      <c r="N6223" s="38" t="n">
        <f aca="false">Q!$N$12</f>
        <v>76.86</v>
      </c>
      <c r="O6223" s="38" t="n">
        <f aca="false">Q!$O$12</f>
        <v>95.302</v>
      </c>
      <c r="P6223" s="8" t="s">
        <v>621</v>
      </c>
    </row>
    <row r="6224" customFormat="false" ht="17.15" hidden="false" customHeight="false" outlineLevel="0" collapsed="false">
      <c r="A6224" s="0" t="s">
        <v>626</v>
      </c>
      <c r="B6224" s="0" t="s">
        <v>52</v>
      </c>
      <c r="E6224" s="12" t="n">
        <f aca="false">Sens!$E$6223/Sens!$N$6223-1</f>
        <v>0.1495966692688</v>
      </c>
      <c r="F6224" s="12" t="n">
        <f aca="false">Sens!$O$6223/(Q!$F$12+Q!$G$12)-1</f>
        <v>0.11661530890813</v>
      </c>
      <c r="G6224" s="12" t="n">
        <f aca="false">Sens!$G$6223/Sens!$D$6223-1</f>
        <v>0.115102539303041</v>
      </c>
      <c r="H6224" s="12" t="n">
        <f aca="false">Sens!$F$6224+(g_sp-Sens!$F$6224)*1/4</f>
        <v>0.104961481681098</v>
      </c>
      <c r="I6224" s="12" t="n">
        <f aca="false">Sens!$F$6224+(g_sp-Sens!$F$6224)*2/4</f>
        <v>0.0933076544540651</v>
      </c>
      <c r="J6224" s="12" t="n">
        <f aca="false">Sens!$F$6224+(g_sp-Sens!$F$6224)*3/4</f>
        <v>0.0816538272270325</v>
      </c>
      <c r="K6224" s="12" t="n">
        <f aca="false">Sens!$F$6224+(g_sp-Sens!$F$6224)*4/4</f>
        <v>0.07</v>
      </c>
      <c r="L6224" s="12" t="n">
        <f aca="false">g_sp</f>
        <v>0.07</v>
      </c>
      <c r="M6224" s="12" t="n">
        <f aca="false">g_sp</f>
        <v>0.07</v>
      </c>
      <c r="P6224" s="8" t="s">
        <v>627</v>
      </c>
    </row>
    <row r="6225" customFormat="false" ht="17.15" hidden="false" customHeight="false" outlineLevel="0" collapsed="false">
      <c r="A6225" s="0" t="s">
        <v>482</v>
      </c>
      <c r="B6225" s="0" t="s">
        <v>73</v>
      </c>
      <c r="C6225" s="38" t="n">
        <f aca="false">Q!$D$13</f>
        <v>56.214</v>
      </c>
      <c r="D6225" s="38" t="n">
        <f aca="false">Q!$E$13</f>
        <v>68.635</v>
      </c>
      <c r="E6225" s="38" t="n">
        <f aca="false">Q!$P$13</f>
        <v>37.052</v>
      </c>
      <c r="F6225" s="38" t="n">
        <f aca="false">Sens!$O$6225*(1+Sens!$F$6226)</f>
        <v>48.1533381827382</v>
      </c>
      <c r="G6225" s="38" t="n">
        <f aca="false">Sens!$E$6225+Sens!$F$6225</f>
        <v>85.2053381827382</v>
      </c>
      <c r="H6225" s="38" t="n">
        <f aca="false">Sens!$G$6225*(1+Sens!$H$6226)</f>
        <v>102.29336185894</v>
      </c>
      <c r="I6225" s="38" t="n">
        <f aca="false">Sens!$H$6225*(1+Sens!$I$6226)</f>
        <v>119.379837585241</v>
      </c>
      <c r="J6225" s="38" t="n">
        <f aca="false">Sens!$I$6225*(1+Sens!$J$6226)</f>
        <v>135.319079048844</v>
      </c>
      <c r="K6225" s="38" t="n">
        <f aca="false">Sens!$J$6225*(1+Sens!$K$6226)</f>
        <v>148.850986953729</v>
      </c>
      <c r="L6225" s="38" t="n">
        <f aca="false">Sens!$K$6225*(1+Sens!$L$6226)</f>
        <v>163.736085649102</v>
      </c>
      <c r="M6225" s="38" t="n">
        <f aca="false">Sens!$L$6225*(1+Sens!$M$6226)</f>
        <v>180.109694214012</v>
      </c>
      <c r="N6225" s="38" t="n">
        <f aca="false">Q!$N$13</f>
        <v>29.615</v>
      </c>
      <c r="O6225" s="38" t="n">
        <f aca="false">Q!$O$13</f>
        <v>39.02</v>
      </c>
      <c r="P6225" s="8" t="s">
        <v>621</v>
      </c>
    </row>
    <row r="6226" customFormat="false" ht="17.15" hidden="false" customHeight="false" outlineLevel="0" collapsed="false">
      <c r="A6226" s="0" t="s">
        <v>628</v>
      </c>
      <c r="B6226" s="0" t="s">
        <v>52</v>
      </c>
      <c r="E6226" s="12" t="n">
        <f aca="false">Sens!$E$6225/Sens!$N$6225-1</f>
        <v>0.25112274185379</v>
      </c>
      <c r="F6226" s="12" t="n">
        <f aca="false">Sens!$O$6225/(Q!$F$13+Q!$G$13)-1</f>
        <v>0.234068123596572</v>
      </c>
      <c r="G6226" s="12" t="n">
        <f aca="false">Sens!$G$6225/Sens!$D$6225-1</f>
        <v>0.241426942270536</v>
      </c>
      <c r="H6226" s="12" t="n">
        <f aca="false">Sens!$F$6226+(g_ad-Sens!$F$6226)*1/4</f>
        <v>0.200551092697429</v>
      </c>
      <c r="I6226" s="12" t="n">
        <f aca="false">Sens!$F$6226+(g_ad-Sens!$F$6226)*2/4</f>
        <v>0.167034061798286</v>
      </c>
      <c r="J6226" s="12" t="n">
        <f aca="false">Sens!$F$6226+(g_ad-Sens!$F$6226)*3/4</f>
        <v>0.133517030899143</v>
      </c>
      <c r="K6226" s="12" t="n">
        <f aca="false">Sens!$F$6226+(g_ad-Sens!$F$6226)*4/4</f>
        <v>0.1</v>
      </c>
      <c r="L6226" s="12" t="n">
        <f aca="false">g_ad</f>
        <v>0.1</v>
      </c>
      <c r="M6226" s="12" t="n">
        <f aca="false">g_ad</f>
        <v>0.1</v>
      </c>
      <c r="P6226" s="8" t="s">
        <v>629</v>
      </c>
    </row>
    <row r="6227" customFormat="false" ht="17.15" hidden="false" customHeight="false" outlineLevel="0" collapsed="false">
      <c r="A6227" s="0" t="s">
        <v>483</v>
      </c>
      <c r="B6227" s="0" t="s">
        <v>73</v>
      </c>
      <c r="C6227" s="38" t="n">
        <f aca="false">Q!$D$14</f>
        <v>44.374</v>
      </c>
      <c r="D6227" s="38" t="n">
        <f aca="false">Q!$E$14</f>
        <v>49.619</v>
      </c>
      <c r="E6227" s="38" t="n">
        <f aca="false">Q!$P$14</f>
        <v>27.157</v>
      </c>
      <c r="F6227" s="38" t="n">
        <f aca="false">Sens!$O$6227*(1+Sens!$F$6228)</f>
        <v>28.9776360923374</v>
      </c>
      <c r="G6227" s="38" t="n">
        <f aca="false">Sens!$E$6227+Sens!$F$6227</f>
        <v>56.1346360923374</v>
      </c>
      <c r="H6227" s="38" t="n">
        <f aca="false">Sens!$G$6227*(1+Sens!$H$6228)</f>
        <v>62.4937078946075</v>
      </c>
      <c r="I6227" s="38" t="n">
        <f aca="false">Sens!$H$6227*(1+Sens!$I$6228)</f>
        <v>68.6715233062498</v>
      </c>
      <c r="J6227" s="38" t="n">
        <f aca="false">Sens!$I$6227*(1+Sens!$J$6228)</f>
        <v>74.4692882949818</v>
      </c>
      <c r="K6227" s="38" t="n">
        <f aca="false">Sens!$J$6227*(1+Sens!$K$6228)</f>
        <v>79.6821384756306</v>
      </c>
      <c r="L6227" s="38" t="n">
        <f aca="false">Sens!$K$6227*(1+Sens!$L$6228)</f>
        <v>85.2598881689247</v>
      </c>
      <c r="M6227" s="38" t="n">
        <f aca="false">Sens!$L$6227*(1+Sens!$M$6228)</f>
        <v>91.2280803407494</v>
      </c>
      <c r="N6227" s="38" t="n">
        <f aca="false">Q!$N$14</f>
        <v>23.923</v>
      </c>
      <c r="O6227" s="38" t="n">
        <f aca="false">Q!$O$14</f>
        <v>25.696</v>
      </c>
      <c r="P6227" s="8" t="s">
        <v>621</v>
      </c>
    </row>
    <row r="6228" customFormat="false" ht="17.15" hidden="false" customHeight="false" outlineLevel="0" collapsed="false">
      <c r="A6228" s="0" t="s">
        <v>630</v>
      </c>
      <c r="B6228" s="0" t="s">
        <v>52</v>
      </c>
      <c r="E6228" s="12" t="n">
        <f aca="false">Sens!$E$6227/Sens!$N$6227-1</f>
        <v>0.135183714417088</v>
      </c>
      <c r="F6228" s="12" t="n">
        <f aca="false">Sens!$O$6227/(Q!$F$14+Q!$G$14)-1</f>
        <v>0.127709997366804</v>
      </c>
      <c r="G6228" s="12" t="n">
        <f aca="false">Sens!$G$6227/Sens!$D$6227-1</f>
        <v>0.131313329416905</v>
      </c>
      <c r="H6228" s="12" t="n">
        <f aca="false">Sens!$F$6228+(g_sub-Sens!$F$6228)*1/4</f>
        <v>0.113282498025103</v>
      </c>
      <c r="I6228" s="12" t="n">
        <f aca="false">Sens!$F$6228+(g_sub-Sens!$F$6228)*2/4</f>
        <v>0.0988549986834021</v>
      </c>
      <c r="J6228" s="12" t="n">
        <f aca="false">Sens!$F$6228+(g_sub-Sens!$F$6228)*3/4</f>
        <v>0.084427499341701</v>
      </c>
      <c r="K6228" s="12" t="n">
        <f aca="false">Sens!$F$6228+(g_sub-Sens!$F$6228)*4/4</f>
        <v>0.07</v>
      </c>
      <c r="L6228" s="12" t="n">
        <f aca="false">g_sub</f>
        <v>0.07</v>
      </c>
      <c r="M6228" s="12" t="n">
        <f aca="false">g_sub</f>
        <v>0.07</v>
      </c>
      <c r="P6228" s="8" t="s">
        <v>631</v>
      </c>
    </row>
    <row r="6229" customFormat="false" ht="17.15" hidden="false" customHeight="false" outlineLevel="0" collapsed="false">
      <c r="A6229" s="0" t="s">
        <v>484</v>
      </c>
      <c r="B6229" s="0" t="s">
        <v>73</v>
      </c>
      <c r="C6229" s="38" t="n">
        <f aca="false">Q!$D$15</f>
        <v>5.425</v>
      </c>
      <c r="D6229" s="38" t="n">
        <f aca="false">Q!$E$15</f>
        <v>5.935</v>
      </c>
      <c r="E6229" s="38" t="n">
        <f aca="false">Q!$P$15</f>
        <v>3.474</v>
      </c>
      <c r="F6229" s="38" t="n">
        <f aca="false">Sens!$O$6229*(1+Sens!$F$6230)</f>
        <v>3.36182431966931</v>
      </c>
      <c r="G6229" s="38" t="n">
        <f aca="false">Sens!$E$6229+Sens!$F$6229</f>
        <v>6.83582431966931</v>
      </c>
      <c r="H6229" s="38" t="n">
        <f aca="false">Sens!$G$6229*(1+Sens!$H$6230)</f>
        <v>7.31157108370141</v>
      </c>
      <c r="I6229" s="38" t="n">
        <f aca="false">Sens!$H$6229*(1+Sens!$I$6230)</f>
        <v>7.77266852639815</v>
      </c>
      <c r="J6229" s="38" t="n">
        <f aca="false">Sens!$I$6229*(1+Sens!$J$6230)</f>
        <v>8.2120733019884</v>
      </c>
      <c r="K6229" s="38" t="n">
        <f aca="false">Sens!$J$6229*(1+Sens!$K$6230)</f>
        <v>8.62267696708783</v>
      </c>
      <c r="L6229" s="38" t="n">
        <f aca="false">Sens!$K$6229*(1+Sens!$L$6230)</f>
        <v>9.05381081544222</v>
      </c>
      <c r="M6229" s="38" t="n">
        <f aca="false">Sens!$L$6229*(1+Sens!$M$6230)</f>
        <v>9.50650135621433</v>
      </c>
      <c r="N6229" s="38" t="n">
        <f aca="false">Q!$N$15</f>
        <v>2.811</v>
      </c>
      <c r="O6229" s="38" t="n">
        <f aca="false">Q!$O$15</f>
        <v>3.124</v>
      </c>
      <c r="P6229" s="8" t="s">
        <v>621</v>
      </c>
    </row>
    <row r="6230" customFormat="false" ht="17.15" hidden="false" customHeight="false" outlineLevel="0" collapsed="false">
      <c r="A6230" s="0" t="s">
        <v>632</v>
      </c>
      <c r="B6230" s="0" t="s">
        <v>52</v>
      </c>
      <c r="E6230" s="12" t="n">
        <f aca="false">Sens!$E$6229/Sens!$N$6229-1</f>
        <v>0.235859124866596</v>
      </c>
      <c r="F6230" s="12" t="n">
        <f aca="false">Sens!$O$6229/(Q!$F$15+Q!$G$15)-1</f>
        <v>0.0761281433000345</v>
      </c>
      <c r="G6230" s="12" t="n">
        <f aca="false">Sens!$G$6229/Sens!$D$6229-1</f>
        <v>0.151781688234087</v>
      </c>
      <c r="H6230" s="12" t="n">
        <f aca="false">Sens!$F$6230+(g_ot-Sens!$F$6230)*1/4</f>
        <v>0.0695961074750259</v>
      </c>
      <c r="I6230" s="12" t="n">
        <f aca="false">Sens!$F$6230+(g_ot-Sens!$F$6230)*2/4</f>
        <v>0.0630640716500172</v>
      </c>
      <c r="J6230" s="12" t="n">
        <f aca="false">Sens!$F$6230+(g_ot-Sens!$F$6230)*3/4</f>
        <v>0.0565320358250086</v>
      </c>
      <c r="K6230" s="12" t="n">
        <f aca="false">Sens!$F$6230+(g_ot-Sens!$F$6230)*4/4</f>
        <v>0.05</v>
      </c>
      <c r="L6230" s="12" t="n">
        <f aca="false">g_ot</f>
        <v>0.05</v>
      </c>
      <c r="M6230" s="12" t="n">
        <f aca="false">g_ot</f>
        <v>0.05</v>
      </c>
      <c r="P6230" s="8" t="s">
        <v>633</v>
      </c>
    </row>
    <row r="6231" customFormat="false" ht="17.15" hidden="false" customHeight="false" outlineLevel="0" collapsed="false">
      <c r="A6231" s="3" t="s">
        <v>634</v>
      </c>
      <c r="B6231" s="8" t="s">
        <v>73</v>
      </c>
      <c r="C6231" s="38" t="n">
        <f aca="false">Sens!$C$6219+Sens!$C$6221+Sens!$C$6223+Sens!$C$6225+Sens!$C$6227+Sens!$C$6229</f>
        <v>530.403</v>
      </c>
      <c r="D6231" s="38" t="n">
        <f aca="false">Sens!$D$6219+Sens!$D$6221+Sens!$D$6223+Sens!$D$6225+Sens!$D$6227+Sens!$D$6229</f>
        <v>588.199</v>
      </c>
      <c r="E6231" s="38" t="n">
        <f aca="false">Sens!$E$6219+Sens!$E$6221+Sens!$E$6223+Sens!$E$6225+Sens!$E$6227+Sens!$E$6229</f>
        <v>302.306</v>
      </c>
      <c r="F6231" s="38" t="n">
        <f aca="false">Sens!$F$6219+Sens!$F$6221+Sens!$F$6223+Sens!$F$6225+Sens!$F$6227+Sens!$F$6229</f>
        <v>356.93642920843</v>
      </c>
      <c r="G6231" s="38" t="n">
        <f aca="false">Sens!$G$6219+Sens!$G$6221+Sens!$G$6223+Sens!$G$6225+Sens!$G$6227+Sens!$G$6229</f>
        <v>659.24242920843</v>
      </c>
      <c r="H6231" s="38" t="n">
        <f aca="false">Sens!$H$6219+Sens!$H$6221+Sens!$H$6223+Sens!$H$6225+Sens!$H$6227+Sens!$H$6229</f>
        <v>729.935737621701</v>
      </c>
      <c r="I6231" s="38" t="n">
        <f aca="false">Sens!$I$6219+Sens!$I$6221+Sens!$I$6223+Sens!$I$6225+Sens!$I$6227+Sens!$I$6229</f>
        <v>798.295569697873</v>
      </c>
      <c r="J6231" s="38" t="n">
        <f aca="false">Sens!$J$6219+Sens!$J$6221+Sens!$J$6223+Sens!$J$6225+Sens!$J$6227+Sens!$J$6229</f>
        <v>861.736822325785</v>
      </c>
      <c r="K6231" s="38" t="n">
        <f aca="false">Sens!$K$6219+Sens!$K$6221+Sens!$K$6223+Sens!$K$6225+Sens!$K$6227+Sens!$K$6229</f>
        <v>917.557492101925</v>
      </c>
      <c r="L6231" s="38" t="n">
        <f aca="false">Sens!$L$6219+Sens!$L$6221+Sens!$L$6223+Sens!$L$6225+Sens!$L$6227+Sens!$L$6229</f>
        <v>977.285089743165</v>
      </c>
      <c r="M6231" s="38" t="n">
        <f aca="false">Sens!$M$6219+Sens!$M$6221+Sens!$M$6223+Sens!$M$6225+Sens!$M$6227+Sens!$M$6229</f>
        <v>1041.2140185435</v>
      </c>
      <c r="N6231" s="38" t="n">
        <f aca="false">Sens!$N$6219+Sens!$N$6221+Sens!$N$6223+Sens!$N$6225+Sens!$N$6227+Sens!$N$6229</f>
        <v>263.229</v>
      </c>
      <c r="O6231" s="38" t="n">
        <f aca="false">Sens!$O$6219+Sens!$O$6221+Sens!$O$6223+Sens!$O$6225+Sens!$O$6227+Sens!$O$6229</f>
        <v>324.97</v>
      </c>
    </row>
    <row r="6232" customFormat="false" ht="17.15" hidden="false" customHeight="false" outlineLevel="0" collapsed="false">
      <c r="A6232" s="5" t="s">
        <v>635</v>
      </c>
      <c r="B6232" s="0" t="s">
        <v>52</v>
      </c>
      <c r="C6232" s="12" t="n">
        <f aca="false">Q!$D$5/(Q!$D$5+Q!$D$6)</f>
        <v>0.730570905519011</v>
      </c>
      <c r="D6232" s="12" t="n">
        <f aca="false">Q!$E$5/(Q!$E$5+Q!$E$6)</f>
        <v>0.724763217890544</v>
      </c>
      <c r="E6232" s="12" t="n">
        <f aca="false">Q!$P$5/(Q!$P$5+Q!$P$6)</f>
        <v>0.728797972914861</v>
      </c>
      <c r="F6232" s="12" t="n">
        <f aca="false">Sens!$O$6232</f>
        <v>0.718066283041511</v>
      </c>
      <c r="G6232" s="12" t="n">
        <f aca="false">Sens!$G$6233/Sens!$G$6231</f>
        <v>0.722987468473627</v>
      </c>
      <c r="H6232" s="12" t="n">
        <f aca="false">Sens!$G$6232</f>
        <v>0.722987468473627</v>
      </c>
      <c r="I6232" s="12" t="n">
        <f aca="false">Sens!$G$6232</f>
        <v>0.722987468473627</v>
      </c>
      <c r="J6232" s="12" t="n">
        <f aca="false">Sens!$G$6232</f>
        <v>0.722987468473627</v>
      </c>
      <c r="K6232" s="12" t="n">
        <f aca="false">Sens!$G$6232</f>
        <v>0.722987468473627</v>
      </c>
      <c r="L6232" s="12" t="n">
        <f aca="false">Sens!$G$6232</f>
        <v>0.722987468473627</v>
      </c>
      <c r="M6232" s="12" t="n">
        <f aca="false">Sens!$G$6232</f>
        <v>0.722987468473627</v>
      </c>
      <c r="N6232" s="12" t="n">
        <f aca="false">Q!$N$5/(Q!$N$5+Q!$N$6)</f>
        <v>0.733030935041352</v>
      </c>
      <c r="O6232" s="12" t="n">
        <f aca="false">Q!$O$5/(Q!$O$5+Q!$O$6)</f>
        <v>0.718066283041511</v>
      </c>
      <c r="P6232" s="8" t="s">
        <v>636</v>
      </c>
    </row>
    <row r="6233" customFormat="false" ht="17.15" hidden="false" customHeight="false" outlineLevel="0" collapsed="false">
      <c r="A6233" s="1" t="s">
        <v>472</v>
      </c>
      <c r="B6233" s="8" t="s">
        <v>73</v>
      </c>
      <c r="C6233" s="38" t="n">
        <f aca="false">Q!$D$5</f>
        <v>387.497</v>
      </c>
      <c r="D6233" s="38" t="n">
        <f aca="false">Q!$E$5</f>
        <v>426.305</v>
      </c>
      <c r="E6233" s="38" t="n">
        <f aca="false">Q!$P$5</f>
        <v>220.32</v>
      </c>
      <c r="F6233" s="38" t="n">
        <f aca="false">Sens!$F$6231*Sens!$F$6232</f>
        <v>256.304015003807</v>
      </c>
      <c r="G6233" s="38" t="n">
        <f aca="false">Sens!$E$6233+Sens!$F$6233</f>
        <v>476.624015003807</v>
      </c>
      <c r="H6233" s="38" t="n">
        <f aca="false">Sens!$H$6231*Sens!$H$6232</f>
        <v>527.734391091543</v>
      </c>
      <c r="I6233" s="38" t="n">
        <f aca="false">Sens!$I$6231*Sens!$I$6232</f>
        <v>577.157693029577</v>
      </c>
      <c r="J6233" s="38" t="n">
        <f aca="false">Sens!$J$6231*Sens!$J$6232</f>
        <v>623.024923663827</v>
      </c>
      <c r="K6233" s="38" t="n">
        <f aca="false">Sens!$K$6231*Sens!$K$6232</f>
        <v>663.382568393781</v>
      </c>
      <c r="L6233" s="38" t="n">
        <f aca="false">Sens!$L$6231*Sens!$L$6232</f>
        <v>706.564873010432</v>
      </c>
      <c r="M6233" s="38" t="n">
        <f aca="false">Sens!$M$6231*Sens!$M$6232</f>
        <v>752.784687406019</v>
      </c>
      <c r="N6233" s="38" t="n">
        <f aca="false">Q!$N$5</f>
        <v>192.955</v>
      </c>
      <c r="O6233" s="38" t="n">
        <f aca="false">Q!$O$5</f>
        <v>233.35</v>
      </c>
      <c r="P6233" s="5" t="s">
        <v>637</v>
      </c>
    </row>
    <row r="6234" customFormat="false" ht="17.15" hidden="false" customHeight="false" outlineLevel="0" collapsed="false">
      <c r="A6234" s="1" t="s">
        <v>475</v>
      </c>
      <c r="B6234" s="8" t="s">
        <v>73</v>
      </c>
      <c r="C6234" s="38" t="n">
        <f aca="false">Q!$D$6</f>
        <v>142.906</v>
      </c>
      <c r="D6234" s="38" t="n">
        <f aca="false">Q!$E$6</f>
        <v>161.894</v>
      </c>
      <c r="E6234" s="38" t="n">
        <f aca="false">Q!$P$6</f>
        <v>81.986</v>
      </c>
      <c r="F6234" s="38" t="n">
        <f aca="false">Sens!$F$6231*(1-Sens!$F$6232)</f>
        <v>100.632414204623</v>
      </c>
      <c r="G6234" s="38" t="n">
        <f aca="false">Sens!$E$6234+Sens!$F$6234</f>
        <v>182.618414204623</v>
      </c>
      <c r="H6234" s="38" t="n">
        <f aca="false">Sens!$H$6231*(1-Sens!$H$6232)</f>
        <v>202.201346530158</v>
      </c>
      <c r="I6234" s="38" t="n">
        <f aca="false">Sens!$I$6231*(1-Sens!$I$6232)</f>
        <v>221.137876668296</v>
      </c>
      <c r="J6234" s="38" t="n">
        <f aca="false">Sens!$J$6231*(1-Sens!$J$6232)</f>
        <v>238.711898661958</v>
      </c>
      <c r="K6234" s="38" t="n">
        <f aca="false">Sens!$K$6231*(1-Sens!$K$6232)</f>
        <v>254.174923708144</v>
      </c>
      <c r="L6234" s="38" t="n">
        <f aca="false">Sens!$L$6231*(1-Sens!$L$6232)</f>
        <v>270.720216732733</v>
      </c>
      <c r="M6234" s="38" t="n">
        <f aca="false">Sens!$M$6231*(1-Sens!$M$6232)</f>
        <v>288.429331137484</v>
      </c>
      <c r="N6234" s="38" t="n">
        <f aca="false">Q!$N$6</f>
        <v>70.274</v>
      </c>
      <c r="O6234" s="38" t="n">
        <f aca="false">Q!$O$6</f>
        <v>91.62</v>
      </c>
      <c r="P6234" s="5" t="s">
        <v>638</v>
      </c>
    </row>
    <row r="6235" customFormat="false" ht="17.15" hidden="false" customHeight="false" outlineLevel="0" collapsed="false">
      <c r="A6235" s="5" t="s">
        <v>639</v>
      </c>
      <c r="B6235" s="0" t="s">
        <v>73</v>
      </c>
      <c r="C6235" s="38" t="n">
        <f aca="false">Sens!$C$6225*Sens!$C$6232</f>
        <v>41.0683128828457</v>
      </c>
      <c r="D6235" s="38" t="n">
        <f aca="false">Sens!$D$6225*Sens!$D$6232</f>
        <v>49.7441234599175</v>
      </c>
      <c r="E6235" s="38" t="n">
        <f aca="false">Sens!$E$6225*Sens!$E$6232</f>
        <v>27.0034224924414</v>
      </c>
      <c r="F6235" s="38" t="n">
        <f aca="false">Sens!$F$6225*Sens!$F$6232</f>
        <v>34.5772885649197</v>
      </c>
      <c r="G6235" s="38" t="n">
        <f aca="false">Sens!$G$6225*Sens!$G$6232</f>
        <v>61.6023917531772</v>
      </c>
      <c r="H6235" s="38" t="n">
        <f aca="false">Sens!$H$6225*Sens!$H$6232</f>
        <v>73.9568187320519</v>
      </c>
      <c r="I6235" s="38" t="n">
        <f aca="false">Sens!$I$6225*Sens!$I$6232</f>
        <v>86.3101265625461</v>
      </c>
      <c r="J6235" s="38" t="n">
        <f aca="false">Sens!$J$6225*Sens!$J$6232</f>
        <v>97.8339983977065</v>
      </c>
      <c r="K6235" s="38" t="n">
        <f aca="false">Sens!$K$6225*Sens!$K$6232</f>
        <v>107.617398237477</v>
      </c>
      <c r="L6235" s="38" t="n">
        <f aca="false">Sens!$L$6225*Sens!$L$6232</f>
        <v>118.379138061225</v>
      </c>
      <c r="M6235" s="38" t="n">
        <f aca="false">Sens!$M$6225*Sens!$M$6232</f>
        <v>130.217051867347</v>
      </c>
      <c r="N6235" s="38" t="n">
        <f aca="false">Sens!$N$6225*Sens!$N$6232</f>
        <v>21.7087111412496</v>
      </c>
      <c r="O6235" s="38" t="n">
        <f aca="false">Sens!$O$6225*Sens!$O$6232</f>
        <v>28.0189463642798</v>
      </c>
      <c r="P6235" s="5" t="s">
        <v>640</v>
      </c>
    </row>
    <row r="6236" customFormat="false" ht="15" hidden="false" customHeight="false" outlineLevel="0" collapsed="false">
      <c r="A6236" s="5" t="s">
        <v>641</v>
      </c>
      <c r="B6236" s="0" t="s">
        <v>73</v>
      </c>
      <c r="C6236" s="38" t="n">
        <f aca="false">Sens!$C$6225-Sens!$C$6235</f>
        <v>15.1456871171543</v>
      </c>
      <c r="D6236" s="38" t="n">
        <f aca="false">Sens!$D$6225-Sens!$D$6235</f>
        <v>18.8908765400825</v>
      </c>
      <c r="E6236" s="38" t="n">
        <f aca="false">Sens!$E$6225-Sens!$E$6235</f>
        <v>10.0485775075586</v>
      </c>
      <c r="F6236" s="38" t="n">
        <f aca="false">Sens!$F$6225-Sens!$F$6235</f>
        <v>13.5760496178185</v>
      </c>
      <c r="G6236" s="38" t="n">
        <f aca="false">Sens!$G$6225-Sens!$G$6235</f>
        <v>23.6029464295611</v>
      </c>
      <c r="H6236" s="38" t="n">
        <f aca="false">Sens!$H$6225-Sens!$H$6235</f>
        <v>28.3365431268884</v>
      </c>
      <c r="I6236" s="38" t="n">
        <f aca="false">Sens!$I$6225-Sens!$I$6235</f>
        <v>33.0697110226949</v>
      </c>
      <c r="J6236" s="38" t="n">
        <f aca="false">Sens!$J$6225-Sens!$J$6235</f>
        <v>37.4850806511378</v>
      </c>
      <c r="K6236" s="38" t="n">
        <f aca="false">Sens!$K$6225-Sens!$K$6235</f>
        <v>41.2335887162515</v>
      </c>
      <c r="L6236" s="38" t="n">
        <f aca="false">Sens!$L$6225-Sens!$L$6235</f>
        <v>45.3569475878767</v>
      </c>
      <c r="M6236" s="38" t="n">
        <f aca="false">Sens!$M$6225-Sens!$M$6235</f>
        <v>49.8926423466644</v>
      </c>
      <c r="N6236" s="38" t="n">
        <f aca="false">Sens!$N$6225-Sens!$N$6235</f>
        <v>7.90628885875037</v>
      </c>
      <c r="O6236" s="38" t="n">
        <f aca="false">Sens!$O$6225-Sens!$O$6235</f>
        <v>11.0010536357202</v>
      </c>
    </row>
    <row r="6237" customFormat="false" ht="19.4" hidden="false" customHeight="false" outlineLevel="0" collapsed="false">
      <c r="A6237" s="31" t="s">
        <v>1179</v>
      </c>
    </row>
    <row r="6238" customFormat="false" ht="17.15" hidden="false" customHeight="false" outlineLevel="0" collapsed="false">
      <c r="A6238" s="6" t="s">
        <v>16</v>
      </c>
      <c r="B6238" s="6" t="s">
        <v>17</v>
      </c>
      <c r="C6238" s="20" t="s">
        <v>457</v>
      </c>
      <c r="D6238" s="20" t="s">
        <v>458</v>
      </c>
      <c r="E6238" s="20" t="s">
        <v>540</v>
      </c>
      <c r="F6238" s="20" t="s">
        <v>541</v>
      </c>
      <c r="G6238" s="20" t="s">
        <v>542</v>
      </c>
      <c r="H6238" s="20" t="s">
        <v>543</v>
      </c>
      <c r="I6238" s="20" t="s">
        <v>544</v>
      </c>
      <c r="J6238" s="20" t="s">
        <v>545</v>
      </c>
      <c r="K6238" s="20" t="s">
        <v>546</v>
      </c>
      <c r="L6238" s="20" t="s">
        <v>547</v>
      </c>
      <c r="M6238" s="20" t="s">
        <v>548</v>
      </c>
      <c r="N6238" s="20" t="s">
        <v>549</v>
      </c>
      <c r="O6238" s="20" t="s">
        <v>550</v>
      </c>
      <c r="P6238" s="6" t="s">
        <v>23</v>
      </c>
      <c r="R6238" s="20" t="n">
        <v>2023</v>
      </c>
      <c r="S6238" s="20" t="n">
        <v>2024</v>
      </c>
      <c r="T6238" s="20" t="n">
        <v>2025</v>
      </c>
      <c r="U6238" s="20" t="n">
        <v>2026</v>
      </c>
      <c r="V6238" s="20" t="n">
        <v>2027</v>
      </c>
      <c r="W6238" s="20" t="n">
        <v>2028</v>
      </c>
      <c r="X6238" s="20" t="n">
        <v>2029</v>
      </c>
      <c r="Y6238" s="20" t="n">
        <v>2030</v>
      </c>
      <c r="Z6238" s="20" t="n">
        <v>2031</v>
      </c>
      <c r="AA6238" s="20" t="n">
        <v>2032</v>
      </c>
    </row>
    <row r="6239" customFormat="false" ht="17.15" hidden="false" customHeight="false" outlineLevel="0" collapsed="false">
      <c r="A6239" s="1" t="s">
        <v>551</v>
      </c>
    </row>
    <row r="6240" customFormat="false" ht="17.15" hidden="false" customHeight="false" outlineLevel="0" collapsed="false">
      <c r="A6240" s="14" t="s">
        <v>552</v>
      </c>
      <c r="B6240" s="13" t="s">
        <v>108</v>
      </c>
      <c r="C6240" s="32" t="n">
        <f aca="false">mw_ye24</f>
        <v>360</v>
      </c>
      <c r="D6240" s="32" t="n">
        <f aca="false">mw_ye25</f>
        <v>1440</v>
      </c>
      <c r="E6240" s="32" t="n">
        <f aca="false">mw_open</f>
        <v>2080</v>
      </c>
      <c r="F6240" s="32" t="n">
        <f aca="false">Sens!$E$6240+pace_B*0.5</f>
        <v>3897.15</v>
      </c>
      <c r="G6240" s="32" t="n">
        <f aca="false">Sens!$F$6240</f>
        <v>3897.15</v>
      </c>
      <c r="H6240" s="32" t="n">
        <f aca="false">Sens!$G$6240+pace_B</f>
        <v>7531.45</v>
      </c>
      <c r="I6240" s="32" t="n">
        <f aca="false">Sens!$H$6240+pace_B</f>
        <v>11165.75</v>
      </c>
      <c r="J6240" s="32" t="n">
        <f aca="false">Sens!$I$6240+pace_B</f>
        <v>14800.05</v>
      </c>
      <c r="K6240" s="32" t="n">
        <f aca="false">Sens!$J$6240+pace_B</f>
        <v>18434.35</v>
      </c>
      <c r="L6240" s="32" t="n">
        <f aca="false">Sens!$K$6240+pace_B</f>
        <v>22068.65</v>
      </c>
      <c r="M6240" s="32" t="n">
        <f aca="false">Sens!$L$6240+pace_B</f>
        <v>25702.95</v>
      </c>
      <c r="N6240" s="32" t="n">
        <f aca="false">(mw_ye24+mw_ye25)/2</f>
        <v>900</v>
      </c>
      <c r="O6240" s="32" t="n">
        <f aca="false">mw_ye25</f>
        <v>1440</v>
      </c>
      <c r="P6240" s="5" t="s">
        <v>553</v>
      </c>
    </row>
    <row r="6241" customFormat="false" ht="17.15" hidden="false" customHeight="false" outlineLevel="0" collapsed="false">
      <c r="A6241" s="5" t="s">
        <v>554</v>
      </c>
      <c r="B6241" s="0" t="s">
        <v>108</v>
      </c>
      <c r="C6241" s="33" t="n">
        <f aca="false">(mw_ye23+mw_ye24)/2</f>
        <v>240</v>
      </c>
      <c r="D6241" s="33" t="n">
        <f aca="false">(Sens!$C$6240+Sens!$D$6240)/2</f>
        <v>900</v>
      </c>
      <c r="E6241" s="33" t="n">
        <f aca="false">(Sens!$D$6240+Sens!$E$6240)/2</f>
        <v>1760</v>
      </c>
      <c r="F6241" s="33" t="n">
        <f aca="false">(Sens!$E$6240+Sens!$F$6240)/2</f>
        <v>2988.575</v>
      </c>
      <c r="G6241" s="33" t="n">
        <f aca="false">(Sens!$E$6241+Sens!$F$6241)/2</f>
        <v>2374.2875</v>
      </c>
      <c r="H6241" s="33" t="n">
        <f aca="false">(Sens!$G$6240+Sens!$H$6240)/2</f>
        <v>5714.3</v>
      </c>
      <c r="I6241" s="33" t="n">
        <f aca="false">(Sens!$H$6240+Sens!$I$6240)/2</f>
        <v>9348.6</v>
      </c>
      <c r="J6241" s="33" t="n">
        <f aca="false">(Sens!$I$6240+Sens!$J$6240)/2</f>
        <v>12982.9</v>
      </c>
      <c r="K6241" s="33" t="n">
        <f aca="false">(Sens!$J$6240+Sens!$K$6240)/2</f>
        <v>16617.2</v>
      </c>
      <c r="L6241" s="33" t="n">
        <f aca="false">(Sens!$K$6240+Sens!$L$6240)/2</f>
        <v>20251.5</v>
      </c>
      <c r="M6241" s="33" t="n">
        <f aca="false">(Sens!$L$6240+Sens!$M$6240)/2</f>
        <v>23885.8</v>
      </c>
      <c r="N6241" s="33" t="n">
        <f aca="false">(Sens!$C$6240+Sens!$N$6240)/2</f>
        <v>630</v>
      </c>
      <c r="O6241" s="33" t="n">
        <f aca="false">(Sens!$N$6240+Sens!$O$6240)/2</f>
        <v>1170</v>
      </c>
    </row>
    <row r="6242" customFormat="false" ht="15" hidden="false" customHeight="false" outlineLevel="0" collapsed="false">
      <c r="A6242" s="5" t="s">
        <v>555</v>
      </c>
      <c r="B6242" s="5" t="s">
        <v>102</v>
      </c>
      <c r="C6242" s="34" t="n">
        <v>1</v>
      </c>
      <c r="D6242" s="34" t="n">
        <v>1</v>
      </c>
      <c r="E6242" s="34" t="n">
        <v>0.5</v>
      </c>
      <c r="F6242" s="34" t="n">
        <v>0.5</v>
      </c>
      <c r="G6242" s="34" t="n">
        <v>1</v>
      </c>
      <c r="H6242" s="34" t="n">
        <v>1</v>
      </c>
      <c r="I6242" s="34" t="n">
        <v>1</v>
      </c>
      <c r="J6242" s="34" t="n">
        <v>1</v>
      </c>
      <c r="K6242" s="34" t="n">
        <v>1</v>
      </c>
      <c r="L6242" s="34" t="n">
        <v>1</v>
      </c>
      <c r="M6242" s="34" t="n">
        <v>1</v>
      </c>
      <c r="N6242" s="34" t="n">
        <v>0.5</v>
      </c>
      <c r="O6242" s="34" t="n">
        <v>0.5</v>
      </c>
    </row>
    <row r="6243" customFormat="false" ht="17.15" hidden="false" customHeight="false" outlineLevel="0" collapsed="false">
      <c r="A6243" s="5" t="s">
        <v>556</v>
      </c>
      <c r="B6243" s="0" t="s">
        <v>108</v>
      </c>
      <c r="C6243" s="33" t="n">
        <f aca="false">Sens!$C$6240-mw_ye23</f>
        <v>240</v>
      </c>
      <c r="D6243" s="33" t="n">
        <f aca="false">Sens!$D$6240-Sens!$C$6240</f>
        <v>1080</v>
      </c>
      <c r="E6243" s="33" t="n">
        <f aca="false">Sens!$E$6240-Sens!$D$6240</f>
        <v>640</v>
      </c>
      <c r="F6243" s="33" t="n">
        <f aca="false">Sens!$F$6240-Sens!$E$6240</f>
        <v>1817.15</v>
      </c>
      <c r="G6243" s="33" t="n">
        <f aca="false">Sens!$E$6243+Sens!$F$6243</f>
        <v>2457.15</v>
      </c>
      <c r="H6243" s="33" t="n">
        <f aca="false">Sens!$H$6240-Sens!$G$6240</f>
        <v>3634.3</v>
      </c>
      <c r="I6243" s="33" t="n">
        <f aca="false">Sens!$I$6240-Sens!$H$6240</f>
        <v>3634.3</v>
      </c>
      <c r="J6243" s="33" t="n">
        <f aca="false">Sens!$J$6240-Sens!$I$6240</f>
        <v>3634.3</v>
      </c>
      <c r="K6243" s="33" t="n">
        <f aca="false">Sens!$K$6240-Sens!$J$6240</f>
        <v>3634.3</v>
      </c>
      <c r="L6243" s="33" t="n">
        <f aca="false">Sens!$L$6240-Sens!$K$6240</f>
        <v>3634.3</v>
      </c>
      <c r="M6243" s="33" t="n">
        <f aca="false">Sens!$M$6240-Sens!$L$6240</f>
        <v>3634.3</v>
      </c>
      <c r="N6243" s="33" t="n">
        <f aca="false">Sens!$N$6240-Sens!$C$6240</f>
        <v>540</v>
      </c>
      <c r="O6243" s="33" t="n">
        <f aca="false">Sens!$O$6240-Sens!$N$6240</f>
        <v>540</v>
      </c>
    </row>
    <row r="6244" customFormat="false" ht="17.15" hidden="false" customHeight="false" outlineLevel="0" collapsed="false">
      <c r="A6244" s="5" t="s">
        <v>557</v>
      </c>
      <c r="B6244" s="0" t="s">
        <v>108</v>
      </c>
      <c r="C6244" s="33" t="n">
        <f aca="false">Sens!$C$6243/ext_sh</f>
        <v>300</v>
      </c>
      <c r="D6244" s="33" t="n">
        <f aca="false">Sens!$D$6243/ext_sh</f>
        <v>1350</v>
      </c>
      <c r="E6244" s="33" t="n">
        <f aca="false">Sens!$E$6243/ext_sh</f>
        <v>800</v>
      </c>
      <c r="F6244" s="33" t="n">
        <f aca="false">Sens!$F$6243/ext_sh</f>
        <v>2271.4375</v>
      </c>
      <c r="G6244" s="33" t="n">
        <f aca="false">Sens!$G$6243/ext_sh</f>
        <v>3071.4375</v>
      </c>
      <c r="H6244" s="33" t="n">
        <f aca="false">Sens!$H$6243/ext_sh</f>
        <v>4542.875</v>
      </c>
      <c r="I6244" s="33" t="n">
        <f aca="false">Sens!$I$6243/ext_sh</f>
        <v>4542.875</v>
      </c>
      <c r="J6244" s="33" t="n">
        <f aca="false">Sens!$J$6243/ext_sh</f>
        <v>4542.875</v>
      </c>
      <c r="K6244" s="33" t="n">
        <f aca="false">Sens!$K$6243/ext_sh</f>
        <v>4542.875</v>
      </c>
      <c r="L6244" s="33" t="n">
        <f aca="false">Sens!$L$6243/ext_sh</f>
        <v>4542.875</v>
      </c>
      <c r="M6244" s="33" t="n">
        <f aca="false">Sens!$M$6243/ext_sh</f>
        <v>4542.875</v>
      </c>
      <c r="N6244" s="33" t="n">
        <f aca="false">Sens!$N$6243/ext_sh</f>
        <v>675</v>
      </c>
      <c r="O6244" s="33" t="n">
        <f aca="false">Sens!$O$6243/ext_sh</f>
        <v>675</v>
      </c>
      <c r="P6244" s="8" t="s">
        <v>558</v>
      </c>
      <c r="R6244" s="33" t="n">
        <f aca="false">mw_ye23/ext_sh</f>
        <v>150</v>
      </c>
      <c r="S6244" s="33" t="n">
        <f aca="false">Sens!$C$6244</f>
        <v>300</v>
      </c>
      <c r="T6244" s="33" t="n">
        <f aca="false">Sens!$D$6244</f>
        <v>1350</v>
      </c>
      <c r="U6244" s="33" t="n">
        <f aca="false">Sens!$G$6244</f>
        <v>3071.4375</v>
      </c>
      <c r="V6244" s="33" t="n">
        <f aca="false">Sens!$H$6244</f>
        <v>4542.875</v>
      </c>
      <c r="W6244" s="33" t="n">
        <f aca="false">Sens!$I$6244</f>
        <v>4542.875</v>
      </c>
      <c r="X6244" s="33" t="n">
        <f aca="false">Sens!$J$6244</f>
        <v>4542.875</v>
      </c>
      <c r="Y6244" s="33" t="n">
        <f aca="false">Sens!$K$6244</f>
        <v>4542.875</v>
      </c>
      <c r="Z6244" s="33" t="n">
        <f aca="false">Sens!$L$6244</f>
        <v>4542.875</v>
      </c>
      <c r="AA6244" s="33" t="n">
        <f aca="false">Sens!$M$6244</f>
        <v>4542.875</v>
      </c>
    </row>
    <row r="6245" customFormat="false" ht="17.15" hidden="false" customHeight="false" outlineLevel="0" collapsed="false">
      <c r="A6245" s="1" t="s">
        <v>559</v>
      </c>
    </row>
    <row r="6246" customFormat="false" ht="17.15" hidden="false" customHeight="false" outlineLevel="0" collapsed="false">
      <c r="A6246" s="0" t="s">
        <v>560</v>
      </c>
      <c r="B6246" s="0" t="s">
        <v>52</v>
      </c>
      <c r="F6246" s="35" t="n">
        <f aca="false">na_vr26</f>
        <v>0</v>
      </c>
      <c r="G6246" s="35" t="n">
        <f aca="false">na_vr26</f>
        <v>0</v>
      </c>
      <c r="H6246" s="35" t="n">
        <f aca="false">na_vr27</f>
        <v>0.5</v>
      </c>
      <c r="I6246" s="35" t="n">
        <f aca="false">na_vr28</f>
        <v>1</v>
      </c>
      <c r="J6246" s="35" t="n">
        <f aca="false">na_vr28</f>
        <v>1</v>
      </c>
      <c r="K6246" s="35" t="n">
        <f aca="false">na_vr28</f>
        <v>1</v>
      </c>
      <c r="L6246" s="35" t="n">
        <f aca="false">na_vr28</f>
        <v>1</v>
      </c>
      <c r="M6246" s="35" t="n">
        <f aca="false">na_vr28</f>
        <v>1</v>
      </c>
    </row>
    <row r="6247" customFormat="false" ht="17.15" hidden="false" customHeight="false" outlineLevel="0" collapsed="false">
      <c r="A6247" s="5" t="s">
        <v>561</v>
      </c>
      <c r="B6247" s="0" t="s">
        <v>151</v>
      </c>
      <c r="F6247" s="36" t="n">
        <f aca="false">cust_sh*tk_he_gb300*cf_chip+(1-cust_sh)*((1-Sens!$F$6246)*tk_he_gb300+Sens!$F$6246*tk_he_vr200)</f>
        <v>10.8864110021101</v>
      </c>
      <c r="G6247" s="36" t="n">
        <f aca="false">cust_sh*tk_he_gb300*cf_chip+(1-cust_sh)*((1-Sens!$G$6246)*tk_he_gb300+Sens!$G$6246*tk_he_vr200)</f>
        <v>10.8864110021101</v>
      </c>
      <c r="H6247" s="36" t="n">
        <f aca="false">cust_sh*tk_he_gb300*cf_chip+(1-cust_sh)*((1-Sens!$H$6246)*tk_he_gb300+Sens!$H$6246*tk_he_vr200)</f>
        <v>11.2211760027286</v>
      </c>
      <c r="I6247" s="36" t="n">
        <f aca="false">cust_sh*tk_he_gb300*cf_chip+(1-cust_sh)*((1-Sens!$I$6246)*tk_he_gb300+Sens!$I$6246*tk_he_vr200)</f>
        <v>11.5559410033471</v>
      </c>
      <c r="J6247" s="36" t="n">
        <f aca="false">cust_sh*tk_he_gb300*cf_chip+(1-cust_sh)*((1-Sens!$J$6246)*tk_he_gb300+Sens!$J$6246*tk_he_vr200)</f>
        <v>11.5559410033471</v>
      </c>
      <c r="K6247" s="36" t="n">
        <f aca="false">cust_sh*tk_he_gb300*cf_chip+(1-cust_sh)*((1-Sens!$K$6246)*tk_he_gb300+Sens!$K$6246*tk_he_vr200)</f>
        <v>11.5559410033471</v>
      </c>
      <c r="L6247" s="36" t="n">
        <f aca="false">cust_sh*tk_he_gb300*cf_chip+(1-cust_sh)*((1-Sens!$L$6246)*tk_he_gb300+Sens!$L$6246*tk_he_vr200)</f>
        <v>11.5559410033471</v>
      </c>
      <c r="M6247" s="36" t="n">
        <f aca="false">cust_sh*tk_he_gb300*cf_chip+(1-cust_sh)*((1-Sens!$M$6246)*tk_he_gb300+Sens!$M$6246*tk_he_vr200)</f>
        <v>11.5559410033471</v>
      </c>
    </row>
    <row r="6248" customFormat="false" ht="17.15" hidden="false" customHeight="false" outlineLevel="0" collapsed="false">
      <c r="A6248" s="5" t="s">
        <v>562</v>
      </c>
      <c r="B6248" s="0" t="s">
        <v>151</v>
      </c>
      <c r="F6248" s="36" t="n">
        <f aca="false">cust_sh*tk_ox_gb300+(1-cust_sh)*((1-Sens!$F$6246)*tk_ox_gb300+Sens!$F$6246*tk_ox_vr200)</f>
        <v>1.98263481314457</v>
      </c>
      <c r="G6248" s="36" t="n">
        <f aca="false">cust_sh*tk_ox_gb300+(1-cust_sh)*((1-Sens!$G$6246)*tk_ox_gb300+Sens!$G$6246*tk_ox_vr200)</f>
        <v>1.98263481314457</v>
      </c>
      <c r="H6248" s="36" t="n">
        <f aca="false">cust_sh*tk_ox_gb300+(1-cust_sh)*((1-Sens!$H$6246)*tk_ox_gb300+Sens!$H$6246*tk_ox_vr200)</f>
        <v>2.01034999693694</v>
      </c>
      <c r="I6248" s="36" t="n">
        <f aca="false">cust_sh*tk_ox_gb300+(1-cust_sh)*((1-Sens!$I$6246)*tk_ox_gb300+Sens!$I$6246*tk_ox_vr200)</f>
        <v>2.0380651807293</v>
      </c>
      <c r="J6248" s="36" t="n">
        <f aca="false">cust_sh*tk_ox_gb300+(1-cust_sh)*((1-Sens!$J$6246)*tk_ox_gb300+Sens!$J$6246*tk_ox_vr200)</f>
        <v>2.0380651807293</v>
      </c>
      <c r="K6248" s="36" t="n">
        <f aca="false">cust_sh*tk_ox_gb300+(1-cust_sh)*((1-Sens!$K$6246)*tk_ox_gb300+Sens!$K$6246*tk_ox_vr200)</f>
        <v>2.0380651807293</v>
      </c>
      <c r="L6248" s="36" t="n">
        <f aca="false">cust_sh*tk_ox_gb300+(1-cust_sh)*((1-Sens!$L$6246)*tk_ox_gb300+Sens!$L$6246*tk_ox_vr200)</f>
        <v>2.0380651807293</v>
      </c>
      <c r="M6248" s="36" t="n">
        <f aca="false">cust_sh*tk_ox_gb300+(1-cust_sh)*((1-Sens!$M$6246)*tk_ox_gb300+Sens!$M$6246*tk_ox_vr200)</f>
        <v>2.0380651807293</v>
      </c>
    </row>
    <row r="6249" customFormat="false" ht="17.15" hidden="false" customHeight="false" outlineLevel="0" collapsed="false">
      <c r="A6249" s="5" t="s">
        <v>563</v>
      </c>
      <c r="B6249" s="0" t="s">
        <v>170</v>
      </c>
      <c r="F6249" s="36" t="n">
        <f aca="false">cust_sh*tk_cx_gb300*cf_cx+(1-cust_sh)*((1-Sens!$F$6246)*tk_cx_gb300+Sens!$F$6246*tk_cx_vr200)</f>
        <v>32.237224</v>
      </c>
      <c r="G6249" s="36" t="n">
        <f aca="false">cust_sh*tk_cx_gb300*cf_cx+(1-cust_sh)*((1-Sens!$G$6246)*tk_cx_gb300+Sens!$G$6246*tk_cx_vr200)</f>
        <v>32.237224</v>
      </c>
      <c r="H6249" s="36" t="n">
        <f aca="false">cust_sh*tk_cx_gb300*cf_cx+(1-cust_sh)*((1-Sens!$H$6246)*tk_cx_gb300+Sens!$H$6246*tk_cx_vr200)</f>
        <v>33.574506</v>
      </c>
      <c r="I6249" s="36" t="n">
        <f aca="false">cust_sh*tk_cx_gb300*cf_cx+(1-cust_sh)*((1-Sens!$I$6246)*tk_cx_gb300+Sens!$I$6246*tk_cx_vr200)</f>
        <v>34.911788</v>
      </c>
      <c r="J6249" s="36" t="n">
        <f aca="false">cust_sh*tk_cx_gb300*cf_cx+(1-cust_sh)*((1-Sens!$J$6246)*tk_cx_gb300+Sens!$J$6246*tk_cx_vr200)</f>
        <v>34.911788</v>
      </c>
      <c r="K6249" s="36" t="n">
        <f aca="false">cust_sh*tk_cx_gb300*cf_cx+(1-cust_sh)*((1-Sens!$K$6246)*tk_cx_gb300+Sens!$K$6246*tk_cx_vr200)</f>
        <v>34.911788</v>
      </c>
      <c r="L6249" s="36" t="n">
        <f aca="false">cust_sh*tk_cx_gb300*cf_cx+(1-cust_sh)*((1-Sens!$L$6246)*tk_cx_gb300+Sens!$L$6246*tk_cx_vr200)</f>
        <v>34.911788</v>
      </c>
      <c r="M6249" s="36" t="n">
        <f aca="false">cust_sh*tk_cx_gb300*cf_cx+(1-cust_sh)*((1-Sens!$M$6246)*tk_cx_gb300+Sens!$M$6246*tk_cx_vr200)</f>
        <v>34.911788</v>
      </c>
    </row>
    <row r="6250" customFormat="false" ht="17.15" hidden="false" customHeight="false" outlineLevel="0" collapsed="false">
      <c r="A6250" s="5" t="s">
        <v>564</v>
      </c>
      <c r="B6250" s="0" t="s">
        <v>108</v>
      </c>
      <c r="F6250" s="33" t="n">
        <f aca="false">Sens!$F$6240-mw_open</f>
        <v>1817.15</v>
      </c>
      <c r="G6250" s="33" t="n">
        <f aca="false">Sens!$F$6250</f>
        <v>1817.15</v>
      </c>
      <c r="H6250" s="33" t="n">
        <f aca="false">Sens!$H$6240-mw_open</f>
        <v>5451.45</v>
      </c>
      <c r="I6250" s="33" t="n">
        <f aca="false">Sens!$I$6240-mw_open</f>
        <v>9085.75</v>
      </c>
      <c r="J6250" s="33" t="n">
        <f aca="false">Sens!$J$6240-mw_open</f>
        <v>12720.05</v>
      </c>
      <c r="K6250" s="33" t="n">
        <f aca="false">Sens!$K$6240-mw_open</f>
        <v>16354.35</v>
      </c>
      <c r="L6250" s="33" t="n">
        <f aca="false">Sens!$L$6240-mw_open</f>
        <v>19988.65</v>
      </c>
      <c r="M6250" s="33" t="n">
        <f aca="false">Sens!$M$6240-mw_open</f>
        <v>23622.95</v>
      </c>
    </row>
    <row r="6251" customFormat="false" ht="17.15" hidden="false" customHeight="false" outlineLevel="0" collapsed="false">
      <c r="A6251" s="0" t="s">
        <v>565</v>
      </c>
      <c r="B6251" s="0" t="s">
        <v>566</v>
      </c>
      <c r="F6251" s="33" t="n">
        <f aca="false">Sens!$F$6243*Sens!$F$6247</f>
        <v>19782.2417524844</v>
      </c>
      <c r="G6251" s="33" t="n">
        <f aca="false">Sens!$F$6251</f>
        <v>19782.2417524844</v>
      </c>
      <c r="H6251" s="33" t="n">
        <f aca="false">Sens!$G$6251+Sens!$H$6243*Sens!$H$6247</f>
        <v>60563.3616992009</v>
      </c>
      <c r="I6251" s="33" t="n">
        <f aca="false">Sens!$H$6251+Sens!$I$6243*Sens!$I$6247</f>
        <v>102561.118087665</v>
      </c>
      <c r="J6251" s="33" t="n">
        <f aca="false">Sens!$I$6251+Sens!$J$6243*Sens!$J$6247</f>
        <v>144558.87447613</v>
      </c>
      <c r="K6251" s="33" t="n">
        <f aca="false">Sens!$J$6251+Sens!$K$6243*Sens!$K$6247</f>
        <v>186556.630864594</v>
      </c>
      <c r="L6251" s="33" t="n">
        <f aca="false">Sens!$K$6251+Sens!$L$6243*Sens!$L$6247</f>
        <v>228554.387253058</v>
      </c>
      <c r="M6251" s="33" t="n">
        <f aca="false">Sens!$L$6251+Sens!$M$6243*Sens!$M$6247</f>
        <v>270552.143641523</v>
      </c>
    </row>
    <row r="6252" customFormat="false" ht="17.15" hidden="false" customHeight="false" outlineLevel="0" collapsed="false">
      <c r="A6252" s="0" t="s">
        <v>567</v>
      </c>
      <c r="B6252" s="0" t="s">
        <v>566</v>
      </c>
      <c r="F6252" s="33" t="n">
        <f aca="false">Sens!$F$6243*Sens!$F$6248</f>
        <v>3602.74485070566</v>
      </c>
      <c r="G6252" s="33" t="n">
        <f aca="false">Sens!$F$6252</f>
        <v>3602.74485070566</v>
      </c>
      <c r="H6252" s="33" t="n">
        <f aca="false">Sens!$G$6252+Sens!$H$6243*Sens!$H$6248</f>
        <v>10908.9598445736</v>
      </c>
      <c r="I6252" s="33" t="n">
        <f aca="false">Sens!$H$6252+Sens!$I$6243*Sens!$I$6248</f>
        <v>18315.9001308981</v>
      </c>
      <c r="J6252" s="33" t="n">
        <f aca="false">Sens!$I$6252+Sens!$J$6243*Sens!$J$6248</f>
        <v>25722.8404172225</v>
      </c>
      <c r="K6252" s="33" t="n">
        <f aca="false">Sens!$J$6252+Sens!$K$6243*Sens!$K$6248</f>
        <v>33129.780703547</v>
      </c>
      <c r="L6252" s="33" t="n">
        <f aca="false">Sens!$K$6252+Sens!$L$6243*Sens!$L$6248</f>
        <v>40536.7209898715</v>
      </c>
      <c r="M6252" s="33" t="n">
        <f aca="false">Sens!$L$6252+Sens!$M$6243*Sens!$M$6248</f>
        <v>47943.661276196</v>
      </c>
    </row>
    <row r="6253" customFormat="false" ht="17.15" hidden="false" customHeight="false" outlineLevel="0" collapsed="false">
      <c r="A6253" s="5" t="s">
        <v>568</v>
      </c>
      <c r="B6253" s="0" t="s">
        <v>151</v>
      </c>
      <c r="F6253" s="36" t="n">
        <f aca="false">IF(Sens!$F$6250&gt;0,Sens!$F$6251/Sens!$F$6250,Sens!$F$6247)</f>
        <v>10.8864110021101</v>
      </c>
      <c r="G6253" s="36" t="n">
        <f aca="false">IF(Sens!$G$6250&gt;0,Sens!$G$6251/Sens!$G$6250,Sens!$G$6247)</f>
        <v>10.8864110021101</v>
      </c>
      <c r="H6253" s="36" t="n">
        <f aca="false">IF(Sens!$H$6250&gt;0,Sens!$H$6251/Sens!$H$6250,Sens!$H$6247)</f>
        <v>11.1095876691891</v>
      </c>
      <c r="I6253" s="36" t="n">
        <f aca="false">IF(Sens!$I$6250&gt;0,Sens!$I$6251/Sens!$I$6250,Sens!$I$6247)</f>
        <v>11.2881290028523</v>
      </c>
      <c r="J6253" s="36" t="n">
        <f aca="false">IF(Sens!$J$6250&gt;0,Sens!$J$6251/Sens!$J$6250,Sens!$J$6247)</f>
        <v>11.3646467172794</v>
      </c>
      <c r="K6253" s="36" t="n">
        <f aca="false">IF(Sens!$K$6250&gt;0,Sens!$K$6251/Sens!$K$6250,Sens!$K$6247)</f>
        <v>11.4071565586278</v>
      </c>
      <c r="L6253" s="36" t="n">
        <f aca="false">IF(Sens!$L$6250&gt;0,Sens!$L$6251/Sens!$L$6250,Sens!$L$6247)</f>
        <v>11.4342082758495</v>
      </c>
      <c r="M6253" s="36" t="n">
        <f aca="false">IF(Sens!$M$6250&gt;0,Sens!$M$6251/Sens!$M$6250,Sens!$M$6247)</f>
        <v>11.4529363877722</v>
      </c>
    </row>
    <row r="6254" customFormat="false" ht="17.15" hidden="false" customHeight="false" outlineLevel="0" collapsed="false">
      <c r="A6254" s="5" t="s">
        <v>569</v>
      </c>
      <c r="B6254" s="0" t="s">
        <v>151</v>
      </c>
      <c r="F6254" s="36" t="n">
        <f aca="false">IF(Sens!$F$6250&gt;0,Sens!$F$6252/Sens!$F$6250,Sens!$F$6248)</f>
        <v>1.98263481314457</v>
      </c>
      <c r="G6254" s="36" t="n">
        <f aca="false">IF(Sens!$G$6250&gt;0,Sens!$G$6252/Sens!$G$6250,Sens!$G$6248)</f>
        <v>1.98263481314457</v>
      </c>
      <c r="H6254" s="36" t="n">
        <f aca="false">IF(Sens!$H$6250&gt;0,Sens!$H$6252/Sens!$H$6250,Sens!$H$6248)</f>
        <v>2.00111160233948</v>
      </c>
      <c r="I6254" s="36" t="n">
        <f aca="false">IF(Sens!$I$6250&gt;0,Sens!$I$6252/Sens!$I$6250,Sens!$I$6248)</f>
        <v>2.01589303369541</v>
      </c>
      <c r="J6254" s="36" t="n">
        <f aca="false">IF(Sens!$J$6250&gt;0,Sens!$J$6252/Sens!$J$6250,Sens!$J$6248)</f>
        <v>2.02222793284795</v>
      </c>
      <c r="K6254" s="36" t="n">
        <f aca="false">IF(Sens!$K$6250&gt;0,Sens!$K$6252/Sens!$K$6250,Sens!$K$6248)</f>
        <v>2.02574732126603</v>
      </c>
      <c r="L6254" s="36" t="n">
        <f aca="false">IF(Sens!$L$6250&gt;0,Sens!$L$6252/Sens!$L$6250,Sens!$L$6248)</f>
        <v>2.02798693207753</v>
      </c>
      <c r="M6254" s="36" t="n">
        <f aca="false">IF(Sens!$M$6250&gt;0,Sens!$M$6252/Sens!$M$6250,Sens!$M$6248)</f>
        <v>2.02953743187011</v>
      </c>
    </row>
    <row r="6255" customFormat="false" ht="17.15" hidden="false" customHeight="false" outlineLevel="0" collapsed="false">
      <c r="A6255" s="14" t="s">
        <v>570</v>
      </c>
      <c r="B6255" s="13" t="s">
        <v>151</v>
      </c>
      <c r="C6255" s="13"/>
      <c r="D6255" s="13"/>
      <c r="E6255" s="13"/>
      <c r="F6255" s="37" t="n">
        <f aca="false">Sens!$F$6253*k_B</f>
        <v>10.7987645808025</v>
      </c>
      <c r="G6255" s="37" t="n">
        <f aca="false">Sens!$G$6253*k_B</f>
        <v>10.7987645808025</v>
      </c>
      <c r="H6255" s="37" t="n">
        <f aca="false">Sens!$H$6253*k_B</f>
        <v>11.0201444540452</v>
      </c>
      <c r="I6255" s="37" t="n">
        <f aca="false">Sens!$I$6253*k_B</f>
        <v>11.1972483526393</v>
      </c>
      <c r="J6255" s="37" t="n">
        <f aca="false">Sens!$J$6253*k_B</f>
        <v>11.2731500234653</v>
      </c>
      <c r="K6255" s="37" t="n">
        <f aca="false">Sens!$K$6253*k_B</f>
        <v>11.3153176183687</v>
      </c>
      <c r="L6255" s="37" t="n">
        <f aca="false">Sens!$L$6253*k_B</f>
        <v>11.3421515423981</v>
      </c>
      <c r="M6255" s="37" t="n">
        <f aca="false">Sens!$M$6253*k_B</f>
        <v>11.3607288744184</v>
      </c>
      <c r="N6255" s="13"/>
      <c r="O6255" s="13"/>
      <c r="P6255" s="5" t="s">
        <v>571</v>
      </c>
    </row>
    <row r="6256" customFormat="false" ht="17.15" hidden="false" customHeight="false" outlineLevel="0" collapsed="false">
      <c r="A6256" s="5" t="s">
        <v>572</v>
      </c>
      <c r="B6256" s="0" t="s">
        <v>108</v>
      </c>
      <c r="F6256" s="33" t="n">
        <f aca="false">Sens!$F$6250/2</f>
        <v>908.575</v>
      </c>
      <c r="H6256" s="33" t="n">
        <f aca="false">(Sens!$G$6250+Sens!$H$6250)/2</f>
        <v>3634.3</v>
      </c>
      <c r="I6256" s="33" t="n">
        <f aca="false">(Sens!$H$6250+Sens!$I$6250)/2</f>
        <v>7268.6</v>
      </c>
      <c r="J6256" s="33" t="n">
        <f aca="false">(Sens!$I$6250+Sens!$J$6250)/2</f>
        <v>10902.9</v>
      </c>
      <c r="K6256" s="33" t="n">
        <f aca="false">(Sens!$J$6250+Sens!$K$6250)/2</f>
        <v>14537.2</v>
      </c>
      <c r="L6256" s="33" t="n">
        <f aca="false">(Sens!$K$6250+Sens!$L$6250)/2</f>
        <v>18171.5</v>
      </c>
      <c r="M6256" s="33" t="n">
        <f aca="false">(Sens!$L$6250+Sens!$M$6250)/2</f>
        <v>21805.8</v>
      </c>
    </row>
    <row r="6257" customFormat="false" ht="17.15" hidden="false" customHeight="false" outlineLevel="0" collapsed="false">
      <c r="A6257" s="1" t="s">
        <v>573</v>
      </c>
    </row>
    <row r="6258" customFormat="false" ht="17.15" hidden="false" customHeight="false" outlineLevel="0" collapsed="false">
      <c r="A6258" s="1" t="s">
        <v>574</v>
      </c>
      <c r="B6258" s="8" t="s">
        <v>73</v>
      </c>
      <c r="C6258" s="38" t="n">
        <f aca="false">Sens!$C$6241*rpm_open*Sens!$C$6242/1000</f>
        <v>2.32100535697364</v>
      </c>
      <c r="D6258" s="38" t="n">
        <f aca="false">Sens!$D$6241*rpm_open*Sens!$D$6242/1000</f>
        <v>8.70377008865116</v>
      </c>
      <c r="E6258" s="38" t="n">
        <f aca="false">Sens!$E$6241*rpm_open*Sens!$E$6242/1000</f>
        <v>8.51035297557002</v>
      </c>
      <c r="F6258" s="38" t="n">
        <f aca="false">(mw_open*rpm_open+Sens!$F$6256*Sens!$F$6255)*Sens!$F$6242/1000</f>
        <v>14.9634336447205</v>
      </c>
      <c r="G6258" s="38" t="n">
        <f aca="false">Sens!$E$6258+Sens!$F$6258</f>
        <v>23.4737866202905</v>
      </c>
      <c r="H6258" s="38" t="n">
        <f aca="false">(mw_open*rpm_open+Sens!$H$6256*Sens!$H$6255)/1000</f>
        <v>60.1658907497746</v>
      </c>
      <c r="I6258" s="38" t="n">
        <f aca="false">(mw_open*rpm_open+Sens!$I$6256*Sens!$I$6255)/1000</f>
        <v>101.503699136432</v>
      </c>
      <c r="J6258" s="38" t="n">
        <f aca="false">(mw_open*rpm_open+Sens!$J$6256*Sens!$J$6255)/1000</f>
        <v>143.025407151278</v>
      </c>
      <c r="K6258" s="38" t="n">
        <f aca="false">(mw_open*rpm_open+Sens!$K$6256*Sens!$K$6255)/1000</f>
        <v>184.608415042187</v>
      </c>
      <c r="L6258" s="38" t="n">
        <f aca="false">(mw_open*rpm_open+Sens!$L$6256*Sens!$L$6255)/1000</f>
        <v>226.219286513125</v>
      </c>
      <c r="M6258" s="38" t="n">
        <f aca="false">(mw_open*rpm_open+Sens!$M$6256*Sens!$M$6255)/1000</f>
        <v>267.845161450232</v>
      </c>
      <c r="N6258" s="38" t="n">
        <f aca="false">Sens!$N$6241*rpm_open*Sens!$N$6242/1000</f>
        <v>3.04631953102791</v>
      </c>
      <c r="O6258" s="38" t="n">
        <f aca="false">Sens!$O$6241*rpm_open*Sens!$O$6242/1000</f>
        <v>5.65745055762326</v>
      </c>
      <c r="P6258" s="5" t="s">
        <v>575</v>
      </c>
    </row>
    <row r="6259" customFormat="false" ht="17.15" hidden="false" customHeight="false" outlineLevel="0" collapsed="false">
      <c r="A6259" s="5" t="s">
        <v>576</v>
      </c>
      <c r="B6259" s="0" t="s">
        <v>151</v>
      </c>
      <c r="C6259" s="36" t="n">
        <f aca="false">Sens!$C$6258*1000/(Sens!$C$6241*Sens!$C$6242)</f>
        <v>9.67085565405685</v>
      </c>
      <c r="D6259" s="36" t="n">
        <f aca="false">Sens!$D$6258*1000/(Sens!$D$6241*Sens!$D$6242)</f>
        <v>9.67085565405685</v>
      </c>
      <c r="E6259" s="36" t="n">
        <f aca="false">Sens!$E$6258*1000/(Sens!$E$6241*Sens!$E$6242)</f>
        <v>9.67085565405685</v>
      </c>
      <c r="F6259" s="36" t="n">
        <f aca="false">Sens!$F$6258*1000/(Sens!$F$6241*Sens!$F$6242)</f>
        <v>10.0137581588017</v>
      </c>
      <c r="G6259" s="36" t="n">
        <f aca="false">Sens!$G$6258*1000/(Sens!$G$6241*Sens!$G$6242)</f>
        <v>9.88666562928478</v>
      </c>
      <c r="H6259" s="36" t="n">
        <f aca="false">Sens!$H$6258*1000/(Sens!$H$6241*Sens!$H$6242)</f>
        <v>10.5290045586992</v>
      </c>
      <c r="I6259" s="36" t="n">
        <f aca="false">Sens!$I$6258*1000/(Sens!$I$6241*Sens!$I$6242)</f>
        <v>10.8576363451674</v>
      </c>
      <c r="J6259" s="36" t="n">
        <f aca="false">Sens!$J$6258*1000/(Sens!$J$6241*Sens!$J$6242)</f>
        <v>11.0164452588619</v>
      </c>
      <c r="K6259" s="36" t="n">
        <f aca="false">Sens!$K$6258*1000/(Sens!$K$6241*Sens!$K$6242)</f>
        <v>11.1094778327388</v>
      </c>
      <c r="L6259" s="36" t="n">
        <f aca="false">Sens!$L$6258*1000/(Sens!$L$6241*Sens!$L$6242)</f>
        <v>11.1704953466718</v>
      </c>
      <c r="M6259" s="36" t="n">
        <f aca="false">Sens!$M$6258*1000/(Sens!$M$6241*Sens!$M$6242)</f>
        <v>11.2135729785158</v>
      </c>
      <c r="N6259" s="36" t="n">
        <f aca="false">Sens!$N$6258*1000/(Sens!$N$6241*Sens!$N$6242)</f>
        <v>9.67085565405685</v>
      </c>
      <c r="O6259" s="36" t="n">
        <f aca="false">Sens!$O$6258*1000/(Sens!$O$6241*Sens!$O$6242)</f>
        <v>9.67085565405685</v>
      </c>
    </row>
    <row r="6260" customFormat="false" ht="17.15" hidden="false" customHeight="false" outlineLevel="0" collapsed="false">
      <c r="A6260" s="0" t="s">
        <v>577</v>
      </c>
      <c r="B6260" s="0" t="s">
        <v>73</v>
      </c>
      <c r="C6260" s="38" t="n">
        <f aca="false">Sens!$C$6241/ext_sh*(ox_open+rent_mw)*Sens!$C$6242/1000</f>
        <v>0.642569210675032</v>
      </c>
      <c r="D6260" s="38" t="n">
        <f aca="false">Sens!$D$6241/ext_sh*(ox_open+rent_mw)*Sens!$D$6242/1000</f>
        <v>2.40963454003137</v>
      </c>
      <c r="E6260" s="38" t="n">
        <f aca="false">Sens!$E$6241/ext_sh*(ox_open+rent_mw)*Sens!$E$6242/1000</f>
        <v>2.35608710580845</v>
      </c>
      <c r="F6260" s="38" t="n">
        <f aca="false">((mw_open*ox_open+Sens!$F$6256*Sens!$F$6254)/ext_sh+Sens!$F$6241/ext_sh*rent_mw)*Sens!$F$6242/1000</f>
        <v>4.05421991106232</v>
      </c>
      <c r="G6260" s="38" t="n">
        <f aca="false">Sens!$E$6260+Sens!$F$6260</f>
        <v>6.41030701687077</v>
      </c>
      <c r="H6260" s="38" t="n">
        <f aca="false">((mw_open*ox_open+Sens!$H$6256*Sens!$H$6254)/ext_sh+Sens!$H$6241/ext_sh*rent_mw)*Sens!$H$6242/1000</f>
        <v>15.8108975546616</v>
      </c>
      <c r="I6260" s="38" t="n">
        <f aca="false">((mw_open*ox_open+Sens!$I$6256*Sens!$I$6254)/ext_sh+Sens!$I$6241/ext_sh*rent_mw)*Sens!$I$6242/1000</f>
        <v>26.1871623400817</v>
      </c>
      <c r="J6260" s="38" t="n">
        <f aca="false">((mw_open*ox_open+Sens!$J$6256*Sens!$J$6254)/ext_sh+Sens!$J$6241/ext_sh*rent_mw)*Sens!$J$6242/1000</f>
        <v>36.5826128954935</v>
      </c>
      <c r="K6260" s="38" t="n">
        <f aca="false">((mw_open*ox_open+Sens!$K$6256*Sens!$K$6254)/ext_sh+Sens!$K$6241/ext_sh*rent_mw)*Sens!$K$6242/1000</f>
        <v>46.9844587075692</v>
      </c>
      <c r="L6260" s="38" t="n">
        <f aca="false">((mw_open*ox_open+Sens!$L$6256*Sens!$L$6254)/ext_sh+Sens!$L$6241/ext_sh*rent_mw)*Sens!$L$6242/1000</f>
        <v>57.3892114544922</v>
      </c>
      <c r="M6260" s="38" t="n">
        <f aca="false">((mw_open*ox_open+Sens!$M$6256*Sens!$M$6254)/ext_sh+Sens!$M$6241/ext_sh*rent_mw)*Sens!$M$6242/1000</f>
        <v>67.7955294740252</v>
      </c>
      <c r="N6260" s="38" t="n">
        <f aca="false">Sens!$N$6241/ext_sh*(ox_open+rent_mw)*Sens!$N$6242/1000</f>
        <v>0.84337208901098</v>
      </c>
      <c r="O6260" s="38" t="n">
        <f aca="false">Sens!$O$6241/ext_sh*(ox_open+rent_mw)*Sens!$O$6242/1000</f>
        <v>1.56626245102039</v>
      </c>
    </row>
    <row r="6261" customFormat="false" ht="17.15" hidden="false" customHeight="false" outlineLevel="0" collapsed="false">
      <c r="A6261" s="0" t="s">
        <v>578</v>
      </c>
      <c r="B6261" s="0" t="s">
        <v>73</v>
      </c>
      <c r="C6261" s="38" t="n">
        <f aca="false">Q!$D$7</f>
        <v>107.556</v>
      </c>
      <c r="D6261" s="38" t="n">
        <f aca="false">Q!$E$7</f>
        <v>128.725</v>
      </c>
      <c r="E6261" s="38" t="n">
        <f aca="false">Q!$P$7</f>
        <v>79.819</v>
      </c>
      <c r="N6261" s="38" t="n">
        <f aca="false">Q!$N$7</f>
        <v>60.14</v>
      </c>
      <c r="O6261" s="38" t="n">
        <f aca="false">Q!$O$7</f>
        <v>68.585</v>
      </c>
    </row>
    <row r="6262" customFormat="false" ht="17.15" hidden="false" customHeight="false" outlineLevel="0" collapsed="false">
      <c r="A6262" s="1" t="s">
        <v>579</v>
      </c>
      <c r="B6262" s="8" t="s">
        <v>73</v>
      </c>
      <c r="C6262" s="38" t="n">
        <f aca="false">Sens!$C$6261-Sens!$C$6258</f>
        <v>105.234994643026</v>
      </c>
      <c r="D6262" s="38" t="n">
        <f aca="false">Sens!$D$6261-Sens!$D$6258</f>
        <v>120.021229911349</v>
      </c>
      <c r="E6262" s="38" t="n">
        <f aca="false">Sens!$E$6261-Sens!$E$6258</f>
        <v>71.30864702443</v>
      </c>
      <c r="F6262" s="38" t="n">
        <f aca="false">Sens!$O$6262*(1+Sens!$F$6263)</f>
        <v>78.5950104186653</v>
      </c>
      <c r="G6262" s="38" t="n">
        <f aca="false">Sens!$E$6262+Sens!$F$6262</f>
        <v>149.903657443095</v>
      </c>
      <c r="H6262" s="38" t="n">
        <f aca="false">Sens!$G$6262*(1+Sens!$H$6263)</f>
        <v>180.893560768142</v>
      </c>
      <c r="I6262" s="38" t="n">
        <f aca="false">Sens!$H$6262*(1+Sens!$I$6263)</f>
        <v>210.64839721501</v>
      </c>
      <c r="J6262" s="38" t="n">
        <f aca="false">Sens!$I$6262*(1+Sens!$J$6263)</f>
        <v>236.398909446495</v>
      </c>
      <c r="K6262" s="38" t="n">
        <f aca="false">Sens!$J$6262*(1+Sens!$K$6263)</f>
        <v>255.310822202215</v>
      </c>
      <c r="L6262" s="38" t="n">
        <f aca="false">Sens!$K$6262*(1+Sens!$L$6263)</f>
        <v>275.735687978392</v>
      </c>
      <c r="M6262" s="38" t="n">
        <f aca="false">Sens!$L$6262*(1+Sens!$M$6263)</f>
        <v>297.794543016663</v>
      </c>
      <c r="N6262" s="38" t="n">
        <f aca="false">Sens!$N$6261-Sens!$N$6258</f>
        <v>57.0936804689721</v>
      </c>
      <c r="O6262" s="38" t="n">
        <f aca="false">Sens!$O$6261-Sens!$O$6258</f>
        <v>62.9275494423768</v>
      </c>
      <c r="P6262" s="5" t="s">
        <v>580</v>
      </c>
    </row>
    <row r="6263" customFormat="false" ht="17.15" hidden="false" customHeight="false" outlineLevel="0" collapsed="false">
      <c r="A6263" s="0" t="s">
        <v>581</v>
      </c>
      <c r="B6263" s="0" t="s">
        <v>52</v>
      </c>
      <c r="E6263" s="12" t="n">
        <f aca="false">Sens!$E$6262/Sens!$N$6262-1</f>
        <v>0.248976181579029</v>
      </c>
      <c r="F6263" s="12" t="n">
        <f aca="false">Sens!$E$6263</f>
        <v>0.248976181579029</v>
      </c>
      <c r="G6263" s="12" t="n">
        <f aca="false">Sens!$G$6262/Sens!$D$6262-1</f>
        <v>0.248976181579029</v>
      </c>
      <c r="H6263" s="12" t="n">
        <f aca="false">Sens!$E$6263+(g_awso_lt-Sens!$E$6263)*1/4</f>
        <v>0.206732136184272</v>
      </c>
      <c r="I6263" s="12" t="n">
        <f aca="false">Sens!$E$6263+(g_awso_lt-Sens!$E$6263)*2/4</f>
        <v>0.164488090789515</v>
      </c>
      <c r="J6263" s="12" t="n">
        <f aca="false">Sens!$E$6263+(g_awso_lt-Sens!$E$6263)*3/4</f>
        <v>0.122244045394757</v>
      </c>
      <c r="K6263" s="12" t="n">
        <f aca="false">Sens!$E$6263+(g_awso_lt-Sens!$E$6263)*4/4</f>
        <v>0.08</v>
      </c>
      <c r="L6263" s="12" t="n">
        <f aca="false">g_awso_lt</f>
        <v>0.08</v>
      </c>
      <c r="M6263" s="12" t="n">
        <f aca="false">g_awso_lt</f>
        <v>0.08</v>
      </c>
      <c r="P6263" s="8" t="s">
        <v>582</v>
      </c>
    </row>
    <row r="6264" customFormat="false" ht="17.15" hidden="false" customHeight="false" outlineLevel="0" collapsed="false">
      <c r="A6264" s="1" t="s">
        <v>583</v>
      </c>
    </row>
    <row r="6265" customFormat="false" ht="17.15" hidden="false" customHeight="false" outlineLevel="0" collapsed="false">
      <c r="A6265" s="0" t="s">
        <v>584</v>
      </c>
      <c r="B6265" s="0" t="s">
        <v>73</v>
      </c>
      <c r="F6265" s="38" t="n">
        <f aca="false">cx_rt*Sens!$F$6231+cx_awso*Sens!$F$6262</f>
        <v>36.8045765066526</v>
      </c>
    </row>
    <row r="6266" customFormat="false" ht="17.15" hidden="false" customHeight="false" outlineLevel="0" collapsed="false">
      <c r="A6266" s="0" t="s">
        <v>585</v>
      </c>
      <c r="B6266" s="0" t="s">
        <v>52</v>
      </c>
      <c r="C6266" s="12" t="n">
        <f aca="false">tk_cx_h100/(tk_cx_h100+tk_fac*(1-colo_sh))</f>
        <v>0.730756458006641</v>
      </c>
      <c r="D6266" s="12" t="n">
        <f aca="false">tk_cx_h100/(tk_cx_h100+tk_fac*(1-colo_sh))</f>
        <v>0.730756458006641</v>
      </c>
      <c r="E6266" s="12" t="n">
        <f aca="false">Sens!$F$6266</f>
        <v>0.760792334328868</v>
      </c>
      <c r="F6266" s="12" t="n">
        <f aca="false">Sens!$F$6249/(Sens!$F$6249+tk_fac*(1-colo_sh))</f>
        <v>0.760792334328868</v>
      </c>
      <c r="G6266" s="12" t="n">
        <f aca="false">Sens!$G$6249/(Sens!$G$6249+tk_fac*(1-colo_sh))</f>
        <v>0.760792334328868</v>
      </c>
      <c r="H6266" s="12" t="n">
        <f aca="false">Sens!$H$6249/(Sens!$H$6249+tk_fac*(1-colo_sh))</f>
        <v>0.768110668862996</v>
      </c>
      <c r="I6266" s="12" t="n">
        <f aca="false">Sens!$I$6249/(Sens!$I$6249+tk_fac*(1-colo_sh))</f>
        <v>0.77499450139483</v>
      </c>
      <c r="J6266" s="12" t="n">
        <f aca="false">Sens!$J$6249/(Sens!$J$6249+tk_fac*(1-colo_sh))</f>
        <v>0.77499450139483</v>
      </c>
      <c r="K6266" s="12" t="n">
        <f aca="false">Sens!$K$6249/(Sens!$K$6249+tk_fac*(1-colo_sh))</f>
        <v>0.77499450139483</v>
      </c>
      <c r="L6266" s="12" t="n">
        <f aca="false">Sens!$L$6249/(Sens!$L$6249+tk_fac*(1-colo_sh))</f>
        <v>0.77499450139483</v>
      </c>
      <c r="M6266" s="12" t="n">
        <f aca="false">Sens!$M$6249/(Sens!$M$6249+tk_fac*(1-colo_sh))</f>
        <v>0.77499450139483</v>
      </c>
    </row>
    <row r="6267" customFormat="false" ht="17.15" hidden="false" customHeight="false" outlineLevel="0" collapsed="false">
      <c r="A6267" s="1" t="s">
        <v>586</v>
      </c>
      <c r="B6267" s="8" t="s">
        <v>73</v>
      </c>
      <c r="C6267" s="38" t="n">
        <f aca="false">Q!$D$46-cx_rt*Q!$D$16-cx_awso*Sens!$C$6262</f>
        <v>25.2781053077374</v>
      </c>
      <c r="D6267" s="38" t="n">
        <f aca="false">Q!$E$46-cx_rt*Q!$E$16-cx_awso*Sens!$D$6262</f>
        <v>69.5686316310026</v>
      </c>
      <c r="E6267" s="38" t="n">
        <f aca="false">Q!$P$46-cx_rt*Q!$P$16-cx_awso*Sens!$E$6262</f>
        <v>64.1899206485108</v>
      </c>
      <c r="F6267" s="38" t="n">
        <f aca="false">MAX(Sens!$F$6244*(Sens!$F$6249+tk_fac*(1-colo_sh))/1000,capex_g26-Q!$P$46-Sens!$F$6265)</f>
        <v>96.2481299895</v>
      </c>
      <c r="G6267" s="38" t="n">
        <f aca="false">Sens!$E$6267+Sens!$F$6267</f>
        <v>160.438050638011</v>
      </c>
      <c r="H6267" s="38" t="n">
        <f aca="false">Sens!$H$6244*(Sens!$H$6249+tk_fac*(1-colo_sh))/1000+Sens!$H$6268</f>
        <v>198.57136494475</v>
      </c>
      <c r="I6267" s="38" t="n">
        <f aca="false">Sens!$I$6244*(Sens!$I$6249+tk_fac*(1-colo_sh))/1000+Sens!$I$6268</f>
        <v>204.6464699105</v>
      </c>
      <c r="J6267" s="38" t="n">
        <f aca="false">Sens!$J$6244*(Sens!$J$6249+tk_fac*(1-colo_sh))/1000+Sens!$J$6268</f>
        <v>209.8832381105</v>
      </c>
      <c r="K6267" s="38" t="n">
        <f aca="false">Sens!$K$6244*(Sens!$K$6249+tk_fac*(1-colo_sh))/1000+Sens!$K$6268</f>
        <v>215.1200063105</v>
      </c>
      <c r="L6267" s="38" t="n">
        <f aca="false">Sens!$L$6244*(Sens!$L$6249+tk_fac*(1-colo_sh))/1000+Sens!$L$6268</f>
        <v>251.7773837105</v>
      </c>
      <c r="M6267" s="38" t="n">
        <f aca="false">Sens!$M$6244*(Sens!$M$6249+tk_fac*(1-colo_sh))/1000+Sens!$M$6268</f>
        <v>311.87584476575</v>
      </c>
      <c r="P6267" s="5" t="s">
        <v>587</v>
      </c>
      <c r="R6267" s="38" t="n">
        <f aca="false">Q!$C$46-cx_rt*Q!$C$16-cx_awso*(Q!$C$7-mw_ye23/2*rpm_open/1000)</f>
        <v>1.50429979529945</v>
      </c>
      <c r="S6267" s="38" t="n">
        <f aca="false">Sens!$C$6267</f>
        <v>25.2781053077374</v>
      </c>
      <c r="T6267" s="38" t="n">
        <f aca="false">Sens!$D$6267</f>
        <v>69.5686316310026</v>
      </c>
      <c r="U6267" s="38" t="n">
        <f aca="false">Sens!$G$6267</f>
        <v>160.438050638011</v>
      </c>
      <c r="V6267" s="38" t="n">
        <f aca="false">Sens!$H$6267</f>
        <v>198.57136494475</v>
      </c>
      <c r="W6267" s="38" t="n">
        <f aca="false">Sens!$I$6267</f>
        <v>204.6464699105</v>
      </c>
      <c r="X6267" s="38" t="n">
        <f aca="false">Sens!$J$6267</f>
        <v>209.8832381105</v>
      </c>
      <c r="Y6267" s="38" t="n">
        <f aca="false">Sens!$K$6267</f>
        <v>215.1200063105</v>
      </c>
      <c r="Z6267" s="38" t="n">
        <f aca="false">Sens!$L$6267</f>
        <v>251.7773837105</v>
      </c>
      <c r="AA6267" s="38" t="n">
        <f aca="false">Sens!$M$6267</f>
        <v>311.87584476575</v>
      </c>
    </row>
    <row r="6268" customFormat="false" ht="17.15" hidden="false" customHeight="false" outlineLevel="0" collapsed="false">
      <c r="A6268" s="0" t="s">
        <v>588</v>
      </c>
      <c r="B6268" s="0" t="s">
        <v>73</v>
      </c>
      <c r="H6268" s="38" t="n">
        <f aca="false">SUMPRODUCT(--(Sens!$R$6238:$AA$6238=2027-tk_life),Sens!$R$6244:$AA$6244)*Sens!$H$6249/1000</f>
        <v>0</v>
      </c>
      <c r="I6268" s="38" t="n">
        <f aca="false">SUMPRODUCT(--(Sens!$R$6238:$AA$6238=2028-tk_life),Sens!$R$6244:$AA$6244)*Sens!$I$6249/1000</f>
        <v>0</v>
      </c>
      <c r="J6268" s="38" t="n">
        <f aca="false">SUMPRODUCT(--(Sens!$R$6238:$AA$6238=2029-tk_life),Sens!$R$6244:$AA$6244)*Sens!$J$6249/1000</f>
        <v>5.2367682</v>
      </c>
      <c r="K6268" s="38" t="n">
        <f aca="false">SUMPRODUCT(--(Sens!$R$6238:$AA$6238=2030-tk_life),Sens!$R$6244:$AA$6244)*Sens!$K$6249/1000</f>
        <v>10.4735364</v>
      </c>
      <c r="L6268" s="38" t="n">
        <f aca="false">SUMPRODUCT(--(Sens!$R$6238:$AA$6238=2031-tk_life),Sens!$R$6244:$AA$6244)*Sens!$L$6249/1000</f>
        <v>47.1309138</v>
      </c>
      <c r="M6268" s="38" t="n">
        <f aca="false">SUMPRODUCT(--(Sens!$R$6238:$AA$6238=2032-tk_life),Sens!$R$6244:$AA$6244)*Sens!$M$6249/1000</f>
        <v>107.22937485525</v>
      </c>
    </row>
    <row r="6269" customFormat="false" ht="17.15" hidden="false" customHeight="false" outlineLevel="0" collapsed="false">
      <c r="A6269" s="5" t="s">
        <v>589</v>
      </c>
      <c r="B6269" s="0" t="s">
        <v>73</v>
      </c>
      <c r="C6269" s="38" t="n">
        <f aca="false">Sens!$C$6267*Sens!$C$6266</f>
        <v>18.472138699801</v>
      </c>
      <c r="D6269" s="38" t="n">
        <f aca="false">Sens!$D$6267*Sens!$D$6266</f>
        <v>50.8377268390402</v>
      </c>
      <c r="E6269" s="38" t="n">
        <f aca="false">Sens!$E$6267*Sens!$E$6266</f>
        <v>48.8351995705653</v>
      </c>
      <c r="F6269" s="38" t="n">
        <f aca="false">Sens!$F$6267*Sens!$F$6266</f>
        <v>73.2248394895</v>
      </c>
      <c r="G6269" s="38" t="n">
        <f aca="false">Sens!$E$6269+Sens!$F$6269</f>
        <v>122.060039060065</v>
      </c>
      <c r="H6269" s="38" t="n">
        <f aca="false">(Sens!$H$6267-Sens!$H$6268)*Sens!$H$6266+Sens!$H$6268</f>
        <v>152.52478394475</v>
      </c>
      <c r="I6269" s="38" t="n">
        <f aca="false">(Sens!$I$6267-Sens!$I$6268)*Sens!$I$6266+Sens!$I$6268</f>
        <v>158.5998889105</v>
      </c>
      <c r="J6269" s="38" t="n">
        <f aca="false">(Sens!$J$6267-Sens!$J$6268)*Sens!$J$6266+Sens!$J$6268</f>
        <v>163.8366571105</v>
      </c>
      <c r="K6269" s="38" t="n">
        <f aca="false">(Sens!$K$6267-Sens!$K$6268)*Sens!$K$6266+Sens!$K$6268</f>
        <v>169.0734253105</v>
      </c>
      <c r="L6269" s="38" t="n">
        <f aca="false">(Sens!$L$6267-Sens!$L$6268)*Sens!$L$6266+Sens!$L$6268</f>
        <v>205.7308027105</v>
      </c>
      <c r="M6269" s="38" t="n">
        <f aca="false">(Sens!$M$6267-Sens!$M$6268)*Sens!$M$6266+Sens!$M$6268</f>
        <v>265.82926376575</v>
      </c>
      <c r="R6269" s="38" t="n">
        <f aca="false">Sens!$R$6267*Sens!$C$6266</f>
        <v>1.09927679019314</v>
      </c>
      <c r="S6269" s="38" t="n">
        <f aca="false">Sens!$C$6269</f>
        <v>18.472138699801</v>
      </c>
      <c r="T6269" s="38" t="n">
        <f aca="false">Sens!$D$6269</f>
        <v>50.8377268390402</v>
      </c>
      <c r="U6269" s="38" t="n">
        <f aca="false">Sens!$G$6269</f>
        <v>122.060039060065</v>
      </c>
      <c r="V6269" s="38" t="n">
        <f aca="false">Sens!$H$6269</f>
        <v>152.52478394475</v>
      </c>
      <c r="W6269" s="38" t="n">
        <f aca="false">Sens!$I$6269</f>
        <v>158.5998889105</v>
      </c>
      <c r="X6269" s="38" t="n">
        <f aca="false">Sens!$J$6269</f>
        <v>163.8366571105</v>
      </c>
      <c r="Y6269" s="38" t="n">
        <f aca="false">Sens!$K$6269</f>
        <v>169.0734253105</v>
      </c>
      <c r="Z6269" s="38" t="n">
        <f aca="false">Sens!$L$6269</f>
        <v>205.7308027105</v>
      </c>
      <c r="AA6269" s="38" t="n">
        <f aca="false">Sens!$M$6269</f>
        <v>265.82926376575</v>
      </c>
    </row>
    <row r="6270" customFormat="false" ht="15" hidden="false" customHeight="false" outlineLevel="0" collapsed="false">
      <c r="A6270" s="5" t="s">
        <v>590</v>
      </c>
      <c r="B6270" s="0" t="s">
        <v>73</v>
      </c>
      <c r="R6270" s="38" t="n">
        <f aca="false">Sens!$R$6267-Sens!$R$6269</f>
        <v>0.405023005106309</v>
      </c>
      <c r="S6270" s="38" t="n">
        <f aca="false">Sens!$S$6267-Sens!$S$6269</f>
        <v>6.80596660793636</v>
      </c>
      <c r="T6270" s="38" t="n">
        <f aca="false">Sens!$T$6267-Sens!$T$6269</f>
        <v>18.7309047919624</v>
      </c>
      <c r="U6270" s="38" t="n">
        <f aca="false">Sens!$U$6267-Sens!$U$6269</f>
        <v>38.3780115779455</v>
      </c>
      <c r="V6270" s="38" t="n">
        <f aca="false">Sens!$V$6267-Sens!$V$6269</f>
        <v>46.046581</v>
      </c>
      <c r="W6270" s="38" t="n">
        <f aca="false">Sens!$W$6267-Sens!$W$6269</f>
        <v>46.046581</v>
      </c>
      <c r="X6270" s="38" t="n">
        <f aca="false">Sens!$X$6267-Sens!$X$6269</f>
        <v>46.046581</v>
      </c>
      <c r="Y6270" s="38" t="n">
        <f aca="false">Sens!$Y$6267-Sens!$Y$6269</f>
        <v>46.046581</v>
      </c>
      <c r="Z6270" s="38" t="n">
        <f aca="false">Sens!$Z$6267-Sens!$Z$6269</f>
        <v>46.046581</v>
      </c>
      <c r="AA6270" s="38" t="n">
        <f aca="false">Sens!$AA$6267-Sens!$AA$6269</f>
        <v>46.046581</v>
      </c>
    </row>
    <row r="6271" customFormat="false" ht="17.15" hidden="false" customHeight="false" outlineLevel="0" collapsed="false">
      <c r="A6271" s="0" t="s">
        <v>591</v>
      </c>
      <c r="B6271" s="0" t="s">
        <v>73</v>
      </c>
      <c r="C6271" s="38" t="n">
        <f aca="false">Sens!$S$6271</f>
        <v>0.183212798365523</v>
      </c>
      <c r="D6271" s="38" t="n">
        <f aca="false">Sens!$T$6271</f>
        <v>3.2619025816657</v>
      </c>
      <c r="E6271" s="38" t="n">
        <f aca="false">Sens!$G$6271/2</f>
        <v>5.86742852741953</v>
      </c>
      <c r="F6271" s="38" t="n">
        <f aca="false">Sens!$G$6271/2</f>
        <v>5.86742852741953</v>
      </c>
      <c r="G6271" s="38" t="n">
        <f aca="false">Sens!$U$6271</f>
        <v>11.7348570548391</v>
      </c>
      <c r="H6271" s="38" t="n">
        <f aca="false">Sens!$V$6271</f>
        <v>32.0781968981833</v>
      </c>
      <c r="I6271" s="38" t="n">
        <f aca="false">Sens!$W$6271</f>
        <v>57.4989942223083</v>
      </c>
      <c r="J6271" s="38" t="n">
        <f aca="false">Sens!$X$6271</f>
        <v>83.932309040725</v>
      </c>
      <c r="K6271" s="38" t="n">
        <f aca="false">Sens!$Y$6271</f>
        <v>111.055205760776</v>
      </c>
      <c r="L6271" s="38" t="n">
        <f aca="false">Sens!$Z$6271</f>
        <v>136.155420195893</v>
      </c>
      <c r="M6271" s="38" t="n">
        <f aca="false">Sens!$AA$6271</f>
        <v>161.970932841136</v>
      </c>
      <c r="N6271" s="38" t="n">
        <f aca="false">Sens!$D$6271/2</f>
        <v>1.63095129083285</v>
      </c>
      <c r="O6271" s="38" t="n">
        <f aca="false">Sens!$D$6271/2</f>
        <v>1.63095129083285</v>
      </c>
      <c r="R6271" s="38" t="n">
        <f aca="false">SUMPRODUCT(--(Sens!$R$6238:$AA$6238&lt;Sens!R$6238),--(Sens!$R$6238:$AA$6238&gt;=Sens!R$6238-tk_life),Sens!$R$6269:$AA$6269)/tk_life</f>
        <v>0</v>
      </c>
      <c r="S6271" s="38" t="n">
        <f aca="false">SUMPRODUCT(--(Sens!$R$6238:$AA$6238&lt;Sens!S$6238),--(Sens!$R$6238:$AA$6238&gt;=Sens!S$6238-tk_life),Sens!$R$6269:$AA$6269)/tk_life</f>
        <v>0.183212798365523</v>
      </c>
      <c r="T6271" s="38" t="n">
        <f aca="false">SUMPRODUCT(--(Sens!$R$6238:$AA$6238&lt;Sens!T$6238),--(Sens!$R$6238:$AA$6238&gt;=Sens!T$6238-tk_life),Sens!$R$6269:$AA$6269)/tk_life</f>
        <v>3.2619025816657</v>
      </c>
      <c r="U6271" s="38" t="n">
        <f aca="false">SUMPRODUCT(--(Sens!$R$6238:$AA$6238&lt;Sens!U$6238),--(Sens!$R$6238:$AA$6238&gt;=Sens!U$6238-tk_life),Sens!$R$6269:$AA$6269)/tk_life</f>
        <v>11.7348570548391</v>
      </c>
      <c r="V6271" s="38" t="n">
        <f aca="false">SUMPRODUCT(--(Sens!$R$6238:$AA$6238&lt;Sens!V$6238),--(Sens!$R$6238:$AA$6238&gt;=Sens!V$6238-tk_life),Sens!$R$6269:$AA$6269)/tk_life</f>
        <v>32.0781968981833</v>
      </c>
      <c r="W6271" s="38" t="n">
        <f aca="false">SUMPRODUCT(--(Sens!$R$6238:$AA$6238&lt;Sens!W$6238),--(Sens!$R$6238:$AA$6238&gt;=Sens!W$6238-tk_life),Sens!$R$6269:$AA$6269)/tk_life</f>
        <v>57.4989942223083</v>
      </c>
      <c r="X6271" s="38" t="n">
        <f aca="false">SUMPRODUCT(--(Sens!$R$6238:$AA$6238&lt;Sens!X$6238),--(Sens!$R$6238:$AA$6238&gt;=Sens!X$6238-tk_life),Sens!$R$6269:$AA$6269)/tk_life</f>
        <v>83.932309040725</v>
      </c>
      <c r="Y6271" s="38" t="n">
        <f aca="false">SUMPRODUCT(--(Sens!$R$6238:$AA$6238&lt;Sens!Y$6238),--(Sens!$R$6238:$AA$6238&gt;=Sens!Y$6238-tk_life),Sens!$R$6269:$AA$6269)/tk_life</f>
        <v>111.055205760776</v>
      </c>
      <c r="Z6271" s="38" t="n">
        <f aca="false">SUMPRODUCT(--(Sens!$R$6238:$AA$6238&lt;Sens!Z$6238),--(Sens!$R$6238:$AA$6238&gt;=Sens!Z$6238-tk_life),Sens!$R$6269:$AA$6269)/tk_life</f>
        <v>136.155420195893</v>
      </c>
      <c r="AA6271" s="38" t="n">
        <f aca="false">SUMPRODUCT(--(Sens!$R$6238:$AA$6238&lt;Sens!AA$6238),--(Sens!$R$6238:$AA$6238&gt;=Sens!AA$6238-tk_life),Sens!$R$6269:$AA$6269)/tk_life</f>
        <v>161.970932841136</v>
      </c>
    </row>
    <row r="6272" customFormat="false" ht="17.15" hidden="false" customHeight="false" outlineLevel="0" collapsed="false">
      <c r="A6272" s="0" t="s">
        <v>592</v>
      </c>
      <c r="B6272" s="0" t="s">
        <v>73</v>
      </c>
      <c r="C6272" s="38" t="n">
        <f aca="false">Sens!$S$6272</f>
        <v>0.0202511502553155</v>
      </c>
      <c r="D6272" s="38" t="n">
        <f aca="false">Sens!$T$6272</f>
        <v>0.360549480652134</v>
      </c>
      <c r="E6272" s="38" t="n">
        <f aca="false">Sens!$G$6272/2</f>
        <v>0.648547360125127</v>
      </c>
      <c r="F6272" s="38" t="n">
        <f aca="false">Sens!$G$6272/2</f>
        <v>0.648547360125127</v>
      </c>
      <c r="G6272" s="38" t="n">
        <f aca="false">Sens!$U$6272</f>
        <v>1.29709472025025</v>
      </c>
      <c r="H6272" s="38" t="n">
        <f aca="false">Sens!$V$6272</f>
        <v>3.21599529914753</v>
      </c>
      <c r="I6272" s="38" t="n">
        <f aca="false">Sens!$W$6272</f>
        <v>5.51832434914753</v>
      </c>
      <c r="J6272" s="38" t="n">
        <f aca="false">Sens!$X$6272</f>
        <v>7.82065339914753</v>
      </c>
      <c r="K6272" s="38" t="n">
        <f aca="false">Sens!$Y$6272</f>
        <v>10.1229824491475</v>
      </c>
      <c r="L6272" s="38" t="n">
        <f aca="false">Sens!$Z$6272</f>
        <v>12.4253114991475</v>
      </c>
      <c r="M6272" s="38" t="n">
        <f aca="false">Sens!$AA$6272</f>
        <v>14.7276405491475</v>
      </c>
      <c r="N6272" s="38" t="n">
        <f aca="false">Sens!$D$6272/2</f>
        <v>0.180274740326067</v>
      </c>
      <c r="O6272" s="38" t="n">
        <f aca="false">Sens!$D$6272/2</f>
        <v>0.180274740326067</v>
      </c>
      <c r="R6272" s="38" t="n">
        <f aca="false">SUMPRODUCT(--(Sens!$R$6238:$AA$6238&lt;Sens!R$6238),Sens!$R$6270:$AA$6270)/fac_life</f>
        <v>0</v>
      </c>
      <c r="S6272" s="38" t="n">
        <f aca="false">SUMPRODUCT(--(Sens!$R$6238:$AA$6238&lt;Sens!S$6238),Sens!$R$6270:$AA$6270)/fac_life</f>
        <v>0.0202511502553155</v>
      </c>
      <c r="T6272" s="38" t="n">
        <f aca="false">SUMPRODUCT(--(Sens!$R$6238:$AA$6238&lt;Sens!T$6238),Sens!$R$6270:$AA$6270)/fac_life</f>
        <v>0.360549480652134</v>
      </c>
      <c r="U6272" s="38" t="n">
        <f aca="false">SUMPRODUCT(--(Sens!$R$6238:$AA$6238&lt;Sens!U$6238),Sens!$R$6270:$AA$6270)/fac_life</f>
        <v>1.29709472025025</v>
      </c>
      <c r="V6272" s="38" t="n">
        <f aca="false">SUMPRODUCT(--(Sens!$R$6238:$AA$6238&lt;Sens!V$6238),Sens!$R$6270:$AA$6270)/fac_life</f>
        <v>3.21599529914753</v>
      </c>
      <c r="W6272" s="38" t="n">
        <f aca="false">SUMPRODUCT(--(Sens!$R$6238:$AA$6238&lt;Sens!W$6238),Sens!$R$6270:$AA$6270)/fac_life</f>
        <v>5.51832434914753</v>
      </c>
      <c r="X6272" s="38" t="n">
        <f aca="false">SUMPRODUCT(--(Sens!$R$6238:$AA$6238&lt;Sens!X$6238),Sens!$R$6270:$AA$6270)/fac_life</f>
        <v>7.82065339914753</v>
      </c>
      <c r="Y6272" s="38" t="n">
        <f aca="false">SUMPRODUCT(--(Sens!$R$6238:$AA$6238&lt;Sens!Y$6238),Sens!$R$6270:$AA$6270)/fac_life</f>
        <v>10.1229824491475</v>
      </c>
      <c r="Z6272" s="38" t="n">
        <f aca="false">SUMPRODUCT(--(Sens!$R$6238:$AA$6238&lt;Sens!Z$6238),Sens!$R$6270:$AA$6270)/fac_life</f>
        <v>12.4253114991475</v>
      </c>
      <c r="AA6272" s="38" t="n">
        <f aca="false">SUMPRODUCT(--(Sens!$R$6238:$AA$6238&lt;Sens!AA$6238),Sens!$R$6270:$AA$6270)/fac_life</f>
        <v>14.7276405491475</v>
      </c>
    </row>
    <row r="6273" customFormat="false" ht="17.15" hidden="false" customHeight="false" outlineLevel="0" collapsed="false">
      <c r="A6273" s="1" t="s">
        <v>593</v>
      </c>
      <c r="B6273" s="8" t="s">
        <v>73</v>
      </c>
      <c r="C6273" s="38" t="n">
        <f aca="false">Sens!$C$6271+Sens!$C$6272</f>
        <v>0.203463948620839</v>
      </c>
      <c r="D6273" s="38" t="n">
        <f aca="false">Sens!$D$6271+Sens!$D$6272</f>
        <v>3.62245206231783</v>
      </c>
      <c r="E6273" s="38" t="n">
        <f aca="false">Sens!$E$6271+Sens!$E$6272</f>
        <v>6.51597588754466</v>
      </c>
      <c r="F6273" s="38" t="n">
        <f aca="false">Sens!$F$6271+Sens!$F$6272</f>
        <v>6.51597588754466</v>
      </c>
      <c r="G6273" s="38" t="n">
        <f aca="false">Sens!$G$6271+Sens!$G$6272</f>
        <v>13.0319517750893</v>
      </c>
      <c r="H6273" s="38" t="n">
        <f aca="false">Sens!$H$6271+Sens!$H$6272</f>
        <v>35.2941921973308</v>
      </c>
      <c r="I6273" s="38" t="n">
        <f aca="false">Sens!$I$6271+Sens!$I$6272</f>
        <v>63.0173185714558</v>
      </c>
      <c r="J6273" s="38" t="n">
        <f aca="false">Sens!$J$6271+Sens!$J$6272</f>
        <v>91.7529624398725</v>
      </c>
      <c r="K6273" s="38" t="n">
        <f aca="false">Sens!$K$6271+Sens!$K$6272</f>
        <v>121.178188209924</v>
      </c>
      <c r="L6273" s="38" t="n">
        <f aca="false">Sens!$L$6271+Sens!$L$6272</f>
        <v>148.58073169504</v>
      </c>
      <c r="M6273" s="38" t="n">
        <f aca="false">Sens!$M$6271+Sens!$M$6272</f>
        <v>176.698573390283</v>
      </c>
      <c r="N6273" s="38" t="n">
        <f aca="false">Sens!$N$6271+Sens!$N$6272</f>
        <v>1.81122603115892</v>
      </c>
      <c r="O6273" s="38" t="n">
        <f aca="false">Sens!$O$6271+Sens!$O$6272</f>
        <v>1.81122603115892</v>
      </c>
      <c r="R6273" s="38" t="n">
        <f aca="false">Sens!$R$6271+Sens!$R$6272</f>
        <v>0</v>
      </c>
      <c r="S6273" s="38" t="n">
        <f aca="false">Sens!$S$6271+Sens!$S$6272</f>
        <v>0.203463948620839</v>
      </c>
      <c r="T6273" s="38" t="n">
        <f aca="false">Sens!$T$6271+Sens!$T$6272</f>
        <v>3.62245206231783</v>
      </c>
      <c r="U6273" s="38" t="n">
        <f aca="false">Sens!$U$6271+Sens!$U$6272</f>
        <v>13.0319517750893</v>
      </c>
      <c r="V6273" s="38" t="n">
        <f aca="false">Sens!$V$6271+Sens!$V$6272</f>
        <v>35.2941921973308</v>
      </c>
      <c r="W6273" s="38" t="n">
        <f aca="false">Sens!$W$6271+Sens!$W$6272</f>
        <v>63.0173185714558</v>
      </c>
      <c r="X6273" s="38" t="n">
        <f aca="false">Sens!$X$6271+Sens!$X$6272</f>
        <v>91.7529624398725</v>
      </c>
      <c r="Y6273" s="38" t="n">
        <f aca="false">Sens!$Y$6271+Sens!$Y$6272</f>
        <v>121.178188209924</v>
      </c>
      <c r="Z6273" s="38" t="n">
        <f aca="false">Sens!$Z$6271+Sens!$Z$6272</f>
        <v>148.58073169504</v>
      </c>
      <c r="AA6273" s="38" t="n">
        <f aca="false">Sens!$AA$6271+Sens!$AA$6272</f>
        <v>176.698573390283</v>
      </c>
    </row>
    <row r="6274" customFormat="false" ht="17.15" hidden="false" customHeight="false" outlineLevel="0" collapsed="false">
      <c r="A6274" s="0" t="s">
        <v>594</v>
      </c>
      <c r="B6274" s="0" t="s">
        <v>73</v>
      </c>
      <c r="C6274" s="38" t="n">
        <f aca="false">Sens!$S$6274</f>
        <v>26.578941154416</v>
      </c>
      <c r="D6274" s="38" t="n">
        <f aca="false">Sens!$T$6274</f>
        <v>92.5251207231008</v>
      </c>
      <c r="G6274" s="38" t="n">
        <f aca="false">Sens!$U$6274</f>
        <v>239.931219586022</v>
      </c>
      <c r="H6274" s="38" t="n">
        <f aca="false">Sens!$V$6274</f>
        <v>403.208392333442</v>
      </c>
      <c r="I6274" s="38" t="n">
        <f aca="false">Sens!$W$6274</f>
        <v>544.837543672486</v>
      </c>
      <c r="J6274" s="38" t="n">
        <f aca="false">Sens!$X$6274</f>
        <v>662.967819343113</v>
      </c>
      <c r="K6274" s="38" t="n">
        <f aca="false">Sens!$Y$6274</f>
        <v>756.90963744369</v>
      </c>
      <c r="L6274" s="38" t="n">
        <f aca="false">Sens!$Z$6274</f>
        <v>860.10628945915</v>
      </c>
      <c r="M6274" s="38" t="n">
        <f aca="false">Sens!$AA$6274</f>
        <v>995.283560834616</v>
      </c>
      <c r="R6274" s="38" t="n">
        <f aca="false">SUM(Sens!$R$6267:$R$6267)-SUM(Sens!$R$6273:$R$6273)</f>
        <v>1.50429979529945</v>
      </c>
      <c r="S6274" s="38" t="n">
        <f aca="false">SUM(Sens!$R$6267:$S$6267)-SUM(Sens!$R$6273:$S$6273)</f>
        <v>26.578941154416</v>
      </c>
      <c r="T6274" s="38" t="n">
        <f aca="false">SUM(Sens!$R$6267:$T$6267)-SUM(Sens!$R$6273:$T$6273)</f>
        <v>92.5251207231008</v>
      </c>
      <c r="U6274" s="38" t="n">
        <f aca="false">SUM(Sens!$R$6267:$U$6267)-SUM(Sens!$R$6273:$U$6273)</f>
        <v>239.931219586022</v>
      </c>
      <c r="V6274" s="38" t="n">
        <f aca="false">SUM(Sens!$R$6267:$V$6267)-SUM(Sens!$R$6273:$V$6273)</f>
        <v>403.208392333442</v>
      </c>
      <c r="W6274" s="38" t="n">
        <f aca="false">SUM(Sens!$R$6267:$W$6267)-SUM(Sens!$R$6273:$W$6273)</f>
        <v>544.837543672486</v>
      </c>
      <c r="X6274" s="38" t="n">
        <f aca="false">SUM(Sens!$R$6267:$X$6267)-SUM(Sens!$R$6273:$X$6273)</f>
        <v>662.967819343113</v>
      </c>
      <c r="Y6274" s="38" t="n">
        <f aca="false">SUM(Sens!$R$6267:$Y$6267)-SUM(Sens!$R$6273:$Y$6273)</f>
        <v>756.90963744369</v>
      </c>
      <c r="Z6274" s="38" t="n">
        <f aca="false">SUM(Sens!$R$6267:$Z$6267)-SUM(Sens!$R$6273:$Z$6273)</f>
        <v>860.10628945915</v>
      </c>
      <c r="AA6274" s="38" t="n">
        <f aca="false">SUM(Sens!$R$6267:$AA$6267)-SUM(Sens!$R$6273:$AA$6273)</f>
        <v>995.283560834616</v>
      </c>
    </row>
    <row r="6275" customFormat="false" ht="17.15" hidden="false" customHeight="false" outlineLevel="0" collapsed="false">
      <c r="A6275" s="1" t="s">
        <v>595</v>
      </c>
    </row>
    <row r="6276" customFormat="false" ht="17.15" hidden="false" customHeight="false" outlineLevel="0" collapsed="false">
      <c r="A6276" s="0" t="s">
        <v>596</v>
      </c>
      <c r="B6276" s="0" t="s">
        <v>73</v>
      </c>
      <c r="C6276" s="38" t="n">
        <f aca="false">Sens!$C$6258-ext_sh*Sens!$C$6260</f>
        <v>1.80694998843362</v>
      </c>
      <c r="D6276" s="38" t="n">
        <f aca="false">Sens!$D$6258-ext_sh*Sens!$D$6260</f>
        <v>6.77606245662607</v>
      </c>
      <c r="E6276" s="38" t="n">
        <f aca="false">Sens!$E$6258-ext_sh*Sens!$E$6260</f>
        <v>6.62548329092326</v>
      </c>
      <c r="F6276" s="38" t="n">
        <f aca="false">Sens!$F$6258-ext_sh*Sens!$F$6260</f>
        <v>11.7200577158706</v>
      </c>
      <c r="G6276" s="38" t="n">
        <f aca="false">Sens!$G$6258-ext_sh*Sens!$G$6260</f>
        <v>18.3455410067939</v>
      </c>
      <c r="H6276" s="38" t="n">
        <f aca="false">Sens!$H$6258-ext_sh*Sens!$H$6260</f>
        <v>47.5171727060453</v>
      </c>
      <c r="I6276" s="38" t="n">
        <f aca="false">Sens!$I$6258-ext_sh*Sens!$I$6260</f>
        <v>80.5539692643667</v>
      </c>
      <c r="J6276" s="38" t="n">
        <f aca="false">Sens!$J$6258-ext_sh*Sens!$J$6260</f>
        <v>113.759316834883</v>
      </c>
      <c r="K6276" s="38" t="n">
        <f aca="false">Sens!$K$6258-ext_sh*Sens!$K$6260</f>
        <v>147.020848076132</v>
      </c>
      <c r="L6276" s="38" t="n">
        <f aca="false">Sens!$L$6258-ext_sh*Sens!$L$6260</f>
        <v>180.307917349531</v>
      </c>
      <c r="M6276" s="38" t="n">
        <f aca="false">Sens!$M$6258-ext_sh*Sens!$M$6260</f>
        <v>213.608737871012</v>
      </c>
      <c r="N6276" s="38" t="n">
        <f aca="false">Sens!$N$6258-ext_sh*Sens!$N$6260</f>
        <v>2.37162185981912</v>
      </c>
      <c r="O6276" s="38" t="n">
        <f aca="false">Sens!$O$6258-ext_sh*Sens!$O$6260</f>
        <v>4.40444059680694</v>
      </c>
    </row>
    <row r="6277" customFormat="false" ht="17.15" hidden="false" customHeight="false" outlineLevel="0" collapsed="false">
      <c r="A6277" s="1" t="s">
        <v>597</v>
      </c>
      <c r="B6277" s="8" t="s">
        <v>73</v>
      </c>
      <c r="C6277" s="38" t="n">
        <f aca="false">Sens!$C$6276-ext_sh*Sens!$C$6273</f>
        <v>1.64417882953695</v>
      </c>
      <c r="D6277" s="38" t="n">
        <f aca="false">Sens!$D$6276-ext_sh*Sens!$D$6273</f>
        <v>3.8781008067718</v>
      </c>
      <c r="E6277" s="38" t="n">
        <f aca="false">Sens!$E$6276-ext_sh*Sens!$E$6273</f>
        <v>1.41270258088753</v>
      </c>
      <c r="F6277" s="38" t="n">
        <f aca="false">Sens!$F$6276-ext_sh*Sens!$F$6273</f>
        <v>6.50727700583486</v>
      </c>
      <c r="G6277" s="38" t="n">
        <f aca="false">Sens!$G$6276-ext_sh*Sens!$G$6273</f>
        <v>7.9199795867224</v>
      </c>
      <c r="H6277" s="38" t="n">
        <f aca="false">Sens!$H$6276-ext_sh*Sens!$H$6273</f>
        <v>19.2818189481807</v>
      </c>
      <c r="I6277" s="38" t="n">
        <f aca="false">Sens!$I$6276-ext_sh*Sens!$I$6273</f>
        <v>30.140114407202</v>
      </c>
      <c r="J6277" s="38" t="n">
        <f aca="false">Sens!$J$6276-ext_sh*Sens!$J$6273</f>
        <v>40.3569468829854</v>
      </c>
      <c r="K6277" s="38" t="n">
        <f aca="false">Sens!$K$6276-ext_sh*Sens!$K$6273</f>
        <v>50.0782975081929</v>
      </c>
      <c r="L6277" s="38" t="n">
        <f aca="false">Sens!$L$6276-ext_sh*Sens!$L$6273</f>
        <v>61.443331993499</v>
      </c>
      <c r="M6277" s="38" t="n">
        <f aca="false">Sens!$M$6276-ext_sh*Sens!$M$6273</f>
        <v>72.2498791587849</v>
      </c>
      <c r="N6277" s="38" t="n">
        <f aca="false">Sens!$N$6276-ext_sh*Sens!$N$6273</f>
        <v>0.92264103489199</v>
      </c>
      <c r="O6277" s="38" t="n">
        <f aca="false">Sens!$O$6276-ext_sh*Sens!$O$6273</f>
        <v>2.95545977187981</v>
      </c>
    </row>
    <row r="6278" customFormat="false" ht="17.15" hidden="false" customHeight="false" outlineLevel="0" collapsed="false">
      <c r="A6278" s="0" t="s">
        <v>598</v>
      </c>
      <c r="B6278" s="0" t="s">
        <v>52</v>
      </c>
      <c r="C6278" s="12" t="n">
        <f aca="false">Sens!$C$6277/Sens!$C$6258</f>
        <v>0.708390794789371</v>
      </c>
      <c r="D6278" s="12" t="n">
        <f aca="false">Sens!$D$6277/Sens!$D$6258</f>
        <v>0.445565630441968</v>
      </c>
      <c r="E6278" s="12" t="n">
        <f aca="false">Sens!$E$6277/Sens!$E$6258</f>
        <v>0.165998118402711</v>
      </c>
      <c r="F6278" s="12" t="n">
        <f aca="false">Sens!$F$6277/Sens!$F$6258</f>
        <v>0.434878595403858</v>
      </c>
      <c r="G6278" s="12" t="n">
        <f aca="false">Sens!$G$6277/Sens!$G$6258</f>
        <v>0.3373967615381</v>
      </c>
      <c r="H6278" s="12" t="n">
        <f aca="false">Sens!$H$6277/Sens!$H$6258</f>
        <v>0.320477578041224</v>
      </c>
      <c r="I6278" s="12" t="n">
        <f aca="false">Sens!$I$6277/Sens!$I$6258</f>
        <v>0.296936118226494</v>
      </c>
      <c r="J6278" s="12" t="n">
        <f aca="false">Sens!$J$6277/Sens!$J$6258</f>
        <v>0.282166278613001</v>
      </c>
      <c r="K6278" s="12" t="n">
        <f aca="false">Sens!$K$6277/Sens!$K$6258</f>
        <v>0.271267685694333</v>
      </c>
      <c r="L6278" s="12" t="n">
        <f aca="false">Sens!$L$6277/Sens!$L$6258</f>
        <v>0.27160960915653</v>
      </c>
      <c r="M6278" s="12" t="n">
        <f aca="false">Sens!$M$6277/Sens!$M$6258</f>
        <v>0.26974494804234</v>
      </c>
      <c r="N6278" s="12" t="n">
        <f aca="false">Sens!$N$6277/Sens!$N$6258</f>
        <v>0.302870734830849</v>
      </c>
      <c r="O6278" s="12" t="n">
        <f aca="false">Sens!$O$6277/Sens!$O$6258</f>
        <v>0.52240134346334</v>
      </c>
    </row>
    <row r="6279" customFormat="false" ht="17.15" hidden="false" customHeight="false" outlineLevel="0" collapsed="false">
      <c r="A6279" s="5" t="s">
        <v>599</v>
      </c>
      <c r="B6279" s="0" t="s">
        <v>73</v>
      </c>
      <c r="C6279" s="38" t="n">
        <f aca="false">rd2*(1-ext_sh)/ext_sh*Sens!$C$6241*he_open*Sens!$C$6242/1000</f>
        <v>0</v>
      </c>
      <c r="D6279" s="38" t="n">
        <f aca="false">rd2*(1-ext_sh)/ext_sh*Sens!$D$6241*he_open*Sens!$D$6242/1000</f>
        <v>0</v>
      </c>
      <c r="E6279" s="38" t="n">
        <f aca="false">rd2*(1-ext_sh)/ext_sh*Sens!$E$6241*he_open*Sens!$E$6242/1000</f>
        <v>0</v>
      </c>
      <c r="F6279" s="38" t="n">
        <f aca="false">rd2*(1-ext_sh)/ext_sh*(mw_open*he_open+Sens!$F$6256*Sens!$F$6253)*Sens!$F$6242/1000</f>
        <v>0</v>
      </c>
      <c r="G6279" s="38" t="n">
        <f aca="false">Sens!$E$6279+Sens!$F$6279</f>
        <v>0</v>
      </c>
      <c r="H6279" s="38" t="n">
        <f aca="false">rd2*(1-ext_sh)/ext_sh*(mw_open*he_open+Sens!$H$6256*Sens!$H$6253)*Sens!$H$6242/1000</f>
        <v>0</v>
      </c>
      <c r="I6279" s="38" t="n">
        <f aca="false">rd2*(1-ext_sh)/ext_sh*(mw_open*he_open+Sens!$I$6256*Sens!$I$6253)*Sens!$I$6242/1000</f>
        <v>0</v>
      </c>
      <c r="J6279" s="38" t="n">
        <f aca="false">rd2*(1-ext_sh)/ext_sh*(mw_open*he_open+Sens!$J$6256*Sens!$J$6253)*Sens!$J$6242/1000</f>
        <v>0</v>
      </c>
      <c r="K6279" s="38" t="n">
        <f aca="false">rd2*(1-ext_sh)/ext_sh*(mw_open*he_open+Sens!$K$6256*Sens!$K$6253)*Sens!$K$6242/1000</f>
        <v>0</v>
      </c>
      <c r="L6279" s="38" t="n">
        <f aca="false">rd2*(1-ext_sh)/ext_sh*(mw_open*he_open+Sens!$L$6256*Sens!$L$6253)*Sens!$L$6242/1000</f>
        <v>0</v>
      </c>
      <c r="M6279" s="38" t="n">
        <f aca="false">rd2*(1-ext_sh)/ext_sh*(mw_open*he_open+Sens!$M$6256*Sens!$M$6253)*Sens!$M$6242/1000</f>
        <v>0</v>
      </c>
      <c r="N6279" s="38" t="n">
        <f aca="false">rd2*(1-ext_sh)/ext_sh*Sens!$N$6241*he_open*Sens!$N$6242/1000</f>
        <v>0</v>
      </c>
      <c r="O6279" s="38" t="n">
        <f aca="false">rd2*(1-ext_sh)/ext_sh*Sens!$O$6241*he_open*Sens!$O$6242/1000</f>
        <v>0</v>
      </c>
      <c r="P6279" s="8" t="s">
        <v>600</v>
      </c>
    </row>
    <row r="6280" customFormat="false" ht="17.15" hidden="false" customHeight="false" outlineLevel="0" collapsed="false">
      <c r="A6280" s="5" t="s">
        <v>601</v>
      </c>
      <c r="B6280" s="0" t="s">
        <v>73</v>
      </c>
      <c r="C6280" s="38" t="n">
        <f aca="false">(1-ext_sh)*(Sens!$C$6260+Sens!$C$6273)-Sens!$C$6279</f>
        <v>0.169206631859174</v>
      </c>
      <c r="D6280" s="38" t="n">
        <f aca="false">(1-ext_sh)*(Sens!$D$6260+Sens!$D$6273)-Sens!$D$6279</f>
        <v>1.20641732046984</v>
      </c>
      <c r="E6280" s="38" t="n">
        <f aca="false">(1-ext_sh)*(Sens!$E$6260+Sens!$E$6273)-Sens!$E$6279</f>
        <v>1.77441259867062</v>
      </c>
      <c r="F6280" s="38" t="n">
        <f aca="false">(1-ext_sh)*(Sens!$F$6260+Sens!$F$6273)-Sens!$F$6279</f>
        <v>2.1140391597214</v>
      </c>
      <c r="G6280" s="38" t="n">
        <f aca="false">(1-ext_sh)*(Sens!$G$6260+Sens!$G$6273)-Sens!$G$6279</f>
        <v>3.88845175839202</v>
      </c>
      <c r="H6280" s="38" t="n">
        <f aca="false">(1-ext_sh)*(Sens!$H$6260+Sens!$H$6273)-Sens!$H$6279</f>
        <v>10.2210179503985</v>
      </c>
      <c r="I6280" s="38" t="n">
        <f aca="false">(1-ext_sh)*(Sens!$I$6260+Sens!$I$6273)-Sens!$I$6279</f>
        <v>17.8408961823075</v>
      </c>
      <c r="J6280" s="38" t="n">
        <f aca="false">(1-ext_sh)*(Sens!$J$6260+Sens!$J$6273)-Sens!$J$6279</f>
        <v>25.6671150670732</v>
      </c>
      <c r="K6280" s="38" t="n">
        <f aca="false">(1-ext_sh)*(Sens!$K$6260+Sens!$K$6273)-Sens!$K$6279</f>
        <v>33.6325293834986</v>
      </c>
      <c r="L6280" s="38" t="n">
        <f aca="false">(1-ext_sh)*(Sens!$L$6260+Sens!$L$6273)-Sens!$L$6279</f>
        <v>41.1939886299065</v>
      </c>
      <c r="M6280" s="38" t="n">
        <f aca="false">(1-ext_sh)*(Sens!$M$6260+Sens!$M$6273)-Sens!$M$6279</f>
        <v>48.8988205728617</v>
      </c>
      <c r="N6280" s="38" t="n">
        <f aca="false">(1-ext_sh)*(Sens!$N$6260+Sens!$N$6273)-Sens!$N$6279</f>
        <v>0.530919624033979</v>
      </c>
      <c r="O6280" s="38" t="n">
        <f aca="false">(1-ext_sh)*(Sens!$O$6260+Sens!$O$6273)-Sens!$O$6279</f>
        <v>0.675497696435861</v>
      </c>
    </row>
    <row r="6281" customFormat="false" ht="17.15" hidden="false" customHeight="false" outlineLevel="0" collapsed="false">
      <c r="A6281" s="0" t="s">
        <v>602</v>
      </c>
      <c r="B6281" s="0" t="s">
        <v>73</v>
      </c>
      <c r="C6281" s="38" t="n">
        <f aca="false">Q!$D$24</f>
        <v>39.834</v>
      </c>
      <c r="D6281" s="38" t="n">
        <f aca="false">Q!$E$24</f>
        <v>45.606</v>
      </c>
      <c r="E6281" s="38" t="n">
        <f aca="false">Q!$P$24</f>
        <v>30.782</v>
      </c>
      <c r="N6281" s="38" t="n">
        <f aca="false">Q!$N$24</f>
        <v>21.707</v>
      </c>
      <c r="O6281" s="38" t="n">
        <f aca="false">Q!$O$24</f>
        <v>23.899</v>
      </c>
    </row>
    <row r="6282" customFormat="false" ht="17.15" hidden="false" customHeight="false" outlineLevel="0" collapsed="false">
      <c r="A6282" s="0" t="s">
        <v>603</v>
      </c>
      <c r="B6282" s="0" t="s">
        <v>73</v>
      </c>
      <c r="C6282" s="38" t="n">
        <f aca="false">Sens!$C$6281-Sens!$C$6277</f>
        <v>38.1898211704631</v>
      </c>
      <c r="D6282" s="38" t="n">
        <f aca="false">Sens!$D$6281-Sens!$D$6277</f>
        <v>41.7278991932282</v>
      </c>
      <c r="E6282" s="38" t="n">
        <f aca="false">Sens!$E$6281-Sens!$E$6277</f>
        <v>29.3692974191125</v>
      </c>
      <c r="F6282" s="38" t="n">
        <f aca="false">Sens!$F$6262*Sens!$F$6283</f>
        <v>29.458060516894</v>
      </c>
      <c r="G6282" s="38" t="n">
        <f aca="false">Sens!$E$6282+Sens!$F$6282</f>
        <v>58.8273579360065</v>
      </c>
      <c r="H6282" s="38" t="n">
        <f aca="false">Sens!$H$6262*Sens!$H$6283</f>
        <v>67.8004040185081</v>
      </c>
      <c r="I6282" s="38" t="n">
        <f aca="false">Sens!$I$6262*Sens!$I$6283</f>
        <v>78.9527630302702</v>
      </c>
      <c r="J6282" s="38" t="n">
        <f aca="false">Sens!$J$6262*Sens!$J$6283</f>
        <v>88.6042681781841</v>
      </c>
      <c r="K6282" s="38" t="n">
        <f aca="false">Sens!$K$6262*Sens!$K$6283</f>
        <v>95.6926096324389</v>
      </c>
      <c r="L6282" s="38" t="n">
        <f aca="false">Sens!$L$6262*Sens!$L$6283</f>
        <v>103.348018403034</v>
      </c>
      <c r="M6282" s="38" t="n">
        <f aca="false">Sens!$M$6262*Sens!$M$6283</f>
        <v>111.615859875277</v>
      </c>
      <c r="N6282" s="38" t="n">
        <f aca="false">Sens!$N$6281-Sens!$N$6277</f>
        <v>20.784358965108</v>
      </c>
      <c r="O6282" s="38" t="n">
        <f aca="false">Sens!$O$6281-Sens!$O$6277</f>
        <v>20.9435402281202</v>
      </c>
      <c r="P6282" s="5" t="s">
        <v>604</v>
      </c>
    </row>
    <row r="6283" customFormat="false" ht="17.15" hidden="false" customHeight="false" outlineLevel="0" collapsed="false">
      <c r="A6283" s="0" t="s">
        <v>605</v>
      </c>
      <c r="B6283" s="0" t="s">
        <v>52</v>
      </c>
      <c r="C6283" s="12" t="n">
        <f aca="false">Sens!$C$6282/Sens!$C$6262</f>
        <v>0.362900395443635</v>
      </c>
      <c r="D6283" s="12" t="n">
        <f aca="false">Sens!$D$6282/Sens!$D$6262</f>
        <v>0.34767098474203</v>
      </c>
      <c r="E6283" s="12" t="n">
        <f aca="false">Sens!$E$6282/Sens!$E$6262</f>
        <v>0.411861655558416</v>
      </c>
      <c r="F6283" s="12" t="n">
        <f aca="false">(Sens!$O$6282+Sens!$E$6282)/(Sens!$O$6262+Sens!$E$6262)</f>
        <v>0.37480827803158</v>
      </c>
      <c r="G6283" s="12" t="n">
        <f aca="false">Sens!$G$6282/Sens!$G$6262</f>
        <v>0.392434440489471</v>
      </c>
      <c r="H6283" s="12" t="n">
        <f aca="false">Sens!$F$6283</f>
        <v>0.37480827803158</v>
      </c>
      <c r="I6283" s="12" t="n">
        <f aca="false">Sens!$F$6283</f>
        <v>0.37480827803158</v>
      </c>
      <c r="J6283" s="12" t="n">
        <f aca="false">Sens!$F$6283</f>
        <v>0.37480827803158</v>
      </c>
      <c r="K6283" s="12" t="n">
        <f aca="false">Sens!$F$6283</f>
        <v>0.37480827803158</v>
      </c>
      <c r="L6283" s="12" t="n">
        <f aca="false">Sens!$F$6283</f>
        <v>0.37480827803158</v>
      </c>
      <c r="M6283" s="12" t="n">
        <f aca="false">Sens!$F$6283</f>
        <v>0.37480827803158</v>
      </c>
      <c r="N6283" s="12" t="n">
        <f aca="false">Sens!$N$6282/Sens!$N$6262</f>
        <v>0.364039571356823</v>
      </c>
      <c r="O6283" s="12" t="n">
        <f aca="false">Sens!$O$6282/Sens!$O$6262</f>
        <v>0.332819892300086</v>
      </c>
      <c r="P6283" s="8" t="s">
        <v>606</v>
      </c>
    </row>
    <row r="6284" customFormat="false" ht="17.15" hidden="false" customHeight="false" outlineLevel="0" collapsed="false">
      <c r="A6284" s="0" t="s">
        <v>607</v>
      </c>
      <c r="B6284" s="0" t="s">
        <v>52</v>
      </c>
      <c r="D6284" s="12" t="n">
        <f aca="false">(Q!$E$31-ext_sh*Sens!$D$6273)/Sens!$D$6262</f>
        <v>0.154572973163571</v>
      </c>
    </row>
    <row r="6285" customFormat="false" ht="17.15" hidden="false" customHeight="false" outlineLevel="0" collapsed="false">
      <c r="A6285" s="0" t="s">
        <v>608</v>
      </c>
      <c r="B6285" s="0" t="s">
        <v>73</v>
      </c>
      <c r="C6285" s="38" t="n">
        <f aca="false">Q!$D$31</f>
        <v>13.32</v>
      </c>
      <c r="D6285" s="38" t="n">
        <f aca="false">Q!$E$31</f>
        <v>21.45</v>
      </c>
      <c r="E6285" s="38" t="n">
        <f aca="false">Q!$P$31</f>
        <v>15.353</v>
      </c>
      <c r="F6285" s="38" t="n">
        <f aca="false">ext_sh*Sens!$F$6273+Sens!$D$6284*Sens!$F$6262</f>
        <v>17.3614451462707</v>
      </c>
      <c r="G6285" s="38" t="n">
        <f aca="false">Sens!$E$6285+Sens!$F$6285</f>
        <v>32.7144451462707</v>
      </c>
      <c r="H6285" s="38" t="n">
        <f aca="false">ext_sh*Sens!$H$6273+Sens!$D$6284*Sens!$H$6262</f>
        <v>56.1966092719415</v>
      </c>
      <c r="I6285" s="38" t="n">
        <f aca="false">ext_sh*Sens!$I$6273+Sens!$D$6284*Sens!$I$6262</f>
        <v>82.9744039068297</v>
      </c>
      <c r="J6285" s="38" t="n">
        <f aca="false">ext_sh*Sens!$J$6273+Sens!$D$6284*Sens!$J$6262</f>
        <v>109.943252237669</v>
      </c>
      <c r="K6285" s="38" t="n">
        <f aca="false">ext_sh*Sens!$K$6273+Sens!$D$6284*Sens!$K$6262</f>
        <v>136.406703436571</v>
      </c>
      <c r="L6285" s="38" t="n">
        <f aca="false">ext_sh*Sens!$L$6273+Sens!$D$6284*Sens!$L$6262</f>
        <v>161.485870454155</v>
      </c>
      <c r="M6285" s="38" t="n">
        <f aca="false">ext_sh*Sens!$M$6273+Sens!$D$6284*Sens!$M$6262</f>
        <v>187.389846618199</v>
      </c>
      <c r="N6285" s="38" t="n">
        <f aca="false">Q!$N$31</f>
        <v>9.234</v>
      </c>
      <c r="O6285" s="38" t="n">
        <f aca="false">Q!$O$31</f>
        <v>12.216</v>
      </c>
    </row>
    <row r="6286" customFormat="false" ht="17.15" hidden="false" customHeight="false" outlineLevel="0" collapsed="false">
      <c r="A6286" s="1" t="s">
        <v>609</v>
      </c>
    </row>
    <row r="6287" customFormat="false" ht="17.15" hidden="false" customHeight="false" outlineLevel="0" collapsed="false">
      <c r="A6287" s="14" t="s">
        <v>610</v>
      </c>
      <c r="B6287" s="13" t="s">
        <v>52</v>
      </c>
      <c r="C6287" s="13"/>
      <c r="D6287" s="13"/>
      <c r="E6287" s="13"/>
      <c r="F6287" s="13"/>
      <c r="G6287" s="16" t="n">
        <f aca="false">Sens!$G$6277*(1-tax)/(ext_sh*(Sens!$D$6274+Sens!$G$6274)/2)</f>
        <v>0.0492184452944045</v>
      </c>
      <c r="H6287" s="16" t="n">
        <f aca="false">Sens!$H$6277*(1-tax)/(ext_sh*(Sens!$G$6274+Sens!$H$6274)/2)</f>
        <v>0.0619414246858107</v>
      </c>
      <c r="I6287" s="16" t="n">
        <f aca="false">Sens!$I$6277*(1-tax)/(ext_sh*(Sens!$H$6274+Sens!$I$6274)/2)</f>
        <v>0.0656831488051666</v>
      </c>
      <c r="J6287" s="16" t="n">
        <f aca="false">Sens!$J$6277*(1-tax)/(ext_sh*(Sens!$I$6274+Sens!$J$6274)/2)</f>
        <v>0.0690334849962116</v>
      </c>
      <c r="K6287" s="16" t="n">
        <f aca="false">Sens!$K$6277*(1-tax)/(ext_sh*(Sens!$J$6274+Sens!$K$6274)/2)</f>
        <v>0.0728680488295485</v>
      </c>
      <c r="L6287" s="16" t="n">
        <f aca="false">Sens!$L$6277*(1-tax)/(ext_sh*(Sens!$K$6274+Sens!$L$6274)/2)</f>
        <v>0.0785052878122331</v>
      </c>
      <c r="M6287" s="16" t="n">
        <f aca="false">Sens!$M$6277*(1-tax)/(ext_sh*(Sens!$L$6274+Sens!$M$6274)/2)</f>
        <v>0.0804526580722741</v>
      </c>
      <c r="N6287" s="13"/>
      <c r="O6287" s="13"/>
      <c r="P6287" s="8" t="s">
        <v>611</v>
      </c>
    </row>
    <row r="6288" customFormat="false" ht="17.15" hidden="false" customHeight="false" outlineLevel="0" collapsed="false">
      <c r="A6288" s="5" t="s">
        <v>612</v>
      </c>
      <c r="B6288" s="0" t="s">
        <v>57</v>
      </c>
      <c r="H6288" s="36" t="n">
        <f aca="false">Sens!$H$6258*1000/(mw_open*he_open+Sens!$H$6256*Sens!$H$6253)</f>
        <v>0.991949006767191</v>
      </c>
      <c r="I6288" s="36" t="n">
        <f aca="false">Sens!$I$6258*1000/(mw_open*he_open+Sens!$I$6256*Sens!$I$6253)</f>
        <v>0.991949006767191</v>
      </c>
      <c r="J6288" s="36" t="n">
        <f aca="false">Sens!$J$6258*1000/(mw_open*he_open+Sens!$J$6256*Sens!$J$6253)</f>
        <v>0.991949006767191</v>
      </c>
      <c r="K6288" s="36" t="n">
        <f aca="false">Sens!$K$6258*1000/(mw_open*he_open+Sens!$K$6256*Sens!$K$6253)</f>
        <v>0.991949006767191</v>
      </c>
      <c r="L6288" s="36" t="n">
        <f aca="false">Sens!$L$6258*1000/(mw_open*he_open+Sens!$L$6256*Sens!$L$6253)</f>
        <v>0.991949006767191</v>
      </c>
      <c r="M6288" s="36" t="n">
        <f aca="false">Sens!$M$6258*1000/(mw_open*he_open+Sens!$M$6256*Sens!$M$6253)</f>
        <v>0.991949006767192</v>
      </c>
    </row>
    <row r="6289" customFormat="false" ht="17.15" hidden="false" customHeight="false" outlineLevel="0" collapsed="false">
      <c r="A6289" s="5" t="s">
        <v>613</v>
      </c>
      <c r="B6289" s="0" t="s">
        <v>57</v>
      </c>
      <c r="H6289" s="36" t="n">
        <f aca="false">Sens!$H$6288*(Sens!$H$6258+wacc*ext_sh*(Sens!$G$6274+Sens!$H$6274)/2/(1-tax)-Sens!$H$6277)/Sens!$H$6258</f>
        <v>1.3149781212103</v>
      </c>
      <c r="I6289" s="36" t="n">
        <f aca="false">Sens!$I$6288*(Sens!$I$6258+wacc*ext_sh*(Sens!$H$6274+Sens!$I$6274)/2/(1-tax)-Sens!$I$6277)/Sens!$I$6258</f>
        <v>1.25742005569107</v>
      </c>
      <c r="J6289" s="36" t="n">
        <f aca="false">Sens!$J$6288*(Sens!$J$6258+wacc*ext_sh*(Sens!$I$6274+Sens!$J$6274)/2/(1-tax)-Sens!$J$6277)/Sens!$J$6258</f>
        <v>1.21838845868559</v>
      </c>
      <c r="K6289" s="36" t="n">
        <f aca="false">Sens!$K$6288*(Sens!$K$6258+wacc*ext_sh*(Sens!$J$6274+Sens!$K$6274)/2/(1-tax)-Sens!$K$6277)/Sens!$K$6258</f>
        <v>1.18402644209548</v>
      </c>
      <c r="L6289" s="36" t="n">
        <f aca="false">Sens!$L$6288*(Sens!$L$6258+wacc*ext_sh*(Sens!$K$6274+Sens!$L$6274)/2/(1-tax)-Sens!$L$6277)/Sens!$L$6258</f>
        <v>1.15111215322059</v>
      </c>
      <c r="M6289" s="36" t="n">
        <f aca="false">Sens!$M$6288*(Sens!$M$6258+wacc*ext_sh*(Sens!$L$6274+Sens!$M$6274)/2/(1-tax)-Sens!$M$6277)/Sens!$M$6258</f>
        <v>1.1397166845677</v>
      </c>
    </row>
    <row r="6290" customFormat="false" ht="17.15" hidden="false" customHeight="false" outlineLevel="0" collapsed="false">
      <c r="A6290" s="5" t="s">
        <v>614</v>
      </c>
      <c r="B6290" s="0" t="s">
        <v>52</v>
      </c>
      <c r="C6290" s="12" t="n">
        <f aca="false">Sens!$C$6259/tk_pq</f>
        <v>0.195316432429398</v>
      </c>
      <c r="D6290" s="12" t="n">
        <f aca="false">Sens!$D$6259/tk_pq</f>
        <v>0.195316432429398</v>
      </c>
      <c r="E6290" s="12" t="n">
        <f aca="false">Sens!$E$6259/tk_pq</f>
        <v>0.195316432429398</v>
      </c>
      <c r="F6290" s="12" t="n">
        <f aca="false">Sens!$F$6259/tk_pq</f>
        <v>0.202241827274866</v>
      </c>
      <c r="G6290" s="12" t="n">
        <f aca="false">Sens!$G$6259/tk_pq</f>
        <v>0.199675016194063</v>
      </c>
      <c r="H6290" s="12" t="n">
        <f aca="false">Sens!$H$6259/tk_pq</f>
        <v>0.212647947710325</v>
      </c>
      <c r="I6290" s="12" t="n">
        <f aca="false">Sens!$I$6259/tk_pq</f>
        <v>0.219285125475351</v>
      </c>
      <c r="J6290" s="12" t="n">
        <f aca="false">Sens!$J$6259/tk_pq</f>
        <v>0.222492493217189</v>
      </c>
      <c r="K6290" s="12" t="n">
        <f aca="false">Sens!$K$6259/tk_pq</f>
        <v>0.224371415939166</v>
      </c>
      <c r="L6290" s="12" t="n">
        <f aca="false">Sens!$L$6259/tk_pq</f>
        <v>0.225603749825993</v>
      </c>
      <c r="M6290" s="12" t="n">
        <f aca="false">Sens!$M$6259/tk_pq</f>
        <v>0.22647376274628</v>
      </c>
      <c r="N6290" s="12" t="n">
        <f aca="false">Sens!$N$6259/tk_pq</f>
        <v>0.195316432429398</v>
      </c>
      <c r="O6290" s="12" t="n">
        <f aca="false">Sens!$O$6259/tk_pq</f>
        <v>0.195316432429398</v>
      </c>
      <c r="P6290" s="5" t="s">
        <v>615</v>
      </c>
    </row>
    <row r="6293" customFormat="false" ht="17.15" hidden="false" customHeight="false" outlineLevel="0" collapsed="false">
      <c r="A6293" s="1" t="s">
        <v>642</v>
      </c>
    </row>
    <row r="6294" customFormat="false" ht="17.15" hidden="false" customHeight="false" outlineLevel="0" collapsed="false">
      <c r="A6294" s="0" t="s">
        <v>643</v>
      </c>
      <c r="B6294" s="0" t="s">
        <v>73</v>
      </c>
      <c r="C6294" s="38" t="n">
        <f aca="false">Sens!$C$6258</f>
        <v>2.32100535697364</v>
      </c>
      <c r="D6294" s="38" t="n">
        <f aca="false">Sens!$D$6258</f>
        <v>8.70377008865116</v>
      </c>
      <c r="E6294" s="38" t="n">
        <f aca="false">Sens!$E$6258</f>
        <v>8.51035297557002</v>
      </c>
      <c r="F6294" s="38" t="n">
        <f aca="false">Sens!$F$6258</f>
        <v>14.9634336447205</v>
      </c>
      <c r="G6294" s="38" t="n">
        <f aca="false">Sens!$G$6258</f>
        <v>23.4737866202905</v>
      </c>
      <c r="H6294" s="38" t="n">
        <f aca="false">Sens!$H$6258</f>
        <v>60.1658907497746</v>
      </c>
      <c r="I6294" s="38" t="n">
        <f aca="false">Sens!$I$6258</f>
        <v>101.503699136432</v>
      </c>
      <c r="J6294" s="38" t="n">
        <f aca="false">Sens!$J$6258</f>
        <v>143.025407151278</v>
      </c>
      <c r="K6294" s="38" t="n">
        <f aca="false">Sens!$K$6258</f>
        <v>184.608415042187</v>
      </c>
      <c r="L6294" s="38" t="n">
        <f aca="false">Sens!$L$6258</f>
        <v>226.219286513125</v>
      </c>
      <c r="M6294" s="38" t="n">
        <f aca="false">Sens!$M$6258</f>
        <v>267.845161450232</v>
      </c>
      <c r="N6294" s="38" t="n">
        <f aca="false">Sens!$N$6258</f>
        <v>3.04631953102791</v>
      </c>
      <c r="O6294" s="38" t="n">
        <f aca="false">Sens!$O$6258</f>
        <v>5.65745055762326</v>
      </c>
      <c r="P6294" s="8" t="s">
        <v>644</v>
      </c>
    </row>
    <row r="6295" customFormat="false" ht="17.15" hidden="false" customHeight="false" outlineLevel="0" collapsed="false">
      <c r="A6295" s="0" t="s">
        <v>645</v>
      </c>
      <c r="B6295" s="0" t="s">
        <v>73</v>
      </c>
      <c r="C6295" s="38" t="n">
        <f aca="false">Sens!$C$6262</f>
        <v>105.234994643026</v>
      </c>
      <c r="D6295" s="38" t="n">
        <f aca="false">Sens!$D$6262</f>
        <v>120.021229911349</v>
      </c>
      <c r="E6295" s="38" t="n">
        <f aca="false">Sens!$E$6262</f>
        <v>71.30864702443</v>
      </c>
      <c r="F6295" s="38" t="n">
        <f aca="false">Sens!$F$6262</f>
        <v>78.5950104186653</v>
      </c>
      <c r="G6295" s="38" t="n">
        <f aca="false">Sens!$G$6262</f>
        <v>149.903657443095</v>
      </c>
      <c r="H6295" s="38" t="n">
        <f aca="false">Sens!$H$6262</f>
        <v>180.893560768142</v>
      </c>
      <c r="I6295" s="38" t="n">
        <f aca="false">Sens!$I$6262</f>
        <v>210.64839721501</v>
      </c>
      <c r="J6295" s="38" t="n">
        <f aca="false">Sens!$J$6262</f>
        <v>236.398909446495</v>
      </c>
      <c r="K6295" s="38" t="n">
        <f aca="false">Sens!$K$6262</f>
        <v>255.310822202215</v>
      </c>
      <c r="L6295" s="38" t="n">
        <f aca="false">Sens!$L$6262</f>
        <v>275.735687978392</v>
      </c>
      <c r="M6295" s="38" t="n">
        <f aca="false">Sens!$M$6262</f>
        <v>297.794543016663</v>
      </c>
      <c r="N6295" s="38" t="n">
        <f aca="false">Sens!$N$6262</f>
        <v>57.0936804689721</v>
      </c>
      <c r="O6295" s="38" t="n">
        <f aca="false">Sens!$O$6262</f>
        <v>62.9275494423768</v>
      </c>
      <c r="P6295" s="8" t="s">
        <v>644</v>
      </c>
    </row>
    <row r="6296" customFormat="false" ht="17.15" hidden="false" customHeight="false" outlineLevel="0" collapsed="false">
      <c r="A6296" s="1" t="s">
        <v>476</v>
      </c>
      <c r="B6296" s="8" t="s">
        <v>73</v>
      </c>
      <c r="C6296" s="38" t="n">
        <f aca="false">Q!$D$7</f>
        <v>107.556</v>
      </c>
      <c r="D6296" s="38" t="n">
        <f aca="false">Q!$E$7</f>
        <v>128.725</v>
      </c>
      <c r="E6296" s="38" t="n">
        <f aca="false">Q!$P$7</f>
        <v>79.819</v>
      </c>
      <c r="F6296" s="38" t="n">
        <f aca="false">Sens!$F$6294+Sens!$F$6295</f>
        <v>93.5584440633857</v>
      </c>
      <c r="G6296" s="38" t="n">
        <f aca="false">Sens!$G$6294+Sens!$G$6295</f>
        <v>173.377444063386</v>
      </c>
      <c r="H6296" s="38" t="n">
        <f aca="false">Sens!$H$6294+Sens!$H$6295</f>
        <v>241.059451517916</v>
      </c>
      <c r="I6296" s="38" t="n">
        <f aca="false">Sens!$I$6294+Sens!$I$6295</f>
        <v>312.152096351442</v>
      </c>
      <c r="J6296" s="38" t="n">
        <f aca="false">Sens!$J$6294+Sens!$J$6295</f>
        <v>379.424316597773</v>
      </c>
      <c r="K6296" s="38" t="n">
        <f aca="false">Sens!$K$6294+Sens!$K$6295</f>
        <v>439.919237244402</v>
      </c>
      <c r="L6296" s="38" t="n">
        <f aca="false">Sens!$L$6294+Sens!$L$6295</f>
        <v>501.954974491517</v>
      </c>
      <c r="M6296" s="38" t="n">
        <f aca="false">Sens!$M$6294+Sens!$M$6295</f>
        <v>565.639704466895</v>
      </c>
      <c r="N6296" s="38" t="n">
        <f aca="false">Q!$N$7</f>
        <v>60.14</v>
      </c>
      <c r="O6296" s="38" t="n">
        <f aca="false">Q!$O$7</f>
        <v>68.585</v>
      </c>
      <c r="P6296" s="5" t="s">
        <v>646</v>
      </c>
    </row>
    <row r="6297" customFormat="false" ht="15" hidden="false" customHeight="false" outlineLevel="0" collapsed="false">
      <c r="A6297" s="3" t="s">
        <v>647</v>
      </c>
      <c r="B6297" s="8" t="s">
        <v>73</v>
      </c>
      <c r="C6297" s="38" t="n">
        <f aca="false">Q!$D$8</f>
        <v>637.959</v>
      </c>
      <c r="D6297" s="38" t="n">
        <f aca="false">Q!$E$8</f>
        <v>716.924</v>
      </c>
      <c r="E6297" s="38" t="n">
        <f aca="false">Q!$P$8</f>
        <v>382.125</v>
      </c>
      <c r="F6297" s="38" t="n">
        <f aca="false">Sens!$F$6231+Sens!$F$6296</f>
        <v>450.494873271816</v>
      </c>
      <c r="G6297" s="38" t="n">
        <f aca="false">Sens!$G$6231+Sens!$G$6296</f>
        <v>832.619873271816</v>
      </c>
      <c r="H6297" s="38" t="n">
        <f aca="false">Sens!$H$6231+Sens!$H$6296</f>
        <v>970.995189139617</v>
      </c>
      <c r="I6297" s="38" t="n">
        <f aca="false">Sens!$I$6231+Sens!$I$6296</f>
        <v>1110.44766604932</v>
      </c>
      <c r="J6297" s="38" t="n">
        <f aca="false">Sens!$J$6231+Sens!$J$6296</f>
        <v>1241.16113892356</v>
      </c>
      <c r="K6297" s="38" t="n">
        <f aca="false">Sens!$K$6231+Sens!$K$6296</f>
        <v>1357.47672934633</v>
      </c>
      <c r="L6297" s="38" t="n">
        <f aca="false">Sens!$L$6231+Sens!$L$6296</f>
        <v>1479.24006423468</v>
      </c>
      <c r="M6297" s="38" t="n">
        <f aca="false">Sens!$M$6231+Sens!$M$6296</f>
        <v>1606.8537230104</v>
      </c>
      <c r="N6297" s="38" t="n">
        <f aca="false">Q!$N$8</f>
        <v>323.369</v>
      </c>
      <c r="O6297" s="38" t="n">
        <f aca="false">Q!$O$8</f>
        <v>393.555</v>
      </c>
    </row>
    <row r="6298" customFormat="false" ht="17.15" hidden="false" customHeight="false" outlineLevel="0" collapsed="false">
      <c r="A6298" s="24" t="s">
        <v>655</v>
      </c>
      <c r="B6298" s="25" t="s">
        <v>73</v>
      </c>
      <c r="C6298" s="39" t="n">
        <f aca="false">Sens!$C$6231-(Sens!$C$6233+Sens!$C$6234)</f>
        <v>0</v>
      </c>
      <c r="D6298" s="39" t="n">
        <f aca="false">Sens!$D$6231-(Sens!$D$6233+Sens!$D$6234)</f>
        <v>0</v>
      </c>
      <c r="E6298" s="39" t="n">
        <f aca="false">Sens!$E$6231-(Sens!$E$6233+Sens!$E$6234)</f>
        <v>0</v>
      </c>
      <c r="F6298" s="39" t="n">
        <f aca="false">Sens!$F$6231-(Sens!$F$6233+Sens!$F$6234)</f>
        <v>0</v>
      </c>
      <c r="G6298" s="39" t="n">
        <f aca="false">Sens!$G$6231-(Sens!$G$6233+Sens!$G$6234)</f>
        <v>0</v>
      </c>
      <c r="H6298" s="39" t="n">
        <f aca="false">Sens!$H$6231-(Sens!$H$6233+Sens!$H$6234)</f>
        <v>0</v>
      </c>
      <c r="I6298" s="39" t="n">
        <f aca="false">Sens!$I$6231-(Sens!$I$6233+Sens!$I$6234)</f>
        <v>0</v>
      </c>
      <c r="J6298" s="39" t="n">
        <f aca="false">Sens!$J$6231-(Sens!$J$6233+Sens!$J$6234)</f>
        <v>0</v>
      </c>
      <c r="K6298" s="39" t="n">
        <f aca="false">Sens!$K$6231-(Sens!$K$6233+Sens!$K$6234)</f>
        <v>0</v>
      </c>
      <c r="L6298" s="39" t="n">
        <f aca="false">Sens!$L$6231-(Sens!$L$6233+Sens!$L$6234)</f>
        <v>0</v>
      </c>
      <c r="M6298" s="39" t="n">
        <f aca="false">Sens!$M$6231-(Sens!$M$6233+Sens!$M$6234)</f>
        <v>0</v>
      </c>
      <c r="N6298" s="39" t="n">
        <f aca="false">Sens!$N$6231-(Sens!$N$6233+Sens!$N$6234)</f>
        <v>0</v>
      </c>
      <c r="O6298" s="39" t="n">
        <f aca="false">Sens!$O$6231-(Sens!$O$6233+Sens!$O$6234)</f>
        <v>0</v>
      </c>
    </row>
    <row r="6299" customFormat="false" ht="17.15" hidden="false" customHeight="false" outlineLevel="0" collapsed="false">
      <c r="A6299" s="24" t="s">
        <v>656</v>
      </c>
      <c r="B6299" s="25" t="s">
        <v>73</v>
      </c>
      <c r="C6299" s="39" t="n">
        <f aca="false">Sens!$C$6294+Sens!$C$6295-Sens!$C$6296</f>
        <v>0</v>
      </c>
      <c r="D6299" s="39" t="n">
        <f aca="false">Sens!$D$6294+Sens!$D$6295-Sens!$D$6296</f>
        <v>0</v>
      </c>
      <c r="E6299" s="39" t="n">
        <f aca="false">Sens!$E$6294+Sens!$E$6295-Sens!$E$6296</f>
        <v>0</v>
      </c>
      <c r="F6299" s="39" t="n">
        <f aca="false">Sens!$F$6294+Sens!$F$6295-Sens!$F$6296</f>
        <v>0</v>
      </c>
      <c r="G6299" s="39" t="n">
        <f aca="false">Sens!$G$6294+Sens!$G$6295-Sens!$G$6296</f>
        <v>0</v>
      </c>
      <c r="H6299" s="39" t="n">
        <f aca="false">Sens!$H$6294+Sens!$H$6295-Sens!$H$6296</f>
        <v>0</v>
      </c>
      <c r="I6299" s="39" t="n">
        <f aca="false">Sens!$I$6294+Sens!$I$6295-Sens!$I$6296</f>
        <v>0</v>
      </c>
      <c r="J6299" s="39" t="n">
        <f aca="false">Sens!$J$6294+Sens!$J$6295-Sens!$J$6296</f>
        <v>0</v>
      </c>
      <c r="K6299" s="39" t="n">
        <f aca="false">Sens!$K$6294+Sens!$K$6295-Sens!$K$6296</f>
        <v>0</v>
      </c>
      <c r="L6299" s="39" t="n">
        <f aca="false">Sens!$L$6294+Sens!$L$6295-Sens!$L$6296</f>
        <v>0</v>
      </c>
      <c r="M6299" s="39" t="n">
        <f aca="false">Sens!$M$6294+Sens!$M$6295-Sens!$M$6296</f>
        <v>0</v>
      </c>
      <c r="N6299" s="39" t="n">
        <f aca="false">Sens!$N$6294+Sens!$N$6295-Sens!$N$6296</f>
        <v>0</v>
      </c>
      <c r="O6299" s="39" t="n">
        <f aca="false">Sens!$O$6294+Sens!$O$6295-Sens!$O$6296</f>
        <v>0</v>
      </c>
    </row>
    <row r="6300" customFormat="false" ht="17.15" hidden="false" customHeight="false" outlineLevel="0" collapsed="false">
      <c r="A6300" s="24" t="s">
        <v>657</v>
      </c>
      <c r="B6300" s="25" t="s">
        <v>73</v>
      </c>
      <c r="C6300" s="39" t="n">
        <f aca="false">Sens!$C$6233+Sens!$C$6234+Sens!$C$6296-Sens!$C$6297</f>
        <v>0</v>
      </c>
      <c r="D6300" s="39" t="n">
        <f aca="false">Sens!$D$6233+Sens!$D$6234+Sens!$D$6296-Sens!$D$6297</f>
        <v>0</v>
      </c>
      <c r="E6300" s="39" t="n">
        <f aca="false">Sens!$E$6233+Sens!$E$6234+Sens!$E$6296-Sens!$E$6297</f>
        <v>0</v>
      </c>
      <c r="F6300" s="39" t="n">
        <f aca="false">Sens!$F$6233+Sens!$F$6234+Sens!$F$6296-Sens!$F$6297</f>
        <v>0</v>
      </c>
      <c r="G6300" s="39" t="n">
        <f aca="false">Sens!$G$6233+Sens!$G$6234+Sens!$G$6296-Sens!$G$6297</f>
        <v>0</v>
      </c>
      <c r="H6300" s="39" t="n">
        <f aca="false">Sens!$H$6233+Sens!$H$6234+Sens!$H$6296-Sens!$H$6297</f>
        <v>0</v>
      </c>
      <c r="I6300" s="39" t="n">
        <f aca="false">Sens!$I$6233+Sens!$I$6234+Sens!$I$6296-Sens!$I$6297</f>
        <v>0</v>
      </c>
      <c r="J6300" s="39" t="n">
        <f aca="false">Sens!$J$6233+Sens!$J$6234+Sens!$J$6296-Sens!$J$6297</f>
        <v>0</v>
      </c>
      <c r="K6300" s="39" t="n">
        <f aca="false">Sens!$K$6233+Sens!$K$6234+Sens!$K$6296-Sens!$K$6297</f>
        <v>0</v>
      </c>
      <c r="L6300" s="39" t="n">
        <f aca="false">Sens!$L$6233+Sens!$L$6234+Sens!$L$6296-Sens!$L$6297</f>
        <v>0</v>
      </c>
      <c r="M6300" s="39" t="n">
        <f aca="false">Sens!$M$6233+Sens!$M$6234+Sens!$M$6296-Sens!$M$6297</f>
        <v>0</v>
      </c>
      <c r="N6300" s="39" t="n">
        <f aca="false">Sens!$N$6233+Sens!$N$6234+Sens!$N$6296-Sens!$N$6297</f>
        <v>0</v>
      </c>
      <c r="O6300" s="39" t="n">
        <f aca="false">Sens!$O$6233+Sens!$O$6234+Sens!$O$6296-Sens!$O$6297</f>
        <v>0</v>
      </c>
    </row>
    <row r="6301" customFormat="false" ht="15" hidden="false" customHeight="false" outlineLevel="0" collapsed="false">
      <c r="A6301" s="5" t="s">
        <v>651</v>
      </c>
      <c r="B6301" s="0" t="s">
        <v>52</v>
      </c>
      <c r="G6301" s="12" t="n">
        <f aca="false">Sens!$G$6297/Sens!$D$6297-1</f>
        <v>0.161378156222718</v>
      </c>
      <c r="H6301" s="12" t="n">
        <f aca="false">Sens!$H$6297/Sens!$G$6297-1</f>
        <v>0.166192665236357</v>
      </c>
      <c r="I6301" s="12" t="n">
        <f aca="false">Sens!$I$6297/Sens!$H$6297-1</f>
        <v>0.143618092519351</v>
      </c>
      <c r="J6301" s="12" t="n">
        <f aca="false">Sens!$J$6297/Sens!$I$6297-1</f>
        <v>0.117712411733268</v>
      </c>
      <c r="K6301" s="12" t="n">
        <f aca="false">Sens!$K$6297/Sens!$J$6297-1</f>
        <v>0.0937151404237868</v>
      </c>
      <c r="L6301" s="12" t="n">
        <f aca="false">Sens!$L$6297/Sens!$K$6297-1</f>
        <v>0.0896982852494186</v>
      </c>
      <c r="M6301" s="12" t="n">
        <f aca="false">Sens!$M$6297/Sens!$L$6297-1</f>
        <v>0.0862697420528154</v>
      </c>
    </row>
    <row r="6302" customFormat="false" ht="17.15" hidden="false" customHeight="false" outlineLevel="0" collapsed="false">
      <c r="A6302" s="0" t="s">
        <v>652</v>
      </c>
      <c r="B6302" s="0" t="s">
        <v>52</v>
      </c>
      <c r="C6302" s="12" t="n">
        <f aca="false">Sens!$C$6296/Sens!$C$6297</f>
        <v>0.168593906504964</v>
      </c>
      <c r="D6302" s="12" t="n">
        <f aca="false">Sens!$D$6296/Sens!$D$6297</f>
        <v>0.179551807444025</v>
      </c>
      <c r="E6302" s="12" t="n">
        <f aca="false">Sens!$E$6296/Sens!$E$6297</f>
        <v>0.208881910369643</v>
      </c>
      <c r="F6302" s="12" t="n">
        <f aca="false">Sens!$F$6296/Sens!$F$6297</f>
        <v>0.207679264769203</v>
      </c>
      <c r="G6302" s="12" t="n">
        <f aca="false">Sens!$G$6296/Sens!$G$6297</f>
        <v>0.208231210458731</v>
      </c>
      <c r="H6302" s="12" t="n">
        <f aca="false">Sens!$H$6296/Sens!$H$6297</f>
        <v>0.248260191414043</v>
      </c>
      <c r="I6302" s="12" t="n">
        <f aca="false">Sens!$I$6296/Sens!$I$6297</f>
        <v>0.28110473450946</v>
      </c>
      <c r="J6302" s="12" t="n">
        <f aca="false">Sens!$J$6296/Sens!$J$6297</f>
        <v>0.30570109287086</v>
      </c>
      <c r="K6302" s="12" t="n">
        <f aca="false">Sens!$K$6296/Sens!$K$6297</f>
        <v>0.324071291782835</v>
      </c>
      <c r="L6302" s="12" t="n">
        <f aca="false">Sens!$L$6296/Sens!$L$6297</f>
        <v>0.339333003903741</v>
      </c>
      <c r="M6302" s="12" t="n">
        <f aca="false">Sens!$M$6296/Sens!$M$6297</f>
        <v>0.3520169237354</v>
      </c>
      <c r="N6302" s="12" t="n">
        <f aca="false">Sens!$N$6296/Sens!$N$6297</f>
        <v>0.185979484737251</v>
      </c>
      <c r="O6302" s="12" t="n">
        <f aca="false">Sens!$O$6296/Sens!$O$6297</f>
        <v>0.174270432341096</v>
      </c>
    </row>
    <row r="6303" customFormat="false" ht="17.15" hidden="false" customHeight="false" outlineLevel="0" collapsed="false">
      <c r="A6303" s="0" t="s">
        <v>653</v>
      </c>
      <c r="B6303" s="0" t="s">
        <v>52</v>
      </c>
      <c r="C6303" s="12" t="n">
        <f aca="false">Sens!$C$6294/Sens!$C$6296</f>
        <v>0.0215795060896058</v>
      </c>
      <c r="D6303" s="12" t="n">
        <f aca="false">Sens!$D$6294/Sens!$D$6296</f>
        <v>0.0676152269462122</v>
      </c>
      <c r="E6303" s="12" t="n">
        <f aca="false">Sens!$E$6294/Sens!$E$6296</f>
        <v>0.106620641395783</v>
      </c>
      <c r="F6303" s="12" t="n">
        <f aca="false">Sens!$F$6294/Sens!$F$6296</f>
        <v>0.159936751776064</v>
      </c>
      <c r="G6303" s="12" t="n">
        <f aca="false">Sens!$G$6294/Sens!$G$6296</f>
        <v>0.135391237003751</v>
      </c>
      <c r="H6303" s="12" t="n">
        <f aca="false">Sens!$H$6294/Sens!$H$6296</f>
        <v>0.249589428545194</v>
      </c>
      <c r="I6303" s="12" t="n">
        <f aca="false">Sens!$I$6294/Sens!$I$6296</f>
        <v>0.325173850577483</v>
      </c>
      <c r="J6303" s="12" t="n">
        <f aca="false">Sens!$J$6294/Sens!$J$6296</f>
        <v>0.376953718817392</v>
      </c>
      <c r="K6303" s="12" t="n">
        <f aca="false">Sens!$K$6294/Sens!$K$6296</f>
        <v>0.419641605578676</v>
      </c>
      <c r="L6303" s="12" t="n">
        <f aca="false">Sens!$L$6294/Sens!$L$6296</f>
        <v>0.450676451094615</v>
      </c>
      <c r="M6303" s="12" t="n">
        <f aca="false">Sens!$M$6294/Sens!$M$6296</f>
        <v>0.473526096798086</v>
      </c>
      <c r="N6303" s="12" t="n">
        <f aca="false">Sens!$N$6294/Sens!$N$6296</f>
        <v>0.0506537999838362</v>
      </c>
      <c r="O6303" s="12" t="n">
        <f aca="false">Sens!$O$6294/Sens!$O$6296</f>
        <v>0.0824881615167056</v>
      </c>
    </row>
    <row r="6306" customFormat="false" ht="19.4" hidden="false" customHeight="false" outlineLevel="0" collapsed="false">
      <c r="A6306" s="31" t="s">
        <v>1180</v>
      </c>
    </row>
    <row r="6307" customFormat="false" ht="17.15" hidden="false" customHeight="false" outlineLevel="0" collapsed="false">
      <c r="A6307" s="6" t="s">
        <v>16</v>
      </c>
      <c r="B6307" s="6" t="s">
        <v>17</v>
      </c>
      <c r="C6307" s="20" t="s">
        <v>457</v>
      </c>
      <c r="D6307" s="20" t="s">
        <v>458</v>
      </c>
      <c r="E6307" s="20" t="s">
        <v>540</v>
      </c>
      <c r="F6307" s="20" t="s">
        <v>541</v>
      </c>
      <c r="G6307" s="20" t="s">
        <v>542</v>
      </c>
      <c r="H6307" s="20" t="s">
        <v>543</v>
      </c>
      <c r="I6307" s="20" t="s">
        <v>544</v>
      </c>
      <c r="J6307" s="20" t="s">
        <v>545</v>
      </c>
      <c r="K6307" s="20" t="s">
        <v>546</v>
      </c>
      <c r="L6307" s="20" t="s">
        <v>547</v>
      </c>
      <c r="M6307" s="20" t="s">
        <v>548</v>
      </c>
      <c r="N6307" s="20" t="s">
        <v>549</v>
      </c>
      <c r="O6307" s="20" t="s">
        <v>550</v>
      </c>
      <c r="P6307" s="6" t="s">
        <v>23</v>
      </c>
      <c r="R6307" s="20" t="n">
        <v>2023</v>
      </c>
      <c r="S6307" s="20" t="n">
        <v>2024</v>
      </c>
      <c r="T6307" s="20" t="n">
        <v>2025</v>
      </c>
      <c r="U6307" s="20" t="n">
        <v>2026</v>
      </c>
      <c r="V6307" s="20" t="n">
        <v>2027</v>
      </c>
      <c r="W6307" s="20" t="n">
        <v>2028</v>
      </c>
      <c r="X6307" s="20" t="n">
        <v>2029</v>
      </c>
      <c r="Y6307" s="20" t="n">
        <v>2030</v>
      </c>
      <c r="Z6307" s="20" t="n">
        <v>2031</v>
      </c>
      <c r="AA6307" s="20" t="n">
        <v>2032</v>
      </c>
    </row>
    <row r="6308" customFormat="false" ht="17.15" hidden="false" customHeight="false" outlineLevel="0" collapsed="false">
      <c r="A6308" s="1" t="s">
        <v>668</v>
      </c>
    </row>
    <row r="6309" customFormat="false" ht="15" hidden="false" customHeight="false" outlineLevel="0" collapsed="false">
      <c r="A6309" s="0" t="s">
        <v>479</v>
      </c>
      <c r="B6309" s="0" t="s">
        <v>73</v>
      </c>
      <c r="C6309" s="38" t="n">
        <f aca="false">Sens!$C$6219</f>
        <v>247.029</v>
      </c>
      <c r="D6309" s="38" t="n">
        <f aca="false">Sens!$D$6219</f>
        <v>269.287</v>
      </c>
      <c r="E6309" s="38" t="n">
        <f aca="false">Sens!$E$6219</f>
        <v>134.686</v>
      </c>
      <c r="F6309" s="38" t="n">
        <f aca="false">Sens!$F$6219</f>
        <v>160.728085930082</v>
      </c>
      <c r="G6309" s="38" t="n">
        <f aca="false">Sens!$G$6219</f>
        <v>295.414085930082</v>
      </c>
      <c r="H6309" s="38" t="n">
        <f aca="false">Sens!$H$6219</f>
        <v>320.828163943375</v>
      </c>
      <c r="I6309" s="38" t="n">
        <f aca="false">Sens!$I$6219</f>
        <v>344.575578072228</v>
      </c>
      <c r="J6309" s="38" t="n">
        <f aca="false">Sens!$J$6219</f>
        <v>365.942555779681</v>
      </c>
      <c r="K6309" s="38" t="n">
        <f aca="false">Sens!$K$6219</f>
        <v>384.239683568665</v>
      </c>
      <c r="L6309" s="38" t="n">
        <f aca="false">Sens!$L$6219</f>
        <v>403.451667747098</v>
      </c>
      <c r="M6309" s="38" t="n">
        <f aca="false">Sens!$M$6219</f>
        <v>423.624251134453</v>
      </c>
      <c r="N6309" s="38" t="n">
        <f aca="false">Sens!$N$6219</f>
        <v>118.892</v>
      </c>
      <c r="O6309" s="38" t="n">
        <f aca="false">Sens!$O$6219</f>
        <v>150.395</v>
      </c>
    </row>
    <row r="6310" customFormat="false" ht="15" hidden="false" customHeight="false" outlineLevel="0" collapsed="false">
      <c r="A6310" s="0" t="s">
        <v>480</v>
      </c>
      <c r="B6310" s="0" t="s">
        <v>73</v>
      </c>
      <c r="C6310" s="38" t="n">
        <f aca="false">Sens!$C$6221</f>
        <v>21.215</v>
      </c>
      <c r="D6310" s="38" t="n">
        <f aca="false">Sens!$D$6221</f>
        <v>22.561</v>
      </c>
      <c r="E6310" s="38" t="n">
        <f aca="false">Sens!$E$6221</f>
        <v>11.579</v>
      </c>
      <c r="F6310" s="38" t="n">
        <f aca="false">Sens!$F$6221</f>
        <v>12.0952613121125</v>
      </c>
      <c r="G6310" s="38" t="n">
        <f aca="false">Sens!$G$6221</f>
        <v>23.6742613121125</v>
      </c>
      <c r="H6310" s="38" t="n">
        <f aca="false">Sens!$H$6221</f>
        <v>24.8803243963206</v>
      </c>
      <c r="I6310" s="38" t="n">
        <f aca="false">Sens!$I$6221</f>
        <v>25.9741308664154</v>
      </c>
      <c r="J6310" s="38" t="n">
        <f aca="false">Sens!$J$6221</f>
        <v>26.9346894124267</v>
      </c>
      <c r="K6310" s="38" t="n">
        <f aca="false">Sens!$K$6221</f>
        <v>27.7427300947995</v>
      </c>
      <c r="L6310" s="38" t="n">
        <f aca="false">Sens!$L$6221</f>
        <v>28.5750119976435</v>
      </c>
      <c r="M6310" s="38" t="n">
        <f aca="false">Sens!$M$6221</f>
        <v>29.4322623575728</v>
      </c>
      <c r="N6310" s="38" t="n">
        <f aca="false">Sens!$N$6221</f>
        <v>11.128</v>
      </c>
      <c r="O6310" s="38" t="n">
        <f aca="false">Sens!$O$6221</f>
        <v>11.433</v>
      </c>
    </row>
    <row r="6311" customFormat="false" ht="15" hidden="false" customHeight="false" outlineLevel="0" collapsed="false">
      <c r="A6311" s="0" t="s">
        <v>481</v>
      </c>
      <c r="B6311" s="0" t="s">
        <v>73</v>
      </c>
      <c r="C6311" s="38" t="n">
        <f aca="false">Sens!$C$6223</f>
        <v>156.146</v>
      </c>
      <c r="D6311" s="38" t="n">
        <f aca="false">Sens!$D$6223</f>
        <v>172.162</v>
      </c>
      <c r="E6311" s="38" t="n">
        <f aca="false">Sens!$E$6223</f>
        <v>88.358</v>
      </c>
      <c r="F6311" s="38" t="n">
        <f aca="false">Sens!$F$6223</f>
        <v>103.62028337149</v>
      </c>
      <c r="G6311" s="38" t="n">
        <f aca="false">Sens!$G$6223</f>
        <v>191.97828337149</v>
      </c>
      <c r="H6311" s="38" t="n">
        <f aca="false">Sens!$H$6223</f>
        <v>212.128608444755</v>
      </c>
      <c r="I6311" s="38" t="n">
        <f aca="false">Sens!$I$6223</f>
        <v>231.92183134134</v>
      </c>
      <c r="J6311" s="38" t="n">
        <f aca="false">Sens!$J$6223</f>
        <v>250.859136487863</v>
      </c>
      <c r="K6311" s="38" t="n">
        <f aca="false">Sens!$K$6223</f>
        <v>268.419276042014</v>
      </c>
      <c r="L6311" s="38" t="n">
        <f aca="false">Sens!$L$6223</f>
        <v>287.208625364954</v>
      </c>
      <c r="M6311" s="38" t="n">
        <f aca="false">Sens!$M$6223</f>
        <v>307.313229140501</v>
      </c>
      <c r="N6311" s="38" t="n">
        <f aca="false">Sens!$N$6223</f>
        <v>76.86</v>
      </c>
      <c r="O6311" s="38" t="n">
        <f aca="false">Sens!$O$6223</f>
        <v>95.302</v>
      </c>
    </row>
    <row r="6312" customFormat="false" ht="15" hidden="false" customHeight="false" outlineLevel="0" collapsed="false">
      <c r="A6312" s="0" t="s">
        <v>482</v>
      </c>
      <c r="B6312" s="0" t="s">
        <v>73</v>
      </c>
      <c r="C6312" s="38" t="n">
        <f aca="false">Sens!$C$6225</f>
        <v>56.214</v>
      </c>
      <c r="D6312" s="38" t="n">
        <f aca="false">Sens!$D$6225</f>
        <v>68.635</v>
      </c>
      <c r="E6312" s="38" t="n">
        <f aca="false">Sens!$E$6225</f>
        <v>37.052</v>
      </c>
      <c r="F6312" s="38" t="n">
        <f aca="false">Sens!$F$6225</f>
        <v>48.1533381827382</v>
      </c>
      <c r="G6312" s="38" t="n">
        <f aca="false">Sens!$G$6225</f>
        <v>85.2053381827382</v>
      </c>
      <c r="H6312" s="38" t="n">
        <f aca="false">Sens!$H$6225</f>
        <v>102.29336185894</v>
      </c>
      <c r="I6312" s="38" t="n">
        <f aca="false">Sens!$I$6225</f>
        <v>119.379837585241</v>
      </c>
      <c r="J6312" s="38" t="n">
        <f aca="false">Sens!$J$6225</f>
        <v>135.319079048844</v>
      </c>
      <c r="K6312" s="38" t="n">
        <f aca="false">Sens!$K$6225</f>
        <v>148.850986953729</v>
      </c>
      <c r="L6312" s="38" t="n">
        <f aca="false">Sens!$L$6225</f>
        <v>163.736085649102</v>
      </c>
      <c r="M6312" s="38" t="n">
        <f aca="false">Sens!$M$6225</f>
        <v>180.109694214012</v>
      </c>
      <c r="N6312" s="38" t="n">
        <f aca="false">Sens!$N$6225</f>
        <v>29.615</v>
      </c>
      <c r="O6312" s="38" t="n">
        <f aca="false">Sens!$O$6225</f>
        <v>39.02</v>
      </c>
    </row>
    <row r="6313" customFormat="false" ht="15" hidden="false" customHeight="false" outlineLevel="0" collapsed="false">
      <c r="A6313" s="0" t="s">
        <v>483</v>
      </c>
      <c r="B6313" s="0" t="s">
        <v>73</v>
      </c>
      <c r="C6313" s="38" t="n">
        <f aca="false">Sens!$C$6227</f>
        <v>44.374</v>
      </c>
      <c r="D6313" s="38" t="n">
        <f aca="false">Sens!$D$6227</f>
        <v>49.619</v>
      </c>
      <c r="E6313" s="38" t="n">
        <f aca="false">Sens!$E$6227</f>
        <v>27.157</v>
      </c>
      <c r="F6313" s="38" t="n">
        <f aca="false">Sens!$F$6227</f>
        <v>28.9776360923374</v>
      </c>
      <c r="G6313" s="38" t="n">
        <f aca="false">Sens!$G$6227</f>
        <v>56.1346360923374</v>
      </c>
      <c r="H6313" s="38" t="n">
        <f aca="false">Sens!$H$6227</f>
        <v>62.4937078946075</v>
      </c>
      <c r="I6313" s="38" t="n">
        <f aca="false">Sens!$I$6227</f>
        <v>68.6715233062498</v>
      </c>
      <c r="J6313" s="38" t="n">
        <f aca="false">Sens!$J$6227</f>
        <v>74.4692882949818</v>
      </c>
      <c r="K6313" s="38" t="n">
        <f aca="false">Sens!$K$6227</f>
        <v>79.6821384756306</v>
      </c>
      <c r="L6313" s="38" t="n">
        <f aca="false">Sens!$L$6227</f>
        <v>85.2598881689247</v>
      </c>
      <c r="M6313" s="38" t="n">
        <f aca="false">Sens!$M$6227</f>
        <v>91.2280803407494</v>
      </c>
      <c r="N6313" s="38" t="n">
        <f aca="false">Sens!$N$6227</f>
        <v>23.923</v>
      </c>
      <c r="O6313" s="38" t="n">
        <f aca="false">Sens!$O$6227</f>
        <v>25.696</v>
      </c>
    </row>
    <row r="6314" customFormat="false" ht="15" hidden="false" customHeight="false" outlineLevel="0" collapsed="false">
      <c r="A6314" s="0" t="s">
        <v>484</v>
      </c>
      <c r="B6314" s="0" t="s">
        <v>73</v>
      </c>
      <c r="C6314" s="38" t="n">
        <f aca="false">Sens!$C$6229</f>
        <v>5.425</v>
      </c>
      <c r="D6314" s="38" t="n">
        <f aca="false">Sens!$D$6229</f>
        <v>5.935</v>
      </c>
      <c r="E6314" s="38" t="n">
        <f aca="false">Sens!$E$6229</f>
        <v>3.474</v>
      </c>
      <c r="F6314" s="38" t="n">
        <f aca="false">Sens!$F$6229</f>
        <v>3.36182431966931</v>
      </c>
      <c r="G6314" s="38" t="n">
        <f aca="false">Sens!$G$6229</f>
        <v>6.83582431966931</v>
      </c>
      <c r="H6314" s="38" t="n">
        <f aca="false">Sens!$H$6229</f>
        <v>7.31157108370141</v>
      </c>
      <c r="I6314" s="38" t="n">
        <f aca="false">Sens!$I$6229</f>
        <v>7.77266852639815</v>
      </c>
      <c r="J6314" s="38" t="n">
        <f aca="false">Sens!$J$6229</f>
        <v>8.2120733019884</v>
      </c>
      <c r="K6314" s="38" t="n">
        <f aca="false">Sens!$K$6229</f>
        <v>8.62267696708783</v>
      </c>
      <c r="L6314" s="38" t="n">
        <f aca="false">Sens!$L$6229</f>
        <v>9.05381081544222</v>
      </c>
      <c r="M6314" s="38" t="n">
        <f aca="false">Sens!$M$6229</f>
        <v>9.50650135621433</v>
      </c>
      <c r="N6314" s="38" t="n">
        <f aca="false">Sens!$N$6229</f>
        <v>2.811</v>
      </c>
      <c r="O6314" s="38" t="n">
        <f aca="false">Sens!$O$6229</f>
        <v>3.124</v>
      </c>
    </row>
    <row r="6315" customFormat="false" ht="17.15" hidden="false" customHeight="false" outlineLevel="0" collapsed="false">
      <c r="A6315" s="0" t="s">
        <v>669</v>
      </c>
      <c r="B6315" s="0" t="s">
        <v>73</v>
      </c>
      <c r="C6315" s="38" t="n">
        <f aca="false">Sens!$C$6296</f>
        <v>107.556</v>
      </c>
      <c r="D6315" s="38" t="n">
        <f aca="false">Sens!$D$6296</f>
        <v>128.725</v>
      </c>
      <c r="E6315" s="38" t="n">
        <f aca="false">Sens!$E$6296</f>
        <v>79.819</v>
      </c>
      <c r="F6315" s="38" t="n">
        <f aca="false">Sens!$F$6296</f>
        <v>93.5584440633857</v>
      </c>
      <c r="G6315" s="38" t="n">
        <f aca="false">Sens!$G$6296</f>
        <v>173.377444063386</v>
      </c>
      <c r="H6315" s="38" t="n">
        <f aca="false">Sens!$H$6296</f>
        <v>241.059451517916</v>
      </c>
      <c r="I6315" s="38" t="n">
        <f aca="false">Sens!$I$6296</f>
        <v>312.152096351442</v>
      </c>
      <c r="J6315" s="38" t="n">
        <f aca="false">Sens!$J$6296</f>
        <v>379.424316597773</v>
      </c>
      <c r="K6315" s="38" t="n">
        <f aca="false">Sens!$K$6296</f>
        <v>439.919237244402</v>
      </c>
      <c r="L6315" s="38" t="n">
        <f aca="false">Sens!$L$6296</f>
        <v>501.954974491517</v>
      </c>
      <c r="M6315" s="38" t="n">
        <f aca="false">Sens!$M$6296</f>
        <v>565.639704466895</v>
      </c>
      <c r="N6315" s="38" t="n">
        <f aca="false">Sens!$N$6296</f>
        <v>60.14</v>
      </c>
      <c r="O6315" s="38" t="n">
        <f aca="false">Sens!$O$6296</f>
        <v>68.585</v>
      </c>
    </row>
    <row r="6316" customFormat="false" ht="15" hidden="false" customHeight="false" outlineLevel="0" collapsed="false">
      <c r="A6316" s="1" t="s">
        <v>472</v>
      </c>
      <c r="B6316" s="8" t="s">
        <v>73</v>
      </c>
      <c r="C6316" s="38" t="n">
        <f aca="false">Sens!$C$6233</f>
        <v>387.497</v>
      </c>
      <c r="D6316" s="38" t="n">
        <f aca="false">Sens!$D$6233</f>
        <v>426.305</v>
      </c>
      <c r="E6316" s="38" t="n">
        <f aca="false">Sens!$E$6233</f>
        <v>220.32</v>
      </c>
      <c r="F6316" s="38" t="n">
        <f aca="false">Sens!$F$6233</f>
        <v>256.304015003807</v>
      </c>
      <c r="G6316" s="38" t="n">
        <f aca="false">Sens!$G$6233</f>
        <v>476.624015003807</v>
      </c>
      <c r="H6316" s="38" t="n">
        <f aca="false">Sens!$H$6233</f>
        <v>527.734391091543</v>
      </c>
      <c r="I6316" s="38" t="n">
        <f aca="false">Sens!$I$6233</f>
        <v>577.157693029577</v>
      </c>
      <c r="J6316" s="38" t="n">
        <f aca="false">Sens!$J$6233</f>
        <v>623.024923663827</v>
      </c>
      <c r="K6316" s="38" t="n">
        <f aca="false">Sens!$K$6233</f>
        <v>663.382568393781</v>
      </c>
      <c r="L6316" s="38" t="n">
        <f aca="false">Sens!$L$6233</f>
        <v>706.564873010432</v>
      </c>
      <c r="M6316" s="38" t="n">
        <f aca="false">Sens!$M$6233</f>
        <v>752.784687406019</v>
      </c>
      <c r="N6316" s="38" t="n">
        <f aca="false">Sens!$N$6233</f>
        <v>192.955</v>
      </c>
      <c r="O6316" s="38" t="n">
        <f aca="false">Sens!$O$6233</f>
        <v>233.35</v>
      </c>
    </row>
    <row r="6317" customFormat="false" ht="15" hidden="false" customHeight="false" outlineLevel="0" collapsed="false">
      <c r="A6317" s="1" t="s">
        <v>475</v>
      </c>
      <c r="B6317" s="8" t="s">
        <v>73</v>
      </c>
      <c r="C6317" s="38" t="n">
        <f aca="false">Sens!$C$6234</f>
        <v>142.906</v>
      </c>
      <c r="D6317" s="38" t="n">
        <f aca="false">Sens!$D$6234</f>
        <v>161.894</v>
      </c>
      <c r="E6317" s="38" t="n">
        <f aca="false">Sens!$E$6234</f>
        <v>81.986</v>
      </c>
      <c r="F6317" s="38" t="n">
        <f aca="false">Sens!$F$6234</f>
        <v>100.632414204623</v>
      </c>
      <c r="G6317" s="38" t="n">
        <f aca="false">Sens!$G$6234</f>
        <v>182.618414204623</v>
      </c>
      <c r="H6317" s="38" t="n">
        <f aca="false">Sens!$H$6234</f>
        <v>202.201346530158</v>
      </c>
      <c r="I6317" s="38" t="n">
        <f aca="false">Sens!$I$6234</f>
        <v>221.137876668296</v>
      </c>
      <c r="J6317" s="38" t="n">
        <f aca="false">Sens!$J$6234</f>
        <v>238.711898661958</v>
      </c>
      <c r="K6317" s="38" t="n">
        <f aca="false">Sens!$K$6234</f>
        <v>254.174923708144</v>
      </c>
      <c r="L6317" s="38" t="n">
        <f aca="false">Sens!$L$6234</f>
        <v>270.720216732733</v>
      </c>
      <c r="M6317" s="38" t="n">
        <f aca="false">Sens!$M$6234</f>
        <v>288.429331137484</v>
      </c>
      <c r="N6317" s="38" t="n">
        <f aca="false">Sens!$N$6234</f>
        <v>70.274</v>
      </c>
      <c r="O6317" s="38" t="n">
        <f aca="false">Sens!$O$6234</f>
        <v>91.62</v>
      </c>
    </row>
    <row r="6318" customFormat="false" ht="15" hidden="false" customHeight="false" outlineLevel="0" collapsed="false">
      <c r="A6318" s="1" t="s">
        <v>476</v>
      </c>
      <c r="B6318" s="8" t="s">
        <v>73</v>
      </c>
      <c r="C6318" s="38" t="n">
        <f aca="false">Sens!$C$6296</f>
        <v>107.556</v>
      </c>
      <c r="D6318" s="38" t="n">
        <f aca="false">Sens!$D$6296</f>
        <v>128.725</v>
      </c>
      <c r="E6318" s="38" t="n">
        <f aca="false">Sens!$E$6296</f>
        <v>79.819</v>
      </c>
      <c r="F6318" s="38" t="n">
        <f aca="false">Sens!$F$6296</f>
        <v>93.5584440633857</v>
      </c>
      <c r="G6318" s="38" t="n">
        <f aca="false">Sens!$G$6296</f>
        <v>173.377444063386</v>
      </c>
      <c r="H6318" s="38" t="n">
        <f aca="false">Sens!$H$6296</f>
        <v>241.059451517916</v>
      </c>
      <c r="I6318" s="38" t="n">
        <f aca="false">Sens!$I$6296</f>
        <v>312.152096351442</v>
      </c>
      <c r="J6318" s="38" t="n">
        <f aca="false">Sens!$J$6296</f>
        <v>379.424316597773</v>
      </c>
      <c r="K6318" s="38" t="n">
        <f aca="false">Sens!$K$6296</f>
        <v>439.919237244402</v>
      </c>
      <c r="L6318" s="38" t="n">
        <f aca="false">Sens!$L$6296</f>
        <v>501.954974491517</v>
      </c>
      <c r="M6318" s="38" t="n">
        <f aca="false">Sens!$M$6296</f>
        <v>565.639704466895</v>
      </c>
      <c r="N6318" s="38" t="n">
        <f aca="false">Sens!$N$6296</f>
        <v>60.14</v>
      </c>
      <c r="O6318" s="38" t="n">
        <f aca="false">Sens!$O$6296</f>
        <v>68.585</v>
      </c>
    </row>
    <row r="6319" customFormat="false" ht="17.15" hidden="false" customHeight="false" outlineLevel="0" collapsed="false">
      <c r="A6319" s="0" t="s">
        <v>643</v>
      </c>
      <c r="B6319" s="0" t="s">
        <v>73</v>
      </c>
      <c r="C6319" s="38" t="n">
        <f aca="false">Sens!$C$6294</f>
        <v>2.32100535697364</v>
      </c>
      <c r="D6319" s="38" t="n">
        <f aca="false">Sens!$D$6294</f>
        <v>8.70377008865116</v>
      </c>
      <c r="E6319" s="38" t="n">
        <f aca="false">Sens!$E$6294</f>
        <v>8.51035297557002</v>
      </c>
      <c r="F6319" s="38" t="n">
        <f aca="false">Sens!$F$6294</f>
        <v>14.9634336447205</v>
      </c>
      <c r="G6319" s="38" t="n">
        <f aca="false">Sens!$G$6294</f>
        <v>23.4737866202905</v>
      </c>
      <c r="H6319" s="38" t="n">
        <f aca="false">Sens!$H$6294</f>
        <v>60.1658907497746</v>
      </c>
      <c r="I6319" s="38" t="n">
        <f aca="false">Sens!$I$6294</f>
        <v>101.503699136432</v>
      </c>
      <c r="J6319" s="38" t="n">
        <f aca="false">Sens!$J$6294</f>
        <v>143.025407151278</v>
      </c>
      <c r="K6319" s="38" t="n">
        <f aca="false">Sens!$K$6294</f>
        <v>184.608415042187</v>
      </c>
      <c r="L6319" s="38" t="n">
        <f aca="false">Sens!$L$6294</f>
        <v>226.219286513125</v>
      </c>
      <c r="M6319" s="38" t="n">
        <f aca="false">Sens!$M$6294</f>
        <v>267.845161450232</v>
      </c>
      <c r="N6319" s="38" t="n">
        <f aca="false">Sens!$N$6294</f>
        <v>3.04631953102791</v>
      </c>
      <c r="O6319" s="38" t="n">
        <f aca="false">Sens!$O$6294</f>
        <v>5.65745055762326</v>
      </c>
    </row>
    <row r="6320" customFormat="false" ht="17.15" hidden="false" customHeight="false" outlineLevel="0" collapsed="false">
      <c r="A6320" s="0" t="s">
        <v>645</v>
      </c>
      <c r="B6320" s="0" t="s">
        <v>73</v>
      </c>
      <c r="C6320" s="38" t="n">
        <f aca="false">Sens!$C$6295</f>
        <v>105.234994643026</v>
      </c>
      <c r="D6320" s="38" t="n">
        <f aca="false">Sens!$D$6295</f>
        <v>120.021229911349</v>
      </c>
      <c r="E6320" s="38" t="n">
        <f aca="false">Sens!$E$6295</f>
        <v>71.30864702443</v>
      </c>
      <c r="F6320" s="38" t="n">
        <f aca="false">Sens!$F$6295</f>
        <v>78.5950104186653</v>
      </c>
      <c r="G6320" s="38" t="n">
        <f aca="false">Sens!$G$6295</f>
        <v>149.903657443095</v>
      </c>
      <c r="H6320" s="38" t="n">
        <f aca="false">Sens!$H$6295</f>
        <v>180.893560768142</v>
      </c>
      <c r="I6320" s="38" t="n">
        <f aca="false">Sens!$I$6295</f>
        <v>210.64839721501</v>
      </c>
      <c r="J6320" s="38" t="n">
        <f aca="false">Sens!$J$6295</f>
        <v>236.398909446495</v>
      </c>
      <c r="K6320" s="38" t="n">
        <f aca="false">Sens!$K$6295</f>
        <v>255.310822202215</v>
      </c>
      <c r="L6320" s="38" t="n">
        <f aca="false">Sens!$L$6295</f>
        <v>275.735687978392</v>
      </c>
      <c r="M6320" s="38" t="n">
        <f aca="false">Sens!$M$6295</f>
        <v>297.794543016663</v>
      </c>
      <c r="N6320" s="38" t="n">
        <f aca="false">Sens!$N$6295</f>
        <v>57.0936804689721</v>
      </c>
      <c r="O6320" s="38" t="n">
        <f aca="false">Sens!$O$6295</f>
        <v>62.9275494423768</v>
      </c>
    </row>
    <row r="6321" customFormat="false" ht="15" hidden="false" customHeight="false" outlineLevel="0" collapsed="false">
      <c r="A6321" s="3" t="s">
        <v>477</v>
      </c>
      <c r="B6321" s="8" t="s">
        <v>73</v>
      </c>
      <c r="C6321" s="38" t="n">
        <f aca="false">Sens!$C$6297</f>
        <v>637.959</v>
      </c>
      <c r="D6321" s="38" t="n">
        <f aca="false">Sens!$D$6297</f>
        <v>716.924</v>
      </c>
      <c r="E6321" s="38" t="n">
        <f aca="false">Sens!$E$6297</f>
        <v>382.125</v>
      </c>
      <c r="F6321" s="38" t="n">
        <f aca="false">Sens!$F$6297</f>
        <v>450.494873271816</v>
      </c>
      <c r="G6321" s="38" t="n">
        <f aca="false">Sens!$G$6297</f>
        <v>832.619873271816</v>
      </c>
      <c r="H6321" s="38" t="n">
        <f aca="false">Sens!$H$6297</f>
        <v>970.995189139617</v>
      </c>
      <c r="I6321" s="38" t="n">
        <f aca="false">Sens!$I$6297</f>
        <v>1110.44766604932</v>
      </c>
      <c r="J6321" s="38" t="n">
        <f aca="false">Sens!$J$6297</f>
        <v>1241.16113892356</v>
      </c>
      <c r="K6321" s="38" t="n">
        <f aca="false">Sens!$K$6297</f>
        <v>1357.47672934633</v>
      </c>
      <c r="L6321" s="38" t="n">
        <f aca="false">Sens!$L$6297</f>
        <v>1479.24006423468</v>
      </c>
      <c r="M6321" s="38" t="n">
        <f aca="false">Sens!$M$6297</f>
        <v>1606.8537230104</v>
      </c>
      <c r="N6321" s="38" t="n">
        <f aca="false">Sens!$N$6297</f>
        <v>323.369</v>
      </c>
      <c r="O6321" s="38" t="n">
        <f aca="false">Sens!$O$6297</f>
        <v>393.555</v>
      </c>
    </row>
    <row r="6322" customFormat="false" ht="17.15" hidden="false" customHeight="false" outlineLevel="0" collapsed="false">
      <c r="A6322" s="24" t="s">
        <v>655</v>
      </c>
      <c r="B6322" s="25" t="s">
        <v>73</v>
      </c>
      <c r="C6322" s="39" t="n">
        <f aca="false">Sens!$C$6309+Sens!$C$6310+Sens!$C$6311+Sens!$C$6312+Sens!$C$6313+Sens!$C$6314-(Sens!$C$6316+Sens!$C$6317)</f>
        <v>0</v>
      </c>
      <c r="D6322" s="39" t="n">
        <f aca="false">Sens!$D$6309+Sens!$D$6310+Sens!$D$6311+Sens!$D$6312+Sens!$D$6313+Sens!$D$6314-(Sens!$D$6316+Sens!$D$6317)</f>
        <v>0</v>
      </c>
      <c r="E6322" s="39" t="n">
        <f aca="false">Sens!$E$6309+Sens!$E$6310+Sens!$E$6311+Sens!$E$6312+Sens!$E$6313+Sens!$E$6314-(Sens!$E$6316+Sens!$E$6317)</f>
        <v>0</v>
      </c>
      <c r="F6322" s="39" t="n">
        <f aca="false">Sens!$F$6309+Sens!$F$6310+Sens!$F$6311+Sens!$F$6312+Sens!$F$6313+Sens!$F$6314-(Sens!$F$6316+Sens!$F$6317)</f>
        <v>0</v>
      </c>
      <c r="G6322" s="39" t="n">
        <f aca="false">Sens!$G$6309+Sens!$G$6310+Sens!$G$6311+Sens!$G$6312+Sens!$G$6313+Sens!$G$6314-(Sens!$G$6316+Sens!$G$6317)</f>
        <v>0</v>
      </c>
      <c r="H6322" s="39" t="n">
        <f aca="false">Sens!$H$6309+Sens!$H$6310+Sens!$H$6311+Sens!$H$6312+Sens!$H$6313+Sens!$H$6314-(Sens!$H$6316+Sens!$H$6317)</f>
        <v>0</v>
      </c>
      <c r="I6322" s="39" t="n">
        <f aca="false">Sens!$I$6309+Sens!$I$6310+Sens!$I$6311+Sens!$I$6312+Sens!$I$6313+Sens!$I$6314-(Sens!$I$6316+Sens!$I$6317)</f>
        <v>0</v>
      </c>
      <c r="J6322" s="39" t="n">
        <f aca="false">Sens!$J$6309+Sens!$J$6310+Sens!$J$6311+Sens!$J$6312+Sens!$J$6313+Sens!$J$6314-(Sens!$J$6316+Sens!$J$6317)</f>
        <v>0</v>
      </c>
      <c r="K6322" s="39" t="n">
        <f aca="false">Sens!$K$6309+Sens!$K$6310+Sens!$K$6311+Sens!$K$6312+Sens!$K$6313+Sens!$K$6314-(Sens!$K$6316+Sens!$K$6317)</f>
        <v>0</v>
      </c>
      <c r="L6322" s="39" t="n">
        <f aca="false">Sens!$L$6309+Sens!$L$6310+Sens!$L$6311+Sens!$L$6312+Sens!$L$6313+Sens!$L$6314-(Sens!$L$6316+Sens!$L$6317)</f>
        <v>0</v>
      </c>
      <c r="M6322" s="39" t="n">
        <f aca="false">Sens!$M$6309+Sens!$M$6310+Sens!$M$6311+Sens!$M$6312+Sens!$M$6313+Sens!$M$6314-(Sens!$M$6316+Sens!$M$6317)</f>
        <v>0</v>
      </c>
      <c r="N6322" s="39" t="n">
        <f aca="false">Sens!$N$6309+Sens!$N$6310+Sens!$N$6311+Sens!$N$6312+Sens!$N$6313+Sens!$N$6314-(Sens!$N$6316+Sens!$N$6317)</f>
        <v>0</v>
      </c>
      <c r="O6322" s="39" t="n">
        <f aca="false">Sens!$O$6309+Sens!$O$6310+Sens!$O$6311+Sens!$O$6312+Sens!$O$6313+Sens!$O$6314-(Sens!$O$6316+Sens!$O$6317)</f>
        <v>0</v>
      </c>
    </row>
    <row r="6323" customFormat="false" ht="17.15" hidden="false" customHeight="false" outlineLevel="0" collapsed="false">
      <c r="A6323" s="24" t="s">
        <v>656</v>
      </c>
      <c r="B6323" s="25" t="s">
        <v>73</v>
      </c>
      <c r="C6323" s="39" t="n">
        <f aca="false">Sens!$C$6319+Sens!$C$6320-Sens!$C$6318</f>
        <v>0</v>
      </c>
      <c r="D6323" s="39" t="n">
        <f aca="false">Sens!$D$6319+Sens!$D$6320-Sens!$D$6318</f>
        <v>0</v>
      </c>
      <c r="E6323" s="39" t="n">
        <f aca="false">Sens!$E$6319+Sens!$E$6320-Sens!$E$6318</f>
        <v>0</v>
      </c>
      <c r="F6323" s="39" t="n">
        <f aca="false">Sens!$F$6319+Sens!$F$6320-Sens!$F$6318</f>
        <v>0</v>
      </c>
      <c r="G6323" s="39" t="n">
        <f aca="false">Sens!$G$6319+Sens!$G$6320-Sens!$G$6318</f>
        <v>0</v>
      </c>
      <c r="H6323" s="39" t="n">
        <f aca="false">Sens!$H$6319+Sens!$H$6320-Sens!$H$6318</f>
        <v>0</v>
      </c>
      <c r="I6323" s="39" t="n">
        <f aca="false">Sens!$I$6319+Sens!$I$6320-Sens!$I$6318</f>
        <v>0</v>
      </c>
      <c r="J6323" s="39" t="n">
        <f aca="false">Sens!$J$6319+Sens!$J$6320-Sens!$J$6318</f>
        <v>0</v>
      </c>
      <c r="K6323" s="39" t="n">
        <f aca="false">Sens!$K$6319+Sens!$K$6320-Sens!$K$6318</f>
        <v>0</v>
      </c>
      <c r="L6323" s="39" t="n">
        <f aca="false">Sens!$L$6319+Sens!$L$6320-Sens!$L$6318</f>
        <v>0</v>
      </c>
      <c r="M6323" s="39" t="n">
        <f aca="false">Sens!$M$6319+Sens!$M$6320-Sens!$M$6318</f>
        <v>0</v>
      </c>
      <c r="N6323" s="39" t="n">
        <f aca="false">Sens!$N$6319+Sens!$N$6320-Sens!$N$6318</f>
        <v>0</v>
      </c>
      <c r="O6323" s="39" t="n">
        <f aca="false">Sens!$O$6319+Sens!$O$6320-Sens!$O$6318</f>
        <v>0</v>
      </c>
    </row>
    <row r="6324" customFormat="false" ht="17.15" hidden="false" customHeight="false" outlineLevel="0" collapsed="false">
      <c r="A6324" s="24" t="s">
        <v>710</v>
      </c>
      <c r="B6324" s="25" t="s">
        <v>73</v>
      </c>
      <c r="C6324" s="39" t="n">
        <f aca="false">Sens!$C$6309+Sens!$C$6310+Sens!$C$6311+Sens!$C$6312+Sens!$C$6313+Sens!$C$6314+Sens!$C$6315-Sens!$C$6321</f>
        <v>0</v>
      </c>
      <c r="D6324" s="39" t="n">
        <f aca="false">Sens!$D$6309+Sens!$D$6310+Sens!$D$6311+Sens!$D$6312+Sens!$D$6313+Sens!$D$6314+Sens!$D$6315-Sens!$D$6321</f>
        <v>0</v>
      </c>
      <c r="E6324" s="39" t="n">
        <f aca="false">Sens!$E$6309+Sens!$E$6310+Sens!$E$6311+Sens!$E$6312+Sens!$E$6313+Sens!$E$6314+Sens!$E$6315-Sens!$E$6321</f>
        <v>0</v>
      </c>
      <c r="F6324" s="39" t="n">
        <f aca="false">Sens!$F$6309+Sens!$F$6310+Sens!$F$6311+Sens!$F$6312+Sens!$F$6313+Sens!$F$6314+Sens!$F$6315-Sens!$F$6321</f>
        <v>0</v>
      </c>
      <c r="G6324" s="39" t="n">
        <f aca="false">Sens!$G$6309+Sens!$G$6310+Sens!$G$6311+Sens!$G$6312+Sens!$G$6313+Sens!$G$6314+Sens!$G$6315-Sens!$G$6321</f>
        <v>0</v>
      </c>
      <c r="H6324" s="39" t="n">
        <f aca="false">Sens!$H$6309+Sens!$H$6310+Sens!$H$6311+Sens!$H$6312+Sens!$H$6313+Sens!$H$6314+Sens!$H$6315-Sens!$H$6321</f>
        <v>0</v>
      </c>
      <c r="I6324" s="39" t="n">
        <f aca="false">Sens!$I$6309+Sens!$I$6310+Sens!$I$6311+Sens!$I$6312+Sens!$I$6313+Sens!$I$6314+Sens!$I$6315-Sens!$I$6321</f>
        <v>0</v>
      </c>
      <c r="J6324" s="39" t="n">
        <f aca="false">Sens!$J$6309+Sens!$J$6310+Sens!$J$6311+Sens!$J$6312+Sens!$J$6313+Sens!$J$6314+Sens!$J$6315-Sens!$J$6321</f>
        <v>0</v>
      </c>
      <c r="K6324" s="39" t="n">
        <f aca="false">Sens!$K$6309+Sens!$K$6310+Sens!$K$6311+Sens!$K$6312+Sens!$K$6313+Sens!$K$6314+Sens!$K$6315-Sens!$K$6321</f>
        <v>0</v>
      </c>
      <c r="L6324" s="39" t="n">
        <f aca="false">Sens!$L$6309+Sens!$L$6310+Sens!$L$6311+Sens!$L$6312+Sens!$L$6313+Sens!$L$6314+Sens!$L$6315-Sens!$L$6321</f>
        <v>0</v>
      </c>
      <c r="M6324" s="39" t="n">
        <f aca="false">Sens!$M$6309+Sens!$M$6310+Sens!$M$6311+Sens!$M$6312+Sens!$M$6313+Sens!$M$6314+Sens!$M$6315-Sens!$M$6321</f>
        <v>0</v>
      </c>
      <c r="N6324" s="39" t="n">
        <f aca="false">Sens!$N$6309+Sens!$N$6310+Sens!$N$6311+Sens!$N$6312+Sens!$N$6313+Sens!$N$6314+Sens!$N$6315-Sens!$N$6321</f>
        <v>0</v>
      </c>
      <c r="O6324" s="39" t="n">
        <f aca="false">Sens!$O$6309+Sens!$O$6310+Sens!$O$6311+Sens!$O$6312+Sens!$O$6313+Sens!$O$6314+Sens!$O$6315-Sens!$O$6321</f>
        <v>0</v>
      </c>
    </row>
    <row r="6325" customFormat="false" ht="17.15" hidden="false" customHeight="false" outlineLevel="0" collapsed="false">
      <c r="A6325" s="24" t="s">
        <v>657</v>
      </c>
      <c r="B6325" s="25" t="s">
        <v>73</v>
      </c>
      <c r="C6325" s="39" t="n">
        <f aca="false">Sens!$C$6316+Sens!$C$6317+Sens!$C$6318-Sens!$C$6321</f>
        <v>0</v>
      </c>
      <c r="D6325" s="39" t="n">
        <f aca="false">Sens!$D$6316+Sens!$D$6317+Sens!$D$6318-Sens!$D$6321</f>
        <v>0</v>
      </c>
      <c r="E6325" s="39" t="n">
        <f aca="false">Sens!$E$6316+Sens!$E$6317+Sens!$E$6318-Sens!$E$6321</f>
        <v>0</v>
      </c>
      <c r="F6325" s="39" t="n">
        <f aca="false">Sens!$F$6316+Sens!$F$6317+Sens!$F$6318-Sens!$F$6321</f>
        <v>0</v>
      </c>
      <c r="G6325" s="39" t="n">
        <f aca="false">Sens!$G$6316+Sens!$G$6317+Sens!$G$6318-Sens!$G$6321</f>
        <v>0</v>
      </c>
      <c r="H6325" s="39" t="n">
        <f aca="false">Sens!$H$6316+Sens!$H$6317+Sens!$H$6318-Sens!$H$6321</f>
        <v>0</v>
      </c>
      <c r="I6325" s="39" t="n">
        <f aca="false">Sens!$I$6316+Sens!$I$6317+Sens!$I$6318-Sens!$I$6321</f>
        <v>0</v>
      </c>
      <c r="J6325" s="39" t="n">
        <f aca="false">Sens!$J$6316+Sens!$J$6317+Sens!$J$6318-Sens!$J$6321</f>
        <v>0</v>
      </c>
      <c r="K6325" s="39" t="n">
        <f aca="false">Sens!$K$6316+Sens!$K$6317+Sens!$K$6318-Sens!$K$6321</f>
        <v>0</v>
      </c>
      <c r="L6325" s="39" t="n">
        <f aca="false">Sens!$L$6316+Sens!$L$6317+Sens!$L$6318-Sens!$L$6321</f>
        <v>0</v>
      </c>
      <c r="M6325" s="39" t="n">
        <f aca="false">Sens!$M$6316+Sens!$M$6317+Sens!$M$6318-Sens!$M$6321</f>
        <v>0</v>
      </c>
      <c r="N6325" s="39" t="n">
        <f aca="false">Sens!$N$6316+Sens!$N$6317+Sens!$N$6318-Sens!$N$6321</f>
        <v>0</v>
      </c>
      <c r="O6325" s="39" t="n">
        <f aca="false">Sens!$O$6316+Sens!$O$6317+Sens!$O$6318-Sens!$O$6321</f>
        <v>0</v>
      </c>
    </row>
    <row r="6326" customFormat="false" ht="17.15" hidden="false" customHeight="false" outlineLevel="0" collapsed="false">
      <c r="A6326" s="1" t="s">
        <v>671</v>
      </c>
    </row>
    <row r="6327" customFormat="false" ht="17.15" hidden="false" customHeight="false" outlineLevel="0" collapsed="false">
      <c r="A6327" s="0" t="s">
        <v>672</v>
      </c>
      <c r="B6327" s="0" t="s">
        <v>73</v>
      </c>
      <c r="C6327" s="38" t="n">
        <f aca="false">Sens!$C$6235*m_ad</f>
        <v>20.5341564414228</v>
      </c>
      <c r="D6327" s="38" t="n">
        <f aca="false">Sens!$D$6235*m_ad</f>
        <v>24.8720617299587</v>
      </c>
      <c r="E6327" s="38" t="n">
        <f aca="false">Sens!$E$6235*m_ad</f>
        <v>13.5017112462207</v>
      </c>
      <c r="F6327" s="38" t="n">
        <f aca="false">Sens!$F$6235*m_ad</f>
        <v>17.2886442824599</v>
      </c>
      <c r="G6327" s="38" t="n">
        <f aca="false">Sens!$G$6235*m_ad</f>
        <v>30.8011958765886</v>
      </c>
      <c r="H6327" s="38" t="n">
        <f aca="false">Sens!$H$6235*m_ad</f>
        <v>36.978409366026</v>
      </c>
      <c r="I6327" s="38" t="n">
        <f aca="false">Sens!$I$6235*m_ad</f>
        <v>43.155063281273</v>
      </c>
      <c r="J6327" s="38" t="n">
        <f aca="false">Sens!$J$6235*m_ad</f>
        <v>48.9169991988532</v>
      </c>
      <c r="K6327" s="38" t="n">
        <f aca="false">Sens!$K$6235*m_ad</f>
        <v>53.8086991187386</v>
      </c>
      <c r="L6327" s="38" t="n">
        <f aca="false">Sens!$L$6235*m_ad</f>
        <v>59.1895690306124</v>
      </c>
      <c r="M6327" s="38" t="n">
        <f aca="false">Sens!$M$6235*m_ad</f>
        <v>65.1085259336737</v>
      </c>
      <c r="N6327" s="38" t="n">
        <f aca="false">Sens!$N$6235*m_ad</f>
        <v>10.8543555706248</v>
      </c>
      <c r="O6327" s="38" t="n">
        <f aca="false">Sens!$O$6235*m_ad</f>
        <v>14.0094731821399</v>
      </c>
    </row>
    <row r="6328" customFormat="false" ht="17.15" hidden="false" customHeight="false" outlineLevel="0" collapsed="false">
      <c r="A6328" s="0" t="s">
        <v>673</v>
      </c>
      <c r="B6328" s="0" t="s">
        <v>73</v>
      </c>
      <c r="C6328" s="38" t="n">
        <f aca="false">Sens!$C$6233-Sens!$C$6235</f>
        <v>346.428687117154</v>
      </c>
      <c r="D6328" s="38" t="n">
        <f aca="false">Sens!$D$6233-Sens!$D$6235</f>
        <v>376.560876540083</v>
      </c>
      <c r="E6328" s="38" t="n">
        <f aca="false">Sens!$E$6233-Sens!$E$6235</f>
        <v>193.316577507559</v>
      </c>
      <c r="F6328" s="38" t="n">
        <f aca="false">Sens!$F$6233-Sens!$F$6235</f>
        <v>221.726726438887</v>
      </c>
      <c r="G6328" s="38" t="n">
        <f aca="false">Sens!$G$6233-Sens!$G$6235</f>
        <v>415.02162325063</v>
      </c>
      <c r="H6328" s="38" t="n">
        <f aca="false">Sens!$H$6233-Sens!$H$6235</f>
        <v>453.777572359491</v>
      </c>
      <c r="I6328" s="38" t="n">
        <f aca="false">Sens!$I$6233-Sens!$I$6235</f>
        <v>490.847566467031</v>
      </c>
      <c r="J6328" s="38" t="n">
        <f aca="false">Sens!$J$6233-Sens!$J$6235</f>
        <v>525.190925266121</v>
      </c>
      <c r="K6328" s="38" t="n">
        <f aca="false">Sens!$K$6233-Sens!$K$6235</f>
        <v>555.765170156304</v>
      </c>
      <c r="L6328" s="38" t="n">
        <f aca="false">Sens!$L$6233-Sens!$L$6235</f>
        <v>588.185734949207</v>
      </c>
      <c r="M6328" s="38" t="n">
        <f aca="false">Sens!$M$6233-Sens!$M$6235</f>
        <v>622.567635538672</v>
      </c>
      <c r="N6328" s="38" t="n">
        <f aca="false">Sens!$N$6233-Sens!$N$6235</f>
        <v>171.24628885875</v>
      </c>
      <c r="O6328" s="38" t="n">
        <f aca="false">Sens!$O$6233-Sens!$O$6235</f>
        <v>205.33105363572</v>
      </c>
    </row>
    <row r="6329" customFormat="false" ht="17.15" hidden="false" customHeight="false" outlineLevel="0" collapsed="false">
      <c r="A6329" s="0" t="s">
        <v>674</v>
      </c>
      <c r="B6329" s="0" t="s">
        <v>73</v>
      </c>
      <c r="C6329" s="38" t="n">
        <f aca="false">Sens!$C$6280*Sens!$C$6232</f>
        <v>0.123617442257179</v>
      </c>
      <c r="D6329" s="38" t="n">
        <f aca="false">Sens!$D$6280*Sens!$D$6232</f>
        <v>0.874366899302609</v>
      </c>
      <c r="E6329" s="38" t="n">
        <f aca="false">Sens!$E$6280*Sens!$E$6232</f>
        <v>1.29318830502574</v>
      </c>
      <c r="F6329" s="38" t="n">
        <f aca="false">Sens!$F$6280*Sens!$F$6232</f>
        <v>1.51802024162534</v>
      </c>
      <c r="G6329" s="38" t="n">
        <f aca="false">Sens!$G$6280*Sens!$G$6232</f>
        <v>2.81130189308167</v>
      </c>
      <c r="H6329" s="38" t="n">
        <f aca="false">Sens!$H$6280*Sens!$H$6232</f>
        <v>7.38966789318209</v>
      </c>
      <c r="I6329" s="38" t="n">
        <f aca="false">Sens!$I$6280*Sens!$I$6232</f>
        <v>12.8987443661473</v>
      </c>
      <c r="J6329" s="38" t="n">
        <f aca="false">Sens!$J$6280*Sens!$J$6232</f>
        <v>18.5570025453645</v>
      </c>
      <c r="K6329" s="38" t="n">
        <f aca="false">Sens!$K$6280*Sens!$K$6232</f>
        <v>24.3158972773405</v>
      </c>
      <c r="L6329" s="38" t="n">
        <f aca="false">Sens!$L$6280*Sens!$L$6232</f>
        <v>29.7827375558674</v>
      </c>
      <c r="M6329" s="38" t="n">
        <f aca="false">Sens!$M$6280*Sens!$M$6232</f>
        <v>35.3532344973194</v>
      </c>
      <c r="N6329" s="38" t="n">
        <f aca="false">Sens!$N$6280*Sens!$N$6232</f>
        <v>0.389180508437431</v>
      </c>
      <c r="O6329" s="38" t="n">
        <f aca="false">Sens!$O$6280*Sens!$O$6232</f>
        <v>0.485052120082802</v>
      </c>
    </row>
    <row r="6330" customFormat="false" ht="17.15" hidden="false" customHeight="false" outlineLevel="0" collapsed="false">
      <c r="A6330" s="0" t="s">
        <v>675</v>
      </c>
      <c r="B6330" s="0" t="s">
        <v>52</v>
      </c>
      <c r="C6330" s="28" t="n">
        <f aca="false">(Sens!$C$6331-Sens!$C$6327+Sens!$C$6329)/Sens!$C$6328</f>
        <v>0.0131526665379575</v>
      </c>
      <c r="D6330" s="28" t="n">
        <f aca="false">(Sens!$D$6331-Sens!$D$6327+Sens!$D$6329)/Sens!$D$6328</f>
        <v>0.0149280116962589</v>
      </c>
      <c r="E6330" s="28" t="n">
        <f aca="false">(Sens!$E$6331-Sens!$E$6327+Sens!$E$6329)/Sens!$E$6328</f>
        <v>0.0268030663774938</v>
      </c>
      <c r="F6330" s="28" t="n">
        <f aca="false">Sens!$O$6330+(Sens!$E$6330-Sens!$N$6330)</f>
        <v>0.0232379346966962</v>
      </c>
      <c r="G6330" s="28" t="n">
        <f aca="false">(Sens!$G$6331-Sens!$G$6327+Sens!$G$6329)/Sens!$G$6328</f>
        <v>0.0248738876928168</v>
      </c>
      <c r="H6330" s="28" t="n">
        <f aca="false">Sens!$G$6330+step_na</f>
        <v>0.0278738876928168</v>
      </c>
      <c r="I6330" s="28" t="n">
        <f aca="false">Sens!$H$6330+step_na</f>
        <v>0.0308738876928168</v>
      </c>
      <c r="J6330" s="28" t="n">
        <f aca="false">Sens!$I$6330+step_na</f>
        <v>0.0338738876928168</v>
      </c>
      <c r="K6330" s="28" t="n">
        <f aca="false">Sens!$J$6330+step_na</f>
        <v>0.0368738876928168</v>
      </c>
      <c r="L6330" s="28" t="n">
        <f aca="false">Sens!$K$6330</f>
        <v>0.0368738876928168</v>
      </c>
      <c r="M6330" s="28" t="n">
        <f aca="false">Sens!$L$6330</f>
        <v>0.0368738876928168</v>
      </c>
      <c r="N6330" s="28" t="n">
        <f aca="false">(Sens!$N$6331-Sens!$N$6327+Sens!$N$6329)/Sens!$N$6328</f>
        <v>0.0168927744775755</v>
      </c>
      <c r="O6330" s="28" t="n">
        <f aca="false">(Sens!$O$6331-Sens!$O$6327+Sens!$O$6329)/Sens!$O$6328</f>
        <v>0.0133276427967779</v>
      </c>
      <c r="P6330" s="8" t="s">
        <v>676</v>
      </c>
    </row>
    <row r="6331" customFormat="false" ht="17.15" hidden="false" customHeight="false" outlineLevel="0" collapsed="false">
      <c r="A6331" s="1" t="s">
        <v>677</v>
      </c>
      <c r="B6331" s="8" t="s">
        <v>73</v>
      </c>
      <c r="C6331" s="38" t="n">
        <f aca="false">Q!$D$22</f>
        <v>24.967</v>
      </c>
      <c r="D6331" s="38" t="n">
        <f aca="false">Q!$E$22</f>
        <v>29.619</v>
      </c>
      <c r="E6331" s="38" t="n">
        <f aca="false">Q!$P$22</f>
        <v>17.39</v>
      </c>
      <c r="F6331" s="38" t="n">
        <f aca="false">Sens!$F$6327+Sens!$F$6328*Sens!$F$6330-Sens!$F$6329</f>
        <v>20.9230952303336</v>
      </c>
      <c r="G6331" s="38" t="n">
        <f aca="false">Sens!$E$6331+Sens!$F$6331</f>
        <v>38.3130952303336</v>
      </c>
      <c r="H6331" s="38" t="n">
        <f aca="false">Sens!$H$6327+Sens!$H$6328*Sens!$H$6330-Sens!$H$6329</f>
        <v>42.2372865623114</v>
      </c>
      <c r="I6331" s="38" t="n">
        <f aca="false">Sens!$I$6327+Sens!$I$6328*Sens!$I$6330-Sens!$I$6329</f>
        <v>45.4106915565213</v>
      </c>
      <c r="J6331" s="38" t="n">
        <f aca="false">Sens!$J$6327+Sens!$J$6328*Sens!$J$6330-Sens!$J$6329</f>
        <v>48.1502550732398</v>
      </c>
      <c r="K6331" s="38" t="n">
        <f aca="false">Sens!$K$6327+Sens!$K$6328*Sens!$K$6330-Sens!$K$6329</f>
        <v>49.9860243093208</v>
      </c>
      <c r="L6331" s="38" t="n">
        <f aca="false">Sens!$L$6327+Sens!$L$6328*Sens!$L$6330-Sens!$L$6329</f>
        <v>51.095526207779</v>
      </c>
      <c r="M6331" s="38" t="n">
        <f aca="false">Sens!$M$6327+Sens!$M$6328*Sens!$M$6330-Sens!$M$6329</f>
        <v>52.7117805103898</v>
      </c>
      <c r="N6331" s="38" t="n">
        <f aca="false">Q!$N$22</f>
        <v>13.358</v>
      </c>
      <c r="O6331" s="38" t="n">
        <f aca="false">Q!$O$22</f>
        <v>16.261</v>
      </c>
    </row>
    <row r="6332" customFormat="false" ht="17.15" hidden="false" customHeight="false" outlineLevel="0" collapsed="false">
      <c r="A6332" s="0" t="s">
        <v>678</v>
      </c>
      <c r="B6332" s="0" t="s">
        <v>73</v>
      </c>
      <c r="C6332" s="38" t="n">
        <f aca="false">Sens!$C$6236*m_ad</f>
        <v>7.57284355857716</v>
      </c>
      <c r="D6332" s="38" t="n">
        <f aca="false">Sens!$D$6236*m_ad</f>
        <v>9.44543827004127</v>
      </c>
      <c r="E6332" s="38" t="n">
        <f aca="false">Sens!$E$6236*m_ad</f>
        <v>5.02428875377928</v>
      </c>
      <c r="F6332" s="38" t="n">
        <f aca="false">Sens!$F$6236*m_ad</f>
        <v>6.78802480890925</v>
      </c>
      <c r="G6332" s="38" t="n">
        <f aca="false">Sens!$G$6236*m_ad</f>
        <v>11.8014732147805</v>
      </c>
      <c r="H6332" s="38" t="n">
        <f aca="false">Sens!$H$6236*m_ad</f>
        <v>14.1682715634442</v>
      </c>
      <c r="I6332" s="38" t="n">
        <f aca="false">Sens!$I$6236*m_ad</f>
        <v>16.5348555113474</v>
      </c>
      <c r="J6332" s="38" t="n">
        <f aca="false">Sens!$J$6236*m_ad</f>
        <v>18.7425403255689</v>
      </c>
      <c r="K6332" s="38" t="n">
        <f aca="false">Sens!$K$6236*m_ad</f>
        <v>20.6167943581258</v>
      </c>
      <c r="L6332" s="38" t="n">
        <f aca="false">Sens!$L$6236*m_ad</f>
        <v>22.6784737939383</v>
      </c>
      <c r="M6332" s="38" t="n">
        <f aca="false">Sens!$M$6236*m_ad</f>
        <v>24.9463211733322</v>
      </c>
      <c r="N6332" s="38" t="n">
        <f aca="false">Sens!$N$6236*m_ad</f>
        <v>3.95314442937518</v>
      </c>
      <c r="O6332" s="38" t="n">
        <f aca="false">Sens!$O$6236*m_ad</f>
        <v>5.50052681786011</v>
      </c>
    </row>
    <row r="6333" customFormat="false" ht="17.15" hidden="false" customHeight="false" outlineLevel="0" collapsed="false">
      <c r="A6333" s="0" t="s">
        <v>679</v>
      </c>
      <c r="B6333" s="0" t="s">
        <v>73</v>
      </c>
      <c r="C6333" s="38" t="n">
        <f aca="false">Sens!$C$6234-Sens!$C$6236</f>
        <v>127.760312882846</v>
      </c>
      <c r="D6333" s="38" t="n">
        <f aca="false">Sens!$D$6234-Sens!$D$6236</f>
        <v>143.003123459917</v>
      </c>
      <c r="E6333" s="38" t="n">
        <f aca="false">Sens!$E$6234-Sens!$E$6236</f>
        <v>71.9374224924414</v>
      </c>
      <c r="F6333" s="38" t="n">
        <f aca="false">Sens!$F$6234-Sens!$F$6236</f>
        <v>87.0563645868046</v>
      </c>
      <c r="G6333" s="38" t="n">
        <f aca="false">Sens!$G$6234-Sens!$G$6236</f>
        <v>159.015467775062</v>
      </c>
      <c r="H6333" s="38" t="n">
        <f aca="false">Sens!$H$6234-Sens!$H$6236</f>
        <v>173.864803403269</v>
      </c>
      <c r="I6333" s="38" t="n">
        <f aca="false">Sens!$I$6234-Sens!$I$6236</f>
        <v>188.068165645601</v>
      </c>
      <c r="J6333" s="38" t="n">
        <f aca="false">Sens!$J$6234-Sens!$J$6236</f>
        <v>201.22681801082</v>
      </c>
      <c r="K6333" s="38" t="n">
        <f aca="false">Sens!$K$6234-Sens!$K$6236</f>
        <v>212.941334991893</v>
      </c>
      <c r="L6333" s="38" t="n">
        <f aca="false">Sens!$L$6234-Sens!$L$6236</f>
        <v>225.363269144856</v>
      </c>
      <c r="M6333" s="38" t="n">
        <f aca="false">Sens!$M$6234-Sens!$M$6236</f>
        <v>238.536688790819</v>
      </c>
      <c r="N6333" s="38" t="n">
        <f aca="false">Sens!$N$6234-Sens!$N$6236</f>
        <v>62.3677111412496</v>
      </c>
      <c r="O6333" s="38" t="n">
        <f aca="false">Sens!$O$6234-Sens!$O$6236</f>
        <v>80.6189463642798</v>
      </c>
    </row>
    <row r="6334" customFormat="false" ht="17.15" hidden="false" customHeight="false" outlineLevel="0" collapsed="false">
      <c r="A6334" s="0" t="s">
        <v>680</v>
      </c>
      <c r="B6334" s="0" t="s">
        <v>73</v>
      </c>
      <c r="C6334" s="38" t="n">
        <f aca="false">Sens!$C$6280*(1-Sens!$C$6232)</f>
        <v>0.0455891896019953</v>
      </c>
      <c r="D6334" s="38" t="n">
        <f aca="false">Sens!$D$6280*(1-Sens!$D$6232)</f>
        <v>0.332050421167231</v>
      </c>
      <c r="E6334" s="38" t="n">
        <f aca="false">Sens!$E$6280*(1-Sens!$E$6232)</f>
        <v>0.481224293644882</v>
      </c>
      <c r="F6334" s="38" t="n">
        <f aca="false">Sens!$F$6280*(1-Sens!$F$6232)</f>
        <v>0.596018918096053</v>
      </c>
      <c r="G6334" s="38" t="n">
        <f aca="false">Sens!$G$6280*(1-Sens!$G$6232)</f>
        <v>1.07714986531035</v>
      </c>
      <c r="H6334" s="38" t="n">
        <f aca="false">Sens!$H$6280*(1-Sens!$H$6232)</f>
        <v>2.83135005721638</v>
      </c>
      <c r="I6334" s="38" t="n">
        <f aca="false">Sens!$I$6280*(1-Sens!$I$6232)</f>
        <v>4.9421518161602</v>
      </c>
      <c r="J6334" s="38" t="n">
        <f aca="false">Sens!$J$6280*(1-Sens!$J$6232)</f>
        <v>7.11011252170866</v>
      </c>
      <c r="K6334" s="38" t="n">
        <f aca="false">Sens!$K$6280*(1-Sens!$K$6232)</f>
        <v>9.31663210615807</v>
      </c>
      <c r="L6334" s="38" t="n">
        <f aca="false">Sens!$L$6280*(1-Sens!$L$6232)</f>
        <v>11.411251074039</v>
      </c>
      <c r="M6334" s="38" t="n">
        <f aca="false">Sens!$M$6280*(1-Sens!$M$6232)</f>
        <v>13.5455860755423</v>
      </c>
      <c r="N6334" s="38" t="n">
        <f aca="false">Sens!$N$6280*(1-Sens!$N$6232)</f>
        <v>0.141739115596548</v>
      </c>
      <c r="O6334" s="38" t="n">
        <f aca="false">Sens!$O$6280*(1-Sens!$O$6232)</f>
        <v>0.190445576353059</v>
      </c>
    </row>
    <row r="6335" customFormat="false" ht="17.15" hidden="false" customHeight="false" outlineLevel="0" collapsed="false">
      <c r="A6335" s="0" t="s">
        <v>681</v>
      </c>
      <c r="B6335" s="0" t="s">
        <v>52</v>
      </c>
      <c r="C6335" s="28" t="n">
        <f aca="false">(Sens!$C$6336-Sens!$C$6332+Sens!$C$6334)/Sens!$C$6333</f>
        <v>-0.0292364215826579</v>
      </c>
      <c r="D6335" s="28" t="n">
        <f aca="false">(Sens!$D$6336-Sens!$D$6332+Sens!$D$6334)/Sens!$D$6333</f>
        <v>-0.0305125352740778</v>
      </c>
      <c r="E6335" s="28" t="n">
        <f aca="false">(Sens!$E$6336-Sens!$E$6332+Sens!$E$6334)/Sens!$E$6333</f>
        <v>-0.019490056934994</v>
      </c>
      <c r="F6335" s="28" t="n">
        <f aca="false">Sens!$O$6335+(Sens!$E$6335-Sens!$N$6335)</f>
        <v>-0.0367332293992226</v>
      </c>
      <c r="G6335" s="28" t="n">
        <f aca="false">(Sens!$G$6336-Sens!$G$6332+Sens!$G$6334)/Sens!$G$6333</f>
        <v>-0.0288599526442178</v>
      </c>
      <c r="H6335" s="28" t="n">
        <f aca="false">Sens!$G$6335+step_in</f>
        <v>-0.0288599526442178</v>
      </c>
      <c r="I6335" s="28" t="n">
        <f aca="false">Sens!$H$6335+step_in</f>
        <v>-0.0288599526442178</v>
      </c>
      <c r="J6335" s="28" t="n">
        <f aca="false">Sens!$I$6335+step_in</f>
        <v>-0.0288599526442178</v>
      </c>
      <c r="K6335" s="28" t="n">
        <f aca="false">Sens!$J$6335+step_in</f>
        <v>-0.0288599526442178</v>
      </c>
      <c r="L6335" s="28" t="n">
        <f aca="false">Sens!$K$6335</f>
        <v>-0.0288599526442178</v>
      </c>
      <c r="M6335" s="28" t="n">
        <f aca="false">Sens!$L$6335</f>
        <v>-0.0288599526442178</v>
      </c>
      <c r="N6335" s="28" t="n">
        <f aca="false">(Sens!$N$6336-Sens!$N$6332+Sens!$N$6334)/Sens!$N$6333</f>
        <v>-0.02085061789158</v>
      </c>
      <c r="O6335" s="28" t="n">
        <f aca="false">(Sens!$O$6336-Sens!$O$6332+Sens!$O$6334)/Sens!$O$6333</f>
        <v>-0.0380937903558086</v>
      </c>
      <c r="P6335" s="8" t="s">
        <v>676</v>
      </c>
    </row>
    <row r="6336" customFormat="false" ht="17.15" hidden="false" customHeight="false" outlineLevel="0" collapsed="false">
      <c r="A6336" s="1" t="s">
        <v>682</v>
      </c>
      <c r="B6336" s="8" t="s">
        <v>73</v>
      </c>
      <c r="C6336" s="38" t="n">
        <f aca="false">Q!$D$23</f>
        <v>3.792</v>
      </c>
      <c r="D6336" s="38" t="n">
        <f aca="false">Q!$E$23</f>
        <v>4.75</v>
      </c>
      <c r="E6336" s="38" t="n">
        <f aca="false">Q!$P$23</f>
        <v>3.141</v>
      </c>
      <c r="F6336" s="38" t="n">
        <f aca="false">Sens!$F$6332+Sens!$F$6333*Sens!$F$6335-Sens!$F$6334</f>
        <v>2.99414447978375</v>
      </c>
      <c r="G6336" s="38" t="n">
        <f aca="false">Sens!$E$6336+Sens!$F$6336</f>
        <v>6.13514447978375</v>
      </c>
      <c r="H6336" s="38" t="n">
        <f aca="false">Sens!$H$6332+Sens!$H$6333*Sens!$H$6335-Sens!$H$6334</f>
        <v>6.31919151351322</v>
      </c>
      <c r="I6336" s="38" t="n">
        <f aca="false">Sens!$I$6332+Sens!$I$6333*Sens!$I$6335-Sens!$I$6334</f>
        <v>6.16506534077027</v>
      </c>
      <c r="J6336" s="38" t="n">
        <f aca="false">Sens!$J$6332+Sens!$J$6333*Sens!$J$6335-Sens!$J$6334</f>
        <v>5.8250313653213</v>
      </c>
      <c r="K6336" s="38" t="n">
        <f aca="false">Sens!$K$6332+Sens!$K$6333*Sens!$K$6335-Sens!$K$6334</f>
        <v>5.15468540810514</v>
      </c>
      <c r="L6336" s="38" t="n">
        <f aca="false">Sens!$L$6332+Sens!$L$6333*Sens!$L$6335-Sens!$L$6334</f>
        <v>4.76324944463266</v>
      </c>
      <c r="M6336" s="38" t="n">
        <f aca="false">Sens!$M$6332+Sens!$M$6333*Sens!$M$6335-Sens!$M$6334</f>
        <v>4.51657755537829</v>
      </c>
      <c r="N6336" s="38" t="n">
        <f aca="false">Q!$N$23</f>
        <v>2.511</v>
      </c>
      <c r="O6336" s="38" t="n">
        <f aca="false">Q!$O$23</f>
        <v>2.239</v>
      </c>
    </row>
    <row r="6337" customFormat="false" ht="17.15" hidden="false" customHeight="false" outlineLevel="0" collapsed="false">
      <c r="A6337" s="0" t="s">
        <v>683</v>
      </c>
      <c r="B6337" s="0" t="s">
        <v>73</v>
      </c>
      <c r="C6337" s="38" t="n">
        <f aca="false">Sens!$C$6277</f>
        <v>1.64417882953695</v>
      </c>
      <c r="D6337" s="38" t="n">
        <f aca="false">Sens!$D$6277</f>
        <v>3.8781008067718</v>
      </c>
      <c r="E6337" s="38" t="n">
        <f aca="false">Sens!$E$6277</f>
        <v>1.41270258088753</v>
      </c>
      <c r="F6337" s="38" t="n">
        <f aca="false">Sens!$F$6277</f>
        <v>6.50727700583486</v>
      </c>
      <c r="G6337" s="38" t="n">
        <f aca="false">Sens!$G$6277</f>
        <v>7.9199795867224</v>
      </c>
      <c r="H6337" s="38" t="n">
        <f aca="false">Sens!$H$6277</f>
        <v>19.2818189481807</v>
      </c>
      <c r="I6337" s="38" t="n">
        <f aca="false">Sens!$I$6277</f>
        <v>30.140114407202</v>
      </c>
      <c r="J6337" s="38" t="n">
        <f aca="false">Sens!$J$6277</f>
        <v>40.3569468829854</v>
      </c>
      <c r="K6337" s="38" t="n">
        <f aca="false">Sens!$K$6277</f>
        <v>50.0782975081929</v>
      </c>
      <c r="L6337" s="38" t="n">
        <f aca="false">Sens!$L$6277</f>
        <v>61.443331993499</v>
      </c>
      <c r="M6337" s="38" t="n">
        <f aca="false">Sens!$M$6277</f>
        <v>72.2498791587849</v>
      </c>
      <c r="N6337" s="38" t="n">
        <f aca="false">Sens!$N$6277</f>
        <v>0.92264103489199</v>
      </c>
      <c r="O6337" s="38" t="n">
        <f aca="false">Sens!$O$6277</f>
        <v>2.95545977187981</v>
      </c>
    </row>
    <row r="6338" customFormat="false" ht="17.15" hidden="false" customHeight="false" outlineLevel="0" collapsed="false">
      <c r="A6338" s="0" t="s">
        <v>603</v>
      </c>
      <c r="B6338" s="0" t="s">
        <v>73</v>
      </c>
      <c r="C6338" s="38" t="n">
        <f aca="false">Sens!$C$6282</f>
        <v>38.1898211704631</v>
      </c>
      <c r="D6338" s="38" t="n">
        <f aca="false">Sens!$D$6282</f>
        <v>41.7278991932282</v>
      </c>
      <c r="E6338" s="38" t="n">
        <f aca="false">Sens!$E$6282</f>
        <v>29.3692974191125</v>
      </c>
      <c r="F6338" s="38" t="n">
        <f aca="false">Sens!$F$6282</f>
        <v>29.458060516894</v>
      </c>
      <c r="G6338" s="38" t="n">
        <f aca="false">Sens!$G$6282</f>
        <v>58.8273579360065</v>
      </c>
      <c r="H6338" s="38" t="n">
        <f aca="false">Sens!$H$6282</f>
        <v>67.8004040185081</v>
      </c>
      <c r="I6338" s="38" t="n">
        <f aca="false">Sens!$I$6282</f>
        <v>78.9527630302702</v>
      </c>
      <c r="J6338" s="38" t="n">
        <f aca="false">Sens!$J$6282</f>
        <v>88.6042681781841</v>
      </c>
      <c r="K6338" s="38" t="n">
        <f aca="false">Sens!$K$6282</f>
        <v>95.6926096324389</v>
      </c>
      <c r="L6338" s="38" t="n">
        <f aca="false">Sens!$L$6282</f>
        <v>103.348018403034</v>
      </c>
      <c r="M6338" s="38" t="n">
        <f aca="false">Sens!$M$6282</f>
        <v>111.615859875277</v>
      </c>
      <c r="N6338" s="38" t="n">
        <f aca="false">Sens!$N$6282</f>
        <v>20.784358965108</v>
      </c>
      <c r="O6338" s="38" t="n">
        <f aca="false">Sens!$O$6282</f>
        <v>20.9435402281202</v>
      </c>
    </row>
    <row r="6339" customFormat="false" ht="17.15" hidden="false" customHeight="false" outlineLevel="0" collapsed="false">
      <c r="A6339" s="1" t="s">
        <v>684</v>
      </c>
      <c r="B6339" s="8" t="s">
        <v>73</v>
      </c>
      <c r="C6339" s="38" t="n">
        <f aca="false">Q!$D$24</f>
        <v>39.834</v>
      </c>
      <c r="D6339" s="38" t="n">
        <f aca="false">Q!$E$24</f>
        <v>45.606</v>
      </c>
      <c r="E6339" s="38" t="n">
        <f aca="false">Q!$P$24</f>
        <v>30.782</v>
      </c>
      <c r="F6339" s="38" t="n">
        <f aca="false">Sens!$F$6337+Sens!$F$6338</f>
        <v>35.9653375227289</v>
      </c>
      <c r="G6339" s="38" t="n">
        <f aca="false">Sens!$G$6337+Sens!$G$6338</f>
        <v>66.7473375227289</v>
      </c>
      <c r="H6339" s="38" t="n">
        <f aca="false">Sens!$H$6337+Sens!$H$6338</f>
        <v>87.0822229666888</v>
      </c>
      <c r="I6339" s="38" t="n">
        <f aca="false">Sens!$I$6337+Sens!$I$6338</f>
        <v>109.092877437472</v>
      </c>
      <c r="J6339" s="38" t="n">
        <f aca="false">Sens!$J$6337+Sens!$J$6338</f>
        <v>128.96121506117</v>
      </c>
      <c r="K6339" s="38" t="n">
        <f aca="false">Sens!$K$6337+Sens!$K$6338</f>
        <v>145.770907140632</v>
      </c>
      <c r="L6339" s="38" t="n">
        <f aca="false">Sens!$L$6337+Sens!$L$6338</f>
        <v>164.791350396533</v>
      </c>
      <c r="M6339" s="38" t="n">
        <f aca="false">Sens!$M$6337+Sens!$M$6338</f>
        <v>183.865739034062</v>
      </c>
      <c r="N6339" s="38" t="n">
        <f aca="false">Q!$N$24</f>
        <v>21.707</v>
      </c>
      <c r="O6339" s="38" t="n">
        <f aca="false">Q!$O$24</f>
        <v>23.899</v>
      </c>
    </row>
    <row r="6340" customFormat="false" ht="17.15" hidden="false" customHeight="false" outlineLevel="0" collapsed="false">
      <c r="A6340" s="5" t="s">
        <v>685</v>
      </c>
      <c r="B6340" s="0" t="s">
        <v>73</v>
      </c>
      <c r="C6340" s="38" t="n">
        <f aca="false">Q!$D$26</f>
        <v>0</v>
      </c>
      <c r="D6340" s="38" t="n">
        <f aca="false">Q!$E$26</f>
        <v>0</v>
      </c>
      <c r="E6340" s="38" t="n">
        <f aca="false">Q!$P$26</f>
        <v>0</v>
      </c>
      <c r="F6340" s="41" t="n">
        <v>0</v>
      </c>
      <c r="G6340" s="38" t="n">
        <f aca="false">Sens!$E$6340+Sens!$F$6340</f>
        <v>0</v>
      </c>
      <c r="H6340" s="41" t="n">
        <v>0</v>
      </c>
      <c r="I6340" s="41" t="n">
        <v>0</v>
      </c>
      <c r="J6340" s="41" t="n">
        <v>0</v>
      </c>
      <c r="K6340" s="41" t="n">
        <v>0</v>
      </c>
      <c r="L6340" s="41" t="n">
        <v>0</v>
      </c>
      <c r="M6340" s="41" t="n">
        <v>0</v>
      </c>
      <c r="N6340" s="38" t="n">
        <f aca="false">Q!$N$26</f>
        <v>0</v>
      </c>
      <c r="O6340" s="38" t="n">
        <f aca="false">Q!$O$26</f>
        <v>0</v>
      </c>
    </row>
    <row r="6341" customFormat="false" ht="15" hidden="false" customHeight="false" outlineLevel="0" collapsed="false">
      <c r="A6341" s="3" t="s">
        <v>494</v>
      </c>
      <c r="B6341" s="8" t="s">
        <v>73</v>
      </c>
      <c r="C6341" s="38" t="n">
        <f aca="false">Q!$D$25</f>
        <v>68.593</v>
      </c>
      <c r="D6341" s="38" t="n">
        <f aca="false">Q!$E$25</f>
        <v>79.975</v>
      </c>
      <c r="E6341" s="38" t="n">
        <f aca="false">Q!$P$25</f>
        <v>51.313</v>
      </c>
      <c r="F6341" s="38" t="n">
        <f aca="false">Sens!$F$6331+Sens!$F$6336+Sens!$F$6339+Sens!$F$6340</f>
        <v>59.8825772328462</v>
      </c>
      <c r="G6341" s="38" t="n">
        <f aca="false">Sens!$G$6331+Sens!$G$6336+Sens!$G$6339+Sens!$G$6340</f>
        <v>111.195577232846</v>
      </c>
      <c r="H6341" s="38" t="n">
        <f aca="false">Sens!$H$6331+Sens!$H$6336+Sens!$H$6339+Sens!$H$6340</f>
        <v>135.638701042513</v>
      </c>
      <c r="I6341" s="38" t="n">
        <f aca="false">Sens!$I$6331+Sens!$I$6336+Sens!$I$6339+Sens!$I$6340</f>
        <v>160.668634334764</v>
      </c>
      <c r="J6341" s="38" t="n">
        <f aca="false">Sens!$J$6331+Sens!$J$6336+Sens!$J$6339+Sens!$J$6340</f>
        <v>182.936501499731</v>
      </c>
      <c r="K6341" s="38" t="n">
        <f aca="false">Sens!$K$6331+Sens!$K$6336+Sens!$K$6339+Sens!$K$6340</f>
        <v>200.911616858058</v>
      </c>
      <c r="L6341" s="38" t="n">
        <f aca="false">Sens!$L$6331+Sens!$L$6336+Sens!$L$6339+Sens!$L$6340</f>
        <v>220.650126048945</v>
      </c>
      <c r="M6341" s="38" t="n">
        <f aca="false">Sens!$M$6331+Sens!$M$6336+Sens!$M$6339+Sens!$M$6340</f>
        <v>241.09409709983</v>
      </c>
      <c r="N6341" s="38" t="n">
        <f aca="false">Q!$N$25</f>
        <v>37.576</v>
      </c>
      <c r="O6341" s="38" t="n">
        <f aca="false">Q!$O$25</f>
        <v>42.399</v>
      </c>
    </row>
    <row r="6342" customFormat="false" ht="17.15" hidden="false" customHeight="false" outlineLevel="0" collapsed="false">
      <c r="A6342" s="24" t="s">
        <v>711</v>
      </c>
      <c r="B6342" s="25" t="s">
        <v>73</v>
      </c>
      <c r="C6342" s="39" t="n">
        <f aca="false">Sens!$C$6331+Sens!$C$6336+Sens!$C$6339+Sens!$C$6340-Sens!$C$6341</f>
        <v>0</v>
      </c>
      <c r="D6342" s="39" t="n">
        <f aca="false">Sens!$D$6331+Sens!$D$6336+Sens!$D$6339+Sens!$D$6340-Sens!$D$6341</f>
        <v>0</v>
      </c>
      <c r="E6342" s="39" t="n">
        <f aca="false">Sens!$E$6331+Sens!$E$6336+Sens!$E$6339+Sens!$E$6340-Sens!$E$6341</f>
        <v>0</v>
      </c>
      <c r="F6342" s="39" t="n">
        <f aca="false">Sens!$F$6331+Sens!$F$6336+Sens!$F$6339+Sens!$F$6340-Sens!$F$6341</f>
        <v>0</v>
      </c>
      <c r="G6342" s="39" t="n">
        <f aca="false">Sens!$G$6331+Sens!$G$6336+Sens!$G$6339+Sens!$G$6340-Sens!$G$6341</f>
        <v>0</v>
      </c>
      <c r="H6342" s="39" t="n">
        <f aca="false">Sens!$H$6331+Sens!$H$6336+Sens!$H$6339+Sens!$H$6340-Sens!$H$6341</f>
        <v>0</v>
      </c>
      <c r="I6342" s="39" t="n">
        <f aca="false">Sens!$I$6331+Sens!$I$6336+Sens!$I$6339+Sens!$I$6340-Sens!$I$6341</f>
        <v>0</v>
      </c>
      <c r="J6342" s="39" t="n">
        <f aca="false">Sens!$J$6331+Sens!$J$6336+Sens!$J$6339+Sens!$J$6340-Sens!$J$6341</f>
        <v>0</v>
      </c>
      <c r="K6342" s="39" t="n">
        <f aca="false">Sens!$K$6331+Sens!$K$6336+Sens!$K$6339+Sens!$K$6340-Sens!$K$6341</f>
        <v>0</v>
      </c>
      <c r="L6342" s="39" t="n">
        <f aca="false">Sens!$L$6331+Sens!$L$6336+Sens!$L$6339+Sens!$L$6340-Sens!$L$6341</f>
        <v>0</v>
      </c>
      <c r="M6342" s="39" t="n">
        <f aca="false">Sens!$M$6331+Sens!$M$6336+Sens!$M$6339+Sens!$M$6340-Sens!$M$6341</f>
        <v>0</v>
      </c>
      <c r="N6342" s="39" t="n">
        <f aca="false">Sens!$N$6331+Sens!$N$6336+Sens!$N$6339+Sens!$N$6340-Sens!$N$6341</f>
        <v>0</v>
      </c>
      <c r="O6342" s="39" t="n">
        <f aca="false">Sens!$O$6331+Sens!$O$6336+Sens!$O$6339+Sens!$O$6340-Sens!$O$6341</f>
        <v>0</v>
      </c>
    </row>
    <row r="6343" customFormat="false" ht="17.15" hidden="false" customHeight="false" outlineLevel="0" collapsed="false">
      <c r="A6343" s="0" t="s">
        <v>687</v>
      </c>
      <c r="B6343" s="0" t="s">
        <v>52</v>
      </c>
      <c r="C6343" s="12" t="n">
        <f aca="false">Sens!$C$6331/Sens!$C$6316</f>
        <v>0.0644314665661928</v>
      </c>
      <c r="D6343" s="12" t="n">
        <f aca="false">Sens!$D$6331/Sens!$D$6316</f>
        <v>0.0694784250712518</v>
      </c>
      <c r="E6343" s="12" t="n">
        <f aca="false">Sens!$E$6331/Sens!$E$6316</f>
        <v>0.0789306463326071</v>
      </c>
      <c r="F6343" s="12" t="n">
        <f aca="false">Sens!$F$6331/Sens!$F$6316</f>
        <v>0.0816338957078875</v>
      </c>
      <c r="G6343" s="12" t="n">
        <f aca="false">Sens!$G$6331/Sens!$G$6316</f>
        <v>0.080384315570057</v>
      </c>
      <c r="H6343" s="12" t="n">
        <f aca="false">Sens!$H$6331/Sens!$H$6316</f>
        <v>0.080035122355679</v>
      </c>
      <c r="I6343" s="12" t="n">
        <f aca="false">Sens!$I$6331/Sens!$I$6316</f>
        <v>0.0786798687862144</v>
      </c>
      <c r="J6343" s="12" t="n">
        <f aca="false">Sens!$J$6331/Sens!$J$6316</f>
        <v>0.0772846370095153</v>
      </c>
      <c r="K6343" s="12" t="n">
        <f aca="false">Sens!$K$6331/Sens!$K$6316</f>
        <v>0.0753502227686655</v>
      </c>
      <c r="L6343" s="12" t="n">
        <f aca="false">Sens!$L$6331/Sens!$L$6316</f>
        <v>0.0723154067793922</v>
      </c>
      <c r="M6343" s="12" t="n">
        <f aca="false">Sens!$M$6331/Sens!$M$6316</f>
        <v>0.070022386735876</v>
      </c>
      <c r="N6343" s="12" t="n">
        <f aca="false">Sens!$N$6331/Sens!$N$6316</f>
        <v>0.069228576611127</v>
      </c>
      <c r="O6343" s="12" t="n">
        <f aca="false">Sens!$O$6331/Sens!$O$6316</f>
        <v>0.069685022498393</v>
      </c>
    </row>
    <row r="6344" customFormat="false" ht="17.15" hidden="false" customHeight="false" outlineLevel="0" collapsed="false">
      <c r="A6344" s="0" t="s">
        <v>688</v>
      </c>
      <c r="B6344" s="0" t="s">
        <v>52</v>
      </c>
      <c r="C6344" s="12" t="n">
        <f aca="false">Sens!$C$6336/Sens!$C$6317</f>
        <v>0.026534925055631</v>
      </c>
      <c r="D6344" s="12" t="n">
        <f aca="false">Sens!$D$6336/Sens!$D$6317</f>
        <v>0.0293401855535103</v>
      </c>
      <c r="E6344" s="12" t="n">
        <f aca="false">Sens!$E$6336/Sens!$E$6317</f>
        <v>0.03831141902276</v>
      </c>
      <c r="F6344" s="12" t="n">
        <f aca="false">Sens!$F$6336/Sens!$F$6317</f>
        <v>0.0297532808235678</v>
      </c>
      <c r="G6344" s="12" t="n">
        <f aca="false">Sens!$G$6336/Sens!$G$6317</f>
        <v>0.0335954317997163</v>
      </c>
      <c r="H6344" s="12" t="n">
        <f aca="false">Sens!$H$6336/Sens!$H$6317</f>
        <v>0.0312519754292078</v>
      </c>
      <c r="I6344" s="12" t="n">
        <f aca="false">Sens!$I$6336/Sens!$I$6317</f>
        <v>0.0278788303191397</v>
      </c>
      <c r="J6344" s="12" t="n">
        <f aca="false">Sens!$J$6336/Sens!$J$6317</f>
        <v>0.0244019313573061</v>
      </c>
      <c r="K6344" s="12" t="n">
        <f aca="false">Sens!$K$6336/Sens!$K$6317</f>
        <v>0.020280070641524</v>
      </c>
      <c r="L6344" s="12" t="n">
        <f aca="false">Sens!$L$6336/Sens!$L$6317</f>
        <v>0.0175947312030086</v>
      </c>
      <c r="M6344" s="12" t="n">
        <f aca="false">Sens!$M$6336/Sens!$M$6317</f>
        <v>0.0156592172424565</v>
      </c>
      <c r="N6344" s="12" t="n">
        <f aca="false">Sens!$N$6336/Sens!$N$6317</f>
        <v>0.0357315650169337</v>
      </c>
      <c r="O6344" s="12" t="n">
        <f aca="false">Sens!$O$6336/Sens!$O$6317</f>
        <v>0.0244378956559703</v>
      </c>
    </row>
    <row r="6345" customFormat="false" ht="17.15" hidden="false" customHeight="false" outlineLevel="0" collapsed="false">
      <c r="A6345" s="13" t="s">
        <v>689</v>
      </c>
      <c r="B6345" s="13" t="s">
        <v>52</v>
      </c>
      <c r="C6345" s="16" t="n">
        <f aca="false">Sens!$C$6339/Sens!$C$6318</f>
        <v>0.370355907620217</v>
      </c>
      <c r="D6345" s="16" t="n">
        <f aca="false">Sens!$D$6339/Sens!$D$6318</f>
        <v>0.35429015342785</v>
      </c>
      <c r="E6345" s="16" t="n">
        <f aca="false">Sens!$E$6339/Sens!$E$6318</f>
        <v>0.385647527531039</v>
      </c>
      <c r="F6345" s="16" t="n">
        <f aca="false">Sens!$F$6339/Sens!$F$6318</f>
        <v>0.384415729470259</v>
      </c>
      <c r="G6345" s="16" t="n">
        <f aca="false">Sens!$G$6339/Sens!$G$6318</f>
        <v>0.38498282105443</v>
      </c>
      <c r="H6345" s="16" t="n">
        <f aca="false">Sens!$H$6339/Sens!$H$6318</f>
        <v>0.361247909668527</v>
      </c>
      <c r="I6345" s="16" t="n">
        <f aca="false">Sens!$I$6339/Sens!$I$6318</f>
        <v>0.349486287974975</v>
      </c>
      <c r="J6345" s="16" t="n">
        <f aca="false">Sens!$J$6339/Sens!$J$6318</f>
        <v>0.339886531832068</v>
      </c>
      <c r="K6345" s="16" t="n">
        <f aca="false">Sens!$K$6339/Sens!$K$6318</f>
        <v>0.33135833762061</v>
      </c>
      <c r="L6345" s="16" t="n">
        <f aca="false">Sens!$L$6339/Sens!$L$6318</f>
        <v>0.328299068185284</v>
      </c>
      <c r="M6345" s="16" t="n">
        <f aca="false">Sens!$M$6339/Sens!$M$6318</f>
        <v>0.325058049465166</v>
      </c>
      <c r="N6345" s="16" t="n">
        <f aca="false">Sens!$N$6339/Sens!$N$6318</f>
        <v>0.360941137346192</v>
      </c>
      <c r="O6345" s="16" t="n">
        <f aca="false">Sens!$O$6339/Sens!$O$6318</f>
        <v>0.348458117664212</v>
      </c>
    </row>
    <row r="6346" customFormat="false" ht="17.15" hidden="false" customHeight="false" outlineLevel="0" collapsed="false">
      <c r="A6346" s="0" t="s">
        <v>690</v>
      </c>
      <c r="B6346" s="0" t="s">
        <v>52</v>
      </c>
      <c r="C6346" s="12" t="n">
        <f aca="false">Sens!$C$6337/Sens!$C$6319</f>
        <v>0.708390794789371</v>
      </c>
      <c r="D6346" s="12" t="n">
        <f aca="false">Sens!$D$6337/Sens!$D$6319</f>
        <v>0.445565630441968</v>
      </c>
      <c r="E6346" s="12" t="n">
        <f aca="false">Sens!$E$6337/Sens!$E$6319</f>
        <v>0.165998118402711</v>
      </c>
      <c r="F6346" s="12" t="n">
        <f aca="false">Sens!$F$6337/Sens!$F$6319</f>
        <v>0.434878595403858</v>
      </c>
      <c r="G6346" s="12" t="n">
        <f aca="false">Sens!$G$6337/Sens!$G$6319</f>
        <v>0.3373967615381</v>
      </c>
      <c r="H6346" s="12" t="n">
        <f aca="false">Sens!$H$6337/Sens!$H$6319</f>
        <v>0.320477578041224</v>
      </c>
      <c r="I6346" s="12" t="n">
        <f aca="false">Sens!$I$6337/Sens!$I$6319</f>
        <v>0.296936118226494</v>
      </c>
      <c r="J6346" s="12" t="n">
        <f aca="false">Sens!$J$6337/Sens!$J$6319</f>
        <v>0.282166278613001</v>
      </c>
      <c r="K6346" s="12" t="n">
        <f aca="false">Sens!$K$6337/Sens!$K$6319</f>
        <v>0.271267685694333</v>
      </c>
      <c r="L6346" s="12" t="n">
        <f aca="false">Sens!$L$6337/Sens!$L$6319</f>
        <v>0.27160960915653</v>
      </c>
      <c r="M6346" s="12" t="n">
        <f aca="false">Sens!$M$6337/Sens!$M$6319</f>
        <v>0.26974494804234</v>
      </c>
      <c r="N6346" s="12" t="n">
        <f aca="false">Sens!$N$6337/Sens!$N$6319</f>
        <v>0.302870734830849</v>
      </c>
      <c r="O6346" s="12" t="n">
        <f aca="false">Sens!$O$6337/Sens!$O$6319</f>
        <v>0.52240134346334</v>
      </c>
    </row>
    <row r="6347" customFormat="false" ht="15" hidden="false" customHeight="false" outlineLevel="0" collapsed="false">
      <c r="A6347" s="5" t="s">
        <v>691</v>
      </c>
      <c r="B6347" s="0" t="s">
        <v>52</v>
      </c>
      <c r="C6347" s="12" t="n">
        <f aca="false">Sens!$C$6341/Sens!$C$6321</f>
        <v>0.107519448742004</v>
      </c>
      <c r="D6347" s="12" t="n">
        <f aca="false">Sens!$D$6341/Sens!$D$6321</f>
        <v>0.111552967957552</v>
      </c>
      <c r="E6347" s="12" t="n">
        <f aca="false">Sens!$E$6341/Sens!$E$6321</f>
        <v>0.13428328426562</v>
      </c>
      <c r="F6347" s="12" t="n">
        <f aca="false">Sens!$F$6341/Sens!$F$6321</f>
        <v>0.132926212451512</v>
      </c>
      <c r="G6347" s="12" t="n">
        <f aca="false">Sens!$G$6341/Sens!$G$6321</f>
        <v>0.133549030959228</v>
      </c>
      <c r="H6347" s="12" t="n">
        <f aca="false">Sens!$H$6341/Sens!$H$6321</f>
        <v>0.139690394514416</v>
      </c>
      <c r="I6347" s="12" t="n">
        <f aca="false">Sens!$I$6341/Sens!$I$6321</f>
        <v>0.144688164284573</v>
      </c>
      <c r="J6347" s="12" t="n">
        <f aca="false">Sens!$J$6341/Sens!$J$6321</f>
        <v>0.147391419021054</v>
      </c>
      <c r="K6347" s="12" t="n">
        <f aca="false">Sens!$K$6341/Sens!$K$6321</f>
        <v>0.148003728177944</v>
      </c>
      <c r="L6347" s="12" t="n">
        <f aca="false">Sens!$L$6341/Sens!$L$6321</f>
        <v>0.149164514525979</v>
      </c>
      <c r="M6347" s="12" t="n">
        <f aca="false">Sens!$M$6341/Sens!$M$6321</f>
        <v>0.150041098108262</v>
      </c>
      <c r="N6347" s="12" t="n">
        <f aca="false">Sens!$N$6341/Sens!$N$6321</f>
        <v>0.116201614873411</v>
      </c>
      <c r="O6347" s="12" t="n">
        <f aca="false">Sens!$O$6341/Sens!$O$6321</f>
        <v>0.107733353660861</v>
      </c>
    </row>
    <row r="6348" customFormat="false" ht="17.15" hidden="false" customHeight="false" outlineLevel="0" collapsed="false">
      <c r="A6348" s="1" t="s">
        <v>692</v>
      </c>
    </row>
    <row r="6349" customFormat="false" ht="17.15" hidden="false" customHeight="false" outlineLevel="0" collapsed="false">
      <c r="A6349" s="5" t="s">
        <v>693</v>
      </c>
      <c r="B6349" s="0" t="s">
        <v>52</v>
      </c>
      <c r="D6349" s="28" t="n">
        <f aca="false">(Q!$E$29+Q!$E$30-(1-ext_sh)*Sens!$D$6273)/Sens!$D$6231</f>
        <v>0.0334674312393194</v>
      </c>
    </row>
    <row r="6350" customFormat="false" ht="17.15" hidden="false" customHeight="false" outlineLevel="0" collapsed="false">
      <c r="A6350" s="0" t="s">
        <v>498</v>
      </c>
      <c r="B6350" s="0" t="s">
        <v>73</v>
      </c>
      <c r="C6350" s="38" t="n">
        <f aca="false">Q!$D$29</f>
        <v>14.285</v>
      </c>
      <c r="D6350" s="38" t="n">
        <f aca="false">Q!$E$29</f>
        <v>15.503</v>
      </c>
      <c r="E6350" s="38" t="n">
        <f aca="false">Q!$P$29</f>
        <v>8.78</v>
      </c>
      <c r="F6350" s="38" t="n">
        <f aca="false">(Sens!$D$6349*Sens!$F$6231+(1-ext_sh)*Sens!$F$6273)*Sens!$F$6232</f>
        <v>9.51361751569285</v>
      </c>
      <c r="G6350" s="38" t="n">
        <f aca="false">Sens!$E$6350+Sens!$F$6350</f>
        <v>18.2936175156929</v>
      </c>
      <c r="H6350" s="38" t="n">
        <f aca="false">(Sens!$D$6349*Sens!$H$6231+(1-ext_sh)*Sens!$H$6273)*Sens!$H$6232</f>
        <v>22.7653661801943</v>
      </c>
      <c r="I6350" s="38" t="n">
        <f aca="false">(Sens!$D$6349*Sens!$I$6231+(1-ext_sh)*Sens!$I$6273)*Sens!$I$6232</f>
        <v>28.4281317305062</v>
      </c>
      <c r="J6350" s="38" t="n">
        <f aca="false">(Sens!$D$6349*Sens!$J$6231+(1-ext_sh)*Sens!$J$6273)*Sens!$J$6232</f>
        <v>34.1182922009732</v>
      </c>
      <c r="K6350" s="38" t="n">
        <f aca="false">(Sens!$D$6349*Sens!$K$6231+(1-ext_sh)*Sens!$K$6273)*Sens!$K$6232</f>
        <v>39.7237727987046</v>
      </c>
      <c r="L6350" s="38" t="n">
        <f aca="false">(Sens!$D$6349*Sens!$L$6231+(1-ext_sh)*Sens!$L$6273)*Sens!$L$6232</f>
        <v>45.1313127180263</v>
      </c>
      <c r="M6350" s="38" t="n">
        <f aca="false">(Sens!$D$6349*Sens!$M$6231+(1-ext_sh)*Sens!$M$6273)*Sens!$M$6232</f>
        <v>50.743940615442</v>
      </c>
      <c r="N6350" s="38" t="n">
        <f aca="false">Q!$N$29</f>
        <v>7.272</v>
      </c>
      <c r="O6350" s="38" t="n">
        <f aca="false">Q!$O$29</f>
        <v>8.231</v>
      </c>
    </row>
    <row r="6351" customFormat="false" ht="17.15" hidden="false" customHeight="false" outlineLevel="0" collapsed="false">
      <c r="A6351" s="0" t="s">
        <v>500</v>
      </c>
      <c r="B6351" s="0" t="s">
        <v>73</v>
      </c>
      <c r="C6351" s="38" t="n">
        <f aca="false">Q!$D$30</f>
        <v>4.462</v>
      </c>
      <c r="D6351" s="38" t="n">
        <f aca="false">Q!$E$30</f>
        <v>4.907</v>
      </c>
      <c r="E6351" s="38" t="n">
        <f aca="false">Q!$P$30</f>
        <v>2.57</v>
      </c>
      <c r="F6351" s="38" t="n">
        <f aca="false">(Sens!$D$6349*Sens!$F$6231+(1-ext_sh)*Sens!$F$6273)*(1-Sens!$F$6232)</f>
        <v>3.7353230631574</v>
      </c>
      <c r="G6351" s="38" t="n">
        <f aca="false">Sens!$E$6351+Sens!$F$6351</f>
        <v>6.3053230631574</v>
      </c>
      <c r="H6351" s="38" t="n">
        <f aca="false">(Sens!$D$6349*Sens!$H$6231+(1-ext_sh)*Sens!$H$6273)*(1-Sens!$H$6232)</f>
        <v>8.72254636724805</v>
      </c>
      <c r="I6351" s="38" t="n">
        <f aca="false">(Sens!$D$6349*Sens!$I$6231+(1-ext_sh)*Sens!$I$6273)*(1-Sens!$I$6232)</f>
        <v>10.8922340713019</v>
      </c>
      <c r="J6351" s="38" t="n">
        <f aca="false">(Sens!$D$6349*Sens!$J$6231+(1-ext_sh)*Sens!$J$6273)*(1-Sens!$J$6232)</f>
        <v>13.0724181345791</v>
      </c>
      <c r="K6351" s="38" t="n">
        <f aca="false">(Sens!$D$6349*Sens!$K$6231+(1-ext_sh)*Sens!$K$6273)*(1-Sens!$K$6232)</f>
        <v>15.2201571183236</v>
      </c>
      <c r="L6351" s="38" t="n">
        <f aca="false">(Sens!$D$6349*Sens!$L$6231+(1-ext_sh)*Sens!$L$6273)*(1-Sens!$L$6232)</f>
        <v>17.2920551631732</v>
      </c>
      <c r="M6351" s="38" t="n">
        <f aca="false">(Sens!$D$6349*Sens!$M$6231+(1-ext_sh)*Sens!$M$6273)*(1-Sens!$M$6232)</f>
        <v>19.4425326336348</v>
      </c>
      <c r="N6351" s="38" t="n">
        <f aca="false">Q!$N$30</f>
        <v>2.316</v>
      </c>
      <c r="O6351" s="38" t="n">
        <f aca="false">Q!$O$30</f>
        <v>2.591</v>
      </c>
    </row>
    <row r="6352" customFormat="false" ht="17.15" hidden="false" customHeight="false" outlineLevel="0" collapsed="false">
      <c r="A6352" s="0" t="s">
        <v>501</v>
      </c>
      <c r="B6352" s="0" t="s">
        <v>73</v>
      </c>
      <c r="C6352" s="38" t="n">
        <f aca="false">Sens!$C$6285</f>
        <v>13.32</v>
      </c>
      <c r="D6352" s="38" t="n">
        <f aca="false">Sens!$D$6285</f>
        <v>21.45</v>
      </c>
      <c r="E6352" s="38" t="n">
        <f aca="false">Sens!$E$6285</f>
        <v>15.353</v>
      </c>
      <c r="F6352" s="38" t="n">
        <f aca="false">Sens!$F$6285</f>
        <v>17.3614451462707</v>
      </c>
      <c r="G6352" s="38" t="n">
        <f aca="false">Sens!$G$6285</f>
        <v>32.7144451462707</v>
      </c>
      <c r="H6352" s="38" t="n">
        <f aca="false">Sens!$H$6285</f>
        <v>56.1966092719415</v>
      </c>
      <c r="I6352" s="38" t="n">
        <f aca="false">Sens!$I$6285</f>
        <v>82.9744039068297</v>
      </c>
      <c r="J6352" s="38" t="n">
        <f aca="false">Sens!$J$6285</f>
        <v>109.943252237669</v>
      </c>
      <c r="K6352" s="38" t="n">
        <f aca="false">Sens!$K$6285</f>
        <v>136.406703436571</v>
      </c>
      <c r="L6352" s="38" t="n">
        <f aca="false">Sens!$L$6285</f>
        <v>161.485870454155</v>
      </c>
      <c r="M6352" s="38" t="n">
        <f aca="false">Sens!$M$6285</f>
        <v>187.389846618199</v>
      </c>
      <c r="N6352" s="38" t="n">
        <f aca="false">Sens!$N$6285</f>
        <v>9.234</v>
      </c>
      <c r="O6352" s="38" t="n">
        <f aca="false">Sens!$O$6285</f>
        <v>12.216</v>
      </c>
    </row>
    <row r="6353" customFormat="false" ht="17.15" hidden="false" customHeight="false" outlineLevel="0" collapsed="false">
      <c r="A6353" s="5" t="s">
        <v>694</v>
      </c>
      <c r="B6353" s="0" t="s">
        <v>73</v>
      </c>
      <c r="C6353" s="38" t="n">
        <f aca="false">Sens!$C$6350+Sens!$C$6351+Sens!$C$6352</f>
        <v>32.067</v>
      </c>
      <c r="D6353" s="38" t="n">
        <f aca="false">Sens!$D$6350+Sens!$D$6351+Sens!$D$6352</f>
        <v>41.86</v>
      </c>
      <c r="E6353" s="38" t="n">
        <f aca="false">Sens!$E$6350+Sens!$E$6351+Sens!$E$6352</f>
        <v>26.703</v>
      </c>
      <c r="F6353" s="38" t="n">
        <f aca="false">Sens!$F$6350+Sens!$F$6351+Sens!$F$6352</f>
        <v>30.6103857251209</v>
      </c>
      <c r="G6353" s="38" t="n">
        <f aca="false">Sens!$G$6350+Sens!$G$6351+Sens!$G$6352</f>
        <v>57.3133857251209</v>
      </c>
      <c r="H6353" s="38" t="n">
        <f aca="false">Sens!$H$6350+Sens!$H$6351+Sens!$H$6352</f>
        <v>87.6845218193838</v>
      </c>
      <c r="I6353" s="38" t="n">
        <f aca="false">Sens!$I$6350+Sens!$I$6351+Sens!$I$6352</f>
        <v>122.294769708638</v>
      </c>
      <c r="J6353" s="38" t="n">
        <f aca="false">Sens!$J$6350+Sens!$J$6351+Sens!$J$6352</f>
        <v>157.133962573221</v>
      </c>
      <c r="K6353" s="38" t="n">
        <f aca="false">Sens!$K$6350+Sens!$K$6351+Sens!$K$6352</f>
        <v>191.350633353599</v>
      </c>
      <c r="L6353" s="38" t="n">
        <f aca="false">Sens!$L$6350+Sens!$L$6351+Sens!$L$6352</f>
        <v>223.909238335354</v>
      </c>
      <c r="M6353" s="38" t="n">
        <f aca="false">Sens!$M$6350+Sens!$M$6351+Sens!$M$6352</f>
        <v>257.576319867276</v>
      </c>
      <c r="N6353" s="38" t="n">
        <f aca="false">Sens!$N$6350+Sens!$N$6351+Sens!$N$6352</f>
        <v>18.822</v>
      </c>
      <c r="O6353" s="38" t="n">
        <f aca="false">Sens!$O$6350+Sens!$O$6351+Sens!$O$6352</f>
        <v>23.038</v>
      </c>
    </row>
    <row r="6354" customFormat="false" ht="17.15" hidden="false" customHeight="false" outlineLevel="0" collapsed="false">
      <c r="A6354" s="0" t="s">
        <v>695</v>
      </c>
      <c r="B6354" s="0" t="s">
        <v>73</v>
      </c>
      <c r="C6354" s="38" t="n">
        <f aca="false">Sens!$C$6327+Sens!$C$6332</f>
        <v>28.107</v>
      </c>
      <c r="D6354" s="38" t="n">
        <f aca="false">Sens!$D$6327+Sens!$D$6332</f>
        <v>34.3175</v>
      </c>
      <c r="E6354" s="38" t="n">
        <f aca="false">Sens!$E$6327+Sens!$E$6332</f>
        <v>18.526</v>
      </c>
      <c r="F6354" s="38" t="n">
        <f aca="false">Sens!$F$6327+Sens!$F$6332</f>
        <v>24.0766690913691</v>
      </c>
      <c r="G6354" s="38" t="n">
        <f aca="false">Sens!$G$6327+Sens!$G$6332</f>
        <v>42.6026690913691</v>
      </c>
      <c r="H6354" s="38" t="n">
        <f aca="false">Sens!$H$6327+Sens!$H$6332</f>
        <v>51.1466809294702</v>
      </c>
      <c r="I6354" s="38" t="n">
        <f aca="false">Sens!$I$6327+Sens!$I$6332</f>
        <v>59.6899187926205</v>
      </c>
      <c r="J6354" s="38" t="n">
        <f aca="false">Sens!$J$6327+Sens!$J$6332</f>
        <v>67.6595395244221</v>
      </c>
      <c r="K6354" s="38" t="n">
        <f aca="false">Sens!$K$6327+Sens!$K$6332</f>
        <v>74.4254934768643</v>
      </c>
      <c r="L6354" s="38" t="n">
        <f aca="false">Sens!$L$6327+Sens!$L$6332</f>
        <v>81.8680428245508</v>
      </c>
      <c r="M6354" s="38" t="n">
        <f aca="false">Sens!$M$6327+Sens!$M$6332</f>
        <v>90.0548471070059</v>
      </c>
      <c r="N6354" s="38" t="n">
        <f aca="false">Sens!$N$6327+Sens!$N$6332</f>
        <v>14.8075</v>
      </c>
      <c r="O6354" s="38" t="n">
        <f aca="false">Sens!$O$6327+Sens!$O$6332</f>
        <v>19.51</v>
      </c>
    </row>
    <row r="6355" customFormat="false" ht="17.15" hidden="false" customHeight="false" outlineLevel="0" collapsed="false">
      <c r="A6355" s="0" t="s">
        <v>696</v>
      </c>
      <c r="B6355" s="0" t="s">
        <v>73</v>
      </c>
      <c r="C6355" s="38" t="n">
        <f aca="false">Sens!$C$6331+Sens!$C$6336+Sens!$C$6350+Sens!$C$6351-Sens!$C$6354</f>
        <v>19.399</v>
      </c>
      <c r="D6355" s="38" t="n">
        <f aca="false">Sens!$D$6331+Sens!$D$6336+Sens!$D$6350+Sens!$D$6351-Sens!$D$6354</f>
        <v>20.4615</v>
      </c>
      <c r="E6355" s="38" t="n">
        <f aca="false">Sens!$E$6331+Sens!$E$6336+Sens!$E$6350+Sens!$E$6351-Sens!$E$6354</f>
        <v>13.355</v>
      </c>
      <c r="F6355" s="38" t="n">
        <f aca="false">Sens!$F$6331+Sens!$F$6336+Sens!$F$6350+Sens!$F$6351-Sens!$F$6354</f>
        <v>13.0895111975985</v>
      </c>
      <c r="G6355" s="38" t="n">
        <f aca="false">Sens!$G$6331+Sens!$G$6336+Sens!$G$6350+Sens!$G$6351-Sens!$G$6354</f>
        <v>26.4445111975985</v>
      </c>
      <c r="H6355" s="38" t="n">
        <f aca="false">Sens!$H$6331+Sens!$H$6336+Sens!$H$6350+Sens!$H$6351-Sens!$H$6354</f>
        <v>28.8977096937968</v>
      </c>
      <c r="I6355" s="38" t="n">
        <f aca="false">Sens!$I$6331+Sens!$I$6336+Sens!$I$6350+Sens!$I$6351-Sens!$I$6354</f>
        <v>31.2062039064791</v>
      </c>
      <c r="J6355" s="38" t="n">
        <f aca="false">Sens!$J$6331+Sens!$J$6336+Sens!$J$6350+Sens!$J$6351-Sens!$J$6354</f>
        <v>33.5064572496913</v>
      </c>
      <c r="K6355" s="38" t="n">
        <f aca="false">Sens!$K$6331+Sens!$K$6336+Sens!$K$6350+Sens!$K$6351-Sens!$K$6354</f>
        <v>35.6591461575899</v>
      </c>
      <c r="L6355" s="38" t="n">
        <f aca="false">Sens!$L$6331+Sens!$L$6336+Sens!$L$6350+Sens!$L$6351-Sens!$L$6354</f>
        <v>36.4141007090604</v>
      </c>
      <c r="M6355" s="38" t="n">
        <f aca="false">Sens!$M$6331+Sens!$M$6336+Sens!$M$6350+Sens!$M$6351-Sens!$M$6354</f>
        <v>37.359984207839</v>
      </c>
      <c r="N6355" s="38" t="n">
        <f aca="false">Sens!$N$6331+Sens!$N$6336+Sens!$N$6350+Sens!$N$6351-Sens!$N$6354</f>
        <v>10.6495</v>
      </c>
      <c r="O6355" s="38" t="n">
        <f aca="false">Sens!$O$6331+Sens!$O$6336+Sens!$O$6350+Sens!$O$6351-Sens!$O$6354</f>
        <v>9.81200000000001</v>
      </c>
    </row>
    <row r="6356" customFormat="false" ht="17.15" hidden="false" customHeight="false" outlineLevel="0" collapsed="false">
      <c r="A6356" s="0" t="s">
        <v>697</v>
      </c>
      <c r="B6356" s="0" t="s">
        <v>73</v>
      </c>
      <c r="C6356" s="38" t="n">
        <f aca="false">Sens!$C$6338+Sens!$C$6352-ext_sh*Sens!$C$6273</f>
        <v>51.3470500115664</v>
      </c>
      <c r="D6356" s="38" t="n">
        <f aca="false">Sens!$D$6338+Sens!$D$6352-ext_sh*Sens!$D$6273</f>
        <v>60.2799375433739</v>
      </c>
      <c r="E6356" s="38" t="n">
        <f aca="false">Sens!$E$6338+Sens!$E$6352-ext_sh*Sens!$E$6273</f>
        <v>39.5095167090767</v>
      </c>
      <c r="F6356" s="38" t="n">
        <f aca="false">Sens!$F$6338+Sens!$F$6352-ext_sh*Sens!$F$6273</f>
        <v>41.606724953129</v>
      </c>
      <c r="G6356" s="38" t="n">
        <f aca="false">Sens!$G$6338+Sens!$G$6352-ext_sh*Sens!$G$6273</f>
        <v>81.1162416622057</v>
      </c>
      <c r="H6356" s="38" t="n">
        <f aca="false">Sens!$H$6338+Sens!$H$6352-ext_sh*Sens!$H$6273</f>
        <v>95.7616595325849</v>
      </c>
      <c r="I6356" s="38" t="n">
        <f aca="false">Sens!$I$6338+Sens!$I$6352-ext_sh*Sens!$I$6273</f>
        <v>111.513312079935</v>
      </c>
      <c r="J6356" s="38" t="n">
        <f aca="false">Sens!$J$6338+Sens!$J$6352-ext_sh*Sens!$J$6273</f>
        <v>125.145150463955</v>
      </c>
      <c r="K6356" s="38" t="n">
        <f aca="false">Sens!$K$6338+Sens!$K$6352-ext_sh*Sens!$K$6273</f>
        <v>135.156762501071</v>
      </c>
      <c r="L6356" s="38" t="n">
        <f aca="false">Sens!$L$6338+Sens!$L$6352-ext_sh*Sens!$L$6273</f>
        <v>145.969303501157</v>
      </c>
      <c r="M6356" s="38" t="n">
        <f aca="false">Sens!$M$6338+Sens!$M$6352-ext_sh*Sens!$M$6273</f>
        <v>157.646847781249</v>
      </c>
      <c r="N6356" s="38" t="n">
        <f aca="false">Sens!$N$6338+Sens!$N$6352-ext_sh*Sens!$N$6273</f>
        <v>28.5693781401809</v>
      </c>
      <c r="O6356" s="38" t="n">
        <f aca="false">Sens!$O$6338+Sens!$O$6352-ext_sh*Sens!$O$6273</f>
        <v>31.7105594031931</v>
      </c>
    </row>
    <row r="6357" customFormat="false" ht="17.15" hidden="false" customHeight="false" outlineLevel="0" collapsed="false">
      <c r="A6357" s="0" t="s">
        <v>698</v>
      </c>
      <c r="B6357" s="0" t="s">
        <v>73</v>
      </c>
      <c r="C6357" s="38" t="n">
        <f aca="false">Sens!$C$6276</f>
        <v>1.80694998843362</v>
      </c>
      <c r="D6357" s="38" t="n">
        <f aca="false">Sens!$D$6276</f>
        <v>6.77606245662607</v>
      </c>
      <c r="E6357" s="38" t="n">
        <f aca="false">Sens!$E$6276</f>
        <v>6.62548329092326</v>
      </c>
      <c r="F6357" s="38" t="n">
        <f aca="false">Sens!$F$6276</f>
        <v>11.7200577158706</v>
      </c>
      <c r="G6357" s="38" t="n">
        <f aca="false">Sens!$G$6276</f>
        <v>18.3455410067939</v>
      </c>
      <c r="H6357" s="38" t="n">
        <f aca="false">Sens!$H$6276</f>
        <v>47.5171727060453</v>
      </c>
      <c r="I6357" s="38" t="n">
        <f aca="false">Sens!$I$6276</f>
        <v>80.5539692643667</v>
      </c>
      <c r="J6357" s="38" t="n">
        <f aca="false">Sens!$J$6276</f>
        <v>113.759316834883</v>
      </c>
      <c r="K6357" s="38" t="n">
        <f aca="false">Sens!$K$6276</f>
        <v>147.020848076132</v>
      </c>
      <c r="L6357" s="38" t="n">
        <f aca="false">Sens!$L$6276</f>
        <v>180.307917349531</v>
      </c>
      <c r="M6357" s="38" t="n">
        <f aca="false">Sens!$M$6276</f>
        <v>213.608737871012</v>
      </c>
      <c r="N6357" s="38" t="n">
        <f aca="false">Sens!$N$6276</f>
        <v>2.37162185981912</v>
      </c>
      <c r="O6357" s="38" t="n">
        <f aca="false">Sens!$O$6276</f>
        <v>4.40444059680694</v>
      </c>
    </row>
    <row r="6358" customFormat="false" ht="17.15" hidden="false" customHeight="false" outlineLevel="0" collapsed="false">
      <c r="A6358" s="0" t="s">
        <v>699</v>
      </c>
      <c r="B6358" s="0" t="s">
        <v>73</v>
      </c>
      <c r="C6358" s="38" t="n">
        <f aca="false">Sens!$C$6341+Sens!$C$6353</f>
        <v>100.66</v>
      </c>
      <c r="D6358" s="38" t="n">
        <f aca="false">Sens!$D$6341+Sens!$D$6353</f>
        <v>121.835</v>
      </c>
      <c r="E6358" s="38" t="n">
        <f aca="false">Sens!$E$6341+Sens!$E$6353</f>
        <v>78.016</v>
      </c>
      <c r="F6358" s="38" t="n">
        <f aca="false">Sens!$F$6341+Sens!$F$6353</f>
        <v>90.4929629579672</v>
      </c>
      <c r="G6358" s="38" t="n">
        <f aca="false">Sens!$G$6341+Sens!$G$6353</f>
        <v>168.508962957967</v>
      </c>
      <c r="H6358" s="38" t="n">
        <f aca="false">Sens!$H$6341+Sens!$H$6353</f>
        <v>223.323222861897</v>
      </c>
      <c r="I6358" s="38" t="n">
        <f aca="false">Sens!$I$6341+Sens!$I$6353</f>
        <v>282.963404043402</v>
      </c>
      <c r="J6358" s="38" t="n">
        <f aca="false">Sens!$J$6341+Sens!$J$6353</f>
        <v>340.070464072952</v>
      </c>
      <c r="K6358" s="38" t="n">
        <f aca="false">Sens!$K$6341+Sens!$K$6353</f>
        <v>392.262250211657</v>
      </c>
      <c r="L6358" s="38" t="n">
        <f aca="false">Sens!$L$6341+Sens!$L$6353</f>
        <v>444.559364384299</v>
      </c>
      <c r="M6358" s="38" t="n">
        <f aca="false">Sens!$M$6341+Sens!$M$6353</f>
        <v>498.670416967106</v>
      </c>
      <c r="N6358" s="38" t="n">
        <f aca="false">Sens!$N$6341+Sens!$N$6353</f>
        <v>56.398</v>
      </c>
      <c r="O6358" s="38" t="n">
        <f aca="false">Sens!$O$6341+Sens!$O$6353</f>
        <v>65.437</v>
      </c>
    </row>
    <row r="6359" customFormat="false" ht="17.15" hidden="false" customHeight="false" outlineLevel="0" collapsed="false">
      <c r="A6359" s="1" t="s">
        <v>700</v>
      </c>
    </row>
    <row r="6360" customFormat="false" ht="15" hidden="false" customHeight="false" outlineLevel="0" collapsed="false">
      <c r="A6360" s="5" t="s">
        <v>504</v>
      </c>
      <c r="B6360" s="0" t="s">
        <v>73</v>
      </c>
      <c r="C6360" s="38" t="n">
        <f aca="false">Q!$D$34</f>
        <v>2.406</v>
      </c>
      <c r="D6360" s="38" t="n">
        <f aca="false">Q!$E$34</f>
        <v>2.274</v>
      </c>
      <c r="E6360" s="38" t="n">
        <f aca="false">Q!$P$34</f>
        <v>2.114</v>
      </c>
      <c r="F6360" s="38" t="n">
        <f aca="false">Sens!$F$6396</f>
        <v>3.24888964316061</v>
      </c>
      <c r="G6360" s="38" t="n">
        <f aca="false">Sens!$E$6360+Sens!$F$6360</f>
        <v>5.36288964316061</v>
      </c>
      <c r="H6360" s="38" t="n">
        <f aca="false">Sens!$H$6396</f>
        <v>7.42354178632123</v>
      </c>
      <c r="I6360" s="38" t="n">
        <f aca="false">Sens!$I$6396</f>
        <v>7.51827597635917</v>
      </c>
      <c r="J6360" s="38" t="n">
        <f aca="false">Sens!$J$6396</f>
        <v>7.76994062068418</v>
      </c>
      <c r="K6360" s="38" t="n">
        <f aca="false">Sens!$K$6396</f>
        <v>7.76994062068418</v>
      </c>
      <c r="L6360" s="38" t="n">
        <f aca="false">Sens!$L$6396</f>
        <v>7.76994062068418</v>
      </c>
      <c r="M6360" s="38" t="n">
        <f aca="false">Sens!$M$6396</f>
        <v>7.76994062068418</v>
      </c>
      <c r="N6360" s="38" t="n">
        <f aca="false">Q!$N$34</f>
        <v>1.057</v>
      </c>
      <c r="O6360" s="38" t="n">
        <f aca="false">Q!$O$34</f>
        <v>1.217</v>
      </c>
    </row>
    <row r="6361" customFormat="false" ht="15" hidden="false" customHeight="false" outlineLevel="0" collapsed="false">
      <c r="A6361" s="5" t="s">
        <v>701</v>
      </c>
      <c r="B6361" s="0" t="s">
        <v>73</v>
      </c>
      <c r="F6361" s="38" t="n">
        <f aca="false">Sens!$F$6397</f>
        <v>2.59</v>
      </c>
      <c r="H6361" s="38" t="n">
        <f aca="false">Sens!$H$6397</f>
        <v>4.00971603121774</v>
      </c>
      <c r="I6361" s="38" t="n">
        <f aca="false">Sens!$I$6397</f>
        <v>2.10589651022864</v>
      </c>
      <c r="J6361" s="38" t="n">
        <f aca="false">Sens!$J$6397</f>
        <v>2.10589651022864</v>
      </c>
      <c r="K6361" s="38" t="n">
        <f aca="false">Sens!$K$6397</f>
        <v>3.77985822695893</v>
      </c>
      <c r="L6361" s="38" t="n">
        <f aca="false">Sens!$L$6397</f>
        <v>7.24081936505971</v>
      </c>
      <c r="M6361" s="38" t="n">
        <f aca="false">Sens!$M$6397</f>
        <v>11.205150593419</v>
      </c>
    </row>
    <row r="6362" customFormat="false" ht="17.15" hidden="false" customHeight="false" outlineLevel="0" collapsed="false">
      <c r="A6362" s="5" t="s">
        <v>702</v>
      </c>
      <c r="B6362" s="0" t="s">
        <v>73</v>
      </c>
      <c r="C6362" s="38" t="n">
        <f aca="false">Q!$D$39</f>
        <v>2.427</v>
      </c>
      <c r="D6362" s="38" t="n">
        <f aca="false">Q!$E$39</f>
        <v>19.61</v>
      </c>
      <c r="E6362" s="38" t="n">
        <f aca="false">Q!$P$39</f>
        <v>71.492</v>
      </c>
      <c r="F6362" s="41" t="n">
        <v>0</v>
      </c>
      <c r="G6362" s="38" t="n">
        <f aca="false">Sens!$E$6362+Sens!$F$6362</f>
        <v>71.492</v>
      </c>
      <c r="H6362" s="41" t="n">
        <v>0</v>
      </c>
      <c r="I6362" s="41" t="n">
        <v>0</v>
      </c>
      <c r="J6362" s="41" t="n">
        <v>0</v>
      </c>
      <c r="K6362" s="41" t="n">
        <v>0</v>
      </c>
      <c r="L6362" s="41" t="n">
        <v>0</v>
      </c>
      <c r="M6362" s="41" t="n">
        <v>0</v>
      </c>
      <c r="N6362" s="38" t="n">
        <f aca="false">Q!$N$39</f>
        <v>6.017</v>
      </c>
      <c r="O6362" s="38" t="n">
        <f aca="false">Q!$O$39</f>
        <v>13.593</v>
      </c>
      <c r="P6362" s="5" t="s">
        <v>703</v>
      </c>
    </row>
    <row r="6363" customFormat="false" ht="15" hidden="false" customHeight="false" outlineLevel="0" collapsed="false">
      <c r="A6363" s="5" t="s">
        <v>507</v>
      </c>
      <c r="B6363" s="0" t="s">
        <v>73</v>
      </c>
      <c r="C6363" s="38" t="n">
        <f aca="false">Q!$D$36</f>
        <v>68.614</v>
      </c>
      <c r="D6363" s="38" t="n">
        <f aca="false">Q!$E$36</f>
        <v>97.311</v>
      </c>
      <c r="E6363" s="38" t="n">
        <f aca="false">Q!$P$36</f>
        <v>120.691</v>
      </c>
      <c r="F6363" s="38" t="n">
        <f aca="false">Sens!$F$6341-Sens!$F$6360+Sens!$F$6361+Sens!$F$6362</f>
        <v>59.2236875896856</v>
      </c>
      <c r="G6363" s="38" t="n">
        <f aca="false">Sens!$E$6363+Sens!$F$6363</f>
        <v>179.914687589686</v>
      </c>
      <c r="H6363" s="38" t="n">
        <f aca="false">Sens!$H$6341-Sens!$H$6360+Sens!$H$6361+Sens!$H$6362</f>
        <v>132.22487528741</v>
      </c>
      <c r="I6363" s="38" t="n">
        <f aca="false">Sens!$I$6341-Sens!$I$6360+Sens!$I$6361+Sens!$I$6362</f>
        <v>155.256254868633</v>
      </c>
      <c r="J6363" s="38" t="n">
        <f aca="false">Sens!$J$6341-Sens!$J$6360+Sens!$J$6361+Sens!$J$6362</f>
        <v>177.272457389275</v>
      </c>
      <c r="K6363" s="38" t="n">
        <f aca="false">Sens!$K$6341-Sens!$K$6360+Sens!$K$6361+Sens!$K$6362</f>
        <v>196.921534464333</v>
      </c>
      <c r="L6363" s="38" t="n">
        <f aca="false">Sens!$L$6341-Sens!$L$6360+Sens!$L$6361+Sens!$L$6362</f>
        <v>220.12100479332</v>
      </c>
      <c r="M6363" s="38" t="n">
        <f aca="false">Sens!$M$6341-Sens!$M$6360+Sens!$M$6361+Sens!$M$6362</f>
        <v>244.529307072564</v>
      </c>
      <c r="N6363" s="38" t="n">
        <f aca="false">Q!$N$36</f>
        <v>42.536</v>
      </c>
      <c r="O6363" s="38" t="n">
        <f aca="false">Q!$O$36</f>
        <v>54.775</v>
      </c>
    </row>
    <row r="6364" customFormat="false" ht="15" hidden="false" customHeight="false" outlineLevel="0" collapsed="false">
      <c r="A6364" s="5" t="s">
        <v>508</v>
      </c>
      <c r="B6364" s="0" t="s">
        <v>73</v>
      </c>
      <c r="C6364" s="38" t="n">
        <f aca="false">Q!$D$37</f>
        <v>9.265</v>
      </c>
      <c r="D6364" s="38" t="n">
        <f aca="false">Q!$E$37</f>
        <v>19.087</v>
      </c>
      <c r="E6364" s="38" t="n">
        <f aca="false">Q!$P$37</f>
        <v>27.759</v>
      </c>
      <c r="F6364" s="38" t="n">
        <f aca="false">Sens!$F$6363*tax</f>
        <v>10.2803157750071</v>
      </c>
      <c r="G6364" s="38" t="n">
        <f aca="false">Sens!$E$6364+Sens!$F$6364</f>
        <v>38.0393157750071</v>
      </c>
      <c r="H6364" s="38" t="n">
        <f aca="false">Sens!$H$6363*tax</f>
        <v>22.9521923842892</v>
      </c>
      <c r="I6364" s="38" t="n">
        <f aca="false">Sens!$I$6363*tax</f>
        <v>26.9500835063251</v>
      </c>
      <c r="J6364" s="38" t="n">
        <f aca="false">Sens!$J$6363*tax</f>
        <v>30.7717555988633</v>
      </c>
      <c r="K6364" s="38" t="n">
        <f aca="false">Sens!$K$6363*tax</f>
        <v>34.1825313414772</v>
      </c>
      <c r="L6364" s="38" t="n">
        <f aca="false">Sens!$L$6363*tax</f>
        <v>38.209600416393</v>
      </c>
      <c r="M6364" s="38" t="n">
        <f aca="false">Sens!$M$6363*tax</f>
        <v>42.4465040131586</v>
      </c>
      <c r="N6364" s="38" t="n">
        <f aca="false">Q!$N$37</f>
        <v>7.231</v>
      </c>
      <c r="O6364" s="38" t="n">
        <f aca="false">Q!$O$37</f>
        <v>11.856</v>
      </c>
    </row>
    <row r="6365" customFormat="false" ht="15" hidden="false" customHeight="false" outlineLevel="0" collapsed="false">
      <c r="A6365" s="3" t="s">
        <v>509</v>
      </c>
      <c r="B6365" s="8" t="s">
        <v>73</v>
      </c>
      <c r="C6365" s="38" t="n">
        <f aca="false">Q!$D$38</f>
        <v>59.248</v>
      </c>
      <c r="D6365" s="38" t="n">
        <f aca="false">Q!$E$38</f>
        <v>77.67</v>
      </c>
      <c r="E6365" s="38" t="n">
        <f aca="false">Q!$P$38</f>
        <v>92.902</v>
      </c>
      <c r="F6365" s="38" t="n">
        <f aca="false">Sens!$F$6363-Sens!$F$6364</f>
        <v>48.9433718146785</v>
      </c>
      <c r="G6365" s="38" t="n">
        <f aca="false">Sens!$E$6365+Sens!$F$6365</f>
        <v>141.845371814679</v>
      </c>
      <c r="H6365" s="38" t="n">
        <f aca="false">Sens!$H$6363-Sens!$H$6364</f>
        <v>109.272682903121</v>
      </c>
      <c r="I6365" s="38" t="n">
        <f aca="false">Sens!$I$6363-Sens!$I$6364</f>
        <v>128.306171362308</v>
      </c>
      <c r="J6365" s="38" t="n">
        <f aca="false">Sens!$J$6363-Sens!$J$6364</f>
        <v>146.500701790412</v>
      </c>
      <c r="K6365" s="38" t="n">
        <f aca="false">Sens!$K$6363-Sens!$K$6364</f>
        <v>162.739003122855</v>
      </c>
      <c r="L6365" s="38" t="n">
        <f aca="false">Sens!$L$6363-Sens!$L$6364</f>
        <v>181.911404376927</v>
      </c>
      <c r="M6365" s="38" t="n">
        <f aca="false">Sens!$M$6363-Sens!$M$6364</f>
        <v>202.082803059406</v>
      </c>
      <c r="N6365" s="38" t="n">
        <f aca="false">Q!$N$38</f>
        <v>35.291</v>
      </c>
      <c r="O6365" s="38" t="n">
        <f aca="false">Q!$O$38</f>
        <v>42.379</v>
      </c>
    </row>
    <row r="6366" customFormat="false" ht="17.15" hidden="false" customHeight="false" outlineLevel="0" collapsed="false">
      <c r="A6366" s="5" t="s">
        <v>512</v>
      </c>
      <c r="B6366" s="5" t="s">
        <v>33</v>
      </c>
      <c r="C6366" s="22" t="n">
        <f aca="false">Q!$D$41</f>
        <v>10.721</v>
      </c>
      <c r="D6366" s="22" t="n">
        <f aca="false">Q!$E$41</f>
        <v>10.827</v>
      </c>
      <c r="E6366" s="22" t="n">
        <f aca="false">(Q!$L$41+Q!$M$41)/2</f>
        <v>10.8885</v>
      </c>
      <c r="F6366" s="22" t="n">
        <f aca="false">Sens!$G$6366</f>
        <v>10.924806</v>
      </c>
      <c r="G6366" s="22" t="n">
        <f aca="false">Q!$M$41*(1+sh_g*0.25)</f>
        <v>10.924806</v>
      </c>
      <c r="H6366" s="22" t="n">
        <f aca="false">Sens!$G$6366*(1+sh_g)</f>
        <v>11.012204448</v>
      </c>
      <c r="I6366" s="22" t="n">
        <f aca="false">Sens!$H$6366*(1+sh_g)</f>
        <v>11.100302083584</v>
      </c>
      <c r="J6366" s="22" t="n">
        <f aca="false">Sens!$I$6366*(1+sh_g)</f>
        <v>11.1891045002527</v>
      </c>
      <c r="K6366" s="22" t="n">
        <f aca="false">Sens!$J$6366*(1+sh_g)</f>
        <v>11.2786173362547</v>
      </c>
      <c r="L6366" s="22" t="n">
        <f aca="false">Sens!$K$6366*(1+sh_g)</f>
        <v>11.3688462749447</v>
      </c>
      <c r="M6366" s="22" t="n">
        <f aca="false">Sens!$L$6366*(1+sh_g)</f>
        <v>11.4597970451443</v>
      </c>
      <c r="P6366" s="5" t="s">
        <v>704</v>
      </c>
    </row>
    <row r="6367" customFormat="false" ht="17.15" hidden="false" customHeight="false" outlineLevel="0" collapsed="false">
      <c r="A6367" s="42" t="s">
        <v>705</v>
      </c>
      <c r="B6367" s="13" t="s">
        <v>27</v>
      </c>
      <c r="C6367" s="43" t="n">
        <f aca="false">Sens!$C$6365/Sens!$C$6366</f>
        <v>5.52635015390355</v>
      </c>
      <c r="D6367" s="43" t="n">
        <f aca="false">Sens!$D$6365/Sens!$D$6366</f>
        <v>7.1737323358271</v>
      </c>
      <c r="E6367" s="43" t="n">
        <f aca="false">Sens!$E$6365/Sens!$E$6366</f>
        <v>8.53212104513937</v>
      </c>
      <c r="F6367" s="13"/>
      <c r="G6367" s="43" t="n">
        <f aca="false">Sens!$G$6365/Sens!$G$6366</f>
        <v>12.9837886196495</v>
      </c>
      <c r="H6367" s="43" t="n">
        <f aca="false">Sens!$H$6365/Sens!$H$6366</f>
        <v>9.92287088558062</v>
      </c>
      <c r="I6367" s="43" t="n">
        <f aca="false">Sens!$I$6365/Sens!$I$6366</f>
        <v>11.5587999674403</v>
      </c>
      <c r="J6367" s="43" t="n">
        <f aca="false">Sens!$J$6365/Sens!$J$6366</f>
        <v>13.0931569892035</v>
      </c>
      <c r="K6367" s="43" t="n">
        <f aca="false">Sens!$K$6365/Sens!$K$6366</f>
        <v>14.4289852444711</v>
      </c>
      <c r="L6367" s="43" t="n">
        <f aca="false">Sens!$L$6365/Sens!$L$6366</f>
        <v>16.0008676322621</v>
      </c>
      <c r="M6367" s="43" t="n">
        <f aca="false">Sens!$M$6365/Sens!$M$6366</f>
        <v>17.6340647450673</v>
      </c>
      <c r="N6367" s="13"/>
      <c r="O6367" s="13"/>
    </row>
    <row r="6368" customFormat="false" ht="17.15" hidden="false" customHeight="false" outlineLevel="0" collapsed="false">
      <c r="A6368" s="0" t="s">
        <v>706</v>
      </c>
      <c r="B6368" s="0" t="s">
        <v>27</v>
      </c>
      <c r="C6368" s="30" t="n">
        <f aca="false">(Sens!$C$6365-Sens!$C$6362*(1-tax))/Sens!$C$6366</f>
        <v>5.33926775917445</v>
      </c>
      <c r="D6368" s="30" t="n">
        <f aca="false">(Sens!$D$6365-Sens!$D$6362*(1-tax))/Sens!$D$6366</f>
        <v>5.67691812755503</v>
      </c>
      <c r="E6368" s="30" t="n">
        <f aca="false">(Sens!$E$6365-Sens!$E$6362*(1-tax))/Sens!$E$6366</f>
        <v>3.10602057006846</v>
      </c>
      <c r="G6368" s="30" t="n">
        <f aca="false">(Sens!$G$6365-Sens!$G$6362*(1-tax))/Sens!$G$6366</f>
        <v>7.57572050175252</v>
      </c>
      <c r="H6368" s="30" t="n">
        <f aca="false">(Sens!$H$6365-Sens!$H$6362*(1-tax))/Sens!$H$6366</f>
        <v>9.92287088558062</v>
      </c>
      <c r="I6368" s="30" t="n">
        <f aca="false">(Sens!$I$6365-Sens!$I$6362*(1-tax))/Sens!$I$6366</f>
        <v>11.5587999674403</v>
      </c>
      <c r="J6368" s="30" t="n">
        <f aca="false">(Sens!$J$6365-Sens!$J$6362*(1-tax))/Sens!$J$6366</f>
        <v>13.0931569892035</v>
      </c>
      <c r="K6368" s="30" t="n">
        <f aca="false">(Sens!$K$6365-Sens!$K$6362*(1-tax))/Sens!$K$6366</f>
        <v>14.4289852444711</v>
      </c>
      <c r="L6368" s="30" t="n">
        <f aca="false">(Sens!$L$6365-Sens!$L$6362*(1-tax))/Sens!$L$6366</f>
        <v>16.0008676322621</v>
      </c>
      <c r="M6368" s="30" t="n">
        <f aca="false">(Sens!$M$6365-Sens!$M$6362*(1-tax))/Sens!$M$6366</f>
        <v>17.6340647450673</v>
      </c>
      <c r="P6368" s="5" t="s">
        <v>707</v>
      </c>
    </row>
    <row r="6369" customFormat="false" ht="17.15" hidden="false" customHeight="false" outlineLevel="0" collapsed="false">
      <c r="A6369" s="0" t="s">
        <v>708</v>
      </c>
      <c r="B6369" s="0" t="s">
        <v>52</v>
      </c>
      <c r="H6369" s="12" t="n">
        <f aca="false">Sens!$H$6367/Sens!$G$6367-1</f>
        <v>-0.23574919645846</v>
      </c>
      <c r="I6369" s="12" t="n">
        <f aca="false">Sens!$I$6367/Sens!$H$6367-1</f>
        <v>0.164864493423664</v>
      </c>
      <c r="J6369" s="12" t="n">
        <f aca="false">Sens!$J$6367/Sens!$I$6367-1</f>
        <v>0.132743626162345</v>
      </c>
      <c r="K6369" s="12" t="n">
        <f aca="false">Sens!$K$6367/Sens!$J$6367-1</f>
        <v>0.102024917013454</v>
      </c>
      <c r="L6369" s="12" t="n">
        <f aca="false">Sens!$L$6367/Sens!$K$6367-1</f>
        <v>0.108939219297719</v>
      </c>
      <c r="M6369" s="12" t="n">
        <f aca="false">Sens!$M$6367/Sens!$L$6367-1</f>
        <v>0.102069284637555</v>
      </c>
    </row>
    <row r="6372" customFormat="false" ht="19.4" hidden="false" customHeight="false" outlineLevel="0" collapsed="false">
      <c r="A6372" s="31" t="s">
        <v>1181</v>
      </c>
    </row>
    <row r="6373" customFormat="false" ht="17.15" hidden="false" customHeight="false" outlineLevel="0" collapsed="false">
      <c r="A6373" s="6" t="s">
        <v>16</v>
      </c>
      <c r="B6373" s="6" t="s">
        <v>17</v>
      </c>
      <c r="C6373" s="20" t="s">
        <v>457</v>
      </c>
      <c r="D6373" s="20" t="s">
        <v>458</v>
      </c>
      <c r="E6373" s="20" t="s">
        <v>540</v>
      </c>
      <c r="F6373" s="20" t="s">
        <v>541</v>
      </c>
      <c r="G6373" s="20" t="s">
        <v>542</v>
      </c>
      <c r="H6373" s="20" t="s">
        <v>543</v>
      </c>
      <c r="I6373" s="20" t="s">
        <v>544</v>
      </c>
      <c r="J6373" s="20" t="s">
        <v>545</v>
      </c>
      <c r="K6373" s="20" t="s">
        <v>546</v>
      </c>
      <c r="L6373" s="20" t="s">
        <v>547</v>
      </c>
      <c r="M6373" s="20" t="s">
        <v>548</v>
      </c>
      <c r="N6373" s="20" t="s">
        <v>549</v>
      </c>
      <c r="O6373" s="20" t="s">
        <v>550</v>
      </c>
      <c r="P6373" s="6" t="s">
        <v>23</v>
      </c>
      <c r="R6373" s="20" t="n">
        <v>2023</v>
      </c>
      <c r="S6373" s="20" t="n">
        <v>2024</v>
      </c>
      <c r="T6373" s="20" t="n">
        <v>2025</v>
      </c>
      <c r="U6373" s="20" t="n">
        <v>2026</v>
      </c>
      <c r="V6373" s="20" t="n">
        <v>2027</v>
      </c>
      <c r="W6373" s="20" t="n">
        <v>2028</v>
      </c>
      <c r="X6373" s="20" t="n">
        <v>2029</v>
      </c>
      <c r="Y6373" s="20" t="n">
        <v>2030</v>
      </c>
      <c r="Z6373" s="20" t="n">
        <v>2031</v>
      </c>
      <c r="AA6373" s="20" t="n">
        <v>2032</v>
      </c>
    </row>
    <row r="6374" customFormat="false" ht="15" hidden="false" customHeight="false" outlineLevel="0" collapsed="false">
      <c r="A6374" s="5" t="s">
        <v>509</v>
      </c>
      <c r="B6374" s="0" t="s">
        <v>73</v>
      </c>
      <c r="C6374" s="38" t="n">
        <f aca="false">Sens!$C$6365</f>
        <v>59.248</v>
      </c>
      <c r="D6374" s="38" t="n">
        <f aca="false">Sens!$D$6365</f>
        <v>77.67</v>
      </c>
      <c r="E6374" s="38" t="n">
        <f aca="false">Sens!$E$6365</f>
        <v>92.902</v>
      </c>
      <c r="F6374" s="38" t="n">
        <f aca="false">Sens!$F$6365</f>
        <v>48.9433718146785</v>
      </c>
      <c r="G6374" s="38" t="n">
        <f aca="false">Sens!$G$6365</f>
        <v>141.845371814679</v>
      </c>
      <c r="H6374" s="38" t="n">
        <f aca="false">Sens!$H$6365</f>
        <v>109.272682903121</v>
      </c>
      <c r="I6374" s="38" t="n">
        <f aca="false">Sens!$I$6365</f>
        <v>128.306171362308</v>
      </c>
      <c r="J6374" s="38" t="n">
        <f aca="false">Sens!$J$6365</f>
        <v>146.500701790412</v>
      </c>
      <c r="K6374" s="38" t="n">
        <f aca="false">Sens!$K$6365</f>
        <v>162.739003122855</v>
      </c>
      <c r="L6374" s="38" t="n">
        <f aca="false">Sens!$L$6365</f>
        <v>181.911404376927</v>
      </c>
      <c r="M6374" s="38" t="n">
        <f aca="false">Sens!$M$6365</f>
        <v>202.082803059406</v>
      </c>
    </row>
    <row r="6375" customFormat="false" ht="17.15" hidden="false" customHeight="false" outlineLevel="0" collapsed="false">
      <c r="A6375" s="5" t="s">
        <v>730</v>
      </c>
      <c r="B6375" s="0" t="s">
        <v>73</v>
      </c>
      <c r="C6375" s="38" t="n">
        <f aca="false">Sens!$C$6353</f>
        <v>32.067</v>
      </c>
      <c r="D6375" s="38" t="n">
        <f aca="false">Sens!$D$6353</f>
        <v>41.86</v>
      </c>
      <c r="E6375" s="38" t="n">
        <f aca="false">Sens!$E$6353</f>
        <v>26.703</v>
      </c>
      <c r="F6375" s="38" t="n">
        <f aca="false">Sens!$F$6353</f>
        <v>30.6103857251209</v>
      </c>
      <c r="G6375" s="38" t="n">
        <f aca="false">Sens!$G$6353</f>
        <v>57.3133857251209</v>
      </c>
      <c r="H6375" s="38" t="n">
        <f aca="false">Sens!$H$6353</f>
        <v>87.6845218193838</v>
      </c>
      <c r="I6375" s="38" t="n">
        <f aca="false">Sens!$I$6353</f>
        <v>122.294769708638</v>
      </c>
      <c r="J6375" s="38" t="n">
        <f aca="false">Sens!$J$6353</f>
        <v>157.133962573221</v>
      </c>
      <c r="K6375" s="38" t="n">
        <f aca="false">Sens!$K$6353</f>
        <v>191.350633353599</v>
      </c>
      <c r="L6375" s="38" t="n">
        <f aca="false">Sens!$L$6353</f>
        <v>223.909238335354</v>
      </c>
      <c r="M6375" s="38" t="n">
        <f aca="false">Sens!$M$6353</f>
        <v>257.576319867276</v>
      </c>
    </row>
    <row r="6376" customFormat="false" ht="15" hidden="false" customHeight="false" outlineLevel="0" collapsed="false">
      <c r="A6376" s="5" t="s">
        <v>731</v>
      </c>
      <c r="B6376" s="0" t="s">
        <v>73</v>
      </c>
      <c r="C6376" s="38" t="n">
        <f aca="false">Q!$D$48</f>
        <v>22.011</v>
      </c>
      <c r="D6376" s="38" t="n">
        <f aca="false">Q!$E$48</f>
        <v>19.467</v>
      </c>
      <c r="E6376" s="38" t="n">
        <f aca="false">Q!$P$48</f>
        <v>10.07</v>
      </c>
      <c r="F6376" s="38" t="n">
        <f aca="false">sbc_r*Sens!$F$6297</f>
        <v>11.2170714500462</v>
      </c>
      <c r="G6376" s="38" t="n">
        <f aca="false">Sens!$E$6376+Sens!$F$6376</f>
        <v>21.2870714500462</v>
      </c>
      <c r="H6376" s="38" t="n">
        <f aca="false">sbc_r*Sens!$H$6297</f>
        <v>24.1772394325528</v>
      </c>
      <c r="I6376" s="38" t="n">
        <f aca="false">sbc_r*Sens!$I$6297</f>
        <v>27.6495284422397</v>
      </c>
      <c r="J6376" s="38" t="n">
        <f aca="false">sbc_r*Sens!$J$6297</f>
        <v>30.9042211184633</v>
      </c>
      <c r="K6376" s="38" t="n">
        <f aca="false">sbc_r*Sens!$K$6297</f>
        <v>33.8004145402678</v>
      </c>
      <c r="L6376" s="38" t="n">
        <f aca="false">sbc_r*Sens!$L$6297</f>
        <v>36.8322537652494</v>
      </c>
      <c r="M6376" s="38" t="n">
        <f aca="false">sbc_r*Sens!$M$6297</f>
        <v>40.0097627968013</v>
      </c>
    </row>
    <row r="6377" customFormat="false" ht="17.15" hidden="false" customHeight="false" outlineLevel="0" collapsed="false">
      <c r="A6377" s="5" t="s">
        <v>732</v>
      </c>
      <c r="B6377" s="0" t="s">
        <v>73</v>
      </c>
      <c r="C6377" s="38" t="n">
        <f aca="false">Q!$D$44-Sens!$C$6374-Sens!$C$6375-Sens!$C$6376</f>
        <v>2.551</v>
      </c>
      <c r="D6377" s="38" t="n">
        <f aca="false">Q!$E$44-Sens!$D$6374-Sens!$D$6375-Sens!$D$6376</f>
        <v>0.51700000000001</v>
      </c>
      <c r="E6377" s="38" t="n">
        <f aca="false">Q!$P$44-Sens!$E$6374-Sens!$E$6375-Sens!$E$6376</f>
        <v>-58.256</v>
      </c>
      <c r="F6377" s="38" t="n">
        <f aca="false">wc_2h26+oth_r*Sens!$F$6297</f>
        <v>7.34599241893378</v>
      </c>
      <c r="G6377" s="38" t="n">
        <f aca="false">Sens!$E$6377+Sens!$F$6377</f>
        <v>-50.9100075810662</v>
      </c>
      <c r="H6377" s="38" t="n">
        <f aca="false">oth_r*Sens!$H$6297</f>
        <v>11.6369707537667</v>
      </c>
      <c r="I6377" s="38" t="n">
        <f aca="false">oth_r*Sens!$I$6297</f>
        <v>13.3082502961262</v>
      </c>
      <c r="J6377" s="38" t="n">
        <f aca="false">oth_r*Sens!$J$6297</f>
        <v>14.8747965344332</v>
      </c>
      <c r="K6377" s="38" t="n">
        <f aca="false">oth_r*Sens!$K$6297</f>
        <v>16.2687901804328</v>
      </c>
      <c r="L6377" s="38" t="n">
        <f aca="false">oth_r*Sens!$L$6297</f>
        <v>17.7280727627002</v>
      </c>
      <c r="M6377" s="38" t="n">
        <f aca="false">oth_r*Sens!$M$6297</f>
        <v>19.2574690270319</v>
      </c>
      <c r="P6377" s="8" t="s">
        <v>733</v>
      </c>
    </row>
    <row r="6378" customFormat="false" ht="15" hidden="false" customHeight="false" outlineLevel="0" collapsed="false">
      <c r="A6378" s="3" t="s">
        <v>515</v>
      </c>
      <c r="B6378" s="8" t="s">
        <v>73</v>
      </c>
      <c r="C6378" s="38" t="n">
        <f aca="false">Q!$D$44</f>
        <v>115.877</v>
      </c>
      <c r="D6378" s="38" t="n">
        <f aca="false">Q!$E$44</f>
        <v>139.514</v>
      </c>
      <c r="E6378" s="38" t="n">
        <f aca="false">Q!$P$44</f>
        <v>71.419</v>
      </c>
      <c r="F6378" s="38" t="n">
        <f aca="false">Sens!$F$6374+Sens!$F$6375+Sens!$F$6376+Sens!$F$6377</f>
        <v>98.1168214087795</v>
      </c>
      <c r="G6378" s="38" t="n">
        <f aca="false">Sens!$E$6378+Sens!$F$6378</f>
        <v>169.535821408779</v>
      </c>
      <c r="H6378" s="38" t="n">
        <f aca="false">Sens!$H$6374+Sens!$H$6375+Sens!$H$6376+Sens!$H$6377</f>
        <v>232.771414908824</v>
      </c>
      <c r="I6378" s="38" t="n">
        <f aca="false">Sens!$I$6374+Sens!$I$6375+Sens!$I$6376+Sens!$I$6377</f>
        <v>291.558719809312</v>
      </c>
      <c r="J6378" s="38" t="n">
        <f aca="false">Sens!$J$6374+Sens!$J$6375+Sens!$J$6376+Sens!$J$6377</f>
        <v>349.413682016529</v>
      </c>
      <c r="K6378" s="38" t="n">
        <f aca="false">Sens!$K$6374+Sens!$K$6375+Sens!$K$6376+Sens!$K$6377</f>
        <v>404.158841197156</v>
      </c>
      <c r="L6378" s="38" t="n">
        <f aca="false">Sens!$L$6374+Sens!$L$6375+Sens!$L$6376+Sens!$L$6377</f>
        <v>460.380969240231</v>
      </c>
      <c r="M6378" s="38" t="n">
        <f aca="false">Sens!$M$6374+Sens!$M$6375+Sens!$M$6376+Sens!$M$6377</f>
        <v>518.926354750515</v>
      </c>
    </row>
    <row r="6379" customFormat="false" ht="17.15" hidden="false" customHeight="false" outlineLevel="0" collapsed="false">
      <c r="A6379" s="5" t="s">
        <v>734</v>
      </c>
      <c r="B6379" s="0" t="s">
        <v>73</v>
      </c>
      <c r="C6379" s="38" t="n">
        <f aca="false">Sens!$C$6267</f>
        <v>25.2781053077374</v>
      </c>
      <c r="D6379" s="38" t="n">
        <f aca="false">Sens!$D$6267</f>
        <v>69.5686316310026</v>
      </c>
      <c r="E6379" s="38" t="n">
        <f aca="false">Sens!$E$6267</f>
        <v>64.1899206485108</v>
      </c>
      <c r="F6379" s="38" t="n">
        <f aca="false">Sens!$F$6267</f>
        <v>96.2481299895</v>
      </c>
      <c r="G6379" s="38" t="n">
        <f aca="false">Sens!$G$6267</f>
        <v>160.438050638011</v>
      </c>
      <c r="H6379" s="38" t="n">
        <f aca="false">Sens!$H$6267</f>
        <v>198.57136494475</v>
      </c>
      <c r="I6379" s="38" t="n">
        <f aca="false">Sens!$I$6267</f>
        <v>204.6464699105</v>
      </c>
      <c r="J6379" s="38" t="n">
        <f aca="false">Sens!$J$6267</f>
        <v>209.8832381105</v>
      </c>
      <c r="K6379" s="38" t="n">
        <f aca="false">Sens!$K$6267</f>
        <v>215.1200063105</v>
      </c>
      <c r="L6379" s="38" t="n">
        <f aca="false">Sens!$L$6267</f>
        <v>251.7773837105</v>
      </c>
      <c r="M6379" s="38" t="n">
        <f aca="false">Sens!$M$6267</f>
        <v>311.87584476575</v>
      </c>
    </row>
    <row r="6380" customFormat="false" ht="17.15" hidden="false" customHeight="false" outlineLevel="0" collapsed="false">
      <c r="A6380" s="5" t="s">
        <v>735</v>
      </c>
      <c r="B6380" s="0" t="s">
        <v>73</v>
      </c>
      <c r="C6380" s="38" t="n">
        <f aca="false">cx_awso*Sens!$C$6295</f>
        <v>21.0469989286053</v>
      </c>
      <c r="D6380" s="38" t="n">
        <f aca="false">cx_awso*Sens!$D$6295</f>
        <v>24.0042459822698</v>
      </c>
      <c r="E6380" s="38" t="n">
        <f aca="false">cx_awso*Sens!$E$6295</f>
        <v>14.261729404886</v>
      </c>
      <c r="F6380" s="38" t="n">
        <f aca="false">cx_awso*Sens!$F$6295</f>
        <v>15.7190020837331</v>
      </c>
      <c r="G6380" s="38" t="n">
        <f aca="false">Sens!$E$6380+Sens!$F$6380</f>
        <v>29.9807314886191</v>
      </c>
      <c r="H6380" s="38" t="n">
        <f aca="false">cx_awso*Sens!$H$6295</f>
        <v>36.1787121536283</v>
      </c>
      <c r="I6380" s="38" t="n">
        <f aca="false">cx_awso*Sens!$I$6295</f>
        <v>42.1296794430021</v>
      </c>
      <c r="J6380" s="38" t="n">
        <f aca="false">cx_awso*Sens!$J$6295</f>
        <v>47.279781889299</v>
      </c>
      <c r="K6380" s="38" t="n">
        <f aca="false">cx_awso*Sens!$K$6295</f>
        <v>51.0621644404429</v>
      </c>
      <c r="L6380" s="38" t="n">
        <f aca="false">cx_awso*Sens!$L$6295</f>
        <v>55.1471375956783</v>
      </c>
      <c r="M6380" s="38" t="n">
        <f aca="false">cx_awso*Sens!$M$6295</f>
        <v>59.5589086033326</v>
      </c>
    </row>
    <row r="6381" customFormat="false" ht="17.15" hidden="false" customHeight="false" outlineLevel="0" collapsed="false">
      <c r="A6381" s="5" t="s">
        <v>736</v>
      </c>
      <c r="B6381" s="0" t="s">
        <v>73</v>
      </c>
      <c r="C6381" s="38" t="n">
        <f aca="false">Q!$D$46-Sens!$C$6379-Sens!$C$6380</f>
        <v>31.3328957636573</v>
      </c>
      <c r="D6381" s="38" t="n">
        <f aca="false">Q!$E$46-Sens!$D$6379-Sens!$D$6380</f>
        <v>34.7471223867276</v>
      </c>
      <c r="E6381" s="38" t="n">
        <f aca="false">Q!$P$46-Sens!$E$6379-Sens!$E$6380</f>
        <v>17.8583499466032</v>
      </c>
      <c r="F6381" s="38" t="n">
        <f aca="false">cx_rt*Sens!$F$6231</f>
        <v>21.0855744229195</v>
      </c>
      <c r="G6381" s="38" t="n">
        <f aca="false">Sens!$E$6381+Sens!$F$6381</f>
        <v>38.9439243695228</v>
      </c>
      <c r="H6381" s="38" t="n">
        <f aca="false">cx_rt*Sens!$H$6231</f>
        <v>43.1200434029767</v>
      </c>
      <c r="I6381" s="38" t="n">
        <f aca="false">cx_rt*Sens!$I$6231</f>
        <v>47.1583152318763</v>
      </c>
      <c r="J6381" s="38" t="n">
        <f aca="false">cx_rt*Sens!$J$6231</f>
        <v>50.9060281137911</v>
      </c>
      <c r="K6381" s="38" t="n">
        <f aca="false">cx_rt*Sens!$K$6231</f>
        <v>54.2035645673053</v>
      </c>
      <c r="L6381" s="38" t="n">
        <f aca="false">cx_rt*Sens!$L$6231</f>
        <v>57.7318979121519</v>
      </c>
      <c r="M6381" s="38" t="n">
        <f aca="false">cx_rt*Sens!$M$6231</f>
        <v>61.5084196557756</v>
      </c>
    </row>
    <row r="6382" customFormat="false" ht="15" hidden="false" customHeight="false" outlineLevel="0" collapsed="false">
      <c r="A6382" s="3" t="s">
        <v>737</v>
      </c>
      <c r="B6382" s="8" t="s">
        <v>73</v>
      </c>
      <c r="C6382" s="38" t="n">
        <f aca="false">Q!$D$46</f>
        <v>77.658</v>
      </c>
      <c r="D6382" s="38" t="n">
        <f aca="false">Q!$E$46</f>
        <v>128.32</v>
      </c>
      <c r="E6382" s="38" t="n">
        <f aca="false">Q!$P$46</f>
        <v>96.31</v>
      </c>
      <c r="F6382" s="38" t="n">
        <f aca="false">Sens!$F$6379+Sens!$F$6380+Sens!$F$6381</f>
        <v>133.052706496153</v>
      </c>
      <c r="G6382" s="38" t="n">
        <f aca="false">Sens!$E$6382+Sens!$F$6382</f>
        <v>229.362706496153</v>
      </c>
      <c r="H6382" s="38" t="n">
        <f aca="false">Sens!$H$6379+Sens!$H$6380+Sens!$H$6381</f>
        <v>277.870120501355</v>
      </c>
      <c r="I6382" s="38" t="n">
        <f aca="false">Sens!$I$6379+Sens!$I$6380+Sens!$I$6381</f>
        <v>293.934464585378</v>
      </c>
      <c r="J6382" s="38" t="n">
        <f aca="false">Sens!$J$6379+Sens!$J$6380+Sens!$J$6381</f>
        <v>308.06904811359</v>
      </c>
      <c r="K6382" s="38" t="n">
        <f aca="false">Sens!$K$6379+Sens!$K$6380+Sens!$K$6381</f>
        <v>320.385735318248</v>
      </c>
      <c r="L6382" s="38" t="n">
        <f aca="false">Sens!$L$6379+Sens!$L$6380+Sens!$L$6381</f>
        <v>364.65641921833</v>
      </c>
      <c r="M6382" s="38" t="n">
        <f aca="false">Sens!$M$6379+Sens!$M$6380+Sens!$M$6381</f>
        <v>432.943173024858</v>
      </c>
    </row>
    <row r="6383" customFormat="false" ht="17.15" hidden="false" customHeight="false" outlineLevel="0" collapsed="false">
      <c r="A6383" s="5" t="s">
        <v>523</v>
      </c>
      <c r="B6383" s="0" t="s">
        <v>73</v>
      </c>
      <c r="C6383" s="38" t="n">
        <f aca="false">Q!$D$50</f>
        <v>2.043</v>
      </c>
      <c r="D6383" s="38" t="n">
        <f aca="false">Q!$E$50</f>
        <v>1.557</v>
      </c>
      <c r="E6383" s="38" t="n">
        <f aca="false">lease_pr/2</f>
        <v>0.8</v>
      </c>
      <c r="F6383" s="38" t="n">
        <f aca="false">lease_pr/2</f>
        <v>0.8</v>
      </c>
      <c r="G6383" s="38" t="n">
        <f aca="false">Sens!$E$6383+Sens!$F$6383</f>
        <v>1.6</v>
      </c>
      <c r="H6383" s="38" t="n">
        <f aca="false">lease_pr</f>
        <v>1.6</v>
      </c>
      <c r="I6383" s="38" t="n">
        <f aca="false">lease_pr</f>
        <v>1.6</v>
      </c>
      <c r="J6383" s="38" t="n">
        <f aca="false">lease_pr</f>
        <v>1.6</v>
      </c>
      <c r="K6383" s="38" t="n">
        <f aca="false">lease_pr</f>
        <v>1.6</v>
      </c>
      <c r="L6383" s="38" t="n">
        <f aca="false">lease_pr</f>
        <v>1.6</v>
      </c>
      <c r="M6383" s="38" t="n">
        <f aca="false">lease_pr</f>
        <v>1.6</v>
      </c>
      <c r="P6383" s="8" t="s">
        <v>738</v>
      </c>
    </row>
    <row r="6384" customFormat="false" ht="15" hidden="false" customHeight="false" outlineLevel="0" collapsed="false">
      <c r="A6384" s="46" t="s">
        <v>739</v>
      </c>
      <c r="B6384" s="13" t="s">
        <v>73</v>
      </c>
      <c r="C6384" s="47" t="n">
        <f aca="false">Sens!$C$6378-Sens!$C$6382-Sens!$C$6383</f>
        <v>36.176</v>
      </c>
      <c r="D6384" s="47" t="n">
        <f aca="false">Sens!$D$6378-Sens!$D$6382-Sens!$D$6383</f>
        <v>9.63700000000002</v>
      </c>
      <c r="E6384" s="47" t="n">
        <f aca="false">Sens!$E$6378-Sens!$E$6382-Sens!$E$6383</f>
        <v>-25.691</v>
      </c>
      <c r="F6384" s="47" t="n">
        <f aca="false">Sens!$F$6378-Sens!$F$6382-Sens!$F$6383</f>
        <v>-35.7358850873731</v>
      </c>
      <c r="G6384" s="47" t="n">
        <f aca="false">Sens!$G$6378-Sens!$G$6382-Sens!$G$6383</f>
        <v>-61.4268850873731</v>
      </c>
      <c r="H6384" s="47" t="n">
        <f aca="false">Sens!$H$6378-Sens!$H$6382-Sens!$H$6383</f>
        <v>-46.6987055925312</v>
      </c>
      <c r="I6384" s="47" t="n">
        <f aca="false">Sens!$I$6378-Sens!$I$6382-Sens!$I$6383</f>
        <v>-3.97574477606648</v>
      </c>
      <c r="J6384" s="47" t="n">
        <f aca="false">Sens!$J$6378-Sens!$J$6382-Sens!$J$6383</f>
        <v>39.7446339029391</v>
      </c>
      <c r="K6384" s="47" t="n">
        <f aca="false">Sens!$K$6378-Sens!$K$6382-Sens!$K$6383</f>
        <v>82.1731058789073</v>
      </c>
      <c r="L6384" s="47" t="n">
        <f aca="false">Sens!$L$6378-Sens!$L$6382-Sens!$L$6383</f>
        <v>94.1245500219009</v>
      </c>
      <c r="M6384" s="47" t="n">
        <f aca="false">Sens!$M$6378-Sens!$M$6382-Sens!$M$6383</f>
        <v>84.3831817256571</v>
      </c>
      <c r="N6384" s="13"/>
      <c r="O6384" s="13"/>
    </row>
    <row r="6385" customFormat="false" ht="17.15" hidden="false" customHeight="false" outlineLevel="0" collapsed="false">
      <c r="A6385" s="5" t="s">
        <v>740</v>
      </c>
      <c r="B6385" s="0" t="s">
        <v>73</v>
      </c>
      <c r="C6385" s="38" t="n">
        <f aca="false">dps*Sens!$C$6366</f>
        <v>0</v>
      </c>
      <c r="D6385" s="38" t="n">
        <f aca="false">dps*Sens!$D$6366</f>
        <v>0</v>
      </c>
      <c r="E6385" s="38" t="n">
        <f aca="false">dps*Sens!$E$6366</f>
        <v>0</v>
      </c>
      <c r="F6385" s="38" t="n">
        <f aca="false">0</f>
        <v>0</v>
      </c>
      <c r="G6385" s="38" t="n">
        <f aca="false">dps*Sens!$G$6366</f>
        <v>0</v>
      </c>
      <c r="H6385" s="38" t="n">
        <f aca="false">dps*Sens!$H$6366</f>
        <v>0</v>
      </c>
      <c r="I6385" s="38" t="n">
        <f aca="false">dps*Sens!$I$6366</f>
        <v>0</v>
      </c>
      <c r="J6385" s="38" t="n">
        <f aca="false">dps*Sens!$J$6366</f>
        <v>0</v>
      </c>
      <c r="K6385" s="38" t="n">
        <f aca="false">dps*Sens!$K$6366</f>
        <v>0</v>
      </c>
      <c r="L6385" s="38" t="n">
        <f aca="false">dps*Sens!$L$6366</f>
        <v>0</v>
      </c>
      <c r="M6385" s="38" t="n">
        <f aca="false">dps*Sens!$M$6366</f>
        <v>0</v>
      </c>
      <c r="P6385" s="8" t="s">
        <v>741</v>
      </c>
    </row>
    <row r="6386" customFormat="false" ht="17.15" hidden="false" customHeight="false" outlineLevel="0" collapsed="false">
      <c r="A6386" s="5" t="s">
        <v>742</v>
      </c>
      <c r="B6386" s="0" t="s">
        <v>73</v>
      </c>
      <c r="C6386" s="38" t="n">
        <f aca="false">0</f>
        <v>0</v>
      </c>
      <c r="D6386" s="38" t="n">
        <f aca="false">0</f>
        <v>0</v>
      </c>
      <c r="E6386" s="38" t="n">
        <f aca="false">0</f>
        <v>0</v>
      </c>
      <c r="F6386" s="38" t="n">
        <f aca="false">0</f>
        <v>0</v>
      </c>
      <c r="G6386" s="38" t="n">
        <f aca="false">0</f>
        <v>0</v>
      </c>
      <c r="H6386" s="38" t="n">
        <f aca="false">0</f>
        <v>0</v>
      </c>
      <c r="I6386" s="38" t="n">
        <f aca="false">0</f>
        <v>0</v>
      </c>
      <c r="J6386" s="38" t="n">
        <f aca="false">0</f>
        <v>0</v>
      </c>
      <c r="K6386" s="38" t="n">
        <f aca="false">0</f>
        <v>0</v>
      </c>
      <c r="L6386" s="38" t="n">
        <f aca="false">0</f>
        <v>0</v>
      </c>
      <c r="M6386" s="38" t="n">
        <f aca="false">0</f>
        <v>0</v>
      </c>
      <c r="P6386" s="8" t="s">
        <v>743</v>
      </c>
    </row>
    <row r="6387" customFormat="false" ht="15" hidden="false" customHeight="false" outlineLevel="0" collapsed="false">
      <c r="A6387" s="3" t="s">
        <v>744</v>
      </c>
      <c r="B6387" s="8" t="s">
        <v>73</v>
      </c>
      <c r="C6387" s="38" t="n">
        <f aca="false">Sens!$C$6384-Sens!$C$6385</f>
        <v>36.176</v>
      </c>
      <c r="D6387" s="38" t="n">
        <f aca="false">Sens!$D$6384-Sens!$D$6385</f>
        <v>9.63700000000002</v>
      </c>
      <c r="E6387" s="38" t="n">
        <f aca="false">Sens!$E$6384-Sens!$E$6385</f>
        <v>-25.691</v>
      </c>
      <c r="F6387" s="38" t="n">
        <f aca="false">Sens!$F$6384-Sens!$F$6385</f>
        <v>-35.7358850873731</v>
      </c>
      <c r="G6387" s="38" t="n">
        <f aca="false">Sens!$G$6384-Sens!$G$6385</f>
        <v>-61.4268850873731</v>
      </c>
      <c r="H6387" s="38" t="n">
        <f aca="false">Sens!$H$6384-Sens!$H$6385</f>
        <v>-46.6987055925312</v>
      </c>
      <c r="I6387" s="38" t="n">
        <f aca="false">Sens!$I$6384-Sens!$I$6385</f>
        <v>-3.97574477606648</v>
      </c>
      <c r="J6387" s="38" t="n">
        <f aca="false">Sens!$J$6384-Sens!$J$6385</f>
        <v>39.7446339029391</v>
      </c>
      <c r="K6387" s="38" t="n">
        <f aca="false">Sens!$K$6384-Sens!$K$6385</f>
        <v>82.1731058789073</v>
      </c>
      <c r="L6387" s="38" t="n">
        <f aca="false">Sens!$L$6384-Sens!$L$6385</f>
        <v>94.1245500219009</v>
      </c>
      <c r="M6387" s="38" t="n">
        <f aca="false">Sens!$M$6384-Sens!$M$6385</f>
        <v>84.3831817256571</v>
      </c>
    </row>
    <row r="6388" customFormat="false" ht="17.15" hidden="false" customHeight="false" outlineLevel="0" collapsed="false">
      <c r="A6388" s="5" t="s">
        <v>745</v>
      </c>
      <c r="B6388" s="0" t="s">
        <v>73</v>
      </c>
      <c r="E6388" s="38" t="n">
        <f aca="false">Q!$P$53</f>
        <v>39.767</v>
      </c>
      <c r="F6388" s="38" t="n">
        <f aca="false">inv_2h26</f>
        <v>21.3</v>
      </c>
      <c r="G6388" s="38" t="n">
        <f aca="false">Sens!$E$6388+Sens!$F$6388</f>
        <v>61.067</v>
      </c>
      <c r="H6388" s="41" t="n">
        <v>0</v>
      </c>
      <c r="I6388" s="41" t="n">
        <v>0</v>
      </c>
      <c r="J6388" s="41" t="n">
        <v>0</v>
      </c>
      <c r="K6388" s="41" t="n">
        <v>0</v>
      </c>
      <c r="L6388" s="41" t="n">
        <v>0</v>
      </c>
      <c r="M6388" s="41" t="n">
        <v>0</v>
      </c>
    </row>
    <row r="6389" customFormat="false" ht="17.15" hidden="false" customHeight="false" outlineLevel="0" collapsed="false">
      <c r="A6389" s="5" t="s">
        <v>746</v>
      </c>
      <c r="B6389" s="0" t="s">
        <v>73</v>
      </c>
      <c r="F6389" s="38" t="n">
        <f aca="false">iss_2h26</f>
        <v>29.25</v>
      </c>
      <c r="G6389" s="38" t="n">
        <f aca="false">Sens!$F$6389</f>
        <v>29.25</v>
      </c>
      <c r="H6389" s="41" t="n">
        <v>0</v>
      </c>
      <c r="I6389" s="41" t="n">
        <v>0</v>
      </c>
      <c r="J6389" s="41" t="n">
        <v>0</v>
      </c>
      <c r="K6389" s="41" t="n">
        <v>0</v>
      </c>
      <c r="L6389" s="41" t="n">
        <v>0</v>
      </c>
      <c r="M6389" s="41" t="n">
        <v>0</v>
      </c>
    </row>
    <row r="6390" customFormat="false" ht="17.15" hidden="false" customHeight="false" outlineLevel="0" collapsed="false">
      <c r="A6390" s="5" t="s">
        <v>747</v>
      </c>
      <c r="B6390" s="0" t="s">
        <v>73</v>
      </c>
      <c r="F6390" s="38" t="n">
        <f aca="false">cash_q2</f>
        <v>122.988</v>
      </c>
      <c r="G6390" s="38" t="n">
        <f aca="false">cash_q2</f>
        <v>122.988</v>
      </c>
      <c r="H6390" s="38" t="n">
        <f aca="false">Sens!$G$6393</f>
        <v>95.2021149126269</v>
      </c>
      <c r="I6390" s="38" t="n">
        <f aca="false">Sens!$H$6393</f>
        <v>50</v>
      </c>
      <c r="J6390" s="38" t="n">
        <f aca="false">Sens!$I$6393</f>
        <v>50</v>
      </c>
      <c r="K6390" s="38" t="n">
        <f aca="false">Sens!$J$6393</f>
        <v>89.7446339029391</v>
      </c>
      <c r="L6390" s="38" t="n">
        <f aca="false">Sens!$K$6393</f>
        <v>171.917739781846</v>
      </c>
      <c r="M6390" s="38" t="n">
        <f aca="false">Sens!$L$6393</f>
        <v>266.042289803747</v>
      </c>
    </row>
    <row r="6391" customFormat="false" ht="15" hidden="false" customHeight="false" outlineLevel="0" collapsed="false">
      <c r="A6391" s="5" t="s">
        <v>748</v>
      </c>
      <c r="B6391" s="0" t="s">
        <v>73</v>
      </c>
      <c r="F6391" s="38" t="n">
        <f aca="false">Sens!$F$6390+Sens!$F$6387-Sens!$F$6386-Sens!$F$6388+Sens!$F$6389</f>
        <v>95.2021149126269</v>
      </c>
      <c r="H6391" s="38" t="n">
        <f aca="false">Sens!$H$6390+Sens!$H$6387-Sens!$H$6386-Sens!$H$6388+Sens!$H$6389</f>
        <v>48.5034093200957</v>
      </c>
      <c r="I6391" s="38" t="n">
        <f aca="false">Sens!$I$6390+Sens!$I$6387-Sens!$I$6386-Sens!$I$6388+Sens!$I$6389</f>
        <v>46.0242552239335</v>
      </c>
      <c r="J6391" s="38" t="n">
        <f aca="false">Sens!$J$6390+Sens!$J$6387-Sens!$J$6386-Sens!$J$6388+Sens!$J$6389</f>
        <v>89.7446339029391</v>
      </c>
      <c r="K6391" s="38" t="n">
        <f aca="false">Sens!$K$6390+Sens!$K$6387-Sens!$K$6386-Sens!$K$6388+Sens!$K$6389</f>
        <v>171.917739781846</v>
      </c>
      <c r="L6391" s="38" t="n">
        <f aca="false">Sens!$L$6390+Sens!$L$6387-Sens!$L$6386-Sens!$L$6388+Sens!$L$6389</f>
        <v>266.042289803747</v>
      </c>
      <c r="M6391" s="38" t="n">
        <f aca="false">Sens!$M$6390+Sens!$M$6387-Sens!$M$6386-Sens!$M$6388+Sens!$M$6389</f>
        <v>350.425471529404</v>
      </c>
    </row>
    <row r="6392" customFormat="false" ht="17.15" hidden="false" customHeight="false" outlineLevel="0" collapsed="false">
      <c r="A6392" s="5" t="s">
        <v>749</v>
      </c>
      <c r="B6392" s="0" t="s">
        <v>73</v>
      </c>
      <c r="F6392" s="38" t="n">
        <f aca="false">MAX(0,min_cash-Sens!$F$6391)</f>
        <v>0</v>
      </c>
      <c r="G6392" s="38" t="n">
        <f aca="false">Sens!$F$6392</f>
        <v>0</v>
      </c>
      <c r="H6392" s="38" t="n">
        <f aca="false">MAX(0,min_cash-Sens!$H$6391)</f>
        <v>1.49659067990431</v>
      </c>
      <c r="I6392" s="38" t="n">
        <f aca="false">MAX(0,min_cash-Sens!$I$6391)</f>
        <v>3.97574477606648</v>
      </c>
      <c r="J6392" s="38" t="n">
        <f aca="false">MAX(0,min_cash-Sens!$J$6391)</f>
        <v>0</v>
      </c>
      <c r="K6392" s="38" t="n">
        <f aca="false">MAX(0,min_cash-Sens!$K$6391)</f>
        <v>0</v>
      </c>
      <c r="L6392" s="38" t="n">
        <f aca="false">MAX(0,min_cash-Sens!$L$6391)</f>
        <v>0</v>
      </c>
      <c r="M6392" s="38" t="n">
        <f aca="false">MAX(0,min_cash-Sens!$M$6391)</f>
        <v>0</v>
      </c>
      <c r="P6392" s="5" t="s">
        <v>750</v>
      </c>
    </row>
    <row r="6393" customFormat="false" ht="15" hidden="false" customHeight="false" outlineLevel="0" collapsed="false">
      <c r="A6393" s="5" t="s">
        <v>751</v>
      </c>
      <c r="B6393" s="0" t="s">
        <v>73</v>
      </c>
      <c r="D6393" s="38" t="n">
        <f aca="false">Q!$E$61</f>
        <v>123.029</v>
      </c>
      <c r="E6393" s="38" t="n">
        <f aca="false">Q!$M$61</f>
        <v>122.988</v>
      </c>
      <c r="F6393" s="38" t="n">
        <f aca="false">Sens!$F$6391+Sens!$F$6392</f>
        <v>95.2021149126269</v>
      </c>
      <c r="G6393" s="38" t="n">
        <f aca="false">Sens!$F$6393</f>
        <v>95.2021149126269</v>
      </c>
      <c r="H6393" s="38" t="n">
        <f aca="false">Sens!$H$6391+Sens!$H$6392</f>
        <v>50</v>
      </c>
      <c r="I6393" s="38" t="n">
        <f aca="false">Sens!$I$6391+Sens!$I$6392</f>
        <v>50</v>
      </c>
      <c r="J6393" s="38" t="n">
        <f aca="false">Sens!$J$6391+Sens!$J$6392</f>
        <v>89.7446339029391</v>
      </c>
      <c r="K6393" s="38" t="n">
        <f aca="false">Sens!$K$6391+Sens!$K$6392</f>
        <v>171.917739781846</v>
      </c>
      <c r="L6393" s="38" t="n">
        <f aca="false">Sens!$L$6391+Sens!$L$6392</f>
        <v>266.042289803747</v>
      </c>
      <c r="M6393" s="38" t="n">
        <f aca="false">Sens!$M$6391+Sens!$M$6392</f>
        <v>350.425471529404</v>
      </c>
    </row>
    <row r="6394" customFormat="false" ht="15" hidden="false" customHeight="false" outlineLevel="0" collapsed="false">
      <c r="A6394" s="5" t="s">
        <v>752</v>
      </c>
      <c r="B6394" s="0" t="s">
        <v>73</v>
      </c>
      <c r="D6394" s="38" t="n">
        <f aca="false">Q!$E$62</f>
        <v>68.836</v>
      </c>
      <c r="E6394" s="38" t="n">
        <f aca="false">Q!$M$62</f>
        <v>132.995</v>
      </c>
      <c r="F6394" s="38" t="n">
        <f aca="false">debt_q2+Sens!$F$6389+Sens!$F$6392</f>
        <v>162.245</v>
      </c>
      <c r="G6394" s="38" t="n">
        <f aca="false">Sens!$F$6394</f>
        <v>162.245</v>
      </c>
      <c r="H6394" s="38" t="n">
        <f aca="false">Sens!$G$6394+Sens!$H$6392</f>
        <v>163.741590679904</v>
      </c>
      <c r="I6394" s="38" t="n">
        <f aca="false">Sens!$H$6394+Sens!$I$6392</f>
        <v>167.717335455971</v>
      </c>
      <c r="J6394" s="38" t="n">
        <f aca="false">Sens!$I$6394+Sens!$J$6392</f>
        <v>167.717335455971</v>
      </c>
      <c r="K6394" s="38" t="n">
        <f aca="false">Sens!$J$6394+Sens!$K$6392</f>
        <v>167.717335455971</v>
      </c>
      <c r="L6394" s="38" t="n">
        <f aca="false">Sens!$K$6394+Sens!$L$6392</f>
        <v>167.717335455971</v>
      </c>
      <c r="M6394" s="38" t="n">
        <f aca="false">Sens!$L$6394+Sens!$M$6392</f>
        <v>167.717335455971</v>
      </c>
    </row>
    <row r="6395" customFormat="false" ht="15" hidden="false" customHeight="false" outlineLevel="0" collapsed="false">
      <c r="A6395" s="5" t="s">
        <v>753</v>
      </c>
      <c r="B6395" s="0" t="s">
        <v>73</v>
      </c>
      <c r="D6395" s="38" t="n">
        <f aca="false">Sens!$D$6394-Sens!$D$6393</f>
        <v>-54.193</v>
      </c>
      <c r="E6395" s="38" t="n">
        <f aca="false">Sens!$E$6394-Sens!$E$6393</f>
        <v>10.007</v>
      </c>
      <c r="F6395" s="38" t="n">
        <f aca="false">Sens!$F$6394-Sens!$F$6393</f>
        <v>67.0428850873731</v>
      </c>
      <c r="G6395" s="38" t="n">
        <f aca="false">Sens!$G$6394-Sens!$G$6393</f>
        <v>67.0428850873731</v>
      </c>
      <c r="H6395" s="38" t="n">
        <f aca="false">Sens!$H$6394-Sens!$H$6393</f>
        <v>113.741590679904</v>
      </c>
      <c r="I6395" s="38" t="n">
        <f aca="false">Sens!$I$6394-Sens!$I$6393</f>
        <v>117.717335455971</v>
      </c>
      <c r="J6395" s="38" t="n">
        <f aca="false">Sens!$J$6394-Sens!$J$6393</f>
        <v>77.9727015530317</v>
      </c>
      <c r="K6395" s="38" t="n">
        <f aca="false">Sens!$K$6394-Sens!$K$6393</f>
        <v>-4.20040432587558</v>
      </c>
      <c r="L6395" s="38" t="n">
        <f aca="false">Sens!$L$6394-Sens!$L$6393</f>
        <v>-98.3249543477765</v>
      </c>
      <c r="M6395" s="38" t="n">
        <f aca="false">Sens!$M$6394-Sens!$M$6393</f>
        <v>-182.708136073434</v>
      </c>
    </row>
    <row r="6396" customFormat="false" ht="17.15" hidden="false" customHeight="false" outlineLevel="0" collapsed="false">
      <c r="A6396" s="5" t="s">
        <v>754</v>
      </c>
      <c r="B6396" s="0" t="s">
        <v>73</v>
      </c>
      <c r="F6396" s="38" t="n">
        <f aca="false">debt_q2*kd_book*0.5+iss_2h26*kd_new*0.25</f>
        <v>3.24888964316061</v>
      </c>
      <c r="H6396" s="38" t="n">
        <f aca="false">debt_q2*kd_book+(Sens!$G$6394-debt_q2)*kd_new</f>
        <v>7.42354178632123</v>
      </c>
      <c r="I6396" s="38" t="n">
        <f aca="false">debt_q2*kd_book+(Sens!$H$6394-debt_q2)*kd_new</f>
        <v>7.51827597635917</v>
      </c>
      <c r="J6396" s="38" t="n">
        <f aca="false">debt_q2*kd_book+(Sens!$I$6394-debt_q2)*kd_new</f>
        <v>7.76994062068418</v>
      </c>
      <c r="K6396" s="38" t="n">
        <f aca="false">debt_q2*kd_book+(Sens!$J$6394-debt_q2)*kd_new</f>
        <v>7.76994062068418</v>
      </c>
      <c r="L6396" s="38" t="n">
        <f aca="false">debt_q2*kd_book+(Sens!$K$6394-debt_q2)*kd_new</f>
        <v>7.76994062068418</v>
      </c>
      <c r="M6396" s="38" t="n">
        <f aca="false">debt_q2*kd_book+(Sens!$L$6394-debt_q2)*kd_new</f>
        <v>7.76994062068418</v>
      </c>
    </row>
    <row r="6397" customFormat="false" ht="17.15" hidden="false" customHeight="false" outlineLevel="0" collapsed="false">
      <c r="A6397" s="5" t="s">
        <v>755</v>
      </c>
      <c r="B6397" s="0" t="s">
        <v>73</v>
      </c>
      <c r="F6397" s="38" t="n">
        <f aca="false">cash_q2*y_cash*0.5</f>
        <v>2.59</v>
      </c>
      <c r="H6397" s="38" t="n">
        <f aca="false">Sens!$G$6393*y_cash</f>
        <v>4.00971603121774</v>
      </c>
      <c r="I6397" s="38" t="n">
        <f aca="false">Sens!$H$6393*y_cash</f>
        <v>2.10589651022864</v>
      </c>
      <c r="J6397" s="38" t="n">
        <f aca="false">Sens!$I$6393*y_cash</f>
        <v>2.10589651022864</v>
      </c>
      <c r="K6397" s="38" t="n">
        <f aca="false">Sens!$J$6393*y_cash</f>
        <v>3.77985822695893</v>
      </c>
      <c r="L6397" s="38" t="n">
        <f aca="false">Sens!$K$6393*y_cash</f>
        <v>7.24081936505971</v>
      </c>
      <c r="M6397" s="38" t="n">
        <f aca="false">Sens!$L$6393*y_cash</f>
        <v>11.205150593419</v>
      </c>
    </row>
    <row r="6398" customFormat="false" ht="17.15" hidden="false" customHeight="false" outlineLevel="0" collapsed="false">
      <c r="A6398" s="46" t="s">
        <v>756</v>
      </c>
      <c r="B6398" s="13" t="s">
        <v>73</v>
      </c>
      <c r="C6398" s="13"/>
      <c r="D6398" s="13"/>
      <c r="E6398" s="13"/>
      <c r="F6398" s="13"/>
      <c r="G6398" s="47" t="n">
        <f aca="false">SUM(Sens!$G$6387:$K$6387)</f>
        <v>9.81640432587554</v>
      </c>
      <c r="H6398" s="13"/>
      <c r="I6398" s="13"/>
      <c r="J6398" s="13"/>
      <c r="K6398" s="13"/>
      <c r="L6398" s="13"/>
      <c r="M6398" s="13"/>
      <c r="N6398" s="13"/>
      <c r="O6398" s="13"/>
    </row>
    <row r="6399" customFormat="false" ht="17.15" hidden="false" customHeight="false" outlineLevel="0" collapsed="false">
      <c r="A6399" s="0" t="s">
        <v>723</v>
      </c>
      <c r="B6399" s="0" t="s">
        <v>73</v>
      </c>
      <c r="G6399" s="38" t="n">
        <f aca="false">SUM(Sens!$G$6392:$K$6392)</f>
        <v>5.47233545597079</v>
      </c>
    </row>
    <row r="6402" customFormat="false" ht="19.4" hidden="false" customHeight="false" outlineLevel="0" collapsed="false">
      <c r="A6402" s="31" t="s">
        <v>1182</v>
      </c>
    </row>
    <row r="6403" customFormat="false" ht="17.15" hidden="false" customHeight="false" outlineLevel="0" collapsed="false">
      <c r="A6403" s="6" t="s">
        <v>16</v>
      </c>
      <c r="B6403" s="6" t="s">
        <v>17</v>
      </c>
      <c r="C6403" s="20" t="s">
        <v>457</v>
      </c>
      <c r="D6403" s="20" t="s">
        <v>458</v>
      </c>
      <c r="E6403" s="20" t="s">
        <v>540</v>
      </c>
      <c r="F6403" s="20" t="s">
        <v>541</v>
      </c>
      <c r="G6403" s="20" t="s">
        <v>542</v>
      </c>
      <c r="H6403" s="20" t="s">
        <v>543</v>
      </c>
      <c r="I6403" s="20" t="s">
        <v>544</v>
      </c>
      <c r="J6403" s="20" t="s">
        <v>545</v>
      </c>
      <c r="K6403" s="20" t="s">
        <v>546</v>
      </c>
      <c r="L6403" s="20" t="s">
        <v>547</v>
      </c>
      <c r="M6403" s="20" t="s">
        <v>548</v>
      </c>
      <c r="N6403" s="20" t="s">
        <v>549</v>
      </c>
      <c r="O6403" s="20" t="s">
        <v>550</v>
      </c>
      <c r="P6403" s="6" t="s">
        <v>23</v>
      </c>
      <c r="R6403" s="20" t="n">
        <v>2023</v>
      </c>
      <c r="S6403" s="20" t="n">
        <v>2024</v>
      </c>
      <c r="T6403" s="20" t="n">
        <v>2025</v>
      </c>
      <c r="U6403" s="20" t="n">
        <v>2026</v>
      </c>
      <c r="V6403" s="20" t="n">
        <v>2027</v>
      </c>
      <c r="W6403" s="20" t="n">
        <v>2028</v>
      </c>
      <c r="X6403" s="20" t="n">
        <v>2029</v>
      </c>
      <c r="Y6403" s="20" t="n">
        <v>2030</v>
      </c>
      <c r="Z6403" s="20" t="n">
        <v>2031</v>
      </c>
      <c r="AA6403" s="20" t="n">
        <v>2032</v>
      </c>
    </row>
    <row r="6404" customFormat="false" ht="17.15" hidden="false" customHeight="false" outlineLevel="0" collapsed="false">
      <c r="A6404" s="1" t="s">
        <v>851</v>
      </c>
    </row>
    <row r="6405" customFormat="false" ht="17.15" hidden="false" customHeight="false" outlineLevel="0" collapsed="false">
      <c r="A6405" s="0" t="s">
        <v>852</v>
      </c>
      <c r="B6405" s="0" t="s">
        <v>73</v>
      </c>
      <c r="H6405" s="38" t="n">
        <f aca="false">Sens!$H$6341*(1-tax)</f>
        <v>112.093921330558</v>
      </c>
      <c r="I6405" s="38" t="n">
        <f aca="false">Sens!$I$6341*(1-tax)</f>
        <v>132.779045500917</v>
      </c>
      <c r="J6405" s="38" t="n">
        <f aca="false">Sens!$J$6341*(1-tax)</f>
        <v>151.181555485193</v>
      </c>
      <c r="K6405" s="38" t="n">
        <f aca="false">Sens!$K$6341*(1-tax)</f>
        <v>166.036468953087</v>
      </c>
      <c r="L6405" s="38" t="n">
        <f aca="false">Sens!$L$6341*(1-tax)</f>
        <v>182.348678369869</v>
      </c>
      <c r="M6405" s="38" t="n">
        <f aca="false">Sens!$M$6341*(1-tax)</f>
        <v>199.243892383632</v>
      </c>
    </row>
    <row r="6406" customFormat="false" ht="15" hidden="false" customHeight="false" outlineLevel="0" collapsed="false">
      <c r="A6406" s="5" t="s">
        <v>853</v>
      </c>
      <c r="B6406" s="0" t="s">
        <v>73</v>
      </c>
      <c r="H6406" s="38" t="n">
        <f aca="false">Sens!$H$6353</f>
        <v>87.6845218193838</v>
      </c>
      <c r="I6406" s="38" t="n">
        <f aca="false">Sens!$I$6353</f>
        <v>122.294769708638</v>
      </c>
      <c r="J6406" s="38" t="n">
        <f aca="false">Sens!$J$6353</f>
        <v>157.133962573221</v>
      </c>
      <c r="K6406" s="38" t="n">
        <f aca="false">Sens!$K$6353</f>
        <v>191.350633353599</v>
      </c>
      <c r="L6406" s="38" t="n">
        <f aca="false">Sens!$L$6353</f>
        <v>223.909238335354</v>
      </c>
      <c r="M6406" s="38" t="n">
        <f aca="false">Sens!$M$6353</f>
        <v>257.576319867276</v>
      </c>
    </row>
    <row r="6407" customFormat="false" ht="15" hidden="false" customHeight="false" outlineLevel="0" collapsed="false">
      <c r="A6407" s="5" t="s">
        <v>854</v>
      </c>
      <c r="B6407" s="0" t="s">
        <v>73</v>
      </c>
      <c r="H6407" s="38" t="n">
        <f aca="false">Sens!$H$6382</f>
        <v>277.870120501355</v>
      </c>
      <c r="I6407" s="38" t="n">
        <f aca="false">Sens!$I$6382</f>
        <v>293.934464585378</v>
      </c>
      <c r="J6407" s="38" t="n">
        <f aca="false">Sens!$J$6382</f>
        <v>308.06904811359</v>
      </c>
      <c r="K6407" s="38" t="n">
        <f aca="false">Sens!$K$6382</f>
        <v>320.385735318248</v>
      </c>
      <c r="L6407" s="38" t="n">
        <f aca="false">Sens!$L$6382</f>
        <v>364.65641921833</v>
      </c>
      <c r="M6407" s="38" t="n">
        <f aca="false">Sens!$M$6382</f>
        <v>432.943173024858</v>
      </c>
    </row>
    <row r="6408" customFormat="false" ht="15" hidden="false" customHeight="false" outlineLevel="0" collapsed="false">
      <c r="A6408" s="5" t="s">
        <v>855</v>
      </c>
      <c r="B6408" s="0" t="s">
        <v>73</v>
      </c>
      <c r="H6408" s="38" t="n">
        <f aca="false">Sens!$H$6383</f>
        <v>1.6</v>
      </c>
      <c r="I6408" s="38" t="n">
        <f aca="false">Sens!$I$6383</f>
        <v>1.6</v>
      </c>
      <c r="J6408" s="38" t="n">
        <f aca="false">Sens!$J$6383</f>
        <v>1.6</v>
      </c>
      <c r="K6408" s="38" t="n">
        <f aca="false">Sens!$K$6383</f>
        <v>1.6</v>
      </c>
      <c r="L6408" s="38" t="n">
        <f aca="false">Sens!$L$6383</f>
        <v>1.6</v>
      </c>
      <c r="M6408" s="38" t="n">
        <f aca="false">Sens!$M$6383</f>
        <v>1.6</v>
      </c>
    </row>
    <row r="6409" customFormat="false" ht="15" hidden="false" customHeight="false" outlineLevel="0" collapsed="false">
      <c r="A6409" s="5" t="s">
        <v>856</v>
      </c>
      <c r="B6409" s="0" t="s">
        <v>73</v>
      </c>
      <c r="H6409" s="38" t="n">
        <f aca="false">Sens!$H$6377</f>
        <v>11.6369707537667</v>
      </c>
      <c r="I6409" s="38" t="n">
        <f aca="false">Sens!$I$6377</f>
        <v>13.3082502961262</v>
      </c>
      <c r="J6409" s="38" t="n">
        <f aca="false">Sens!$J$6377</f>
        <v>14.8747965344332</v>
      </c>
      <c r="K6409" s="38" t="n">
        <f aca="false">Sens!$K$6377</f>
        <v>16.2687901804328</v>
      </c>
      <c r="L6409" s="38" t="n">
        <f aca="false">Sens!$L$6377</f>
        <v>17.7280727627002</v>
      </c>
      <c r="M6409" s="38" t="n">
        <f aca="false">Sens!$M$6377</f>
        <v>19.2574690270319</v>
      </c>
    </row>
    <row r="6410" customFormat="false" ht="17.15" hidden="false" customHeight="false" outlineLevel="0" collapsed="false">
      <c r="A6410" s="1" t="s">
        <v>857</v>
      </c>
      <c r="B6410" s="8" t="s">
        <v>73</v>
      </c>
      <c r="H6410" s="38" t="n">
        <f aca="false">Sens!$H$6405+Sens!$H$6406-Sens!$H$6407-Sens!$H$6408+Sens!$H$6409</f>
        <v>-68.0547065976468</v>
      </c>
      <c r="I6410" s="38" t="n">
        <f aca="false">Sens!$I$6405+Sens!$I$6406-Sens!$I$6407-Sens!$I$6408+Sens!$I$6409</f>
        <v>-27.1523990796972</v>
      </c>
      <c r="J6410" s="38" t="n">
        <f aca="false">Sens!$J$6405+Sens!$J$6406-Sens!$J$6407-Sens!$J$6408+Sens!$J$6409</f>
        <v>13.5212664792573</v>
      </c>
      <c r="K6410" s="38" t="n">
        <f aca="false">Sens!$K$6405+Sens!$K$6406-Sens!$K$6407-Sens!$K$6408+Sens!$K$6409</f>
        <v>51.6701571688709</v>
      </c>
      <c r="L6410" s="38" t="n">
        <f aca="false">Sens!$L$6405+Sens!$L$6406-Sens!$L$6407-Sens!$L$6408+Sens!$L$6409</f>
        <v>57.7295702495933</v>
      </c>
      <c r="M6410" s="38" t="n">
        <f aca="false">Sens!$M$6405+Sens!$M$6406-Sens!$M$6407-Sens!$M$6408+Sens!$M$6409</f>
        <v>41.534508253082</v>
      </c>
    </row>
    <row r="6411" customFormat="false" ht="15" hidden="false" customHeight="false" outlineLevel="0" collapsed="false">
      <c r="A6411" s="5" t="s">
        <v>858</v>
      </c>
      <c r="B6411" s="0" t="s">
        <v>57</v>
      </c>
      <c r="H6411" s="51" t="n">
        <f aca="false">1/(1+wacc)^(2027-2026-0.5)</f>
        <v>0.942858177653364</v>
      </c>
      <c r="I6411" s="51" t="n">
        <f aca="false">1/(1+wacc)^(2028-2026-0.5)</f>
        <v>0.838183517758688</v>
      </c>
      <c r="J6411" s="51" t="n">
        <f aca="false">1/(1+wacc)^(2029-2026-0.5)</f>
        <v>0.745129677074952</v>
      </c>
      <c r="K6411" s="51" t="n">
        <f aca="false">1/(1+wacc)^(2030-2026-0.5)</f>
        <v>0.662406530186232</v>
      </c>
      <c r="L6411" s="51" t="n">
        <f aca="false">1/(1+wacc)^(2031-2026-0.5)</f>
        <v>0.588867179409399</v>
      </c>
      <c r="M6411" s="51" t="n">
        <f aca="false">1/(1+wacc)^(2032-2026-0.5)</f>
        <v>0.52349205387225</v>
      </c>
    </row>
    <row r="6412" customFormat="false" ht="15" hidden="false" customHeight="false" outlineLevel="0" collapsed="false">
      <c r="A6412" s="5" t="s">
        <v>859</v>
      </c>
      <c r="B6412" s="0" t="s">
        <v>73</v>
      </c>
      <c r="H6412" s="38" t="n">
        <f aca="false">Sens!$H$6410*Sens!$H$6411</f>
        <v>-64.1659366433916</v>
      </c>
      <c r="I6412" s="38" t="n">
        <f aca="false">Sens!$I$6410*Sens!$I$6411</f>
        <v>-22.7586933762084</v>
      </c>
      <c r="J6412" s="38" t="n">
        <f aca="false">Sens!$J$6410*Sens!$J$6411</f>
        <v>10.0750969253334</v>
      </c>
      <c r="K6412" s="38" t="n">
        <f aca="false">Sens!$K$6410*Sens!$K$6411</f>
        <v>34.226649524409</v>
      </c>
      <c r="L6412" s="38" t="n">
        <f aca="false">Sens!$L$6410*Sens!$L$6411</f>
        <v>33.9950492013948</v>
      </c>
      <c r="M6412" s="38" t="n">
        <f aca="false">Sens!$M$6410*Sens!$M$6411</f>
        <v>21.7429850319798</v>
      </c>
    </row>
    <row r="6413" customFormat="false" ht="15" hidden="false" customHeight="false" outlineLevel="0" collapsed="false">
      <c r="A6413" s="5" t="s">
        <v>860</v>
      </c>
      <c r="B6413" s="0" t="s">
        <v>73</v>
      </c>
      <c r="C6413" s="38" t="n">
        <f aca="false">SUM(Sens!$H$6412:$M$6412)</f>
        <v>13.115150663517</v>
      </c>
    </row>
    <row r="6414" customFormat="false" ht="17.15" hidden="false" customHeight="false" outlineLevel="0" collapsed="false">
      <c r="A6414" s="5" t="s">
        <v>861</v>
      </c>
      <c r="B6414" s="0" t="s">
        <v>73</v>
      </c>
      <c r="C6414" s="38" t="n">
        <f aca="false">Sens!$M$6405*(1+tg)*(1-tg/ronic)/(wacc-tg)</f>
        <v>1643.3111431308</v>
      </c>
    </row>
    <row r="6415" customFormat="false" ht="15" hidden="false" customHeight="false" outlineLevel="0" collapsed="false">
      <c r="A6415" s="5" t="s">
        <v>862</v>
      </c>
      <c r="B6415" s="0" t="s">
        <v>73</v>
      </c>
      <c r="C6415" s="38" t="n">
        <f aca="false">Sens!$C$6414/(1+wacc)^6</f>
        <v>811.103482778908</v>
      </c>
    </row>
    <row r="6416" customFormat="false" ht="17.15" hidden="false" customHeight="false" outlineLevel="0" collapsed="false">
      <c r="A6416" s="5" t="s">
        <v>863</v>
      </c>
      <c r="B6416" s="0" t="s">
        <v>73</v>
      </c>
      <c r="C6416" s="38" t="n">
        <f aca="false">Sens!$C$6413+Sens!$C$6415</f>
        <v>824.218633442425</v>
      </c>
    </row>
    <row r="6417" customFormat="false" ht="17.15" hidden="false" customHeight="false" outlineLevel="0" collapsed="false">
      <c r="A6417" s="5" t="s">
        <v>864</v>
      </c>
      <c r="B6417" s="0" t="s">
        <v>52</v>
      </c>
      <c r="C6417" s="12" t="n">
        <f aca="false">Sens!$C$6415/Sens!$C$6416</f>
        <v>0.984087777039521</v>
      </c>
    </row>
    <row r="6418" customFormat="false" ht="17.15" hidden="false" customHeight="false" outlineLevel="0" collapsed="false">
      <c r="A6418" s="5" t="s">
        <v>865</v>
      </c>
      <c r="B6418" s="0" t="s">
        <v>73</v>
      </c>
      <c r="C6418" s="38" t="n">
        <f aca="false">Sens!$G$6395</f>
        <v>67.0428850873731</v>
      </c>
    </row>
    <row r="6419" customFormat="false" ht="17.15" hidden="false" customHeight="false" outlineLevel="0" collapsed="false">
      <c r="A6419" s="5" t="s">
        <v>866</v>
      </c>
      <c r="B6419" s="0" t="s">
        <v>73</v>
      </c>
      <c r="C6419" s="38" t="n">
        <f aca="false">(ant_val*ant_sh_lo+oai_val*oai_sh)*(1-liq_disc)</f>
        <v>155.784</v>
      </c>
    </row>
    <row r="6420" customFormat="false" ht="15" hidden="false" customHeight="false" outlineLevel="0" collapsed="false">
      <c r="A6420" s="5" t="s">
        <v>867</v>
      </c>
      <c r="B6420" s="0" t="s">
        <v>73</v>
      </c>
      <c r="C6420" s="38" t="n">
        <f aca="false">Sens!$C$6416-Sens!$C$6418+Sens!$C$6419</f>
        <v>912.959748355051</v>
      </c>
    </row>
    <row r="6421" customFormat="false" ht="17.15" hidden="false" customHeight="false" outlineLevel="0" collapsed="false">
      <c r="A6421" s="5" t="s">
        <v>868</v>
      </c>
      <c r="B6421" s="0" t="s">
        <v>27</v>
      </c>
      <c r="C6421" s="30" t="n">
        <f aca="false">Sens!$C$6420/sh_val</f>
        <v>82.7682465209106</v>
      </c>
    </row>
    <row r="6422" customFormat="false" ht="17.15" hidden="false" customHeight="false" outlineLevel="0" collapsed="false">
      <c r="A6422" s="1" t="s">
        <v>869</v>
      </c>
      <c r="B6422" s="8" t="s">
        <v>27</v>
      </c>
      <c r="C6422" s="30" t="n">
        <f aca="false">Sens!$C$6421*(1+ke)^tp_yf</f>
        <v>91.4129694422764</v>
      </c>
    </row>
    <row r="6423" customFormat="false" ht="17.15" hidden="false" customHeight="false" outlineLevel="0" collapsed="false">
      <c r="A6423" s="3" t="s">
        <v>870</v>
      </c>
    </row>
    <row r="6424" customFormat="false" ht="17.15" hidden="false" customHeight="false" outlineLevel="0" collapsed="false">
      <c r="A6424" s="5" t="s">
        <v>871</v>
      </c>
      <c r="B6424" s="0" t="s">
        <v>73</v>
      </c>
      <c r="C6424" s="38" t="n">
        <f aca="false">0.25*Sens!$H$6354+0.75*Sens!$I$6354</f>
        <v>57.5541093268329</v>
      </c>
    </row>
    <row r="6425" customFormat="false" ht="15" hidden="false" customHeight="false" outlineLevel="0" collapsed="false">
      <c r="A6425" s="5" t="s">
        <v>872</v>
      </c>
      <c r="B6425" s="0" t="s">
        <v>57</v>
      </c>
      <c r="C6425" s="30" t="n">
        <f aca="false">m_ads*m_x</f>
        <v>9.11</v>
      </c>
    </row>
    <row r="6426" customFormat="false" ht="17.15" hidden="false" customHeight="false" outlineLevel="0" collapsed="false">
      <c r="A6426" s="5" t="s">
        <v>873</v>
      </c>
      <c r="B6426" s="0" t="s">
        <v>73</v>
      </c>
      <c r="C6426" s="38" t="n">
        <f aca="false">Sens!$C$6424*Sens!$C$6425</f>
        <v>524.317935967448</v>
      </c>
    </row>
    <row r="6427" customFormat="false" ht="17.15" hidden="false" customHeight="false" outlineLevel="0" collapsed="false">
      <c r="A6427" s="5" t="s">
        <v>874</v>
      </c>
      <c r="B6427" s="0" t="s">
        <v>73</v>
      </c>
      <c r="C6427" s="38" t="n">
        <f aca="false">0.25*Sens!$H$6355+0.75*Sens!$I$6355</f>
        <v>30.6290803533085</v>
      </c>
    </row>
    <row r="6428" customFormat="false" ht="15" hidden="false" customHeight="false" outlineLevel="0" collapsed="false">
      <c r="A6428" s="5" t="s">
        <v>875</v>
      </c>
      <c r="B6428" s="0" t="s">
        <v>57</v>
      </c>
      <c r="C6428" s="30" t="n">
        <f aca="false">m_retail*m_x</f>
        <v>17.72</v>
      </c>
    </row>
    <row r="6429" customFormat="false" ht="17.15" hidden="false" customHeight="false" outlineLevel="0" collapsed="false">
      <c r="A6429" s="5" t="s">
        <v>876</v>
      </c>
      <c r="B6429" s="0" t="s">
        <v>73</v>
      </c>
      <c r="C6429" s="38" t="n">
        <f aca="false">Sens!$C$6427*Sens!$C$6428</f>
        <v>542.747303860627</v>
      </c>
    </row>
    <row r="6430" customFormat="false" ht="17.15" hidden="false" customHeight="false" outlineLevel="0" collapsed="false">
      <c r="A6430" s="0" t="s">
        <v>877</v>
      </c>
      <c r="B6430" s="0" t="s">
        <v>73</v>
      </c>
      <c r="C6430" s="38" t="n">
        <f aca="false">0.25*Sens!$H$6356+0.75*Sens!$I$6356</f>
        <v>107.575398943098</v>
      </c>
    </row>
    <row r="6431" customFormat="false" ht="17.15" hidden="false" customHeight="false" outlineLevel="0" collapsed="false">
      <c r="A6431" s="0" t="s">
        <v>878</v>
      </c>
      <c r="B6431" s="0" t="s">
        <v>57</v>
      </c>
      <c r="C6431" s="30" t="n">
        <f aca="false">m_cloud*m_x</f>
        <v>13.82</v>
      </c>
    </row>
    <row r="6432" customFormat="false" ht="17.15" hidden="false" customHeight="false" outlineLevel="0" collapsed="false">
      <c r="A6432" s="0" t="s">
        <v>879</v>
      </c>
      <c r="B6432" s="0" t="s">
        <v>73</v>
      </c>
      <c r="C6432" s="38" t="n">
        <f aca="false">Sens!$C$6430*Sens!$C$6431</f>
        <v>1486.69201339361</v>
      </c>
    </row>
    <row r="6433" customFormat="false" ht="17.15" hidden="false" customHeight="false" outlineLevel="0" collapsed="false">
      <c r="A6433" s="0" t="s">
        <v>880</v>
      </c>
      <c r="B6433" s="0" t="s">
        <v>73</v>
      </c>
      <c r="C6433" s="38" t="n">
        <f aca="false">0.25*Sens!$H$6357+0.75*Sens!$I$6357</f>
        <v>72.2947701247864</v>
      </c>
    </row>
    <row r="6434" customFormat="false" ht="17.15" hidden="false" customHeight="false" outlineLevel="0" collapsed="false">
      <c r="A6434" s="0" t="s">
        <v>881</v>
      </c>
      <c r="B6434" s="0" t="s">
        <v>57</v>
      </c>
      <c r="C6434" s="30" t="n">
        <f aca="false">m_ai</f>
        <v>6</v>
      </c>
    </row>
    <row r="6435" customFormat="false" ht="17.15" hidden="false" customHeight="false" outlineLevel="0" collapsed="false">
      <c r="A6435" s="0" t="s">
        <v>882</v>
      </c>
      <c r="B6435" s="0" t="s">
        <v>73</v>
      </c>
      <c r="C6435" s="38" t="n">
        <f aca="false">Sens!$C$6433*Sens!$C$6434</f>
        <v>433.768620748718</v>
      </c>
    </row>
    <row r="6436" customFormat="false" ht="17.15" hidden="false" customHeight="false" outlineLevel="0" collapsed="false">
      <c r="A6436" s="5" t="s">
        <v>883</v>
      </c>
      <c r="B6436" s="0" t="s">
        <v>73</v>
      </c>
      <c r="C6436" s="38" t="n">
        <f aca="false">Sens!$C$6426+Sens!$C$6429+Sens!$C$6432+Sens!$C$6435</f>
        <v>2987.5258739704</v>
      </c>
    </row>
    <row r="6437" customFormat="false" ht="17.15" hidden="false" customHeight="false" outlineLevel="0" collapsed="false">
      <c r="A6437" s="5" t="s">
        <v>884</v>
      </c>
      <c r="B6437" s="0" t="s">
        <v>73</v>
      </c>
      <c r="C6437" s="38" t="n">
        <f aca="false">Sens!$H$6395</f>
        <v>113.741590679904</v>
      </c>
    </row>
    <row r="6438" customFormat="false" ht="15" hidden="false" customHeight="false" outlineLevel="0" collapsed="false">
      <c r="A6438" s="5" t="s">
        <v>885</v>
      </c>
      <c r="B6438" s="0" t="s">
        <v>73</v>
      </c>
      <c r="C6438" s="38" t="n">
        <f aca="false">Sens!$C$6436-Sens!$C$6437+Sens!$C$6419</f>
        <v>3029.5682832905</v>
      </c>
    </row>
    <row r="6439" customFormat="false" ht="15" hidden="false" customHeight="false" outlineLevel="0" collapsed="false">
      <c r="A6439" s="3" t="s">
        <v>886</v>
      </c>
      <c r="B6439" s="8" t="s">
        <v>27</v>
      </c>
      <c r="C6439" s="30" t="n">
        <f aca="false">Sens!$C$6438/sh_val</f>
        <v>274.658389896289</v>
      </c>
    </row>
    <row r="6440" customFormat="false" ht="17.15" hidden="false" customHeight="false" outlineLevel="0" collapsed="false">
      <c r="A6440" s="46" t="s">
        <v>887</v>
      </c>
      <c r="B6440" s="13" t="s">
        <v>27</v>
      </c>
      <c r="C6440" s="43" t="n">
        <f aca="false">w_dcf*Sens!$C$6422+(1-w_dcf)*Sens!$C$6439</f>
        <v>183.035679669283</v>
      </c>
      <c r="D6440" s="13"/>
      <c r="E6440" s="13"/>
      <c r="F6440" s="13"/>
      <c r="G6440" s="13"/>
      <c r="H6440" s="13"/>
      <c r="I6440" s="13"/>
      <c r="J6440" s="13"/>
      <c r="K6440" s="13"/>
      <c r="L6440" s="13"/>
      <c r="M6440" s="13"/>
      <c r="N6440" s="13"/>
      <c r="O6440" s="13"/>
    </row>
    <row r="6441" customFormat="false" ht="17.15" hidden="false" customHeight="false" outlineLevel="0" collapsed="false">
      <c r="A6441" s="5" t="s">
        <v>888</v>
      </c>
      <c r="B6441" s="0" t="s">
        <v>27</v>
      </c>
      <c r="C6441" s="30" t="n">
        <f aca="false">0.45*Sens!$C$6422+0.55*Sens!$C$6439</f>
        <v>192.197950691984</v>
      </c>
    </row>
    <row r="6444" customFormat="false" ht="19.4" hidden="false" customHeight="false" outlineLevel="0" collapsed="false">
      <c r="A6444" s="31" t="s">
        <v>1183</v>
      </c>
    </row>
    <row r="6445" customFormat="false" ht="17.15" hidden="false" customHeight="false" outlineLevel="0" collapsed="false">
      <c r="A6445" s="6" t="s">
        <v>16</v>
      </c>
      <c r="B6445" s="6" t="s">
        <v>17</v>
      </c>
      <c r="C6445" s="20" t="s">
        <v>457</v>
      </c>
      <c r="D6445" s="20" t="s">
        <v>458</v>
      </c>
      <c r="E6445" s="20" t="s">
        <v>540</v>
      </c>
      <c r="F6445" s="20" t="s">
        <v>541</v>
      </c>
      <c r="G6445" s="20" t="s">
        <v>542</v>
      </c>
      <c r="H6445" s="20" t="s">
        <v>543</v>
      </c>
      <c r="I6445" s="20" t="s">
        <v>544</v>
      </c>
      <c r="J6445" s="20" t="s">
        <v>545</v>
      </c>
      <c r="K6445" s="20" t="s">
        <v>546</v>
      </c>
      <c r="L6445" s="20" t="s">
        <v>547</v>
      </c>
      <c r="M6445" s="20" t="s">
        <v>548</v>
      </c>
      <c r="N6445" s="20" t="s">
        <v>549</v>
      </c>
      <c r="O6445" s="20" t="s">
        <v>550</v>
      </c>
      <c r="P6445" s="6" t="s">
        <v>23</v>
      </c>
      <c r="R6445" s="20" t="n">
        <v>2023</v>
      </c>
      <c r="S6445" s="20" t="n">
        <v>2024</v>
      </c>
      <c r="T6445" s="20" t="n">
        <v>2025</v>
      </c>
      <c r="U6445" s="20" t="n">
        <v>2026</v>
      </c>
      <c r="V6445" s="20" t="n">
        <v>2027</v>
      </c>
      <c r="W6445" s="20" t="n">
        <v>2028</v>
      </c>
      <c r="X6445" s="20" t="n">
        <v>2029</v>
      </c>
      <c r="Y6445" s="20" t="n">
        <v>2030</v>
      </c>
      <c r="Z6445" s="20" t="n">
        <v>2031</v>
      </c>
      <c r="AA6445" s="20" t="n">
        <v>2032</v>
      </c>
    </row>
    <row r="6446" customFormat="false" ht="17.15" hidden="false" customHeight="false" outlineLevel="0" collapsed="false">
      <c r="A6446" s="1" t="s">
        <v>620</v>
      </c>
    </row>
    <row r="6447" customFormat="false" ht="17.15" hidden="false" customHeight="false" outlineLevel="0" collapsed="false">
      <c r="A6447" s="0" t="s">
        <v>479</v>
      </c>
      <c r="B6447" s="0" t="s">
        <v>73</v>
      </c>
      <c r="C6447" s="38" t="n">
        <f aca="false">Q!$D$10</f>
        <v>247.029</v>
      </c>
      <c r="D6447" s="38" t="n">
        <f aca="false">Q!$E$10</f>
        <v>269.287</v>
      </c>
      <c r="E6447" s="38" t="n">
        <f aca="false">Q!$P$10</f>
        <v>134.686</v>
      </c>
      <c r="F6447" s="38" t="n">
        <f aca="false">Sens!$O$6447*(1+Sens!$F$6448)-pd_amt*Q!$O$10/(Q!$O$10+Q!$O$12)</f>
        <v>160.728085930082</v>
      </c>
      <c r="G6447" s="38" t="n">
        <f aca="false">Sens!$E$6447+Sens!$F$6447</f>
        <v>295.414085930082</v>
      </c>
      <c r="H6447" s="38" t="n">
        <f aca="false">Sens!$G$6447*(1+Sens!$H$6448)</f>
        <v>320.828163943375</v>
      </c>
      <c r="I6447" s="38" t="n">
        <f aca="false">Sens!$H$6447*(1+Sens!$I$6448)</f>
        <v>344.575578072228</v>
      </c>
      <c r="J6447" s="38" t="n">
        <f aca="false">Sens!$I$6447*(1+Sens!$J$6448)</f>
        <v>365.942555779681</v>
      </c>
      <c r="K6447" s="38" t="n">
        <f aca="false">Sens!$J$6447*(1+Sens!$K$6448)</f>
        <v>384.239683568665</v>
      </c>
      <c r="L6447" s="38" t="n">
        <f aca="false">Sens!$K$6447*(1+Sens!$L$6448)</f>
        <v>403.451667747098</v>
      </c>
      <c r="M6447" s="38" t="n">
        <f aca="false">Sens!$L$6447*(1+Sens!$M$6448)</f>
        <v>423.624251134453</v>
      </c>
      <c r="N6447" s="38" t="n">
        <f aca="false">Q!$N$10</f>
        <v>118.892</v>
      </c>
      <c r="O6447" s="38" t="n">
        <f aca="false">Q!$O$10</f>
        <v>150.395</v>
      </c>
      <c r="P6447" s="8" t="s">
        <v>621</v>
      </c>
    </row>
    <row r="6448" customFormat="false" ht="17.15" hidden="false" customHeight="false" outlineLevel="0" collapsed="false">
      <c r="A6448" s="0" t="s">
        <v>622</v>
      </c>
      <c r="B6448" s="0" t="s">
        <v>52</v>
      </c>
      <c r="E6448" s="12" t="n">
        <f aca="false">Sens!$E$6447/Sens!$N$6447-1</f>
        <v>0.132843252699929</v>
      </c>
      <c r="F6448" s="12" t="n">
        <f aca="false">Sens!$O$6447/(Q!$F$10+Q!$G$10)-1</f>
        <v>0.0980382135842941</v>
      </c>
      <c r="G6448" s="12" t="n">
        <f aca="false">Sens!$G$6447/Sens!$D$6447-1</f>
        <v>0.0970231980380869</v>
      </c>
      <c r="H6448" s="12" t="n">
        <f aca="false">Sens!$F$6448+(g_os-Sens!$F$6448)*1/4</f>
        <v>0.0860286601882206</v>
      </c>
      <c r="I6448" s="12" t="n">
        <f aca="false">Sens!$F$6448+(g_os-Sens!$F$6448)*2/4</f>
        <v>0.074019106792147</v>
      </c>
      <c r="J6448" s="12" t="n">
        <f aca="false">Sens!$F$6448+(g_os-Sens!$F$6448)*3/4</f>
        <v>0.0620095533960735</v>
      </c>
      <c r="K6448" s="12" t="n">
        <f aca="false">Sens!$F$6448+(g_os-Sens!$F$6448)*4/4</f>
        <v>0.05</v>
      </c>
      <c r="L6448" s="12" t="n">
        <f aca="false">g_os</f>
        <v>0.05</v>
      </c>
      <c r="M6448" s="12" t="n">
        <f aca="false">g_os</f>
        <v>0.05</v>
      </c>
      <c r="P6448" s="8" t="s">
        <v>623</v>
      </c>
    </row>
    <row r="6449" customFormat="false" ht="17.15" hidden="false" customHeight="false" outlineLevel="0" collapsed="false">
      <c r="A6449" s="0" t="s">
        <v>480</v>
      </c>
      <c r="B6449" s="0" t="s">
        <v>73</v>
      </c>
      <c r="C6449" s="38" t="n">
        <f aca="false">Q!$D$11</f>
        <v>21.215</v>
      </c>
      <c r="D6449" s="38" t="n">
        <f aca="false">Q!$E$11</f>
        <v>22.561</v>
      </c>
      <c r="E6449" s="38" t="n">
        <f aca="false">Q!$P$11</f>
        <v>11.579</v>
      </c>
      <c r="F6449" s="38" t="n">
        <f aca="false">Sens!$O$6449*(1+Sens!$F$6450)</f>
        <v>12.0952613121125</v>
      </c>
      <c r="G6449" s="38" t="n">
        <f aca="false">Sens!$E$6449+Sens!$F$6449</f>
        <v>23.6742613121125</v>
      </c>
      <c r="H6449" s="38" t="n">
        <f aca="false">Sens!$G$6449*(1+Sens!$H$6450)</f>
        <v>24.8803243963206</v>
      </c>
      <c r="I6449" s="38" t="n">
        <f aca="false">Sens!$H$6449*(1+Sens!$I$6450)</f>
        <v>25.9741308664154</v>
      </c>
      <c r="J6449" s="38" t="n">
        <f aca="false">Sens!$I$6449*(1+Sens!$J$6450)</f>
        <v>26.9346894124267</v>
      </c>
      <c r="K6449" s="38" t="n">
        <f aca="false">Sens!$J$6449*(1+Sens!$K$6450)</f>
        <v>27.7427300947995</v>
      </c>
      <c r="L6449" s="38" t="n">
        <f aca="false">Sens!$K$6449*(1+Sens!$L$6450)</f>
        <v>28.5750119976435</v>
      </c>
      <c r="M6449" s="38" t="n">
        <f aca="false">Sens!$L$6449*(1+Sens!$M$6450)</f>
        <v>29.4322623575728</v>
      </c>
      <c r="N6449" s="38" t="n">
        <f aca="false">Q!$N$11</f>
        <v>11.128</v>
      </c>
      <c r="O6449" s="38" t="n">
        <f aca="false">Q!$O$11</f>
        <v>11.433</v>
      </c>
      <c r="P6449" s="8" t="s">
        <v>621</v>
      </c>
    </row>
    <row r="6450" customFormat="false" ht="17.15" hidden="false" customHeight="false" outlineLevel="0" collapsed="false">
      <c r="A6450" s="0" t="s">
        <v>624</v>
      </c>
      <c r="B6450" s="0" t="s">
        <v>52</v>
      </c>
      <c r="E6450" s="12" t="n">
        <f aca="false">Sens!$E$6449/Sens!$N$6449-1</f>
        <v>0.0405283968368082</v>
      </c>
      <c r="F6450" s="12" t="n">
        <f aca="false">Sens!$O$6449/(Q!$F$11+Q!$G$11)-1</f>
        <v>0.0579254187100955</v>
      </c>
      <c r="G6450" s="12" t="n">
        <f aca="false">Sens!$G$6449/Sens!$D$6449-1</f>
        <v>0.0493445021103904</v>
      </c>
      <c r="H6450" s="12" t="n">
        <f aca="false">Sens!$F$6450+(g_ps-Sens!$F$6450)*1/4</f>
        <v>0.0509440640325716</v>
      </c>
      <c r="I6450" s="12" t="n">
        <f aca="false">Sens!$F$6450+(g_ps-Sens!$F$6450)*2/4</f>
        <v>0.0439627093550477</v>
      </c>
      <c r="J6450" s="12" t="n">
        <f aca="false">Sens!$F$6450+(g_ps-Sens!$F$6450)*3/4</f>
        <v>0.0369813546775239</v>
      </c>
      <c r="K6450" s="12" t="n">
        <f aca="false">Sens!$F$6450+(g_ps-Sens!$F$6450)*4/4</f>
        <v>0.03</v>
      </c>
      <c r="L6450" s="12" t="n">
        <f aca="false">g_ps</f>
        <v>0.03</v>
      </c>
      <c r="M6450" s="12" t="n">
        <f aca="false">g_ps</f>
        <v>0.03</v>
      </c>
      <c r="P6450" s="8" t="s">
        <v>625</v>
      </c>
    </row>
    <row r="6451" customFormat="false" ht="17.15" hidden="false" customHeight="false" outlineLevel="0" collapsed="false">
      <c r="A6451" s="0" t="s">
        <v>481</v>
      </c>
      <c r="B6451" s="0" t="s">
        <v>73</v>
      </c>
      <c r="C6451" s="38" t="n">
        <f aca="false">Q!$D$12</f>
        <v>156.146</v>
      </c>
      <c r="D6451" s="38" t="n">
        <f aca="false">Q!$E$12</f>
        <v>172.162</v>
      </c>
      <c r="E6451" s="38" t="n">
        <f aca="false">Q!$P$12</f>
        <v>88.358</v>
      </c>
      <c r="F6451" s="38" t="n">
        <f aca="false">Sens!$O$6451*(1+Sens!$F$6452)-pd_amt*Q!$O$12/(Q!$O$10+Q!$O$12)</f>
        <v>103.62028337149</v>
      </c>
      <c r="G6451" s="38" t="n">
        <f aca="false">Sens!$E$6451+Sens!$F$6451</f>
        <v>191.97828337149</v>
      </c>
      <c r="H6451" s="38" t="n">
        <f aca="false">Sens!$G$6451*(1+Sens!$H$6452)</f>
        <v>212.128608444755</v>
      </c>
      <c r="I6451" s="38" t="n">
        <f aca="false">Sens!$H$6451*(1+Sens!$I$6452)</f>
        <v>231.92183134134</v>
      </c>
      <c r="J6451" s="38" t="n">
        <f aca="false">Sens!$I$6451*(1+Sens!$J$6452)</f>
        <v>250.859136487863</v>
      </c>
      <c r="K6451" s="38" t="n">
        <f aca="false">Sens!$J$6451*(1+Sens!$K$6452)</f>
        <v>268.419276042014</v>
      </c>
      <c r="L6451" s="38" t="n">
        <f aca="false">Sens!$K$6451*(1+Sens!$L$6452)</f>
        <v>287.208625364954</v>
      </c>
      <c r="M6451" s="38" t="n">
        <f aca="false">Sens!$L$6451*(1+Sens!$M$6452)</f>
        <v>307.313229140501</v>
      </c>
      <c r="N6451" s="38" t="n">
        <f aca="false">Q!$N$12</f>
        <v>76.86</v>
      </c>
      <c r="O6451" s="38" t="n">
        <f aca="false">Q!$O$12</f>
        <v>95.302</v>
      </c>
      <c r="P6451" s="8" t="s">
        <v>621</v>
      </c>
    </row>
    <row r="6452" customFormat="false" ht="17.15" hidden="false" customHeight="false" outlineLevel="0" collapsed="false">
      <c r="A6452" s="0" t="s">
        <v>626</v>
      </c>
      <c r="B6452" s="0" t="s">
        <v>52</v>
      </c>
      <c r="E6452" s="12" t="n">
        <f aca="false">Sens!$E$6451/Sens!$N$6451-1</f>
        <v>0.1495966692688</v>
      </c>
      <c r="F6452" s="12" t="n">
        <f aca="false">Sens!$O$6451/(Q!$F$12+Q!$G$12)-1</f>
        <v>0.11661530890813</v>
      </c>
      <c r="G6452" s="12" t="n">
        <f aca="false">Sens!$G$6451/Sens!$D$6451-1</f>
        <v>0.115102539303041</v>
      </c>
      <c r="H6452" s="12" t="n">
        <f aca="false">Sens!$F$6452+(g_sp-Sens!$F$6452)*1/4</f>
        <v>0.104961481681098</v>
      </c>
      <c r="I6452" s="12" t="n">
        <f aca="false">Sens!$F$6452+(g_sp-Sens!$F$6452)*2/4</f>
        <v>0.0933076544540651</v>
      </c>
      <c r="J6452" s="12" t="n">
        <f aca="false">Sens!$F$6452+(g_sp-Sens!$F$6452)*3/4</f>
        <v>0.0816538272270325</v>
      </c>
      <c r="K6452" s="12" t="n">
        <f aca="false">Sens!$F$6452+(g_sp-Sens!$F$6452)*4/4</f>
        <v>0.07</v>
      </c>
      <c r="L6452" s="12" t="n">
        <f aca="false">g_sp</f>
        <v>0.07</v>
      </c>
      <c r="M6452" s="12" t="n">
        <f aca="false">g_sp</f>
        <v>0.07</v>
      </c>
      <c r="P6452" s="8" t="s">
        <v>627</v>
      </c>
    </row>
    <row r="6453" customFormat="false" ht="17.15" hidden="false" customHeight="false" outlineLevel="0" collapsed="false">
      <c r="A6453" s="0" t="s">
        <v>482</v>
      </c>
      <c r="B6453" s="0" t="s">
        <v>73</v>
      </c>
      <c r="C6453" s="38" t="n">
        <f aca="false">Q!$D$13</f>
        <v>56.214</v>
      </c>
      <c r="D6453" s="38" t="n">
        <f aca="false">Q!$E$13</f>
        <v>68.635</v>
      </c>
      <c r="E6453" s="38" t="n">
        <f aca="false">Q!$P$13</f>
        <v>37.052</v>
      </c>
      <c r="F6453" s="38" t="n">
        <f aca="false">Sens!$O$6453*(1+Sens!$F$6454)</f>
        <v>48.1533381827382</v>
      </c>
      <c r="G6453" s="38" t="n">
        <f aca="false">Sens!$E$6453+Sens!$F$6453</f>
        <v>85.2053381827382</v>
      </c>
      <c r="H6453" s="38" t="n">
        <f aca="false">Sens!$G$6453*(1+Sens!$H$6454)</f>
        <v>102.29336185894</v>
      </c>
      <c r="I6453" s="38" t="n">
        <f aca="false">Sens!$H$6453*(1+Sens!$I$6454)</f>
        <v>119.379837585241</v>
      </c>
      <c r="J6453" s="38" t="n">
        <f aca="false">Sens!$I$6453*(1+Sens!$J$6454)</f>
        <v>135.319079048844</v>
      </c>
      <c r="K6453" s="38" t="n">
        <f aca="false">Sens!$J$6453*(1+Sens!$K$6454)</f>
        <v>148.850986953729</v>
      </c>
      <c r="L6453" s="38" t="n">
        <f aca="false">Sens!$K$6453*(1+Sens!$L$6454)</f>
        <v>163.736085649102</v>
      </c>
      <c r="M6453" s="38" t="n">
        <f aca="false">Sens!$L$6453*(1+Sens!$M$6454)</f>
        <v>180.109694214012</v>
      </c>
      <c r="N6453" s="38" t="n">
        <f aca="false">Q!$N$13</f>
        <v>29.615</v>
      </c>
      <c r="O6453" s="38" t="n">
        <f aca="false">Q!$O$13</f>
        <v>39.02</v>
      </c>
      <c r="P6453" s="8" t="s">
        <v>621</v>
      </c>
    </row>
    <row r="6454" customFormat="false" ht="17.15" hidden="false" customHeight="false" outlineLevel="0" collapsed="false">
      <c r="A6454" s="0" t="s">
        <v>628</v>
      </c>
      <c r="B6454" s="0" t="s">
        <v>52</v>
      </c>
      <c r="E6454" s="12" t="n">
        <f aca="false">Sens!$E$6453/Sens!$N$6453-1</f>
        <v>0.25112274185379</v>
      </c>
      <c r="F6454" s="12" t="n">
        <f aca="false">Sens!$O$6453/(Q!$F$13+Q!$G$13)-1</f>
        <v>0.234068123596572</v>
      </c>
      <c r="G6454" s="12" t="n">
        <f aca="false">Sens!$G$6453/Sens!$D$6453-1</f>
        <v>0.241426942270536</v>
      </c>
      <c r="H6454" s="12" t="n">
        <f aca="false">Sens!$F$6454+(g_ad-Sens!$F$6454)*1/4</f>
        <v>0.200551092697429</v>
      </c>
      <c r="I6454" s="12" t="n">
        <f aca="false">Sens!$F$6454+(g_ad-Sens!$F$6454)*2/4</f>
        <v>0.167034061798286</v>
      </c>
      <c r="J6454" s="12" t="n">
        <f aca="false">Sens!$F$6454+(g_ad-Sens!$F$6454)*3/4</f>
        <v>0.133517030899143</v>
      </c>
      <c r="K6454" s="12" t="n">
        <f aca="false">Sens!$F$6454+(g_ad-Sens!$F$6454)*4/4</f>
        <v>0.1</v>
      </c>
      <c r="L6454" s="12" t="n">
        <f aca="false">g_ad</f>
        <v>0.1</v>
      </c>
      <c r="M6454" s="12" t="n">
        <f aca="false">g_ad</f>
        <v>0.1</v>
      </c>
      <c r="P6454" s="8" t="s">
        <v>629</v>
      </c>
    </row>
    <row r="6455" customFormat="false" ht="17.15" hidden="false" customHeight="false" outlineLevel="0" collapsed="false">
      <c r="A6455" s="0" t="s">
        <v>483</v>
      </c>
      <c r="B6455" s="0" t="s">
        <v>73</v>
      </c>
      <c r="C6455" s="38" t="n">
        <f aca="false">Q!$D$14</f>
        <v>44.374</v>
      </c>
      <c r="D6455" s="38" t="n">
        <f aca="false">Q!$E$14</f>
        <v>49.619</v>
      </c>
      <c r="E6455" s="38" t="n">
        <f aca="false">Q!$P$14</f>
        <v>27.157</v>
      </c>
      <c r="F6455" s="38" t="n">
        <f aca="false">Sens!$O$6455*(1+Sens!$F$6456)</f>
        <v>28.9776360923374</v>
      </c>
      <c r="G6455" s="38" t="n">
        <f aca="false">Sens!$E$6455+Sens!$F$6455</f>
        <v>56.1346360923374</v>
      </c>
      <c r="H6455" s="38" t="n">
        <f aca="false">Sens!$G$6455*(1+Sens!$H$6456)</f>
        <v>62.4937078946075</v>
      </c>
      <c r="I6455" s="38" t="n">
        <f aca="false">Sens!$H$6455*(1+Sens!$I$6456)</f>
        <v>68.6715233062498</v>
      </c>
      <c r="J6455" s="38" t="n">
        <f aca="false">Sens!$I$6455*(1+Sens!$J$6456)</f>
        <v>74.4692882949818</v>
      </c>
      <c r="K6455" s="38" t="n">
        <f aca="false">Sens!$J$6455*(1+Sens!$K$6456)</f>
        <v>79.6821384756306</v>
      </c>
      <c r="L6455" s="38" t="n">
        <f aca="false">Sens!$K$6455*(1+Sens!$L$6456)</f>
        <v>85.2598881689247</v>
      </c>
      <c r="M6455" s="38" t="n">
        <f aca="false">Sens!$L$6455*(1+Sens!$M$6456)</f>
        <v>91.2280803407494</v>
      </c>
      <c r="N6455" s="38" t="n">
        <f aca="false">Q!$N$14</f>
        <v>23.923</v>
      </c>
      <c r="O6455" s="38" t="n">
        <f aca="false">Q!$O$14</f>
        <v>25.696</v>
      </c>
      <c r="P6455" s="8" t="s">
        <v>621</v>
      </c>
    </row>
    <row r="6456" customFormat="false" ht="17.15" hidden="false" customHeight="false" outlineLevel="0" collapsed="false">
      <c r="A6456" s="0" t="s">
        <v>630</v>
      </c>
      <c r="B6456" s="0" t="s">
        <v>52</v>
      </c>
      <c r="E6456" s="12" t="n">
        <f aca="false">Sens!$E$6455/Sens!$N$6455-1</f>
        <v>0.135183714417088</v>
      </c>
      <c r="F6456" s="12" t="n">
        <f aca="false">Sens!$O$6455/(Q!$F$14+Q!$G$14)-1</f>
        <v>0.127709997366804</v>
      </c>
      <c r="G6456" s="12" t="n">
        <f aca="false">Sens!$G$6455/Sens!$D$6455-1</f>
        <v>0.131313329416905</v>
      </c>
      <c r="H6456" s="12" t="n">
        <f aca="false">Sens!$F$6456+(g_sub-Sens!$F$6456)*1/4</f>
        <v>0.113282498025103</v>
      </c>
      <c r="I6456" s="12" t="n">
        <f aca="false">Sens!$F$6456+(g_sub-Sens!$F$6456)*2/4</f>
        <v>0.0988549986834021</v>
      </c>
      <c r="J6456" s="12" t="n">
        <f aca="false">Sens!$F$6456+(g_sub-Sens!$F$6456)*3/4</f>
        <v>0.084427499341701</v>
      </c>
      <c r="K6456" s="12" t="n">
        <f aca="false">Sens!$F$6456+(g_sub-Sens!$F$6456)*4/4</f>
        <v>0.07</v>
      </c>
      <c r="L6456" s="12" t="n">
        <f aca="false">g_sub</f>
        <v>0.07</v>
      </c>
      <c r="M6456" s="12" t="n">
        <f aca="false">g_sub</f>
        <v>0.07</v>
      </c>
      <c r="P6456" s="8" t="s">
        <v>631</v>
      </c>
    </row>
    <row r="6457" customFormat="false" ht="17.15" hidden="false" customHeight="false" outlineLevel="0" collapsed="false">
      <c r="A6457" s="0" t="s">
        <v>484</v>
      </c>
      <c r="B6457" s="0" t="s">
        <v>73</v>
      </c>
      <c r="C6457" s="38" t="n">
        <f aca="false">Q!$D$15</f>
        <v>5.425</v>
      </c>
      <c r="D6457" s="38" t="n">
        <f aca="false">Q!$E$15</f>
        <v>5.935</v>
      </c>
      <c r="E6457" s="38" t="n">
        <f aca="false">Q!$P$15</f>
        <v>3.474</v>
      </c>
      <c r="F6457" s="38" t="n">
        <f aca="false">Sens!$O$6457*(1+Sens!$F$6458)</f>
        <v>3.36182431966931</v>
      </c>
      <c r="G6457" s="38" t="n">
        <f aca="false">Sens!$E$6457+Sens!$F$6457</f>
        <v>6.83582431966931</v>
      </c>
      <c r="H6457" s="38" t="n">
        <f aca="false">Sens!$G$6457*(1+Sens!$H$6458)</f>
        <v>7.31157108370141</v>
      </c>
      <c r="I6457" s="38" t="n">
        <f aca="false">Sens!$H$6457*(1+Sens!$I$6458)</f>
        <v>7.77266852639815</v>
      </c>
      <c r="J6457" s="38" t="n">
        <f aca="false">Sens!$I$6457*(1+Sens!$J$6458)</f>
        <v>8.2120733019884</v>
      </c>
      <c r="K6457" s="38" t="n">
        <f aca="false">Sens!$J$6457*(1+Sens!$K$6458)</f>
        <v>8.62267696708783</v>
      </c>
      <c r="L6457" s="38" t="n">
        <f aca="false">Sens!$K$6457*(1+Sens!$L$6458)</f>
        <v>9.05381081544222</v>
      </c>
      <c r="M6457" s="38" t="n">
        <f aca="false">Sens!$L$6457*(1+Sens!$M$6458)</f>
        <v>9.50650135621433</v>
      </c>
      <c r="N6457" s="38" t="n">
        <f aca="false">Q!$N$15</f>
        <v>2.811</v>
      </c>
      <c r="O6457" s="38" t="n">
        <f aca="false">Q!$O$15</f>
        <v>3.124</v>
      </c>
      <c r="P6457" s="8" t="s">
        <v>621</v>
      </c>
    </row>
    <row r="6458" customFormat="false" ht="17.15" hidden="false" customHeight="false" outlineLevel="0" collapsed="false">
      <c r="A6458" s="0" t="s">
        <v>632</v>
      </c>
      <c r="B6458" s="0" t="s">
        <v>52</v>
      </c>
      <c r="E6458" s="12" t="n">
        <f aca="false">Sens!$E$6457/Sens!$N$6457-1</f>
        <v>0.235859124866596</v>
      </c>
      <c r="F6458" s="12" t="n">
        <f aca="false">Sens!$O$6457/(Q!$F$15+Q!$G$15)-1</f>
        <v>0.0761281433000345</v>
      </c>
      <c r="G6458" s="12" t="n">
        <f aca="false">Sens!$G$6457/Sens!$D$6457-1</f>
        <v>0.151781688234087</v>
      </c>
      <c r="H6458" s="12" t="n">
        <f aca="false">Sens!$F$6458+(g_ot-Sens!$F$6458)*1/4</f>
        <v>0.0695961074750259</v>
      </c>
      <c r="I6458" s="12" t="n">
        <f aca="false">Sens!$F$6458+(g_ot-Sens!$F$6458)*2/4</f>
        <v>0.0630640716500172</v>
      </c>
      <c r="J6458" s="12" t="n">
        <f aca="false">Sens!$F$6458+(g_ot-Sens!$F$6458)*3/4</f>
        <v>0.0565320358250086</v>
      </c>
      <c r="K6458" s="12" t="n">
        <f aca="false">Sens!$F$6458+(g_ot-Sens!$F$6458)*4/4</f>
        <v>0.05</v>
      </c>
      <c r="L6458" s="12" t="n">
        <f aca="false">g_ot</f>
        <v>0.05</v>
      </c>
      <c r="M6458" s="12" t="n">
        <f aca="false">g_ot</f>
        <v>0.05</v>
      </c>
      <c r="P6458" s="8" t="s">
        <v>633</v>
      </c>
    </row>
    <row r="6459" customFormat="false" ht="17.15" hidden="false" customHeight="false" outlineLevel="0" collapsed="false">
      <c r="A6459" s="3" t="s">
        <v>634</v>
      </c>
      <c r="B6459" s="8" t="s">
        <v>73</v>
      </c>
      <c r="C6459" s="38" t="n">
        <f aca="false">Sens!$C$6447+Sens!$C$6449+Sens!$C$6451+Sens!$C$6453+Sens!$C$6455+Sens!$C$6457</f>
        <v>530.403</v>
      </c>
      <c r="D6459" s="38" t="n">
        <f aca="false">Sens!$D$6447+Sens!$D$6449+Sens!$D$6451+Sens!$D$6453+Sens!$D$6455+Sens!$D$6457</f>
        <v>588.199</v>
      </c>
      <c r="E6459" s="38" t="n">
        <f aca="false">Sens!$E$6447+Sens!$E$6449+Sens!$E$6451+Sens!$E$6453+Sens!$E$6455+Sens!$E$6457</f>
        <v>302.306</v>
      </c>
      <c r="F6459" s="38" t="n">
        <f aca="false">Sens!$F$6447+Sens!$F$6449+Sens!$F$6451+Sens!$F$6453+Sens!$F$6455+Sens!$F$6457</f>
        <v>356.93642920843</v>
      </c>
      <c r="G6459" s="38" t="n">
        <f aca="false">Sens!$G$6447+Sens!$G$6449+Sens!$G$6451+Sens!$G$6453+Sens!$G$6455+Sens!$G$6457</f>
        <v>659.24242920843</v>
      </c>
      <c r="H6459" s="38" t="n">
        <f aca="false">Sens!$H$6447+Sens!$H$6449+Sens!$H$6451+Sens!$H$6453+Sens!$H$6455+Sens!$H$6457</f>
        <v>729.935737621701</v>
      </c>
      <c r="I6459" s="38" t="n">
        <f aca="false">Sens!$I$6447+Sens!$I$6449+Sens!$I$6451+Sens!$I$6453+Sens!$I$6455+Sens!$I$6457</f>
        <v>798.295569697873</v>
      </c>
      <c r="J6459" s="38" t="n">
        <f aca="false">Sens!$J$6447+Sens!$J$6449+Sens!$J$6451+Sens!$J$6453+Sens!$J$6455+Sens!$J$6457</f>
        <v>861.736822325785</v>
      </c>
      <c r="K6459" s="38" t="n">
        <f aca="false">Sens!$K$6447+Sens!$K$6449+Sens!$K$6451+Sens!$K$6453+Sens!$K$6455+Sens!$K$6457</f>
        <v>917.557492101925</v>
      </c>
      <c r="L6459" s="38" t="n">
        <f aca="false">Sens!$L$6447+Sens!$L$6449+Sens!$L$6451+Sens!$L$6453+Sens!$L$6455+Sens!$L$6457</f>
        <v>977.285089743165</v>
      </c>
      <c r="M6459" s="38" t="n">
        <f aca="false">Sens!$M$6447+Sens!$M$6449+Sens!$M$6451+Sens!$M$6453+Sens!$M$6455+Sens!$M$6457</f>
        <v>1041.2140185435</v>
      </c>
      <c r="N6459" s="38" t="n">
        <f aca="false">Sens!$N$6447+Sens!$N$6449+Sens!$N$6451+Sens!$N$6453+Sens!$N$6455+Sens!$N$6457</f>
        <v>263.229</v>
      </c>
      <c r="O6459" s="38" t="n">
        <f aca="false">Sens!$O$6447+Sens!$O$6449+Sens!$O$6451+Sens!$O$6453+Sens!$O$6455+Sens!$O$6457</f>
        <v>324.97</v>
      </c>
    </row>
    <row r="6460" customFormat="false" ht="17.15" hidden="false" customHeight="false" outlineLevel="0" collapsed="false">
      <c r="A6460" s="5" t="s">
        <v>635</v>
      </c>
      <c r="B6460" s="0" t="s">
        <v>52</v>
      </c>
      <c r="C6460" s="12" t="n">
        <f aca="false">Q!$D$5/(Q!$D$5+Q!$D$6)</f>
        <v>0.730570905519011</v>
      </c>
      <c r="D6460" s="12" t="n">
        <f aca="false">Q!$E$5/(Q!$E$5+Q!$E$6)</f>
        <v>0.724763217890544</v>
      </c>
      <c r="E6460" s="12" t="n">
        <f aca="false">Q!$P$5/(Q!$P$5+Q!$P$6)</f>
        <v>0.728797972914861</v>
      </c>
      <c r="F6460" s="12" t="n">
        <f aca="false">Sens!$O$6460</f>
        <v>0.718066283041511</v>
      </c>
      <c r="G6460" s="12" t="n">
        <f aca="false">Sens!$G$6461/Sens!$G$6459</f>
        <v>0.722987468473627</v>
      </c>
      <c r="H6460" s="12" t="n">
        <f aca="false">Sens!$G$6460</f>
        <v>0.722987468473627</v>
      </c>
      <c r="I6460" s="12" t="n">
        <f aca="false">Sens!$G$6460</f>
        <v>0.722987468473627</v>
      </c>
      <c r="J6460" s="12" t="n">
        <f aca="false">Sens!$G$6460</f>
        <v>0.722987468473627</v>
      </c>
      <c r="K6460" s="12" t="n">
        <f aca="false">Sens!$G$6460</f>
        <v>0.722987468473627</v>
      </c>
      <c r="L6460" s="12" t="n">
        <f aca="false">Sens!$G$6460</f>
        <v>0.722987468473627</v>
      </c>
      <c r="M6460" s="12" t="n">
        <f aca="false">Sens!$G$6460</f>
        <v>0.722987468473627</v>
      </c>
      <c r="N6460" s="12" t="n">
        <f aca="false">Q!$N$5/(Q!$N$5+Q!$N$6)</f>
        <v>0.733030935041352</v>
      </c>
      <c r="O6460" s="12" t="n">
        <f aca="false">Q!$O$5/(Q!$O$5+Q!$O$6)</f>
        <v>0.718066283041511</v>
      </c>
      <c r="P6460" s="8" t="s">
        <v>636</v>
      </c>
    </row>
    <row r="6461" customFormat="false" ht="17.15" hidden="false" customHeight="false" outlineLevel="0" collapsed="false">
      <c r="A6461" s="1" t="s">
        <v>472</v>
      </c>
      <c r="B6461" s="8" t="s">
        <v>73</v>
      </c>
      <c r="C6461" s="38" t="n">
        <f aca="false">Q!$D$5</f>
        <v>387.497</v>
      </c>
      <c r="D6461" s="38" t="n">
        <f aca="false">Q!$E$5</f>
        <v>426.305</v>
      </c>
      <c r="E6461" s="38" t="n">
        <f aca="false">Q!$P$5</f>
        <v>220.32</v>
      </c>
      <c r="F6461" s="38" t="n">
        <f aca="false">Sens!$F$6459*Sens!$F$6460</f>
        <v>256.304015003807</v>
      </c>
      <c r="G6461" s="38" t="n">
        <f aca="false">Sens!$E$6461+Sens!$F$6461</f>
        <v>476.624015003807</v>
      </c>
      <c r="H6461" s="38" t="n">
        <f aca="false">Sens!$H$6459*Sens!$H$6460</f>
        <v>527.734391091543</v>
      </c>
      <c r="I6461" s="38" t="n">
        <f aca="false">Sens!$I$6459*Sens!$I$6460</f>
        <v>577.157693029577</v>
      </c>
      <c r="J6461" s="38" t="n">
        <f aca="false">Sens!$J$6459*Sens!$J$6460</f>
        <v>623.024923663827</v>
      </c>
      <c r="K6461" s="38" t="n">
        <f aca="false">Sens!$K$6459*Sens!$K$6460</f>
        <v>663.382568393781</v>
      </c>
      <c r="L6461" s="38" t="n">
        <f aca="false">Sens!$L$6459*Sens!$L$6460</f>
        <v>706.564873010432</v>
      </c>
      <c r="M6461" s="38" t="n">
        <f aca="false">Sens!$M$6459*Sens!$M$6460</f>
        <v>752.784687406019</v>
      </c>
      <c r="N6461" s="38" t="n">
        <f aca="false">Q!$N$5</f>
        <v>192.955</v>
      </c>
      <c r="O6461" s="38" t="n">
        <f aca="false">Q!$O$5</f>
        <v>233.35</v>
      </c>
      <c r="P6461" s="5" t="s">
        <v>637</v>
      </c>
    </row>
    <row r="6462" customFormat="false" ht="17.15" hidden="false" customHeight="false" outlineLevel="0" collapsed="false">
      <c r="A6462" s="1" t="s">
        <v>475</v>
      </c>
      <c r="B6462" s="8" t="s">
        <v>73</v>
      </c>
      <c r="C6462" s="38" t="n">
        <f aca="false">Q!$D$6</f>
        <v>142.906</v>
      </c>
      <c r="D6462" s="38" t="n">
        <f aca="false">Q!$E$6</f>
        <v>161.894</v>
      </c>
      <c r="E6462" s="38" t="n">
        <f aca="false">Q!$P$6</f>
        <v>81.986</v>
      </c>
      <c r="F6462" s="38" t="n">
        <f aca="false">Sens!$F$6459*(1-Sens!$F$6460)</f>
        <v>100.632414204623</v>
      </c>
      <c r="G6462" s="38" t="n">
        <f aca="false">Sens!$E$6462+Sens!$F$6462</f>
        <v>182.618414204623</v>
      </c>
      <c r="H6462" s="38" t="n">
        <f aca="false">Sens!$H$6459*(1-Sens!$H$6460)</f>
        <v>202.201346530158</v>
      </c>
      <c r="I6462" s="38" t="n">
        <f aca="false">Sens!$I$6459*(1-Sens!$I$6460)</f>
        <v>221.137876668296</v>
      </c>
      <c r="J6462" s="38" t="n">
        <f aca="false">Sens!$J$6459*(1-Sens!$J$6460)</f>
        <v>238.711898661958</v>
      </c>
      <c r="K6462" s="38" t="n">
        <f aca="false">Sens!$K$6459*(1-Sens!$K$6460)</f>
        <v>254.174923708144</v>
      </c>
      <c r="L6462" s="38" t="n">
        <f aca="false">Sens!$L$6459*(1-Sens!$L$6460)</f>
        <v>270.720216732733</v>
      </c>
      <c r="M6462" s="38" t="n">
        <f aca="false">Sens!$M$6459*(1-Sens!$M$6460)</f>
        <v>288.429331137484</v>
      </c>
      <c r="N6462" s="38" t="n">
        <f aca="false">Q!$N$6</f>
        <v>70.274</v>
      </c>
      <c r="O6462" s="38" t="n">
        <f aca="false">Q!$O$6</f>
        <v>91.62</v>
      </c>
      <c r="P6462" s="5" t="s">
        <v>638</v>
      </c>
    </row>
    <row r="6463" customFormat="false" ht="17.15" hidden="false" customHeight="false" outlineLevel="0" collapsed="false">
      <c r="A6463" s="5" t="s">
        <v>639</v>
      </c>
      <c r="B6463" s="0" t="s">
        <v>73</v>
      </c>
      <c r="C6463" s="38" t="n">
        <f aca="false">Sens!$C$6453*Sens!$C$6460</f>
        <v>41.0683128828457</v>
      </c>
      <c r="D6463" s="38" t="n">
        <f aca="false">Sens!$D$6453*Sens!$D$6460</f>
        <v>49.7441234599175</v>
      </c>
      <c r="E6463" s="38" t="n">
        <f aca="false">Sens!$E$6453*Sens!$E$6460</f>
        <v>27.0034224924414</v>
      </c>
      <c r="F6463" s="38" t="n">
        <f aca="false">Sens!$F$6453*Sens!$F$6460</f>
        <v>34.5772885649197</v>
      </c>
      <c r="G6463" s="38" t="n">
        <f aca="false">Sens!$G$6453*Sens!$G$6460</f>
        <v>61.6023917531772</v>
      </c>
      <c r="H6463" s="38" t="n">
        <f aca="false">Sens!$H$6453*Sens!$H$6460</f>
        <v>73.9568187320519</v>
      </c>
      <c r="I6463" s="38" t="n">
        <f aca="false">Sens!$I$6453*Sens!$I$6460</f>
        <v>86.3101265625461</v>
      </c>
      <c r="J6463" s="38" t="n">
        <f aca="false">Sens!$J$6453*Sens!$J$6460</f>
        <v>97.8339983977065</v>
      </c>
      <c r="K6463" s="38" t="n">
        <f aca="false">Sens!$K$6453*Sens!$K$6460</f>
        <v>107.617398237477</v>
      </c>
      <c r="L6463" s="38" t="n">
        <f aca="false">Sens!$L$6453*Sens!$L$6460</f>
        <v>118.379138061225</v>
      </c>
      <c r="M6463" s="38" t="n">
        <f aca="false">Sens!$M$6453*Sens!$M$6460</f>
        <v>130.217051867347</v>
      </c>
      <c r="N6463" s="38" t="n">
        <f aca="false">Sens!$N$6453*Sens!$N$6460</f>
        <v>21.7087111412496</v>
      </c>
      <c r="O6463" s="38" t="n">
        <f aca="false">Sens!$O$6453*Sens!$O$6460</f>
        <v>28.0189463642798</v>
      </c>
      <c r="P6463" s="5" t="s">
        <v>640</v>
      </c>
    </row>
    <row r="6464" customFormat="false" ht="15" hidden="false" customHeight="false" outlineLevel="0" collapsed="false">
      <c r="A6464" s="5" t="s">
        <v>641</v>
      </c>
      <c r="B6464" s="0" t="s">
        <v>73</v>
      </c>
      <c r="C6464" s="38" t="n">
        <f aca="false">Sens!$C$6453-Sens!$C$6463</f>
        <v>15.1456871171543</v>
      </c>
      <c r="D6464" s="38" t="n">
        <f aca="false">Sens!$D$6453-Sens!$D$6463</f>
        <v>18.8908765400825</v>
      </c>
      <c r="E6464" s="38" t="n">
        <f aca="false">Sens!$E$6453-Sens!$E$6463</f>
        <v>10.0485775075586</v>
      </c>
      <c r="F6464" s="38" t="n">
        <f aca="false">Sens!$F$6453-Sens!$F$6463</f>
        <v>13.5760496178185</v>
      </c>
      <c r="G6464" s="38" t="n">
        <f aca="false">Sens!$G$6453-Sens!$G$6463</f>
        <v>23.6029464295611</v>
      </c>
      <c r="H6464" s="38" t="n">
        <f aca="false">Sens!$H$6453-Sens!$H$6463</f>
        <v>28.3365431268884</v>
      </c>
      <c r="I6464" s="38" t="n">
        <f aca="false">Sens!$I$6453-Sens!$I$6463</f>
        <v>33.0697110226949</v>
      </c>
      <c r="J6464" s="38" t="n">
        <f aca="false">Sens!$J$6453-Sens!$J$6463</f>
        <v>37.4850806511378</v>
      </c>
      <c r="K6464" s="38" t="n">
        <f aca="false">Sens!$K$6453-Sens!$K$6463</f>
        <v>41.2335887162515</v>
      </c>
      <c r="L6464" s="38" t="n">
        <f aca="false">Sens!$L$6453-Sens!$L$6463</f>
        <v>45.3569475878767</v>
      </c>
      <c r="M6464" s="38" t="n">
        <f aca="false">Sens!$M$6453-Sens!$M$6463</f>
        <v>49.8926423466644</v>
      </c>
      <c r="N6464" s="38" t="n">
        <f aca="false">Sens!$N$6453-Sens!$N$6463</f>
        <v>7.90628885875037</v>
      </c>
      <c r="O6464" s="38" t="n">
        <f aca="false">Sens!$O$6453-Sens!$O$6463</f>
        <v>11.0010536357202</v>
      </c>
    </row>
    <row r="6465" customFormat="false" ht="19.4" hidden="false" customHeight="false" outlineLevel="0" collapsed="false">
      <c r="A6465" s="31" t="s">
        <v>1184</v>
      </c>
    </row>
    <row r="6466" customFormat="false" ht="17.15" hidden="false" customHeight="false" outlineLevel="0" collapsed="false">
      <c r="A6466" s="6" t="s">
        <v>16</v>
      </c>
      <c r="B6466" s="6" t="s">
        <v>17</v>
      </c>
      <c r="C6466" s="20" t="s">
        <v>457</v>
      </c>
      <c r="D6466" s="20" t="s">
        <v>458</v>
      </c>
      <c r="E6466" s="20" t="s">
        <v>540</v>
      </c>
      <c r="F6466" s="20" t="s">
        <v>541</v>
      </c>
      <c r="G6466" s="20" t="s">
        <v>542</v>
      </c>
      <c r="H6466" s="20" t="s">
        <v>543</v>
      </c>
      <c r="I6466" s="20" t="s">
        <v>544</v>
      </c>
      <c r="J6466" s="20" t="s">
        <v>545</v>
      </c>
      <c r="K6466" s="20" t="s">
        <v>546</v>
      </c>
      <c r="L6466" s="20" t="s">
        <v>547</v>
      </c>
      <c r="M6466" s="20" t="s">
        <v>548</v>
      </c>
      <c r="N6466" s="20" t="s">
        <v>549</v>
      </c>
      <c r="O6466" s="20" t="s">
        <v>550</v>
      </c>
      <c r="P6466" s="6" t="s">
        <v>23</v>
      </c>
      <c r="R6466" s="20" t="n">
        <v>2023</v>
      </c>
      <c r="S6466" s="20" t="n">
        <v>2024</v>
      </c>
      <c r="T6466" s="20" t="n">
        <v>2025</v>
      </c>
      <c r="U6466" s="20" t="n">
        <v>2026</v>
      </c>
      <c r="V6466" s="20" t="n">
        <v>2027</v>
      </c>
      <c r="W6466" s="20" t="n">
        <v>2028</v>
      </c>
      <c r="X6466" s="20" t="n">
        <v>2029</v>
      </c>
      <c r="Y6466" s="20" t="n">
        <v>2030</v>
      </c>
      <c r="Z6466" s="20" t="n">
        <v>2031</v>
      </c>
      <c r="AA6466" s="20" t="n">
        <v>2032</v>
      </c>
    </row>
    <row r="6467" customFormat="false" ht="17.15" hidden="false" customHeight="false" outlineLevel="0" collapsed="false">
      <c r="A6467" s="1" t="s">
        <v>551</v>
      </c>
    </row>
    <row r="6468" customFormat="false" ht="17.15" hidden="false" customHeight="false" outlineLevel="0" collapsed="false">
      <c r="A6468" s="14" t="s">
        <v>552</v>
      </c>
      <c r="B6468" s="13" t="s">
        <v>108</v>
      </c>
      <c r="C6468" s="32" t="n">
        <f aca="false">mw_ye24</f>
        <v>360</v>
      </c>
      <c r="D6468" s="32" t="n">
        <f aca="false">mw_ye25</f>
        <v>1440</v>
      </c>
      <c r="E6468" s="32" t="n">
        <f aca="false">mw_open</f>
        <v>2080</v>
      </c>
      <c r="F6468" s="32" t="n">
        <f aca="false">Sens!$E$6468+pace_B*0.5</f>
        <v>3897.15</v>
      </c>
      <c r="G6468" s="32" t="n">
        <f aca="false">Sens!$F$6468</f>
        <v>3897.15</v>
      </c>
      <c r="H6468" s="32" t="n">
        <f aca="false">Sens!$G$6468+pace_B</f>
        <v>7531.45</v>
      </c>
      <c r="I6468" s="32" t="n">
        <f aca="false">Sens!$H$6468+pace_B</f>
        <v>11165.75</v>
      </c>
      <c r="J6468" s="32" t="n">
        <f aca="false">Sens!$I$6468+pace_B</f>
        <v>14800.05</v>
      </c>
      <c r="K6468" s="32" t="n">
        <f aca="false">Sens!$J$6468+pace_B</f>
        <v>18434.35</v>
      </c>
      <c r="L6468" s="32" t="n">
        <f aca="false">Sens!$K$6468+pace_B</f>
        <v>22068.65</v>
      </c>
      <c r="M6468" s="32" t="n">
        <f aca="false">Sens!$L$6468+pace_B</f>
        <v>25702.95</v>
      </c>
      <c r="N6468" s="32" t="n">
        <f aca="false">(mw_ye24+mw_ye25)/2</f>
        <v>900</v>
      </c>
      <c r="O6468" s="32" t="n">
        <f aca="false">mw_ye25</f>
        <v>1440</v>
      </c>
      <c r="P6468" s="5" t="s">
        <v>553</v>
      </c>
    </row>
    <row r="6469" customFormat="false" ht="17.15" hidden="false" customHeight="false" outlineLevel="0" collapsed="false">
      <c r="A6469" s="5" t="s">
        <v>554</v>
      </c>
      <c r="B6469" s="0" t="s">
        <v>108</v>
      </c>
      <c r="C6469" s="33" t="n">
        <f aca="false">(mw_ye23+mw_ye24)/2</f>
        <v>240</v>
      </c>
      <c r="D6469" s="33" t="n">
        <f aca="false">(Sens!$C$6468+Sens!$D$6468)/2</f>
        <v>900</v>
      </c>
      <c r="E6469" s="33" t="n">
        <f aca="false">(Sens!$D$6468+Sens!$E$6468)/2</f>
        <v>1760</v>
      </c>
      <c r="F6469" s="33" t="n">
        <f aca="false">(Sens!$E$6468+Sens!$F$6468)/2</f>
        <v>2988.575</v>
      </c>
      <c r="G6469" s="33" t="n">
        <f aca="false">(Sens!$E$6469+Sens!$F$6469)/2</f>
        <v>2374.2875</v>
      </c>
      <c r="H6469" s="33" t="n">
        <f aca="false">(Sens!$G$6468+Sens!$H$6468)/2</f>
        <v>5714.3</v>
      </c>
      <c r="I6469" s="33" t="n">
        <f aca="false">(Sens!$H$6468+Sens!$I$6468)/2</f>
        <v>9348.6</v>
      </c>
      <c r="J6469" s="33" t="n">
        <f aca="false">(Sens!$I$6468+Sens!$J$6468)/2</f>
        <v>12982.9</v>
      </c>
      <c r="K6469" s="33" t="n">
        <f aca="false">(Sens!$J$6468+Sens!$K$6468)/2</f>
        <v>16617.2</v>
      </c>
      <c r="L6469" s="33" t="n">
        <f aca="false">(Sens!$K$6468+Sens!$L$6468)/2</f>
        <v>20251.5</v>
      </c>
      <c r="M6469" s="33" t="n">
        <f aca="false">(Sens!$L$6468+Sens!$M$6468)/2</f>
        <v>23885.8</v>
      </c>
      <c r="N6469" s="33" t="n">
        <f aca="false">(Sens!$C$6468+Sens!$N$6468)/2</f>
        <v>630</v>
      </c>
      <c r="O6469" s="33" t="n">
        <f aca="false">(Sens!$N$6468+Sens!$O$6468)/2</f>
        <v>1170</v>
      </c>
    </row>
    <row r="6470" customFormat="false" ht="15" hidden="false" customHeight="false" outlineLevel="0" collapsed="false">
      <c r="A6470" s="5" t="s">
        <v>555</v>
      </c>
      <c r="B6470" s="5" t="s">
        <v>102</v>
      </c>
      <c r="C6470" s="34" t="n">
        <v>1</v>
      </c>
      <c r="D6470" s="34" t="n">
        <v>1</v>
      </c>
      <c r="E6470" s="34" t="n">
        <v>0.5</v>
      </c>
      <c r="F6470" s="34" t="n">
        <v>0.5</v>
      </c>
      <c r="G6470" s="34" t="n">
        <v>1</v>
      </c>
      <c r="H6470" s="34" t="n">
        <v>1</v>
      </c>
      <c r="I6470" s="34" t="n">
        <v>1</v>
      </c>
      <c r="J6470" s="34" t="n">
        <v>1</v>
      </c>
      <c r="K6470" s="34" t="n">
        <v>1</v>
      </c>
      <c r="L6470" s="34" t="n">
        <v>1</v>
      </c>
      <c r="M6470" s="34" t="n">
        <v>1</v>
      </c>
      <c r="N6470" s="34" t="n">
        <v>0.5</v>
      </c>
      <c r="O6470" s="34" t="n">
        <v>0.5</v>
      </c>
    </row>
    <row r="6471" customFormat="false" ht="17.15" hidden="false" customHeight="false" outlineLevel="0" collapsed="false">
      <c r="A6471" s="5" t="s">
        <v>556</v>
      </c>
      <c r="B6471" s="0" t="s">
        <v>108</v>
      </c>
      <c r="C6471" s="33" t="n">
        <f aca="false">Sens!$C$6468-mw_ye23</f>
        <v>240</v>
      </c>
      <c r="D6471" s="33" t="n">
        <f aca="false">Sens!$D$6468-Sens!$C$6468</f>
        <v>1080</v>
      </c>
      <c r="E6471" s="33" t="n">
        <f aca="false">Sens!$E$6468-Sens!$D$6468</f>
        <v>640</v>
      </c>
      <c r="F6471" s="33" t="n">
        <f aca="false">Sens!$F$6468-Sens!$E$6468</f>
        <v>1817.15</v>
      </c>
      <c r="G6471" s="33" t="n">
        <f aca="false">Sens!$E$6471+Sens!$F$6471</f>
        <v>2457.15</v>
      </c>
      <c r="H6471" s="33" t="n">
        <f aca="false">Sens!$H$6468-Sens!$G$6468</f>
        <v>3634.3</v>
      </c>
      <c r="I6471" s="33" t="n">
        <f aca="false">Sens!$I$6468-Sens!$H$6468</f>
        <v>3634.3</v>
      </c>
      <c r="J6471" s="33" t="n">
        <f aca="false">Sens!$J$6468-Sens!$I$6468</f>
        <v>3634.3</v>
      </c>
      <c r="K6471" s="33" t="n">
        <f aca="false">Sens!$K$6468-Sens!$J$6468</f>
        <v>3634.3</v>
      </c>
      <c r="L6471" s="33" t="n">
        <f aca="false">Sens!$L$6468-Sens!$K$6468</f>
        <v>3634.3</v>
      </c>
      <c r="M6471" s="33" t="n">
        <f aca="false">Sens!$M$6468-Sens!$L$6468</f>
        <v>3634.3</v>
      </c>
      <c r="N6471" s="33" t="n">
        <f aca="false">Sens!$N$6468-Sens!$C$6468</f>
        <v>540</v>
      </c>
      <c r="O6471" s="33" t="n">
        <f aca="false">Sens!$O$6468-Sens!$N$6468</f>
        <v>540</v>
      </c>
    </row>
    <row r="6472" customFormat="false" ht="17.15" hidden="false" customHeight="false" outlineLevel="0" collapsed="false">
      <c r="A6472" s="5" t="s">
        <v>557</v>
      </c>
      <c r="B6472" s="0" t="s">
        <v>108</v>
      </c>
      <c r="C6472" s="33" t="n">
        <f aca="false">Sens!$C$6471/ext_sh</f>
        <v>300</v>
      </c>
      <c r="D6472" s="33" t="n">
        <f aca="false">Sens!$D$6471/ext_sh</f>
        <v>1350</v>
      </c>
      <c r="E6472" s="33" t="n">
        <f aca="false">Sens!$E$6471/ext_sh</f>
        <v>800</v>
      </c>
      <c r="F6472" s="33" t="n">
        <f aca="false">Sens!$F$6471/ext_sh</f>
        <v>2271.4375</v>
      </c>
      <c r="G6472" s="33" t="n">
        <f aca="false">Sens!$G$6471/ext_sh</f>
        <v>3071.4375</v>
      </c>
      <c r="H6472" s="33" t="n">
        <f aca="false">Sens!$H$6471/ext_sh</f>
        <v>4542.875</v>
      </c>
      <c r="I6472" s="33" t="n">
        <f aca="false">Sens!$I$6471/ext_sh</f>
        <v>4542.875</v>
      </c>
      <c r="J6472" s="33" t="n">
        <f aca="false">Sens!$J$6471/ext_sh</f>
        <v>4542.875</v>
      </c>
      <c r="K6472" s="33" t="n">
        <f aca="false">Sens!$K$6471/ext_sh</f>
        <v>4542.875</v>
      </c>
      <c r="L6472" s="33" t="n">
        <f aca="false">Sens!$L$6471/ext_sh</f>
        <v>4542.875</v>
      </c>
      <c r="M6472" s="33" t="n">
        <f aca="false">Sens!$M$6471/ext_sh</f>
        <v>4542.875</v>
      </c>
      <c r="N6472" s="33" t="n">
        <f aca="false">Sens!$N$6471/ext_sh</f>
        <v>675</v>
      </c>
      <c r="O6472" s="33" t="n">
        <f aca="false">Sens!$O$6471/ext_sh</f>
        <v>675</v>
      </c>
      <c r="P6472" s="8" t="s">
        <v>558</v>
      </c>
      <c r="R6472" s="33" t="n">
        <f aca="false">mw_ye23/ext_sh</f>
        <v>150</v>
      </c>
      <c r="S6472" s="33" t="n">
        <f aca="false">Sens!$C$6472</f>
        <v>300</v>
      </c>
      <c r="T6472" s="33" t="n">
        <f aca="false">Sens!$D$6472</f>
        <v>1350</v>
      </c>
      <c r="U6472" s="33" t="n">
        <f aca="false">Sens!$G$6472</f>
        <v>3071.4375</v>
      </c>
      <c r="V6472" s="33" t="n">
        <f aca="false">Sens!$H$6472</f>
        <v>4542.875</v>
      </c>
      <c r="W6472" s="33" t="n">
        <f aca="false">Sens!$I$6472</f>
        <v>4542.875</v>
      </c>
      <c r="X6472" s="33" t="n">
        <f aca="false">Sens!$J$6472</f>
        <v>4542.875</v>
      </c>
      <c r="Y6472" s="33" t="n">
        <f aca="false">Sens!$K$6472</f>
        <v>4542.875</v>
      </c>
      <c r="Z6472" s="33" t="n">
        <f aca="false">Sens!$L$6472</f>
        <v>4542.875</v>
      </c>
      <c r="AA6472" s="33" t="n">
        <f aca="false">Sens!$M$6472</f>
        <v>4542.875</v>
      </c>
    </row>
    <row r="6473" customFormat="false" ht="17.15" hidden="false" customHeight="false" outlineLevel="0" collapsed="false">
      <c r="A6473" s="1" t="s">
        <v>559</v>
      </c>
    </row>
    <row r="6474" customFormat="false" ht="17.15" hidden="false" customHeight="false" outlineLevel="0" collapsed="false">
      <c r="A6474" s="0" t="s">
        <v>560</v>
      </c>
      <c r="B6474" s="0" t="s">
        <v>52</v>
      </c>
      <c r="F6474" s="35" t="n">
        <f aca="false">na_vr26</f>
        <v>0</v>
      </c>
      <c r="G6474" s="35" t="n">
        <f aca="false">na_vr26</f>
        <v>0</v>
      </c>
      <c r="H6474" s="35" t="n">
        <f aca="false">na_vr27</f>
        <v>0.5</v>
      </c>
      <c r="I6474" s="35" t="n">
        <f aca="false">na_vr28</f>
        <v>1</v>
      </c>
      <c r="J6474" s="35" t="n">
        <f aca="false">na_vr28</f>
        <v>1</v>
      </c>
      <c r="K6474" s="35" t="n">
        <f aca="false">na_vr28</f>
        <v>1</v>
      </c>
      <c r="L6474" s="35" t="n">
        <f aca="false">na_vr28</f>
        <v>1</v>
      </c>
      <c r="M6474" s="35" t="n">
        <f aca="false">na_vr28</f>
        <v>1</v>
      </c>
    </row>
    <row r="6475" customFormat="false" ht="17.15" hidden="false" customHeight="false" outlineLevel="0" collapsed="false">
      <c r="A6475" s="5" t="s">
        <v>561</v>
      </c>
      <c r="B6475" s="0" t="s">
        <v>151</v>
      </c>
      <c r="F6475" s="36" t="n">
        <f aca="false">cust_sh*tk_he_gb300*cf_chip+(1-cust_sh)*((1-Sens!$F$6474)*tk_he_gb300+Sens!$F$6474*tk_he_vr200)</f>
        <v>10.8864110021101</v>
      </c>
      <c r="G6475" s="36" t="n">
        <f aca="false">cust_sh*tk_he_gb300*cf_chip+(1-cust_sh)*((1-Sens!$G$6474)*tk_he_gb300+Sens!$G$6474*tk_he_vr200)</f>
        <v>10.8864110021101</v>
      </c>
      <c r="H6475" s="36" t="n">
        <f aca="false">cust_sh*tk_he_gb300*cf_chip+(1-cust_sh)*((1-Sens!$H$6474)*tk_he_gb300+Sens!$H$6474*tk_he_vr200)</f>
        <v>11.2211760027286</v>
      </c>
      <c r="I6475" s="36" t="n">
        <f aca="false">cust_sh*tk_he_gb300*cf_chip+(1-cust_sh)*((1-Sens!$I$6474)*tk_he_gb300+Sens!$I$6474*tk_he_vr200)</f>
        <v>11.5559410033471</v>
      </c>
      <c r="J6475" s="36" t="n">
        <f aca="false">cust_sh*tk_he_gb300*cf_chip+(1-cust_sh)*((1-Sens!$J$6474)*tk_he_gb300+Sens!$J$6474*tk_he_vr200)</f>
        <v>11.5559410033471</v>
      </c>
      <c r="K6475" s="36" t="n">
        <f aca="false">cust_sh*tk_he_gb300*cf_chip+(1-cust_sh)*((1-Sens!$K$6474)*tk_he_gb300+Sens!$K$6474*tk_he_vr200)</f>
        <v>11.5559410033471</v>
      </c>
      <c r="L6475" s="36" t="n">
        <f aca="false">cust_sh*tk_he_gb300*cf_chip+(1-cust_sh)*((1-Sens!$L$6474)*tk_he_gb300+Sens!$L$6474*tk_he_vr200)</f>
        <v>11.5559410033471</v>
      </c>
      <c r="M6475" s="36" t="n">
        <f aca="false">cust_sh*tk_he_gb300*cf_chip+(1-cust_sh)*((1-Sens!$M$6474)*tk_he_gb300+Sens!$M$6474*tk_he_vr200)</f>
        <v>11.5559410033471</v>
      </c>
    </row>
    <row r="6476" customFormat="false" ht="17.15" hidden="false" customHeight="false" outlineLevel="0" collapsed="false">
      <c r="A6476" s="5" t="s">
        <v>562</v>
      </c>
      <c r="B6476" s="0" t="s">
        <v>151</v>
      </c>
      <c r="F6476" s="36" t="n">
        <f aca="false">cust_sh*tk_ox_gb300+(1-cust_sh)*((1-Sens!$F$6474)*tk_ox_gb300+Sens!$F$6474*tk_ox_vr200)</f>
        <v>1.98263481314457</v>
      </c>
      <c r="G6476" s="36" t="n">
        <f aca="false">cust_sh*tk_ox_gb300+(1-cust_sh)*((1-Sens!$G$6474)*tk_ox_gb300+Sens!$G$6474*tk_ox_vr200)</f>
        <v>1.98263481314457</v>
      </c>
      <c r="H6476" s="36" t="n">
        <f aca="false">cust_sh*tk_ox_gb300+(1-cust_sh)*((1-Sens!$H$6474)*tk_ox_gb300+Sens!$H$6474*tk_ox_vr200)</f>
        <v>2.01034999693694</v>
      </c>
      <c r="I6476" s="36" t="n">
        <f aca="false">cust_sh*tk_ox_gb300+(1-cust_sh)*((1-Sens!$I$6474)*tk_ox_gb300+Sens!$I$6474*tk_ox_vr200)</f>
        <v>2.0380651807293</v>
      </c>
      <c r="J6476" s="36" t="n">
        <f aca="false">cust_sh*tk_ox_gb300+(1-cust_sh)*((1-Sens!$J$6474)*tk_ox_gb300+Sens!$J$6474*tk_ox_vr200)</f>
        <v>2.0380651807293</v>
      </c>
      <c r="K6476" s="36" t="n">
        <f aca="false">cust_sh*tk_ox_gb300+(1-cust_sh)*((1-Sens!$K$6474)*tk_ox_gb300+Sens!$K$6474*tk_ox_vr200)</f>
        <v>2.0380651807293</v>
      </c>
      <c r="L6476" s="36" t="n">
        <f aca="false">cust_sh*tk_ox_gb300+(1-cust_sh)*((1-Sens!$L$6474)*tk_ox_gb300+Sens!$L$6474*tk_ox_vr200)</f>
        <v>2.0380651807293</v>
      </c>
      <c r="M6476" s="36" t="n">
        <f aca="false">cust_sh*tk_ox_gb300+(1-cust_sh)*((1-Sens!$M$6474)*tk_ox_gb300+Sens!$M$6474*tk_ox_vr200)</f>
        <v>2.0380651807293</v>
      </c>
    </row>
    <row r="6477" customFormat="false" ht="17.15" hidden="false" customHeight="false" outlineLevel="0" collapsed="false">
      <c r="A6477" s="5" t="s">
        <v>563</v>
      </c>
      <c r="B6477" s="0" t="s">
        <v>170</v>
      </c>
      <c r="F6477" s="36" t="n">
        <f aca="false">cust_sh*tk_cx_gb300*cf_cx+(1-cust_sh)*((1-Sens!$F$6474)*tk_cx_gb300+Sens!$F$6474*tk_cx_vr200)</f>
        <v>32.237224</v>
      </c>
      <c r="G6477" s="36" t="n">
        <f aca="false">cust_sh*tk_cx_gb300*cf_cx+(1-cust_sh)*((1-Sens!$G$6474)*tk_cx_gb300+Sens!$G$6474*tk_cx_vr200)</f>
        <v>32.237224</v>
      </c>
      <c r="H6477" s="36" t="n">
        <f aca="false">cust_sh*tk_cx_gb300*cf_cx+(1-cust_sh)*((1-Sens!$H$6474)*tk_cx_gb300+Sens!$H$6474*tk_cx_vr200)</f>
        <v>33.574506</v>
      </c>
      <c r="I6477" s="36" t="n">
        <f aca="false">cust_sh*tk_cx_gb300*cf_cx+(1-cust_sh)*((1-Sens!$I$6474)*tk_cx_gb300+Sens!$I$6474*tk_cx_vr200)</f>
        <v>34.911788</v>
      </c>
      <c r="J6477" s="36" t="n">
        <f aca="false">cust_sh*tk_cx_gb300*cf_cx+(1-cust_sh)*((1-Sens!$J$6474)*tk_cx_gb300+Sens!$J$6474*tk_cx_vr200)</f>
        <v>34.911788</v>
      </c>
      <c r="K6477" s="36" t="n">
        <f aca="false">cust_sh*tk_cx_gb300*cf_cx+(1-cust_sh)*((1-Sens!$K$6474)*tk_cx_gb300+Sens!$K$6474*tk_cx_vr200)</f>
        <v>34.911788</v>
      </c>
      <c r="L6477" s="36" t="n">
        <f aca="false">cust_sh*tk_cx_gb300*cf_cx+(1-cust_sh)*((1-Sens!$L$6474)*tk_cx_gb300+Sens!$L$6474*tk_cx_vr200)</f>
        <v>34.911788</v>
      </c>
      <c r="M6477" s="36" t="n">
        <f aca="false">cust_sh*tk_cx_gb300*cf_cx+(1-cust_sh)*((1-Sens!$M$6474)*tk_cx_gb300+Sens!$M$6474*tk_cx_vr200)</f>
        <v>34.911788</v>
      </c>
    </row>
    <row r="6478" customFormat="false" ht="17.15" hidden="false" customHeight="false" outlineLevel="0" collapsed="false">
      <c r="A6478" s="5" t="s">
        <v>564</v>
      </c>
      <c r="B6478" s="0" t="s">
        <v>108</v>
      </c>
      <c r="F6478" s="33" t="n">
        <f aca="false">Sens!$F$6468-mw_open</f>
        <v>1817.15</v>
      </c>
      <c r="G6478" s="33" t="n">
        <f aca="false">Sens!$F$6478</f>
        <v>1817.15</v>
      </c>
      <c r="H6478" s="33" t="n">
        <f aca="false">Sens!$H$6468-mw_open</f>
        <v>5451.45</v>
      </c>
      <c r="I6478" s="33" t="n">
        <f aca="false">Sens!$I$6468-mw_open</f>
        <v>9085.75</v>
      </c>
      <c r="J6478" s="33" t="n">
        <f aca="false">Sens!$J$6468-mw_open</f>
        <v>12720.05</v>
      </c>
      <c r="K6478" s="33" t="n">
        <f aca="false">Sens!$K$6468-mw_open</f>
        <v>16354.35</v>
      </c>
      <c r="L6478" s="33" t="n">
        <f aca="false">Sens!$L$6468-mw_open</f>
        <v>19988.65</v>
      </c>
      <c r="M6478" s="33" t="n">
        <f aca="false">Sens!$M$6468-mw_open</f>
        <v>23622.95</v>
      </c>
    </row>
    <row r="6479" customFormat="false" ht="17.15" hidden="false" customHeight="false" outlineLevel="0" collapsed="false">
      <c r="A6479" s="0" t="s">
        <v>565</v>
      </c>
      <c r="B6479" s="0" t="s">
        <v>566</v>
      </c>
      <c r="F6479" s="33" t="n">
        <f aca="false">Sens!$F$6471*Sens!$F$6475</f>
        <v>19782.2417524844</v>
      </c>
      <c r="G6479" s="33" t="n">
        <f aca="false">Sens!$F$6479</f>
        <v>19782.2417524844</v>
      </c>
      <c r="H6479" s="33" t="n">
        <f aca="false">Sens!$G$6479+Sens!$H$6471*Sens!$H$6475</f>
        <v>60563.3616992009</v>
      </c>
      <c r="I6479" s="33" t="n">
        <f aca="false">Sens!$H$6479+Sens!$I$6471*Sens!$I$6475</f>
        <v>102561.118087665</v>
      </c>
      <c r="J6479" s="33" t="n">
        <f aca="false">Sens!$I$6479+Sens!$J$6471*Sens!$J$6475</f>
        <v>144558.87447613</v>
      </c>
      <c r="K6479" s="33" t="n">
        <f aca="false">Sens!$J$6479+Sens!$K$6471*Sens!$K$6475</f>
        <v>186556.630864594</v>
      </c>
      <c r="L6479" s="33" t="n">
        <f aca="false">Sens!$K$6479+Sens!$L$6471*Sens!$L$6475</f>
        <v>228554.387253058</v>
      </c>
      <c r="M6479" s="33" t="n">
        <f aca="false">Sens!$L$6479+Sens!$M$6471*Sens!$M$6475</f>
        <v>270552.143641523</v>
      </c>
    </row>
    <row r="6480" customFormat="false" ht="17.15" hidden="false" customHeight="false" outlineLevel="0" collapsed="false">
      <c r="A6480" s="0" t="s">
        <v>567</v>
      </c>
      <c r="B6480" s="0" t="s">
        <v>566</v>
      </c>
      <c r="F6480" s="33" t="n">
        <f aca="false">Sens!$F$6471*Sens!$F$6476</f>
        <v>3602.74485070566</v>
      </c>
      <c r="G6480" s="33" t="n">
        <f aca="false">Sens!$F$6480</f>
        <v>3602.74485070566</v>
      </c>
      <c r="H6480" s="33" t="n">
        <f aca="false">Sens!$G$6480+Sens!$H$6471*Sens!$H$6476</f>
        <v>10908.9598445736</v>
      </c>
      <c r="I6480" s="33" t="n">
        <f aca="false">Sens!$H$6480+Sens!$I$6471*Sens!$I$6476</f>
        <v>18315.9001308981</v>
      </c>
      <c r="J6480" s="33" t="n">
        <f aca="false">Sens!$I$6480+Sens!$J$6471*Sens!$J$6476</f>
        <v>25722.8404172225</v>
      </c>
      <c r="K6480" s="33" t="n">
        <f aca="false">Sens!$J$6480+Sens!$K$6471*Sens!$K$6476</f>
        <v>33129.780703547</v>
      </c>
      <c r="L6480" s="33" t="n">
        <f aca="false">Sens!$K$6480+Sens!$L$6471*Sens!$L$6476</f>
        <v>40536.7209898715</v>
      </c>
      <c r="M6480" s="33" t="n">
        <f aca="false">Sens!$L$6480+Sens!$M$6471*Sens!$M$6476</f>
        <v>47943.661276196</v>
      </c>
    </row>
    <row r="6481" customFormat="false" ht="17.15" hidden="false" customHeight="false" outlineLevel="0" collapsed="false">
      <c r="A6481" s="5" t="s">
        <v>568</v>
      </c>
      <c r="B6481" s="0" t="s">
        <v>151</v>
      </c>
      <c r="F6481" s="36" t="n">
        <f aca="false">IF(Sens!$F$6478&gt;0,Sens!$F$6479/Sens!$F$6478,Sens!$F$6475)</f>
        <v>10.8864110021101</v>
      </c>
      <c r="G6481" s="36" t="n">
        <f aca="false">IF(Sens!$G$6478&gt;0,Sens!$G$6479/Sens!$G$6478,Sens!$G$6475)</f>
        <v>10.8864110021101</v>
      </c>
      <c r="H6481" s="36" t="n">
        <f aca="false">IF(Sens!$H$6478&gt;0,Sens!$H$6479/Sens!$H$6478,Sens!$H$6475)</f>
        <v>11.1095876691891</v>
      </c>
      <c r="I6481" s="36" t="n">
        <f aca="false">IF(Sens!$I$6478&gt;0,Sens!$I$6479/Sens!$I$6478,Sens!$I$6475)</f>
        <v>11.2881290028523</v>
      </c>
      <c r="J6481" s="36" t="n">
        <f aca="false">IF(Sens!$J$6478&gt;0,Sens!$J$6479/Sens!$J$6478,Sens!$J$6475)</f>
        <v>11.3646467172794</v>
      </c>
      <c r="K6481" s="36" t="n">
        <f aca="false">IF(Sens!$K$6478&gt;0,Sens!$K$6479/Sens!$K$6478,Sens!$K$6475)</f>
        <v>11.4071565586278</v>
      </c>
      <c r="L6481" s="36" t="n">
        <f aca="false">IF(Sens!$L$6478&gt;0,Sens!$L$6479/Sens!$L$6478,Sens!$L$6475)</f>
        <v>11.4342082758495</v>
      </c>
      <c r="M6481" s="36" t="n">
        <f aca="false">IF(Sens!$M$6478&gt;0,Sens!$M$6479/Sens!$M$6478,Sens!$M$6475)</f>
        <v>11.4529363877722</v>
      </c>
    </row>
    <row r="6482" customFormat="false" ht="17.15" hidden="false" customHeight="false" outlineLevel="0" collapsed="false">
      <c r="A6482" s="5" t="s">
        <v>569</v>
      </c>
      <c r="B6482" s="0" t="s">
        <v>151</v>
      </c>
      <c r="F6482" s="36" t="n">
        <f aca="false">IF(Sens!$F$6478&gt;0,Sens!$F$6480/Sens!$F$6478,Sens!$F$6476)</f>
        <v>1.98263481314457</v>
      </c>
      <c r="G6482" s="36" t="n">
        <f aca="false">IF(Sens!$G$6478&gt;0,Sens!$G$6480/Sens!$G$6478,Sens!$G$6476)</f>
        <v>1.98263481314457</v>
      </c>
      <c r="H6482" s="36" t="n">
        <f aca="false">IF(Sens!$H$6478&gt;0,Sens!$H$6480/Sens!$H$6478,Sens!$H$6476)</f>
        <v>2.00111160233948</v>
      </c>
      <c r="I6482" s="36" t="n">
        <f aca="false">IF(Sens!$I$6478&gt;0,Sens!$I$6480/Sens!$I$6478,Sens!$I$6476)</f>
        <v>2.01589303369541</v>
      </c>
      <c r="J6482" s="36" t="n">
        <f aca="false">IF(Sens!$J$6478&gt;0,Sens!$J$6480/Sens!$J$6478,Sens!$J$6476)</f>
        <v>2.02222793284795</v>
      </c>
      <c r="K6482" s="36" t="n">
        <f aca="false">IF(Sens!$K$6478&gt;0,Sens!$K$6480/Sens!$K$6478,Sens!$K$6476)</f>
        <v>2.02574732126603</v>
      </c>
      <c r="L6482" s="36" t="n">
        <f aca="false">IF(Sens!$L$6478&gt;0,Sens!$L$6480/Sens!$L$6478,Sens!$L$6476)</f>
        <v>2.02798693207753</v>
      </c>
      <c r="M6482" s="36" t="n">
        <f aca="false">IF(Sens!$M$6478&gt;0,Sens!$M$6480/Sens!$M$6478,Sens!$M$6476)</f>
        <v>2.02953743187011</v>
      </c>
    </row>
    <row r="6483" customFormat="false" ht="17.15" hidden="false" customHeight="false" outlineLevel="0" collapsed="false">
      <c r="A6483" s="14" t="s">
        <v>570</v>
      </c>
      <c r="B6483" s="13" t="s">
        <v>151</v>
      </c>
      <c r="C6483" s="13"/>
      <c r="D6483" s="13"/>
      <c r="E6483" s="13"/>
      <c r="F6483" s="37" t="n">
        <f aca="false">Sens!$F$6481*k_B</f>
        <v>10.7987645808025</v>
      </c>
      <c r="G6483" s="37" t="n">
        <f aca="false">Sens!$G$6481*k_B</f>
        <v>10.7987645808025</v>
      </c>
      <c r="H6483" s="37" t="n">
        <f aca="false">Sens!$H$6481*k_B</f>
        <v>11.0201444540452</v>
      </c>
      <c r="I6483" s="37" t="n">
        <f aca="false">Sens!$I$6481*k_B</f>
        <v>11.1972483526393</v>
      </c>
      <c r="J6483" s="37" t="n">
        <f aca="false">Sens!$J$6481*k_B</f>
        <v>11.2731500234653</v>
      </c>
      <c r="K6483" s="37" t="n">
        <f aca="false">Sens!$K$6481*k_B</f>
        <v>11.3153176183687</v>
      </c>
      <c r="L6483" s="37" t="n">
        <f aca="false">Sens!$L$6481*k_B</f>
        <v>11.3421515423981</v>
      </c>
      <c r="M6483" s="37" t="n">
        <f aca="false">Sens!$M$6481*k_B</f>
        <v>11.3607288744184</v>
      </c>
      <c r="N6483" s="13"/>
      <c r="O6483" s="13"/>
      <c r="P6483" s="5" t="s">
        <v>571</v>
      </c>
    </row>
    <row r="6484" customFormat="false" ht="17.15" hidden="false" customHeight="false" outlineLevel="0" collapsed="false">
      <c r="A6484" s="5" t="s">
        <v>572</v>
      </c>
      <c r="B6484" s="0" t="s">
        <v>108</v>
      </c>
      <c r="F6484" s="33" t="n">
        <f aca="false">Sens!$F$6478/2</f>
        <v>908.575</v>
      </c>
      <c r="H6484" s="33" t="n">
        <f aca="false">(Sens!$G$6478+Sens!$H$6478)/2</f>
        <v>3634.3</v>
      </c>
      <c r="I6484" s="33" t="n">
        <f aca="false">(Sens!$H$6478+Sens!$I$6478)/2</f>
        <v>7268.6</v>
      </c>
      <c r="J6484" s="33" t="n">
        <f aca="false">(Sens!$I$6478+Sens!$J$6478)/2</f>
        <v>10902.9</v>
      </c>
      <c r="K6484" s="33" t="n">
        <f aca="false">(Sens!$J$6478+Sens!$K$6478)/2</f>
        <v>14537.2</v>
      </c>
      <c r="L6484" s="33" t="n">
        <f aca="false">(Sens!$K$6478+Sens!$L$6478)/2</f>
        <v>18171.5</v>
      </c>
      <c r="M6484" s="33" t="n">
        <f aca="false">(Sens!$L$6478+Sens!$M$6478)/2</f>
        <v>21805.8</v>
      </c>
    </row>
    <row r="6485" customFormat="false" ht="17.15" hidden="false" customHeight="false" outlineLevel="0" collapsed="false">
      <c r="A6485" s="1" t="s">
        <v>573</v>
      </c>
    </row>
    <row r="6486" customFormat="false" ht="17.15" hidden="false" customHeight="false" outlineLevel="0" collapsed="false">
      <c r="A6486" s="1" t="s">
        <v>574</v>
      </c>
      <c r="B6486" s="8" t="s">
        <v>73</v>
      </c>
      <c r="C6486" s="38" t="n">
        <f aca="false">Sens!$C$6469*rpm_open*Sens!$C$6470/1000</f>
        <v>2.32100535697364</v>
      </c>
      <c r="D6486" s="38" t="n">
        <f aca="false">Sens!$D$6469*rpm_open*Sens!$D$6470/1000</f>
        <v>8.70377008865116</v>
      </c>
      <c r="E6486" s="38" t="n">
        <f aca="false">Sens!$E$6469*rpm_open*Sens!$E$6470/1000</f>
        <v>8.51035297557002</v>
      </c>
      <c r="F6486" s="38" t="n">
        <f aca="false">(mw_open*rpm_open+Sens!$F$6484*Sens!$F$6483)*Sens!$F$6470/1000</f>
        <v>14.9634336447205</v>
      </c>
      <c r="G6486" s="38" t="n">
        <f aca="false">Sens!$E$6486+Sens!$F$6486</f>
        <v>23.4737866202905</v>
      </c>
      <c r="H6486" s="38" t="n">
        <f aca="false">(mw_open*rpm_open+Sens!$H$6484*Sens!$H$6483)/1000</f>
        <v>60.1658907497746</v>
      </c>
      <c r="I6486" s="38" t="n">
        <f aca="false">(mw_open*rpm_open+Sens!$I$6484*Sens!$I$6483)/1000</f>
        <v>101.503699136432</v>
      </c>
      <c r="J6486" s="38" t="n">
        <f aca="false">(mw_open*rpm_open+Sens!$J$6484*Sens!$J$6483)/1000</f>
        <v>143.025407151278</v>
      </c>
      <c r="K6486" s="38" t="n">
        <f aca="false">(mw_open*rpm_open+Sens!$K$6484*Sens!$K$6483)/1000</f>
        <v>184.608415042187</v>
      </c>
      <c r="L6486" s="38" t="n">
        <f aca="false">(mw_open*rpm_open+Sens!$L$6484*Sens!$L$6483)/1000</f>
        <v>226.219286513125</v>
      </c>
      <c r="M6486" s="38" t="n">
        <f aca="false">(mw_open*rpm_open+Sens!$M$6484*Sens!$M$6483)/1000</f>
        <v>267.845161450232</v>
      </c>
      <c r="N6486" s="38" t="n">
        <f aca="false">Sens!$N$6469*rpm_open*Sens!$N$6470/1000</f>
        <v>3.04631953102791</v>
      </c>
      <c r="O6486" s="38" t="n">
        <f aca="false">Sens!$O$6469*rpm_open*Sens!$O$6470/1000</f>
        <v>5.65745055762326</v>
      </c>
      <c r="P6486" s="5" t="s">
        <v>575</v>
      </c>
    </row>
    <row r="6487" customFormat="false" ht="17.15" hidden="false" customHeight="false" outlineLevel="0" collapsed="false">
      <c r="A6487" s="5" t="s">
        <v>576</v>
      </c>
      <c r="B6487" s="0" t="s">
        <v>151</v>
      </c>
      <c r="C6487" s="36" t="n">
        <f aca="false">Sens!$C$6486*1000/(Sens!$C$6469*Sens!$C$6470)</f>
        <v>9.67085565405685</v>
      </c>
      <c r="D6487" s="36" t="n">
        <f aca="false">Sens!$D$6486*1000/(Sens!$D$6469*Sens!$D$6470)</f>
        <v>9.67085565405685</v>
      </c>
      <c r="E6487" s="36" t="n">
        <f aca="false">Sens!$E$6486*1000/(Sens!$E$6469*Sens!$E$6470)</f>
        <v>9.67085565405685</v>
      </c>
      <c r="F6487" s="36" t="n">
        <f aca="false">Sens!$F$6486*1000/(Sens!$F$6469*Sens!$F$6470)</f>
        <v>10.0137581588017</v>
      </c>
      <c r="G6487" s="36" t="n">
        <f aca="false">Sens!$G$6486*1000/(Sens!$G$6469*Sens!$G$6470)</f>
        <v>9.88666562928478</v>
      </c>
      <c r="H6487" s="36" t="n">
        <f aca="false">Sens!$H$6486*1000/(Sens!$H$6469*Sens!$H$6470)</f>
        <v>10.5290045586992</v>
      </c>
      <c r="I6487" s="36" t="n">
        <f aca="false">Sens!$I$6486*1000/(Sens!$I$6469*Sens!$I$6470)</f>
        <v>10.8576363451674</v>
      </c>
      <c r="J6487" s="36" t="n">
        <f aca="false">Sens!$J$6486*1000/(Sens!$J$6469*Sens!$J$6470)</f>
        <v>11.0164452588619</v>
      </c>
      <c r="K6487" s="36" t="n">
        <f aca="false">Sens!$K$6486*1000/(Sens!$K$6469*Sens!$K$6470)</f>
        <v>11.1094778327388</v>
      </c>
      <c r="L6487" s="36" t="n">
        <f aca="false">Sens!$L$6486*1000/(Sens!$L$6469*Sens!$L$6470)</f>
        <v>11.1704953466718</v>
      </c>
      <c r="M6487" s="36" t="n">
        <f aca="false">Sens!$M$6486*1000/(Sens!$M$6469*Sens!$M$6470)</f>
        <v>11.2135729785158</v>
      </c>
      <c r="N6487" s="36" t="n">
        <f aca="false">Sens!$N$6486*1000/(Sens!$N$6469*Sens!$N$6470)</f>
        <v>9.67085565405685</v>
      </c>
      <c r="O6487" s="36" t="n">
        <f aca="false">Sens!$O$6486*1000/(Sens!$O$6469*Sens!$O$6470)</f>
        <v>9.67085565405685</v>
      </c>
    </row>
    <row r="6488" customFormat="false" ht="17.15" hidden="false" customHeight="false" outlineLevel="0" collapsed="false">
      <c r="A6488" s="0" t="s">
        <v>577</v>
      </c>
      <c r="B6488" s="0" t="s">
        <v>73</v>
      </c>
      <c r="C6488" s="38" t="n">
        <f aca="false">Sens!$C$6469/ext_sh*(ox_open+rent_mw)*Sens!$C$6470/1000</f>
        <v>0.642569210675032</v>
      </c>
      <c r="D6488" s="38" t="n">
        <f aca="false">Sens!$D$6469/ext_sh*(ox_open+rent_mw)*Sens!$D$6470/1000</f>
        <v>2.40963454003137</v>
      </c>
      <c r="E6488" s="38" t="n">
        <f aca="false">Sens!$E$6469/ext_sh*(ox_open+rent_mw)*Sens!$E$6470/1000</f>
        <v>2.35608710580845</v>
      </c>
      <c r="F6488" s="38" t="n">
        <f aca="false">((mw_open*ox_open+Sens!$F$6484*Sens!$F$6482)/ext_sh+Sens!$F$6469/ext_sh*rent_mw)*Sens!$F$6470/1000</f>
        <v>4.05421991106232</v>
      </c>
      <c r="G6488" s="38" t="n">
        <f aca="false">Sens!$E$6488+Sens!$F$6488</f>
        <v>6.41030701687077</v>
      </c>
      <c r="H6488" s="38" t="n">
        <f aca="false">((mw_open*ox_open+Sens!$H$6484*Sens!$H$6482)/ext_sh+Sens!$H$6469/ext_sh*rent_mw)*Sens!$H$6470/1000</f>
        <v>15.8108975546616</v>
      </c>
      <c r="I6488" s="38" t="n">
        <f aca="false">((mw_open*ox_open+Sens!$I$6484*Sens!$I$6482)/ext_sh+Sens!$I$6469/ext_sh*rent_mw)*Sens!$I$6470/1000</f>
        <v>26.1871623400817</v>
      </c>
      <c r="J6488" s="38" t="n">
        <f aca="false">((mw_open*ox_open+Sens!$J$6484*Sens!$J$6482)/ext_sh+Sens!$J$6469/ext_sh*rent_mw)*Sens!$J$6470/1000</f>
        <v>36.5826128954935</v>
      </c>
      <c r="K6488" s="38" t="n">
        <f aca="false">((mw_open*ox_open+Sens!$K$6484*Sens!$K$6482)/ext_sh+Sens!$K$6469/ext_sh*rent_mw)*Sens!$K$6470/1000</f>
        <v>46.9844587075692</v>
      </c>
      <c r="L6488" s="38" t="n">
        <f aca="false">((mw_open*ox_open+Sens!$L$6484*Sens!$L$6482)/ext_sh+Sens!$L$6469/ext_sh*rent_mw)*Sens!$L$6470/1000</f>
        <v>57.3892114544922</v>
      </c>
      <c r="M6488" s="38" t="n">
        <f aca="false">((mw_open*ox_open+Sens!$M$6484*Sens!$M$6482)/ext_sh+Sens!$M$6469/ext_sh*rent_mw)*Sens!$M$6470/1000</f>
        <v>67.7955294740252</v>
      </c>
      <c r="N6488" s="38" t="n">
        <f aca="false">Sens!$N$6469/ext_sh*(ox_open+rent_mw)*Sens!$N$6470/1000</f>
        <v>0.84337208901098</v>
      </c>
      <c r="O6488" s="38" t="n">
        <f aca="false">Sens!$O$6469/ext_sh*(ox_open+rent_mw)*Sens!$O$6470/1000</f>
        <v>1.56626245102039</v>
      </c>
    </row>
    <row r="6489" customFormat="false" ht="17.15" hidden="false" customHeight="false" outlineLevel="0" collapsed="false">
      <c r="A6489" s="0" t="s">
        <v>578</v>
      </c>
      <c r="B6489" s="0" t="s">
        <v>73</v>
      </c>
      <c r="C6489" s="38" t="n">
        <f aca="false">Q!$D$7</f>
        <v>107.556</v>
      </c>
      <c r="D6489" s="38" t="n">
        <f aca="false">Q!$E$7</f>
        <v>128.725</v>
      </c>
      <c r="E6489" s="38" t="n">
        <f aca="false">Q!$P$7</f>
        <v>79.819</v>
      </c>
      <c r="N6489" s="38" t="n">
        <f aca="false">Q!$N$7</f>
        <v>60.14</v>
      </c>
      <c r="O6489" s="38" t="n">
        <f aca="false">Q!$O$7</f>
        <v>68.585</v>
      </c>
    </row>
    <row r="6490" customFormat="false" ht="17.15" hidden="false" customHeight="false" outlineLevel="0" collapsed="false">
      <c r="A6490" s="1" t="s">
        <v>579</v>
      </c>
      <c r="B6490" s="8" t="s">
        <v>73</v>
      </c>
      <c r="C6490" s="38" t="n">
        <f aca="false">Sens!$C$6489-Sens!$C$6486</f>
        <v>105.234994643026</v>
      </c>
      <c r="D6490" s="38" t="n">
        <f aca="false">Sens!$D$6489-Sens!$D$6486</f>
        <v>120.021229911349</v>
      </c>
      <c r="E6490" s="38" t="n">
        <f aca="false">Sens!$E$6489-Sens!$E$6486</f>
        <v>71.30864702443</v>
      </c>
      <c r="F6490" s="38" t="n">
        <f aca="false">Sens!$O$6490*(1+Sens!$F$6491)</f>
        <v>78.5950104186653</v>
      </c>
      <c r="G6490" s="38" t="n">
        <f aca="false">Sens!$E$6490+Sens!$F$6490</f>
        <v>149.903657443095</v>
      </c>
      <c r="H6490" s="38" t="n">
        <f aca="false">Sens!$G$6490*(1+Sens!$H$6491)</f>
        <v>180.893560768142</v>
      </c>
      <c r="I6490" s="38" t="n">
        <f aca="false">Sens!$H$6490*(1+Sens!$I$6491)</f>
        <v>210.64839721501</v>
      </c>
      <c r="J6490" s="38" t="n">
        <f aca="false">Sens!$I$6490*(1+Sens!$J$6491)</f>
        <v>236.398909446495</v>
      </c>
      <c r="K6490" s="38" t="n">
        <f aca="false">Sens!$J$6490*(1+Sens!$K$6491)</f>
        <v>255.310822202215</v>
      </c>
      <c r="L6490" s="38" t="n">
        <f aca="false">Sens!$K$6490*(1+Sens!$L$6491)</f>
        <v>275.735687978392</v>
      </c>
      <c r="M6490" s="38" t="n">
        <f aca="false">Sens!$L$6490*(1+Sens!$M$6491)</f>
        <v>297.794543016663</v>
      </c>
      <c r="N6490" s="38" t="n">
        <f aca="false">Sens!$N$6489-Sens!$N$6486</f>
        <v>57.0936804689721</v>
      </c>
      <c r="O6490" s="38" t="n">
        <f aca="false">Sens!$O$6489-Sens!$O$6486</f>
        <v>62.9275494423768</v>
      </c>
      <c r="P6490" s="5" t="s">
        <v>580</v>
      </c>
    </row>
    <row r="6491" customFormat="false" ht="17.15" hidden="false" customHeight="false" outlineLevel="0" collapsed="false">
      <c r="A6491" s="0" t="s">
        <v>581</v>
      </c>
      <c r="B6491" s="0" t="s">
        <v>52</v>
      </c>
      <c r="E6491" s="12" t="n">
        <f aca="false">Sens!$E$6490/Sens!$N$6490-1</f>
        <v>0.248976181579029</v>
      </c>
      <c r="F6491" s="12" t="n">
        <f aca="false">Sens!$E$6491</f>
        <v>0.248976181579029</v>
      </c>
      <c r="G6491" s="12" t="n">
        <f aca="false">Sens!$G$6490/Sens!$D$6490-1</f>
        <v>0.248976181579029</v>
      </c>
      <c r="H6491" s="12" t="n">
        <f aca="false">Sens!$E$6491+(g_awso_lt-Sens!$E$6491)*1/4</f>
        <v>0.206732136184272</v>
      </c>
      <c r="I6491" s="12" t="n">
        <f aca="false">Sens!$E$6491+(g_awso_lt-Sens!$E$6491)*2/4</f>
        <v>0.164488090789515</v>
      </c>
      <c r="J6491" s="12" t="n">
        <f aca="false">Sens!$E$6491+(g_awso_lt-Sens!$E$6491)*3/4</f>
        <v>0.122244045394757</v>
      </c>
      <c r="K6491" s="12" t="n">
        <f aca="false">Sens!$E$6491+(g_awso_lt-Sens!$E$6491)*4/4</f>
        <v>0.08</v>
      </c>
      <c r="L6491" s="12" t="n">
        <f aca="false">g_awso_lt</f>
        <v>0.08</v>
      </c>
      <c r="M6491" s="12" t="n">
        <f aca="false">g_awso_lt</f>
        <v>0.08</v>
      </c>
      <c r="P6491" s="8" t="s">
        <v>582</v>
      </c>
    </row>
    <row r="6492" customFormat="false" ht="17.15" hidden="false" customHeight="false" outlineLevel="0" collapsed="false">
      <c r="A6492" s="1" t="s">
        <v>583</v>
      </c>
    </row>
    <row r="6493" customFormat="false" ht="17.15" hidden="false" customHeight="false" outlineLevel="0" collapsed="false">
      <c r="A6493" s="0" t="s">
        <v>584</v>
      </c>
      <c r="B6493" s="0" t="s">
        <v>73</v>
      </c>
      <c r="F6493" s="38" t="n">
        <f aca="false">cx_rt*Sens!$F$6459+cx_awso*Sens!$F$6490</f>
        <v>36.8045765066526</v>
      </c>
    </row>
    <row r="6494" customFormat="false" ht="17.15" hidden="false" customHeight="false" outlineLevel="0" collapsed="false">
      <c r="A6494" s="0" t="s">
        <v>585</v>
      </c>
      <c r="B6494" s="0" t="s">
        <v>52</v>
      </c>
      <c r="C6494" s="12" t="n">
        <f aca="false">tk_cx_h100/(tk_cx_h100+tk_fac*(1-colo_sh))</f>
        <v>0.730756458006641</v>
      </c>
      <c r="D6494" s="12" t="n">
        <f aca="false">tk_cx_h100/(tk_cx_h100+tk_fac*(1-colo_sh))</f>
        <v>0.730756458006641</v>
      </c>
      <c r="E6494" s="12" t="n">
        <f aca="false">Sens!$F$6494</f>
        <v>0.760792334328868</v>
      </c>
      <c r="F6494" s="12" t="n">
        <f aca="false">Sens!$F$6477/(Sens!$F$6477+tk_fac*(1-colo_sh))</f>
        <v>0.760792334328868</v>
      </c>
      <c r="G6494" s="12" t="n">
        <f aca="false">Sens!$G$6477/(Sens!$G$6477+tk_fac*(1-colo_sh))</f>
        <v>0.760792334328868</v>
      </c>
      <c r="H6494" s="12" t="n">
        <f aca="false">Sens!$H$6477/(Sens!$H$6477+tk_fac*(1-colo_sh))</f>
        <v>0.768110668862996</v>
      </c>
      <c r="I6494" s="12" t="n">
        <f aca="false">Sens!$I$6477/(Sens!$I$6477+tk_fac*(1-colo_sh))</f>
        <v>0.77499450139483</v>
      </c>
      <c r="J6494" s="12" t="n">
        <f aca="false">Sens!$J$6477/(Sens!$J$6477+tk_fac*(1-colo_sh))</f>
        <v>0.77499450139483</v>
      </c>
      <c r="K6494" s="12" t="n">
        <f aca="false">Sens!$K$6477/(Sens!$K$6477+tk_fac*(1-colo_sh))</f>
        <v>0.77499450139483</v>
      </c>
      <c r="L6494" s="12" t="n">
        <f aca="false">Sens!$L$6477/(Sens!$L$6477+tk_fac*(1-colo_sh))</f>
        <v>0.77499450139483</v>
      </c>
      <c r="M6494" s="12" t="n">
        <f aca="false">Sens!$M$6477/(Sens!$M$6477+tk_fac*(1-colo_sh))</f>
        <v>0.77499450139483</v>
      </c>
    </row>
    <row r="6495" customFormat="false" ht="17.15" hidden="false" customHeight="false" outlineLevel="0" collapsed="false">
      <c r="A6495" s="1" t="s">
        <v>586</v>
      </c>
      <c r="B6495" s="8" t="s">
        <v>73</v>
      </c>
      <c r="C6495" s="38" t="n">
        <f aca="false">Q!$D$46-cx_rt*Q!$D$16-cx_awso*Sens!$C$6490</f>
        <v>25.2781053077374</v>
      </c>
      <c r="D6495" s="38" t="n">
        <f aca="false">Q!$E$46-cx_rt*Q!$E$16-cx_awso*Sens!$D$6490</f>
        <v>69.5686316310026</v>
      </c>
      <c r="E6495" s="38" t="n">
        <f aca="false">Q!$P$46-cx_rt*Q!$P$16-cx_awso*Sens!$E$6490</f>
        <v>64.1899206485108</v>
      </c>
      <c r="F6495" s="38" t="n">
        <f aca="false">MAX(Sens!$F$6472*(Sens!$F$6477+tk_fac*(1-colo_sh))/1000,capex_g26-Q!$P$46-Sens!$F$6493)</f>
        <v>96.2481299895</v>
      </c>
      <c r="G6495" s="38" t="n">
        <f aca="false">Sens!$E$6495+Sens!$F$6495</f>
        <v>160.438050638011</v>
      </c>
      <c r="H6495" s="38" t="n">
        <f aca="false">Sens!$H$6472*(Sens!$H$6477+tk_fac*(1-colo_sh))/1000+Sens!$H$6496</f>
        <v>198.57136494475</v>
      </c>
      <c r="I6495" s="38" t="n">
        <f aca="false">Sens!$I$6472*(Sens!$I$6477+tk_fac*(1-colo_sh))/1000+Sens!$I$6496</f>
        <v>204.6464699105</v>
      </c>
      <c r="J6495" s="38" t="n">
        <f aca="false">Sens!$J$6472*(Sens!$J$6477+tk_fac*(1-colo_sh))/1000+Sens!$J$6496</f>
        <v>209.8832381105</v>
      </c>
      <c r="K6495" s="38" t="n">
        <f aca="false">Sens!$K$6472*(Sens!$K$6477+tk_fac*(1-colo_sh))/1000+Sens!$K$6496</f>
        <v>215.1200063105</v>
      </c>
      <c r="L6495" s="38" t="n">
        <f aca="false">Sens!$L$6472*(Sens!$L$6477+tk_fac*(1-colo_sh))/1000+Sens!$L$6496</f>
        <v>251.7773837105</v>
      </c>
      <c r="M6495" s="38" t="n">
        <f aca="false">Sens!$M$6472*(Sens!$M$6477+tk_fac*(1-colo_sh))/1000+Sens!$M$6496</f>
        <v>311.87584476575</v>
      </c>
      <c r="P6495" s="5" t="s">
        <v>587</v>
      </c>
      <c r="R6495" s="38" t="n">
        <f aca="false">Q!$C$46-cx_rt*Q!$C$16-cx_awso*(Q!$C$7-mw_ye23/2*rpm_open/1000)</f>
        <v>1.50429979529945</v>
      </c>
      <c r="S6495" s="38" t="n">
        <f aca="false">Sens!$C$6495</f>
        <v>25.2781053077374</v>
      </c>
      <c r="T6495" s="38" t="n">
        <f aca="false">Sens!$D$6495</f>
        <v>69.5686316310026</v>
      </c>
      <c r="U6495" s="38" t="n">
        <f aca="false">Sens!$G$6495</f>
        <v>160.438050638011</v>
      </c>
      <c r="V6495" s="38" t="n">
        <f aca="false">Sens!$H$6495</f>
        <v>198.57136494475</v>
      </c>
      <c r="W6495" s="38" t="n">
        <f aca="false">Sens!$I$6495</f>
        <v>204.6464699105</v>
      </c>
      <c r="X6495" s="38" t="n">
        <f aca="false">Sens!$J$6495</f>
        <v>209.8832381105</v>
      </c>
      <c r="Y6495" s="38" t="n">
        <f aca="false">Sens!$K$6495</f>
        <v>215.1200063105</v>
      </c>
      <c r="Z6495" s="38" t="n">
        <f aca="false">Sens!$L$6495</f>
        <v>251.7773837105</v>
      </c>
      <c r="AA6495" s="38" t="n">
        <f aca="false">Sens!$M$6495</f>
        <v>311.87584476575</v>
      </c>
    </row>
    <row r="6496" customFormat="false" ht="17.15" hidden="false" customHeight="false" outlineLevel="0" collapsed="false">
      <c r="A6496" s="0" t="s">
        <v>588</v>
      </c>
      <c r="B6496" s="0" t="s">
        <v>73</v>
      </c>
      <c r="H6496" s="38" t="n">
        <f aca="false">SUMPRODUCT(--(Sens!$R$6466:$AA$6466=2027-tk_life),Sens!$R$6472:$AA$6472)*Sens!$H$6477/1000</f>
        <v>0</v>
      </c>
      <c r="I6496" s="38" t="n">
        <f aca="false">SUMPRODUCT(--(Sens!$R$6466:$AA$6466=2028-tk_life),Sens!$R$6472:$AA$6472)*Sens!$I$6477/1000</f>
        <v>0</v>
      </c>
      <c r="J6496" s="38" t="n">
        <f aca="false">SUMPRODUCT(--(Sens!$R$6466:$AA$6466=2029-tk_life),Sens!$R$6472:$AA$6472)*Sens!$J$6477/1000</f>
        <v>5.2367682</v>
      </c>
      <c r="K6496" s="38" t="n">
        <f aca="false">SUMPRODUCT(--(Sens!$R$6466:$AA$6466=2030-tk_life),Sens!$R$6472:$AA$6472)*Sens!$K$6477/1000</f>
        <v>10.4735364</v>
      </c>
      <c r="L6496" s="38" t="n">
        <f aca="false">SUMPRODUCT(--(Sens!$R$6466:$AA$6466=2031-tk_life),Sens!$R$6472:$AA$6472)*Sens!$L$6477/1000</f>
        <v>47.1309138</v>
      </c>
      <c r="M6496" s="38" t="n">
        <f aca="false">SUMPRODUCT(--(Sens!$R$6466:$AA$6466=2032-tk_life),Sens!$R$6472:$AA$6472)*Sens!$M$6477/1000</f>
        <v>107.22937485525</v>
      </c>
    </row>
    <row r="6497" customFormat="false" ht="17.15" hidden="false" customHeight="false" outlineLevel="0" collapsed="false">
      <c r="A6497" s="5" t="s">
        <v>589</v>
      </c>
      <c r="B6497" s="0" t="s">
        <v>73</v>
      </c>
      <c r="C6497" s="38" t="n">
        <f aca="false">Sens!$C$6495*Sens!$C$6494</f>
        <v>18.472138699801</v>
      </c>
      <c r="D6497" s="38" t="n">
        <f aca="false">Sens!$D$6495*Sens!$D$6494</f>
        <v>50.8377268390402</v>
      </c>
      <c r="E6497" s="38" t="n">
        <f aca="false">Sens!$E$6495*Sens!$E$6494</f>
        <v>48.8351995705653</v>
      </c>
      <c r="F6497" s="38" t="n">
        <f aca="false">Sens!$F$6495*Sens!$F$6494</f>
        <v>73.2248394895</v>
      </c>
      <c r="G6497" s="38" t="n">
        <f aca="false">Sens!$E$6497+Sens!$F$6497</f>
        <v>122.060039060065</v>
      </c>
      <c r="H6497" s="38" t="n">
        <f aca="false">(Sens!$H$6495-Sens!$H$6496)*Sens!$H$6494+Sens!$H$6496</f>
        <v>152.52478394475</v>
      </c>
      <c r="I6497" s="38" t="n">
        <f aca="false">(Sens!$I$6495-Sens!$I$6496)*Sens!$I$6494+Sens!$I$6496</f>
        <v>158.5998889105</v>
      </c>
      <c r="J6497" s="38" t="n">
        <f aca="false">(Sens!$J$6495-Sens!$J$6496)*Sens!$J$6494+Sens!$J$6496</f>
        <v>163.8366571105</v>
      </c>
      <c r="K6497" s="38" t="n">
        <f aca="false">(Sens!$K$6495-Sens!$K$6496)*Sens!$K$6494+Sens!$K$6496</f>
        <v>169.0734253105</v>
      </c>
      <c r="L6497" s="38" t="n">
        <f aca="false">(Sens!$L$6495-Sens!$L$6496)*Sens!$L$6494+Sens!$L$6496</f>
        <v>205.7308027105</v>
      </c>
      <c r="M6497" s="38" t="n">
        <f aca="false">(Sens!$M$6495-Sens!$M$6496)*Sens!$M$6494+Sens!$M$6496</f>
        <v>265.82926376575</v>
      </c>
      <c r="R6497" s="38" t="n">
        <f aca="false">Sens!$R$6495*Sens!$C$6494</f>
        <v>1.09927679019314</v>
      </c>
      <c r="S6497" s="38" t="n">
        <f aca="false">Sens!$C$6497</f>
        <v>18.472138699801</v>
      </c>
      <c r="T6497" s="38" t="n">
        <f aca="false">Sens!$D$6497</f>
        <v>50.8377268390402</v>
      </c>
      <c r="U6497" s="38" t="n">
        <f aca="false">Sens!$G$6497</f>
        <v>122.060039060065</v>
      </c>
      <c r="V6497" s="38" t="n">
        <f aca="false">Sens!$H$6497</f>
        <v>152.52478394475</v>
      </c>
      <c r="W6497" s="38" t="n">
        <f aca="false">Sens!$I$6497</f>
        <v>158.5998889105</v>
      </c>
      <c r="X6497" s="38" t="n">
        <f aca="false">Sens!$J$6497</f>
        <v>163.8366571105</v>
      </c>
      <c r="Y6497" s="38" t="n">
        <f aca="false">Sens!$K$6497</f>
        <v>169.0734253105</v>
      </c>
      <c r="Z6497" s="38" t="n">
        <f aca="false">Sens!$L$6497</f>
        <v>205.7308027105</v>
      </c>
      <c r="AA6497" s="38" t="n">
        <f aca="false">Sens!$M$6497</f>
        <v>265.82926376575</v>
      </c>
    </row>
    <row r="6498" customFormat="false" ht="15" hidden="false" customHeight="false" outlineLevel="0" collapsed="false">
      <c r="A6498" s="5" t="s">
        <v>590</v>
      </c>
      <c r="B6498" s="0" t="s">
        <v>73</v>
      </c>
      <c r="R6498" s="38" t="n">
        <f aca="false">Sens!$R$6495-Sens!$R$6497</f>
        <v>0.405023005106309</v>
      </c>
      <c r="S6498" s="38" t="n">
        <f aca="false">Sens!$S$6495-Sens!$S$6497</f>
        <v>6.80596660793636</v>
      </c>
      <c r="T6498" s="38" t="n">
        <f aca="false">Sens!$T$6495-Sens!$T$6497</f>
        <v>18.7309047919624</v>
      </c>
      <c r="U6498" s="38" t="n">
        <f aca="false">Sens!$U$6495-Sens!$U$6497</f>
        <v>38.3780115779455</v>
      </c>
      <c r="V6498" s="38" t="n">
        <f aca="false">Sens!$V$6495-Sens!$V$6497</f>
        <v>46.046581</v>
      </c>
      <c r="W6498" s="38" t="n">
        <f aca="false">Sens!$W$6495-Sens!$W$6497</f>
        <v>46.046581</v>
      </c>
      <c r="X6498" s="38" t="n">
        <f aca="false">Sens!$X$6495-Sens!$X$6497</f>
        <v>46.046581</v>
      </c>
      <c r="Y6498" s="38" t="n">
        <f aca="false">Sens!$Y$6495-Sens!$Y$6497</f>
        <v>46.046581</v>
      </c>
      <c r="Z6498" s="38" t="n">
        <f aca="false">Sens!$Z$6495-Sens!$Z$6497</f>
        <v>46.046581</v>
      </c>
      <c r="AA6498" s="38" t="n">
        <f aca="false">Sens!$AA$6495-Sens!$AA$6497</f>
        <v>46.046581</v>
      </c>
    </row>
    <row r="6499" customFormat="false" ht="17.15" hidden="false" customHeight="false" outlineLevel="0" collapsed="false">
      <c r="A6499" s="0" t="s">
        <v>591</v>
      </c>
      <c r="B6499" s="0" t="s">
        <v>73</v>
      </c>
      <c r="C6499" s="38" t="n">
        <f aca="false">Sens!$S$6499</f>
        <v>0.183212798365523</v>
      </c>
      <c r="D6499" s="38" t="n">
        <f aca="false">Sens!$T$6499</f>
        <v>3.2619025816657</v>
      </c>
      <c r="E6499" s="38" t="n">
        <f aca="false">Sens!$G$6499/2</f>
        <v>5.86742852741953</v>
      </c>
      <c r="F6499" s="38" t="n">
        <f aca="false">Sens!$G$6499/2</f>
        <v>5.86742852741953</v>
      </c>
      <c r="G6499" s="38" t="n">
        <f aca="false">Sens!$U$6499</f>
        <v>11.7348570548391</v>
      </c>
      <c r="H6499" s="38" t="n">
        <f aca="false">Sens!$V$6499</f>
        <v>32.0781968981833</v>
      </c>
      <c r="I6499" s="38" t="n">
        <f aca="false">Sens!$W$6499</f>
        <v>57.4989942223083</v>
      </c>
      <c r="J6499" s="38" t="n">
        <f aca="false">Sens!$X$6499</f>
        <v>83.932309040725</v>
      </c>
      <c r="K6499" s="38" t="n">
        <f aca="false">Sens!$Y$6499</f>
        <v>111.055205760776</v>
      </c>
      <c r="L6499" s="38" t="n">
        <f aca="false">Sens!$Z$6499</f>
        <v>136.155420195893</v>
      </c>
      <c r="M6499" s="38" t="n">
        <f aca="false">Sens!$AA$6499</f>
        <v>161.970932841136</v>
      </c>
      <c r="N6499" s="38" t="n">
        <f aca="false">Sens!$D$6499/2</f>
        <v>1.63095129083285</v>
      </c>
      <c r="O6499" s="38" t="n">
        <f aca="false">Sens!$D$6499/2</f>
        <v>1.63095129083285</v>
      </c>
      <c r="R6499" s="38" t="n">
        <f aca="false">SUMPRODUCT(--(Sens!$R$6466:$AA$6466&lt;Sens!R$6466),--(Sens!$R$6466:$AA$6466&gt;=Sens!R$6466-tk_life),Sens!$R$6497:$AA$6497)/tk_life</f>
        <v>0</v>
      </c>
      <c r="S6499" s="38" t="n">
        <f aca="false">SUMPRODUCT(--(Sens!$R$6466:$AA$6466&lt;Sens!S$6466),--(Sens!$R$6466:$AA$6466&gt;=Sens!S$6466-tk_life),Sens!$R$6497:$AA$6497)/tk_life</f>
        <v>0.183212798365523</v>
      </c>
      <c r="T6499" s="38" t="n">
        <f aca="false">SUMPRODUCT(--(Sens!$R$6466:$AA$6466&lt;Sens!T$6466),--(Sens!$R$6466:$AA$6466&gt;=Sens!T$6466-tk_life),Sens!$R$6497:$AA$6497)/tk_life</f>
        <v>3.2619025816657</v>
      </c>
      <c r="U6499" s="38" t="n">
        <f aca="false">SUMPRODUCT(--(Sens!$R$6466:$AA$6466&lt;Sens!U$6466),--(Sens!$R$6466:$AA$6466&gt;=Sens!U$6466-tk_life),Sens!$R$6497:$AA$6497)/tk_life</f>
        <v>11.7348570548391</v>
      </c>
      <c r="V6499" s="38" t="n">
        <f aca="false">SUMPRODUCT(--(Sens!$R$6466:$AA$6466&lt;Sens!V$6466),--(Sens!$R$6466:$AA$6466&gt;=Sens!V$6466-tk_life),Sens!$R$6497:$AA$6497)/tk_life</f>
        <v>32.0781968981833</v>
      </c>
      <c r="W6499" s="38" t="n">
        <f aca="false">SUMPRODUCT(--(Sens!$R$6466:$AA$6466&lt;Sens!W$6466),--(Sens!$R$6466:$AA$6466&gt;=Sens!W$6466-tk_life),Sens!$R$6497:$AA$6497)/tk_life</f>
        <v>57.4989942223083</v>
      </c>
      <c r="X6499" s="38" t="n">
        <f aca="false">SUMPRODUCT(--(Sens!$R$6466:$AA$6466&lt;Sens!X$6466),--(Sens!$R$6466:$AA$6466&gt;=Sens!X$6466-tk_life),Sens!$R$6497:$AA$6497)/tk_life</f>
        <v>83.932309040725</v>
      </c>
      <c r="Y6499" s="38" t="n">
        <f aca="false">SUMPRODUCT(--(Sens!$R$6466:$AA$6466&lt;Sens!Y$6466),--(Sens!$R$6466:$AA$6466&gt;=Sens!Y$6466-tk_life),Sens!$R$6497:$AA$6497)/tk_life</f>
        <v>111.055205760776</v>
      </c>
      <c r="Z6499" s="38" t="n">
        <f aca="false">SUMPRODUCT(--(Sens!$R$6466:$AA$6466&lt;Sens!Z$6466),--(Sens!$R$6466:$AA$6466&gt;=Sens!Z$6466-tk_life),Sens!$R$6497:$AA$6497)/tk_life</f>
        <v>136.155420195893</v>
      </c>
      <c r="AA6499" s="38" t="n">
        <f aca="false">SUMPRODUCT(--(Sens!$R$6466:$AA$6466&lt;Sens!AA$6466),--(Sens!$R$6466:$AA$6466&gt;=Sens!AA$6466-tk_life),Sens!$R$6497:$AA$6497)/tk_life</f>
        <v>161.970932841136</v>
      </c>
    </row>
    <row r="6500" customFormat="false" ht="17.15" hidden="false" customHeight="false" outlineLevel="0" collapsed="false">
      <c r="A6500" s="0" t="s">
        <v>592</v>
      </c>
      <c r="B6500" s="0" t="s">
        <v>73</v>
      </c>
      <c r="C6500" s="38" t="n">
        <f aca="false">Sens!$S$6500</f>
        <v>0.0202511502553155</v>
      </c>
      <c r="D6500" s="38" t="n">
        <f aca="false">Sens!$T$6500</f>
        <v>0.360549480652134</v>
      </c>
      <c r="E6500" s="38" t="n">
        <f aca="false">Sens!$G$6500/2</f>
        <v>0.648547360125127</v>
      </c>
      <c r="F6500" s="38" t="n">
        <f aca="false">Sens!$G$6500/2</f>
        <v>0.648547360125127</v>
      </c>
      <c r="G6500" s="38" t="n">
        <f aca="false">Sens!$U$6500</f>
        <v>1.29709472025025</v>
      </c>
      <c r="H6500" s="38" t="n">
        <f aca="false">Sens!$V$6500</f>
        <v>3.21599529914753</v>
      </c>
      <c r="I6500" s="38" t="n">
        <f aca="false">Sens!$W$6500</f>
        <v>5.51832434914753</v>
      </c>
      <c r="J6500" s="38" t="n">
        <f aca="false">Sens!$X$6500</f>
        <v>7.82065339914753</v>
      </c>
      <c r="K6500" s="38" t="n">
        <f aca="false">Sens!$Y$6500</f>
        <v>10.1229824491475</v>
      </c>
      <c r="L6500" s="38" t="n">
        <f aca="false">Sens!$Z$6500</f>
        <v>12.4253114991475</v>
      </c>
      <c r="M6500" s="38" t="n">
        <f aca="false">Sens!$AA$6500</f>
        <v>14.7276405491475</v>
      </c>
      <c r="N6500" s="38" t="n">
        <f aca="false">Sens!$D$6500/2</f>
        <v>0.180274740326067</v>
      </c>
      <c r="O6500" s="38" t="n">
        <f aca="false">Sens!$D$6500/2</f>
        <v>0.180274740326067</v>
      </c>
      <c r="R6500" s="38" t="n">
        <f aca="false">SUMPRODUCT(--(Sens!$R$6466:$AA$6466&lt;Sens!R$6466),Sens!$R$6498:$AA$6498)/fac_life</f>
        <v>0</v>
      </c>
      <c r="S6500" s="38" t="n">
        <f aca="false">SUMPRODUCT(--(Sens!$R$6466:$AA$6466&lt;Sens!S$6466),Sens!$R$6498:$AA$6498)/fac_life</f>
        <v>0.0202511502553155</v>
      </c>
      <c r="T6500" s="38" t="n">
        <f aca="false">SUMPRODUCT(--(Sens!$R$6466:$AA$6466&lt;Sens!T$6466),Sens!$R$6498:$AA$6498)/fac_life</f>
        <v>0.360549480652134</v>
      </c>
      <c r="U6500" s="38" t="n">
        <f aca="false">SUMPRODUCT(--(Sens!$R$6466:$AA$6466&lt;Sens!U$6466),Sens!$R$6498:$AA$6498)/fac_life</f>
        <v>1.29709472025025</v>
      </c>
      <c r="V6500" s="38" t="n">
        <f aca="false">SUMPRODUCT(--(Sens!$R$6466:$AA$6466&lt;Sens!V$6466),Sens!$R$6498:$AA$6498)/fac_life</f>
        <v>3.21599529914753</v>
      </c>
      <c r="W6500" s="38" t="n">
        <f aca="false">SUMPRODUCT(--(Sens!$R$6466:$AA$6466&lt;Sens!W$6466),Sens!$R$6498:$AA$6498)/fac_life</f>
        <v>5.51832434914753</v>
      </c>
      <c r="X6500" s="38" t="n">
        <f aca="false">SUMPRODUCT(--(Sens!$R$6466:$AA$6466&lt;Sens!X$6466),Sens!$R$6498:$AA$6498)/fac_life</f>
        <v>7.82065339914753</v>
      </c>
      <c r="Y6500" s="38" t="n">
        <f aca="false">SUMPRODUCT(--(Sens!$R$6466:$AA$6466&lt;Sens!Y$6466),Sens!$R$6498:$AA$6498)/fac_life</f>
        <v>10.1229824491475</v>
      </c>
      <c r="Z6500" s="38" t="n">
        <f aca="false">SUMPRODUCT(--(Sens!$R$6466:$AA$6466&lt;Sens!Z$6466),Sens!$R$6498:$AA$6498)/fac_life</f>
        <v>12.4253114991475</v>
      </c>
      <c r="AA6500" s="38" t="n">
        <f aca="false">SUMPRODUCT(--(Sens!$R$6466:$AA$6466&lt;Sens!AA$6466),Sens!$R$6498:$AA$6498)/fac_life</f>
        <v>14.7276405491475</v>
      </c>
    </row>
    <row r="6501" customFormat="false" ht="17.15" hidden="false" customHeight="false" outlineLevel="0" collapsed="false">
      <c r="A6501" s="1" t="s">
        <v>593</v>
      </c>
      <c r="B6501" s="8" t="s">
        <v>73</v>
      </c>
      <c r="C6501" s="38" t="n">
        <f aca="false">Sens!$C$6499+Sens!$C$6500</f>
        <v>0.203463948620839</v>
      </c>
      <c r="D6501" s="38" t="n">
        <f aca="false">Sens!$D$6499+Sens!$D$6500</f>
        <v>3.62245206231783</v>
      </c>
      <c r="E6501" s="38" t="n">
        <f aca="false">Sens!$E$6499+Sens!$E$6500</f>
        <v>6.51597588754466</v>
      </c>
      <c r="F6501" s="38" t="n">
        <f aca="false">Sens!$F$6499+Sens!$F$6500</f>
        <v>6.51597588754466</v>
      </c>
      <c r="G6501" s="38" t="n">
        <f aca="false">Sens!$G$6499+Sens!$G$6500</f>
        <v>13.0319517750893</v>
      </c>
      <c r="H6501" s="38" t="n">
        <f aca="false">Sens!$H$6499+Sens!$H$6500</f>
        <v>35.2941921973308</v>
      </c>
      <c r="I6501" s="38" t="n">
        <f aca="false">Sens!$I$6499+Sens!$I$6500</f>
        <v>63.0173185714558</v>
      </c>
      <c r="J6501" s="38" t="n">
        <f aca="false">Sens!$J$6499+Sens!$J$6500</f>
        <v>91.7529624398725</v>
      </c>
      <c r="K6501" s="38" t="n">
        <f aca="false">Sens!$K$6499+Sens!$K$6500</f>
        <v>121.178188209924</v>
      </c>
      <c r="L6501" s="38" t="n">
        <f aca="false">Sens!$L$6499+Sens!$L$6500</f>
        <v>148.58073169504</v>
      </c>
      <c r="M6501" s="38" t="n">
        <f aca="false">Sens!$M$6499+Sens!$M$6500</f>
        <v>176.698573390283</v>
      </c>
      <c r="N6501" s="38" t="n">
        <f aca="false">Sens!$N$6499+Sens!$N$6500</f>
        <v>1.81122603115892</v>
      </c>
      <c r="O6501" s="38" t="n">
        <f aca="false">Sens!$O$6499+Sens!$O$6500</f>
        <v>1.81122603115892</v>
      </c>
      <c r="R6501" s="38" t="n">
        <f aca="false">Sens!$R$6499+Sens!$R$6500</f>
        <v>0</v>
      </c>
      <c r="S6501" s="38" t="n">
        <f aca="false">Sens!$S$6499+Sens!$S$6500</f>
        <v>0.203463948620839</v>
      </c>
      <c r="T6501" s="38" t="n">
        <f aca="false">Sens!$T$6499+Sens!$T$6500</f>
        <v>3.62245206231783</v>
      </c>
      <c r="U6501" s="38" t="n">
        <f aca="false">Sens!$U$6499+Sens!$U$6500</f>
        <v>13.0319517750893</v>
      </c>
      <c r="V6501" s="38" t="n">
        <f aca="false">Sens!$V$6499+Sens!$V$6500</f>
        <v>35.2941921973308</v>
      </c>
      <c r="W6501" s="38" t="n">
        <f aca="false">Sens!$W$6499+Sens!$W$6500</f>
        <v>63.0173185714558</v>
      </c>
      <c r="X6501" s="38" t="n">
        <f aca="false">Sens!$X$6499+Sens!$X$6500</f>
        <v>91.7529624398725</v>
      </c>
      <c r="Y6501" s="38" t="n">
        <f aca="false">Sens!$Y$6499+Sens!$Y$6500</f>
        <v>121.178188209924</v>
      </c>
      <c r="Z6501" s="38" t="n">
        <f aca="false">Sens!$Z$6499+Sens!$Z$6500</f>
        <v>148.58073169504</v>
      </c>
      <c r="AA6501" s="38" t="n">
        <f aca="false">Sens!$AA$6499+Sens!$AA$6500</f>
        <v>176.698573390283</v>
      </c>
    </row>
    <row r="6502" customFormat="false" ht="17.15" hidden="false" customHeight="false" outlineLevel="0" collapsed="false">
      <c r="A6502" s="0" t="s">
        <v>594</v>
      </c>
      <c r="B6502" s="0" t="s">
        <v>73</v>
      </c>
      <c r="C6502" s="38" t="n">
        <f aca="false">Sens!$S$6502</f>
        <v>26.578941154416</v>
      </c>
      <c r="D6502" s="38" t="n">
        <f aca="false">Sens!$T$6502</f>
        <v>92.5251207231008</v>
      </c>
      <c r="G6502" s="38" t="n">
        <f aca="false">Sens!$U$6502</f>
        <v>239.931219586022</v>
      </c>
      <c r="H6502" s="38" t="n">
        <f aca="false">Sens!$V$6502</f>
        <v>403.208392333442</v>
      </c>
      <c r="I6502" s="38" t="n">
        <f aca="false">Sens!$W$6502</f>
        <v>544.837543672486</v>
      </c>
      <c r="J6502" s="38" t="n">
        <f aca="false">Sens!$X$6502</f>
        <v>662.967819343113</v>
      </c>
      <c r="K6502" s="38" t="n">
        <f aca="false">Sens!$Y$6502</f>
        <v>756.90963744369</v>
      </c>
      <c r="L6502" s="38" t="n">
        <f aca="false">Sens!$Z$6502</f>
        <v>860.10628945915</v>
      </c>
      <c r="M6502" s="38" t="n">
        <f aca="false">Sens!$AA$6502</f>
        <v>995.283560834616</v>
      </c>
      <c r="R6502" s="38" t="n">
        <f aca="false">SUM(Sens!$R$6495:$R$6495)-SUM(Sens!$R$6501:$R$6501)</f>
        <v>1.50429979529945</v>
      </c>
      <c r="S6502" s="38" t="n">
        <f aca="false">SUM(Sens!$R$6495:$S$6495)-SUM(Sens!$R$6501:$S$6501)</f>
        <v>26.578941154416</v>
      </c>
      <c r="T6502" s="38" t="n">
        <f aca="false">SUM(Sens!$R$6495:$T$6495)-SUM(Sens!$R$6501:$T$6501)</f>
        <v>92.5251207231008</v>
      </c>
      <c r="U6502" s="38" t="n">
        <f aca="false">SUM(Sens!$R$6495:$U$6495)-SUM(Sens!$R$6501:$U$6501)</f>
        <v>239.931219586022</v>
      </c>
      <c r="V6502" s="38" t="n">
        <f aca="false">SUM(Sens!$R$6495:$V$6495)-SUM(Sens!$R$6501:$V$6501)</f>
        <v>403.208392333442</v>
      </c>
      <c r="W6502" s="38" t="n">
        <f aca="false">SUM(Sens!$R$6495:$W$6495)-SUM(Sens!$R$6501:$W$6501)</f>
        <v>544.837543672486</v>
      </c>
      <c r="X6502" s="38" t="n">
        <f aca="false">SUM(Sens!$R$6495:$X$6495)-SUM(Sens!$R$6501:$X$6501)</f>
        <v>662.967819343113</v>
      </c>
      <c r="Y6502" s="38" t="n">
        <f aca="false">SUM(Sens!$R$6495:$Y$6495)-SUM(Sens!$R$6501:$Y$6501)</f>
        <v>756.90963744369</v>
      </c>
      <c r="Z6502" s="38" t="n">
        <f aca="false">SUM(Sens!$R$6495:$Z$6495)-SUM(Sens!$R$6501:$Z$6501)</f>
        <v>860.10628945915</v>
      </c>
      <c r="AA6502" s="38" t="n">
        <f aca="false">SUM(Sens!$R$6495:$AA$6495)-SUM(Sens!$R$6501:$AA$6501)</f>
        <v>995.283560834616</v>
      </c>
    </row>
    <row r="6503" customFormat="false" ht="17.15" hidden="false" customHeight="false" outlineLevel="0" collapsed="false">
      <c r="A6503" s="1" t="s">
        <v>595</v>
      </c>
    </row>
    <row r="6504" customFormat="false" ht="17.15" hidden="false" customHeight="false" outlineLevel="0" collapsed="false">
      <c r="A6504" s="0" t="s">
        <v>596</v>
      </c>
      <c r="B6504" s="0" t="s">
        <v>73</v>
      </c>
      <c r="C6504" s="38" t="n">
        <f aca="false">Sens!$C$6486-ext_sh*Sens!$C$6488</f>
        <v>1.80694998843362</v>
      </c>
      <c r="D6504" s="38" t="n">
        <f aca="false">Sens!$D$6486-ext_sh*Sens!$D$6488</f>
        <v>6.77606245662607</v>
      </c>
      <c r="E6504" s="38" t="n">
        <f aca="false">Sens!$E$6486-ext_sh*Sens!$E$6488</f>
        <v>6.62548329092326</v>
      </c>
      <c r="F6504" s="38" t="n">
        <f aca="false">Sens!$F$6486-ext_sh*Sens!$F$6488</f>
        <v>11.7200577158706</v>
      </c>
      <c r="G6504" s="38" t="n">
        <f aca="false">Sens!$G$6486-ext_sh*Sens!$G$6488</f>
        <v>18.3455410067939</v>
      </c>
      <c r="H6504" s="38" t="n">
        <f aca="false">Sens!$H$6486-ext_sh*Sens!$H$6488</f>
        <v>47.5171727060453</v>
      </c>
      <c r="I6504" s="38" t="n">
        <f aca="false">Sens!$I$6486-ext_sh*Sens!$I$6488</f>
        <v>80.5539692643667</v>
      </c>
      <c r="J6504" s="38" t="n">
        <f aca="false">Sens!$J$6486-ext_sh*Sens!$J$6488</f>
        <v>113.759316834883</v>
      </c>
      <c r="K6504" s="38" t="n">
        <f aca="false">Sens!$K$6486-ext_sh*Sens!$K$6488</f>
        <v>147.020848076132</v>
      </c>
      <c r="L6504" s="38" t="n">
        <f aca="false">Sens!$L$6486-ext_sh*Sens!$L$6488</f>
        <v>180.307917349531</v>
      </c>
      <c r="M6504" s="38" t="n">
        <f aca="false">Sens!$M$6486-ext_sh*Sens!$M$6488</f>
        <v>213.608737871012</v>
      </c>
      <c r="N6504" s="38" t="n">
        <f aca="false">Sens!$N$6486-ext_sh*Sens!$N$6488</f>
        <v>2.37162185981912</v>
      </c>
      <c r="O6504" s="38" t="n">
        <f aca="false">Sens!$O$6486-ext_sh*Sens!$O$6488</f>
        <v>4.40444059680694</v>
      </c>
    </row>
    <row r="6505" customFormat="false" ht="17.15" hidden="false" customHeight="false" outlineLevel="0" collapsed="false">
      <c r="A6505" s="1" t="s">
        <v>597</v>
      </c>
      <c r="B6505" s="8" t="s">
        <v>73</v>
      </c>
      <c r="C6505" s="38" t="n">
        <f aca="false">Sens!$C$6504-ext_sh*Sens!$C$6501</f>
        <v>1.64417882953695</v>
      </c>
      <c r="D6505" s="38" t="n">
        <f aca="false">Sens!$D$6504-ext_sh*Sens!$D$6501</f>
        <v>3.8781008067718</v>
      </c>
      <c r="E6505" s="38" t="n">
        <f aca="false">Sens!$E$6504-ext_sh*Sens!$E$6501</f>
        <v>1.41270258088753</v>
      </c>
      <c r="F6505" s="38" t="n">
        <f aca="false">Sens!$F$6504-ext_sh*Sens!$F$6501</f>
        <v>6.50727700583486</v>
      </c>
      <c r="G6505" s="38" t="n">
        <f aca="false">Sens!$G$6504-ext_sh*Sens!$G$6501</f>
        <v>7.9199795867224</v>
      </c>
      <c r="H6505" s="38" t="n">
        <f aca="false">Sens!$H$6504-ext_sh*Sens!$H$6501</f>
        <v>19.2818189481807</v>
      </c>
      <c r="I6505" s="38" t="n">
        <f aca="false">Sens!$I$6504-ext_sh*Sens!$I$6501</f>
        <v>30.140114407202</v>
      </c>
      <c r="J6505" s="38" t="n">
        <f aca="false">Sens!$J$6504-ext_sh*Sens!$J$6501</f>
        <v>40.3569468829854</v>
      </c>
      <c r="K6505" s="38" t="n">
        <f aca="false">Sens!$K$6504-ext_sh*Sens!$K$6501</f>
        <v>50.0782975081929</v>
      </c>
      <c r="L6505" s="38" t="n">
        <f aca="false">Sens!$L$6504-ext_sh*Sens!$L$6501</f>
        <v>61.443331993499</v>
      </c>
      <c r="M6505" s="38" t="n">
        <f aca="false">Sens!$M$6504-ext_sh*Sens!$M$6501</f>
        <v>72.2498791587849</v>
      </c>
      <c r="N6505" s="38" t="n">
        <f aca="false">Sens!$N$6504-ext_sh*Sens!$N$6501</f>
        <v>0.92264103489199</v>
      </c>
      <c r="O6505" s="38" t="n">
        <f aca="false">Sens!$O$6504-ext_sh*Sens!$O$6501</f>
        <v>2.95545977187981</v>
      </c>
    </row>
    <row r="6506" customFormat="false" ht="17.15" hidden="false" customHeight="false" outlineLevel="0" collapsed="false">
      <c r="A6506" s="0" t="s">
        <v>598</v>
      </c>
      <c r="B6506" s="0" t="s">
        <v>52</v>
      </c>
      <c r="C6506" s="12" t="n">
        <f aca="false">Sens!$C$6505/Sens!$C$6486</f>
        <v>0.708390794789371</v>
      </c>
      <c r="D6506" s="12" t="n">
        <f aca="false">Sens!$D$6505/Sens!$D$6486</f>
        <v>0.445565630441968</v>
      </c>
      <c r="E6506" s="12" t="n">
        <f aca="false">Sens!$E$6505/Sens!$E$6486</f>
        <v>0.165998118402711</v>
      </c>
      <c r="F6506" s="12" t="n">
        <f aca="false">Sens!$F$6505/Sens!$F$6486</f>
        <v>0.434878595403858</v>
      </c>
      <c r="G6506" s="12" t="n">
        <f aca="false">Sens!$G$6505/Sens!$G$6486</f>
        <v>0.3373967615381</v>
      </c>
      <c r="H6506" s="12" t="n">
        <f aca="false">Sens!$H$6505/Sens!$H$6486</f>
        <v>0.320477578041224</v>
      </c>
      <c r="I6506" s="12" t="n">
        <f aca="false">Sens!$I$6505/Sens!$I$6486</f>
        <v>0.296936118226494</v>
      </c>
      <c r="J6506" s="12" t="n">
        <f aca="false">Sens!$J$6505/Sens!$J$6486</f>
        <v>0.282166278613001</v>
      </c>
      <c r="K6506" s="12" t="n">
        <f aca="false">Sens!$K$6505/Sens!$K$6486</f>
        <v>0.271267685694333</v>
      </c>
      <c r="L6506" s="12" t="n">
        <f aca="false">Sens!$L$6505/Sens!$L$6486</f>
        <v>0.27160960915653</v>
      </c>
      <c r="M6506" s="12" t="n">
        <f aca="false">Sens!$M$6505/Sens!$M$6486</f>
        <v>0.26974494804234</v>
      </c>
      <c r="N6506" s="12" t="n">
        <f aca="false">Sens!$N$6505/Sens!$N$6486</f>
        <v>0.302870734830849</v>
      </c>
      <c r="O6506" s="12" t="n">
        <f aca="false">Sens!$O$6505/Sens!$O$6486</f>
        <v>0.52240134346334</v>
      </c>
    </row>
    <row r="6507" customFormat="false" ht="17.15" hidden="false" customHeight="false" outlineLevel="0" collapsed="false">
      <c r="A6507" s="5" t="s">
        <v>599</v>
      </c>
      <c r="B6507" s="0" t="s">
        <v>73</v>
      </c>
      <c r="C6507" s="38" t="n">
        <f aca="false">rd2*(1-ext_sh)/ext_sh*Sens!$C$6469*he_open*Sens!$C$6470/1000</f>
        <v>0</v>
      </c>
      <c r="D6507" s="38" t="n">
        <f aca="false">rd2*(1-ext_sh)/ext_sh*Sens!$D$6469*he_open*Sens!$D$6470/1000</f>
        <v>0</v>
      </c>
      <c r="E6507" s="38" t="n">
        <f aca="false">rd2*(1-ext_sh)/ext_sh*Sens!$E$6469*he_open*Sens!$E$6470/1000</f>
        <v>0</v>
      </c>
      <c r="F6507" s="38" t="n">
        <f aca="false">rd2*(1-ext_sh)/ext_sh*(mw_open*he_open+Sens!$F$6484*Sens!$F$6481)*Sens!$F$6470/1000</f>
        <v>0</v>
      </c>
      <c r="G6507" s="38" t="n">
        <f aca="false">Sens!$E$6507+Sens!$F$6507</f>
        <v>0</v>
      </c>
      <c r="H6507" s="38" t="n">
        <f aca="false">rd2*(1-ext_sh)/ext_sh*(mw_open*he_open+Sens!$H$6484*Sens!$H$6481)*Sens!$H$6470/1000</f>
        <v>0</v>
      </c>
      <c r="I6507" s="38" t="n">
        <f aca="false">rd2*(1-ext_sh)/ext_sh*(mw_open*he_open+Sens!$I$6484*Sens!$I$6481)*Sens!$I$6470/1000</f>
        <v>0</v>
      </c>
      <c r="J6507" s="38" t="n">
        <f aca="false">rd2*(1-ext_sh)/ext_sh*(mw_open*he_open+Sens!$J$6484*Sens!$J$6481)*Sens!$J$6470/1000</f>
        <v>0</v>
      </c>
      <c r="K6507" s="38" t="n">
        <f aca="false">rd2*(1-ext_sh)/ext_sh*(mw_open*he_open+Sens!$K$6484*Sens!$K$6481)*Sens!$K$6470/1000</f>
        <v>0</v>
      </c>
      <c r="L6507" s="38" t="n">
        <f aca="false">rd2*(1-ext_sh)/ext_sh*(mw_open*he_open+Sens!$L$6484*Sens!$L$6481)*Sens!$L$6470/1000</f>
        <v>0</v>
      </c>
      <c r="M6507" s="38" t="n">
        <f aca="false">rd2*(1-ext_sh)/ext_sh*(mw_open*he_open+Sens!$M$6484*Sens!$M$6481)*Sens!$M$6470/1000</f>
        <v>0</v>
      </c>
      <c r="N6507" s="38" t="n">
        <f aca="false">rd2*(1-ext_sh)/ext_sh*Sens!$N$6469*he_open*Sens!$N$6470/1000</f>
        <v>0</v>
      </c>
      <c r="O6507" s="38" t="n">
        <f aca="false">rd2*(1-ext_sh)/ext_sh*Sens!$O$6469*he_open*Sens!$O$6470/1000</f>
        <v>0</v>
      </c>
      <c r="P6507" s="8" t="s">
        <v>600</v>
      </c>
    </row>
    <row r="6508" customFormat="false" ht="17.15" hidden="false" customHeight="false" outlineLevel="0" collapsed="false">
      <c r="A6508" s="5" t="s">
        <v>601</v>
      </c>
      <c r="B6508" s="0" t="s">
        <v>73</v>
      </c>
      <c r="C6508" s="38" t="n">
        <f aca="false">(1-ext_sh)*(Sens!$C$6488+Sens!$C$6501)-Sens!$C$6507</f>
        <v>0.169206631859174</v>
      </c>
      <c r="D6508" s="38" t="n">
        <f aca="false">(1-ext_sh)*(Sens!$D$6488+Sens!$D$6501)-Sens!$D$6507</f>
        <v>1.20641732046984</v>
      </c>
      <c r="E6508" s="38" t="n">
        <f aca="false">(1-ext_sh)*(Sens!$E$6488+Sens!$E$6501)-Sens!$E$6507</f>
        <v>1.77441259867062</v>
      </c>
      <c r="F6508" s="38" t="n">
        <f aca="false">(1-ext_sh)*(Sens!$F$6488+Sens!$F$6501)-Sens!$F$6507</f>
        <v>2.1140391597214</v>
      </c>
      <c r="G6508" s="38" t="n">
        <f aca="false">(1-ext_sh)*(Sens!$G$6488+Sens!$G$6501)-Sens!$G$6507</f>
        <v>3.88845175839202</v>
      </c>
      <c r="H6508" s="38" t="n">
        <f aca="false">(1-ext_sh)*(Sens!$H$6488+Sens!$H$6501)-Sens!$H$6507</f>
        <v>10.2210179503985</v>
      </c>
      <c r="I6508" s="38" t="n">
        <f aca="false">(1-ext_sh)*(Sens!$I$6488+Sens!$I$6501)-Sens!$I$6507</f>
        <v>17.8408961823075</v>
      </c>
      <c r="J6508" s="38" t="n">
        <f aca="false">(1-ext_sh)*(Sens!$J$6488+Sens!$J$6501)-Sens!$J$6507</f>
        <v>25.6671150670732</v>
      </c>
      <c r="K6508" s="38" t="n">
        <f aca="false">(1-ext_sh)*(Sens!$K$6488+Sens!$K$6501)-Sens!$K$6507</f>
        <v>33.6325293834986</v>
      </c>
      <c r="L6508" s="38" t="n">
        <f aca="false">(1-ext_sh)*(Sens!$L$6488+Sens!$L$6501)-Sens!$L$6507</f>
        <v>41.1939886299065</v>
      </c>
      <c r="M6508" s="38" t="n">
        <f aca="false">(1-ext_sh)*(Sens!$M$6488+Sens!$M$6501)-Sens!$M$6507</f>
        <v>48.8988205728617</v>
      </c>
      <c r="N6508" s="38" t="n">
        <f aca="false">(1-ext_sh)*(Sens!$N$6488+Sens!$N$6501)-Sens!$N$6507</f>
        <v>0.530919624033979</v>
      </c>
      <c r="O6508" s="38" t="n">
        <f aca="false">(1-ext_sh)*(Sens!$O$6488+Sens!$O$6501)-Sens!$O$6507</f>
        <v>0.675497696435861</v>
      </c>
    </row>
    <row r="6509" customFormat="false" ht="17.15" hidden="false" customHeight="false" outlineLevel="0" collapsed="false">
      <c r="A6509" s="0" t="s">
        <v>602</v>
      </c>
      <c r="B6509" s="0" t="s">
        <v>73</v>
      </c>
      <c r="C6509" s="38" t="n">
        <f aca="false">Q!$D$24</f>
        <v>39.834</v>
      </c>
      <c r="D6509" s="38" t="n">
        <f aca="false">Q!$E$24</f>
        <v>45.606</v>
      </c>
      <c r="E6509" s="38" t="n">
        <f aca="false">Q!$P$24</f>
        <v>30.782</v>
      </c>
      <c r="N6509" s="38" t="n">
        <f aca="false">Q!$N$24</f>
        <v>21.707</v>
      </c>
      <c r="O6509" s="38" t="n">
        <f aca="false">Q!$O$24</f>
        <v>23.899</v>
      </c>
    </row>
    <row r="6510" customFormat="false" ht="17.15" hidden="false" customHeight="false" outlineLevel="0" collapsed="false">
      <c r="A6510" s="0" t="s">
        <v>603</v>
      </c>
      <c r="B6510" s="0" t="s">
        <v>73</v>
      </c>
      <c r="C6510" s="38" t="n">
        <f aca="false">Sens!$C$6509-Sens!$C$6505</f>
        <v>38.1898211704631</v>
      </c>
      <c r="D6510" s="38" t="n">
        <f aca="false">Sens!$D$6509-Sens!$D$6505</f>
        <v>41.7278991932282</v>
      </c>
      <c r="E6510" s="38" t="n">
        <f aca="false">Sens!$E$6509-Sens!$E$6505</f>
        <v>29.3692974191125</v>
      </c>
      <c r="F6510" s="38" t="n">
        <f aca="false">Sens!$F$6490*Sens!$F$6511</f>
        <v>29.458060516894</v>
      </c>
      <c r="G6510" s="38" t="n">
        <f aca="false">Sens!$E$6510+Sens!$F$6510</f>
        <v>58.8273579360065</v>
      </c>
      <c r="H6510" s="38" t="n">
        <f aca="false">Sens!$H$6490*Sens!$H$6511</f>
        <v>67.8004040185081</v>
      </c>
      <c r="I6510" s="38" t="n">
        <f aca="false">Sens!$I$6490*Sens!$I$6511</f>
        <v>78.9527630302702</v>
      </c>
      <c r="J6510" s="38" t="n">
        <f aca="false">Sens!$J$6490*Sens!$J$6511</f>
        <v>88.6042681781841</v>
      </c>
      <c r="K6510" s="38" t="n">
        <f aca="false">Sens!$K$6490*Sens!$K$6511</f>
        <v>95.6926096324389</v>
      </c>
      <c r="L6510" s="38" t="n">
        <f aca="false">Sens!$L$6490*Sens!$L$6511</f>
        <v>103.348018403034</v>
      </c>
      <c r="M6510" s="38" t="n">
        <f aca="false">Sens!$M$6490*Sens!$M$6511</f>
        <v>111.615859875277</v>
      </c>
      <c r="N6510" s="38" t="n">
        <f aca="false">Sens!$N$6509-Sens!$N$6505</f>
        <v>20.784358965108</v>
      </c>
      <c r="O6510" s="38" t="n">
        <f aca="false">Sens!$O$6509-Sens!$O$6505</f>
        <v>20.9435402281202</v>
      </c>
      <c r="P6510" s="5" t="s">
        <v>604</v>
      </c>
    </row>
    <row r="6511" customFormat="false" ht="17.15" hidden="false" customHeight="false" outlineLevel="0" collapsed="false">
      <c r="A6511" s="0" t="s">
        <v>605</v>
      </c>
      <c r="B6511" s="0" t="s">
        <v>52</v>
      </c>
      <c r="C6511" s="12" t="n">
        <f aca="false">Sens!$C$6510/Sens!$C$6490</f>
        <v>0.362900395443635</v>
      </c>
      <c r="D6511" s="12" t="n">
        <f aca="false">Sens!$D$6510/Sens!$D$6490</f>
        <v>0.34767098474203</v>
      </c>
      <c r="E6511" s="12" t="n">
        <f aca="false">Sens!$E$6510/Sens!$E$6490</f>
        <v>0.411861655558416</v>
      </c>
      <c r="F6511" s="12" t="n">
        <f aca="false">(Sens!$O$6510+Sens!$E$6510)/(Sens!$O$6490+Sens!$E$6490)</f>
        <v>0.37480827803158</v>
      </c>
      <c r="G6511" s="12" t="n">
        <f aca="false">Sens!$G$6510/Sens!$G$6490</f>
        <v>0.392434440489471</v>
      </c>
      <c r="H6511" s="12" t="n">
        <f aca="false">Sens!$F$6511</f>
        <v>0.37480827803158</v>
      </c>
      <c r="I6511" s="12" t="n">
        <f aca="false">Sens!$F$6511</f>
        <v>0.37480827803158</v>
      </c>
      <c r="J6511" s="12" t="n">
        <f aca="false">Sens!$F$6511</f>
        <v>0.37480827803158</v>
      </c>
      <c r="K6511" s="12" t="n">
        <f aca="false">Sens!$F$6511</f>
        <v>0.37480827803158</v>
      </c>
      <c r="L6511" s="12" t="n">
        <f aca="false">Sens!$F$6511</f>
        <v>0.37480827803158</v>
      </c>
      <c r="M6511" s="12" t="n">
        <f aca="false">Sens!$F$6511</f>
        <v>0.37480827803158</v>
      </c>
      <c r="N6511" s="12" t="n">
        <f aca="false">Sens!$N$6510/Sens!$N$6490</f>
        <v>0.364039571356823</v>
      </c>
      <c r="O6511" s="12" t="n">
        <f aca="false">Sens!$O$6510/Sens!$O$6490</f>
        <v>0.332819892300086</v>
      </c>
      <c r="P6511" s="8" t="s">
        <v>606</v>
      </c>
    </row>
    <row r="6512" customFormat="false" ht="17.15" hidden="false" customHeight="false" outlineLevel="0" collapsed="false">
      <c r="A6512" s="0" t="s">
        <v>607</v>
      </c>
      <c r="B6512" s="0" t="s">
        <v>52</v>
      </c>
      <c r="D6512" s="12" t="n">
        <f aca="false">(Q!$E$31-ext_sh*Sens!$D$6501)/Sens!$D$6490</f>
        <v>0.154572973163571</v>
      </c>
    </row>
    <row r="6513" customFormat="false" ht="17.15" hidden="false" customHeight="false" outlineLevel="0" collapsed="false">
      <c r="A6513" s="0" t="s">
        <v>608</v>
      </c>
      <c r="B6513" s="0" t="s">
        <v>73</v>
      </c>
      <c r="C6513" s="38" t="n">
        <f aca="false">Q!$D$31</f>
        <v>13.32</v>
      </c>
      <c r="D6513" s="38" t="n">
        <f aca="false">Q!$E$31</f>
        <v>21.45</v>
      </c>
      <c r="E6513" s="38" t="n">
        <f aca="false">Q!$P$31</f>
        <v>15.353</v>
      </c>
      <c r="F6513" s="38" t="n">
        <f aca="false">ext_sh*Sens!$F$6501+Sens!$D$6512*Sens!$F$6490</f>
        <v>17.3614451462707</v>
      </c>
      <c r="G6513" s="38" t="n">
        <f aca="false">Sens!$E$6513+Sens!$F$6513</f>
        <v>32.7144451462707</v>
      </c>
      <c r="H6513" s="38" t="n">
        <f aca="false">ext_sh*Sens!$H$6501+Sens!$D$6512*Sens!$H$6490</f>
        <v>56.1966092719415</v>
      </c>
      <c r="I6513" s="38" t="n">
        <f aca="false">ext_sh*Sens!$I$6501+Sens!$D$6512*Sens!$I$6490</f>
        <v>82.9744039068297</v>
      </c>
      <c r="J6513" s="38" t="n">
        <f aca="false">ext_sh*Sens!$J$6501+Sens!$D$6512*Sens!$J$6490</f>
        <v>109.943252237669</v>
      </c>
      <c r="K6513" s="38" t="n">
        <f aca="false">ext_sh*Sens!$K$6501+Sens!$D$6512*Sens!$K$6490</f>
        <v>136.406703436571</v>
      </c>
      <c r="L6513" s="38" t="n">
        <f aca="false">ext_sh*Sens!$L$6501+Sens!$D$6512*Sens!$L$6490</f>
        <v>161.485870454155</v>
      </c>
      <c r="M6513" s="38" t="n">
        <f aca="false">ext_sh*Sens!$M$6501+Sens!$D$6512*Sens!$M$6490</f>
        <v>187.389846618199</v>
      </c>
      <c r="N6513" s="38" t="n">
        <f aca="false">Q!$N$31</f>
        <v>9.234</v>
      </c>
      <c r="O6513" s="38" t="n">
        <f aca="false">Q!$O$31</f>
        <v>12.216</v>
      </c>
    </row>
    <row r="6514" customFormat="false" ht="17.15" hidden="false" customHeight="false" outlineLevel="0" collapsed="false">
      <c r="A6514" s="1" t="s">
        <v>609</v>
      </c>
    </row>
    <row r="6515" customFormat="false" ht="17.15" hidden="false" customHeight="false" outlineLevel="0" collapsed="false">
      <c r="A6515" s="14" t="s">
        <v>610</v>
      </c>
      <c r="B6515" s="13" t="s">
        <v>52</v>
      </c>
      <c r="C6515" s="13"/>
      <c r="D6515" s="13"/>
      <c r="E6515" s="13"/>
      <c r="F6515" s="13"/>
      <c r="G6515" s="16" t="n">
        <f aca="false">Sens!$G$6505*(1-tax)/(ext_sh*(Sens!$D$6502+Sens!$G$6502)/2)</f>
        <v>0.0492184452944045</v>
      </c>
      <c r="H6515" s="16" t="n">
        <f aca="false">Sens!$H$6505*(1-tax)/(ext_sh*(Sens!$G$6502+Sens!$H$6502)/2)</f>
        <v>0.0619414246858107</v>
      </c>
      <c r="I6515" s="16" t="n">
        <f aca="false">Sens!$I$6505*(1-tax)/(ext_sh*(Sens!$H$6502+Sens!$I$6502)/2)</f>
        <v>0.0656831488051666</v>
      </c>
      <c r="J6515" s="16" t="n">
        <f aca="false">Sens!$J$6505*(1-tax)/(ext_sh*(Sens!$I$6502+Sens!$J$6502)/2)</f>
        <v>0.0690334849962116</v>
      </c>
      <c r="K6515" s="16" t="n">
        <f aca="false">Sens!$K$6505*(1-tax)/(ext_sh*(Sens!$J$6502+Sens!$K$6502)/2)</f>
        <v>0.0728680488295485</v>
      </c>
      <c r="L6515" s="16" t="n">
        <f aca="false">Sens!$L$6505*(1-tax)/(ext_sh*(Sens!$K$6502+Sens!$L$6502)/2)</f>
        <v>0.0785052878122331</v>
      </c>
      <c r="M6515" s="16" t="n">
        <f aca="false">Sens!$M$6505*(1-tax)/(ext_sh*(Sens!$L$6502+Sens!$M$6502)/2)</f>
        <v>0.0804526580722741</v>
      </c>
      <c r="N6515" s="13"/>
      <c r="O6515" s="13"/>
      <c r="P6515" s="8" t="s">
        <v>611</v>
      </c>
    </row>
    <row r="6516" customFormat="false" ht="17.15" hidden="false" customHeight="false" outlineLevel="0" collapsed="false">
      <c r="A6516" s="5" t="s">
        <v>612</v>
      </c>
      <c r="B6516" s="0" t="s">
        <v>57</v>
      </c>
      <c r="H6516" s="36" t="n">
        <f aca="false">Sens!$H$6486*1000/(mw_open*he_open+Sens!$H$6484*Sens!$H$6481)</f>
        <v>0.991949006767191</v>
      </c>
      <c r="I6516" s="36" t="n">
        <f aca="false">Sens!$I$6486*1000/(mw_open*he_open+Sens!$I$6484*Sens!$I$6481)</f>
        <v>0.991949006767191</v>
      </c>
      <c r="J6516" s="36" t="n">
        <f aca="false">Sens!$J$6486*1000/(mw_open*he_open+Sens!$J$6484*Sens!$J$6481)</f>
        <v>0.991949006767191</v>
      </c>
      <c r="K6516" s="36" t="n">
        <f aca="false">Sens!$K$6486*1000/(mw_open*he_open+Sens!$K$6484*Sens!$K$6481)</f>
        <v>0.991949006767191</v>
      </c>
      <c r="L6516" s="36" t="n">
        <f aca="false">Sens!$L$6486*1000/(mw_open*he_open+Sens!$L$6484*Sens!$L$6481)</f>
        <v>0.991949006767191</v>
      </c>
      <c r="M6516" s="36" t="n">
        <f aca="false">Sens!$M$6486*1000/(mw_open*he_open+Sens!$M$6484*Sens!$M$6481)</f>
        <v>0.991949006767192</v>
      </c>
    </row>
    <row r="6517" customFormat="false" ht="17.15" hidden="false" customHeight="false" outlineLevel="0" collapsed="false">
      <c r="A6517" s="5" t="s">
        <v>613</v>
      </c>
      <c r="B6517" s="0" t="s">
        <v>57</v>
      </c>
      <c r="H6517" s="36" t="n">
        <f aca="false">Sens!$H$6516*(Sens!$H$6486+wacc*ext_sh*(Sens!$G$6502+Sens!$H$6502)/2/(1-tax)-Sens!$H$6505)/Sens!$H$6486</f>
        <v>1.3149781212103</v>
      </c>
      <c r="I6517" s="36" t="n">
        <f aca="false">Sens!$I$6516*(Sens!$I$6486+wacc*ext_sh*(Sens!$H$6502+Sens!$I$6502)/2/(1-tax)-Sens!$I$6505)/Sens!$I$6486</f>
        <v>1.25742005569107</v>
      </c>
      <c r="J6517" s="36" t="n">
        <f aca="false">Sens!$J$6516*(Sens!$J$6486+wacc*ext_sh*(Sens!$I$6502+Sens!$J$6502)/2/(1-tax)-Sens!$J$6505)/Sens!$J$6486</f>
        <v>1.21838845868559</v>
      </c>
      <c r="K6517" s="36" t="n">
        <f aca="false">Sens!$K$6516*(Sens!$K$6486+wacc*ext_sh*(Sens!$J$6502+Sens!$K$6502)/2/(1-tax)-Sens!$K$6505)/Sens!$K$6486</f>
        <v>1.18402644209548</v>
      </c>
      <c r="L6517" s="36" t="n">
        <f aca="false">Sens!$L$6516*(Sens!$L$6486+wacc*ext_sh*(Sens!$K$6502+Sens!$L$6502)/2/(1-tax)-Sens!$L$6505)/Sens!$L$6486</f>
        <v>1.15111215322059</v>
      </c>
      <c r="M6517" s="36" t="n">
        <f aca="false">Sens!$M$6516*(Sens!$M$6486+wacc*ext_sh*(Sens!$L$6502+Sens!$M$6502)/2/(1-tax)-Sens!$M$6505)/Sens!$M$6486</f>
        <v>1.1397166845677</v>
      </c>
    </row>
    <row r="6518" customFormat="false" ht="17.15" hidden="false" customHeight="false" outlineLevel="0" collapsed="false">
      <c r="A6518" s="5" t="s">
        <v>614</v>
      </c>
      <c r="B6518" s="0" t="s">
        <v>52</v>
      </c>
      <c r="C6518" s="12" t="n">
        <f aca="false">Sens!$C$6487/tk_pq</f>
        <v>0.195316432429398</v>
      </c>
      <c r="D6518" s="12" t="n">
        <f aca="false">Sens!$D$6487/tk_pq</f>
        <v>0.195316432429398</v>
      </c>
      <c r="E6518" s="12" t="n">
        <f aca="false">Sens!$E$6487/tk_pq</f>
        <v>0.195316432429398</v>
      </c>
      <c r="F6518" s="12" t="n">
        <f aca="false">Sens!$F$6487/tk_pq</f>
        <v>0.202241827274866</v>
      </c>
      <c r="G6518" s="12" t="n">
        <f aca="false">Sens!$G$6487/tk_pq</f>
        <v>0.199675016194063</v>
      </c>
      <c r="H6518" s="12" t="n">
        <f aca="false">Sens!$H$6487/tk_pq</f>
        <v>0.212647947710325</v>
      </c>
      <c r="I6518" s="12" t="n">
        <f aca="false">Sens!$I$6487/tk_pq</f>
        <v>0.219285125475351</v>
      </c>
      <c r="J6518" s="12" t="n">
        <f aca="false">Sens!$J$6487/tk_pq</f>
        <v>0.222492493217189</v>
      </c>
      <c r="K6518" s="12" t="n">
        <f aca="false">Sens!$K$6487/tk_pq</f>
        <v>0.224371415939166</v>
      </c>
      <c r="L6518" s="12" t="n">
        <f aca="false">Sens!$L$6487/tk_pq</f>
        <v>0.225603749825993</v>
      </c>
      <c r="M6518" s="12" t="n">
        <f aca="false">Sens!$M$6487/tk_pq</f>
        <v>0.22647376274628</v>
      </c>
      <c r="N6518" s="12" t="n">
        <f aca="false">Sens!$N$6487/tk_pq</f>
        <v>0.195316432429398</v>
      </c>
      <c r="O6518" s="12" t="n">
        <f aca="false">Sens!$O$6487/tk_pq</f>
        <v>0.195316432429398</v>
      </c>
      <c r="P6518" s="5" t="s">
        <v>615</v>
      </c>
    </row>
    <row r="6521" customFormat="false" ht="17.15" hidden="false" customHeight="false" outlineLevel="0" collapsed="false">
      <c r="A6521" s="1" t="s">
        <v>642</v>
      </c>
    </row>
    <row r="6522" customFormat="false" ht="17.15" hidden="false" customHeight="false" outlineLevel="0" collapsed="false">
      <c r="A6522" s="0" t="s">
        <v>643</v>
      </c>
      <c r="B6522" s="0" t="s">
        <v>73</v>
      </c>
      <c r="C6522" s="38" t="n">
        <f aca="false">Sens!$C$6486</f>
        <v>2.32100535697364</v>
      </c>
      <c r="D6522" s="38" t="n">
        <f aca="false">Sens!$D$6486</f>
        <v>8.70377008865116</v>
      </c>
      <c r="E6522" s="38" t="n">
        <f aca="false">Sens!$E$6486</f>
        <v>8.51035297557002</v>
      </c>
      <c r="F6522" s="38" t="n">
        <f aca="false">Sens!$F$6486</f>
        <v>14.9634336447205</v>
      </c>
      <c r="G6522" s="38" t="n">
        <f aca="false">Sens!$G$6486</f>
        <v>23.4737866202905</v>
      </c>
      <c r="H6522" s="38" t="n">
        <f aca="false">Sens!$H$6486</f>
        <v>60.1658907497746</v>
      </c>
      <c r="I6522" s="38" t="n">
        <f aca="false">Sens!$I$6486</f>
        <v>101.503699136432</v>
      </c>
      <c r="J6522" s="38" t="n">
        <f aca="false">Sens!$J$6486</f>
        <v>143.025407151278</v>
      </c>
      <c r="K6522" s="38" t="n">
        <f aca="false">Sens!$K$6486</f>
        <v>184.608415042187</v>
      </c>
      <c r="L6522" s="38" t="n">
        <f aca="false">Sens!$L$6486</f>
        <v>226.219286513125</v>
      </c>
      <c r="M6522" s="38" t="n">
        <f aca="false">Sens!$M$6486</f>
        <v>267.845161450232</v>
      </c>
      <c r="N6522" s="38" t="n">
        <f aca="false">Sens!$N$6486</f>
        <v>3.04631953102791</v>
      </c>
      <c r="O6522" s="38" t="n">
        <f aca="false">Sens!$O$6486</f>
        <v>5.65745055762326</v>
      </c>
      <c r="P6522" s="8" t="s">
        <v>644</v>
      </c>
    </row>
    <row r="6523" customFormat="false" ht="17.15" hidden="false" customHeight="false" outlineLevel="0" collapsed="false">
      <c r="A6523" s="0" t="s">
        <v>645</v>
      </c>
      <c r="B6523" s="0" t="s">
        <v>73</v>
      </c>
      <c r="C6523" s="38" t="n">
        <f aca="false">Sens!$C$6490</f>
        <v>105.234994643026</v>
      </c>
      <c r="D6523" s="38" t="n">
        <f aca="false">Sens!$D$6490</f>
        <v>120.021229911349</v>
      </c>
      <c r="E6523" s="38" t="n">
        <f aca="false">Sens!$E$6490</f>
        <v>71.30864702443</v>
      </c>
      <c r="F6523" s="38" t="n">
        <f aca="false">Sens!$F$6490</f>
        <v>78.5950104186653</v>
      </c>
      <c r="G6523" s="38" t="n">
        <f aca="false">Sens!$G$6490</f>
        <v>149.903657443095</v>
      </c>
      <c r="H6523" s="38" t="n">
        <f aca="false">Sens!$H$6490</f>
        <v>180.893560768142</v>
      </c>
      <c r="I6523" s="38" t="n">
        <f aca="false">Sens!$I$6490</f>
        <v>210.64839721501</v>
      </c>
      <c r="J6523" s="38" t="n">
        <f aca="false">Sens!$J$6490</f>
        <v>236.398909446495</v>
      </c>
      <c r="K6523" s="38" t="n">
        <f aca="false">Sens!$K$6490</f>
        <v>255.310822202215</v>
      </c>
      <c r="L6523" s="38" t="n">
        <f aca="false">Sens!$L$6490</f>
        <v>275.735687978392</v>
      </c>
      <c r="M6523" s="38" t="n">
        <f aca="false">Sens!$M$6490</f>
        <v>297.794543016663</v>
      </c>
      <c r="N6523" s="38" t="n">
        <f aca="false">Sens!$N$6490</f>
        <v>57.0936804689721</v>
      </c>
      <c r="O6523" s="38" t="n">
        <f aca="false">Sens!$O$6490</f>
        <v>62.9275494423768</v>
      </c>
      <c r="P6523" s="8" t="s">
        <v>644</v>
      </c>
    </row>
    <row r="6524" customFormat="false" ht="17.15" hidden="false" customHeight="false" outlineLevel="0" collapsed="false">
      <c r="A6524" s="1" t="s">
        <v>476</v>
      </c>
      <c r="B6524" s="8" t="s">
        <v>73</v>
      </c>
      <c r="C6524" s="38" t="n">
        <f aca="false">Q!$D$7</f>
        <v>107.556</v>
      </c>
      <c r="D6524" s="38" t="n">
        <f aca="false">Q!$E$7</f>
        <v>128.725</v>
      </c>
      <c r="E6524" s="38" t="n">
        <f aca="false">Q!$P$7</f>
        <v>79.819</v>
      </c>
      <c r="F6524" s="38" t="n">
        <f aca="false">Sens!$F$6522+Sens!$F$6523</f>
        <v>93.5584440633857</v>
      </c>
      <c r="G6524" s="38" t="n">
        <f aca="false">Sens!$G$6522+Sens!$G$6523</f>
        <v>173.377444063386</v>
      </c>
      <c r="H6524" s="38" t="n">
        <f aca="false">Sens!$H$6522+Sens!$H$6523</f>
        <v>241.059451517916</v>
      </c>
      <c r="I6524" s="38" t="n">
        <f aca="false">Sens!$I$6522+Sens!$I$6523</f>
        <v>312.152096351442</v>
      </c>
      <c r="J6524" s="38" t="n">
        <f aca="false">Sens!$J$6522+Sens!$J$6523</f>
        <v>379.424316597773</v>
      </c>
      <c r="K6524" s="38" t="n">
        <f aca="false">Sens!$K$6522+Sens!$K$6523</f>
        <v>439.919237244402</v>
      </c>
      <c r="L6524" s="38" t="n">
        <f aca="false">Sens!$L$6522+Sens!$L$6523</f>
        <v>501.954974491517</v>
      </c>
      <c r="M6524" s="38" t="n">
        <f aca="false">Sens!$M$6522+Sens!$M$6523</f>
        <v>565.639704466895</v>
      </c>
      <c r="N6524" s="38" t="n">
        <f aca="false">Q!$N$7</f>
        <v>60.14</v>
      </c>
      <c r="O6524" s="38" t="n">
        <f aca="false">Q!$O$7</f>
        <v>68.585</v>
      </c>
      <c r="P6524" s="5" t="s">
        <v>646</v>
      </c>
    </row>
    <row r="6525" customFormat="false" ht="15" hidden="false" customHeight="false" outlineLevel="0" collapsed="false">
      <c r="A6525" s="3" t="s">
        <v>647</v>
      </c>
      <c r="B6525" s="8" t="s">
        <v>73</v>
      </c>
      <c r="C6525" s="38" t="n">
        <f aca="false">Q!$D$8</f>
        <v>637.959</v>
      </c>
      <c r="D6525" s="38" t="n">
        <f aca="false">Q!$E$8</f>
        <v>716.924</v>
      </c>
      <c r="E6525" s="38" t="n">
        <f aca="false">Q!$P$8</f>
        <v>382.125</v>
      </c>
      <c r="F6525" s="38" t="n">
        <f aca="false">Sens!$F$6459+Sens!$F$6524</f>
        <v>450.494873271816</v>
      </c>
      <c r="G6525" s="38" t="n">
        <f aca="false">Sens!$G$6459+Sens!$G$6524</f>
        <v>832.619873271816</v>
      </c>
      <c r="H6525" s="38" t="n">
        <f aca="false">Sens!$H$6459+Sens!$H$6524</f>
        <v>970.995189139617</v>
      </c>
      <c r="I6525" s="38" t="n">
        <f aca="false">Sens!$I$6459+Sens!$I$6524</f>
        <v>1110.44766604932</v>
      </c>
      <c r="J6525" s="38" t="n">
        <f aca="false">Sens!$J$6459+Sens!$J$6524</f>
        <v>1241.16113892356</v>
      </c>
      <c r="K6525" s="38" t="n">
        <f aca="false">Sens!$K$6459+Sens!$K$6524</f>
        <v>1357.47672934633</v>
      </c>
      <c r="L6525" s="38" t="n">
        <f aca="false">Sens!$L$6459+Sens!$L$6524</f>
        <v>1479.24006423468</v>
      </c>
      <c r="M6525" s="38" t="n">
        <f aca="false">Sens!$M$6459+Sens!$M$6524</f>
        <v>1606.8537230104</v>
      </c>
      <c r="N6525" s="38" t="n">
        <f aca="false">Q!$N$8</f>
        <v>323.369</v>
      </c>
      <c r="O6525" s="38" t="n">
        <f aca="false">Q!$O$8</f>
        <v>393.555</v>
      </c>
    </row>
    <row r="6526" customFormat="false" ht="17.15" hidden="false" customHeight="false" outlineLevel="0" collapsed="false">
      <c r="A6526" s="24" t="s">
        <v>655</v>
      </c>
      <c r="B6526" s="25" t="s">
        <v>73</v>
      </c>
      <c r="C6526" s="39" t="n">
        <f aca="false">Sens!$C$6459-(Sens!$C$6461+Sens!$C$6462)</f>
        <v>0</v>
      </c>
      <c r="D6526" s="39" t="n">
        <f aca="false">Sens!$D$6459-(Sens!$D$6461+Sens!$D$6462)</f>
        <v>0</v>
      </c>
      <c r="E6526" s="39" t="n">
        <f aca="false">Sens!$E$6459-(Sens!$E$6461+Sens!$E$6462)</f>
        <v>0</v>
      </c>
      <c r="F6526" s="39" t="n">
        <f aca="false">Sens!$F$6459-(Sens!$F$6461+Sens!$F$6462)</f>
        <v>0</v>
      </c>
      <c r="G6526" s="39" t="n">
        <f aca="false">Sens!$G$6459-(Sens!$G$6461+Sens!$G$6462)</f>
        <v>0</v>
      </c>
      <c r="H6526" s="39" t="n">
        <f aca="false">Sens!$H$6459-(Sens!$H$6461+Sens!$H$6462)</f>
        <v>0</v>
      </c>
      <c r="I6526" s="39" t="n">
        <f aca="false">Sens!$I$6459-(Sens!$I$6461+Sens!$I$6462)</f>
        <v>0</v>
      </c>
      <c r="J6526" s="39" t="n">
        <f aca="false">Sens!$J$6459-(Sens!$J$6461+Sens!$J$6462)</f>
        <v>0</v>
      </c>
      <c r="K6526" s="39" t="n">
        <f aca="false">Sens!$K$6459-(Sens!$K$6461+Sens!$K$6462)</f>
        <v>0</v>
      </c>
      <c r="L6526" s="39" t="n">
        <f aca="false">Sens!$L$6459-(Sens!$L$6461+Sens!$L$6462)</f>
        <v>0</v>
      </c>
      <c r="M6526" s="39" t="n">
        <f aca="false">Sens!$M$6459-(Sens!$M$6461+Sens!$M$6462)</f>
        <v>0</v>
      </c>
      <c r="N6526" s="39" t="n">
        <f aca="false">Sens!$N$6459-(Sens!$N$6461+Sens!$N$6462)</f>
        <v>0</v>
      </c>
      <c r="O6526" s="39" t="n">
        <f aca="false">Sens!$O$6459-(Sens!$O$6461+Sens!$O$6462)</f>
        <v>0</v>
      </c>
    </row>
    <row r="6527" customFormat="false" ht="17.15" hidden="false" customHeight="false" outlineLevel="0" collapsed="false">
      <c r="A6527" s="24" t="s">
        <v>656</v>
      </c>
      <c r="B6527" s="25" t="s">
        <v>73</v>
      </c>
      <c r="C6527" s="39" t="n">
        <f aca="false">Sens!$C$6522+Sens!$C$6523-Sens!$C$6524</f>
        <v>0</v>
      </c>
      <c r="D6527" s="39" t="n">
        <f aca="false">Sens!$D$6522+Sens!$D$6523-Sens!$D$6524</f>
        <v>0</v>
      </c>
      <c r="E6527" s="39" t="n">
        <f aca="false">Sens!$E$6522+Sens!$E$6523-Sens!$E$6524</f>
        <v>0</v>
      </c>
      <c r="F6527" s="39" t="n">
        <f aca="false">Sens!$F$6522+Sens!$F$6523-Sens!$F$6524</f>
        <v>0</v>
      </c>
      <c r="G6527" s="39" t="n">
        <f aca="false">Sens!$G$6522+Sens!$G$6523-Sens!$G$6524</f>
        <v>0</v>
      </c>
      <c r="H6527" s="39" t="n">
        <f aca="false">Sens!$H$6522+Sens!$H$6523-Sens!$H$6524</f>
        <v>0</v>
      </c>
      <c r="I6527" s="39" t="n">
        <f aca="false">Sens!$I$6522+Sens!$I$6523-Sens!$I$6524</f>
        <v>0</v>
      </c>
      <c r="J6527" s="39" t="n">
        <f aca="false">Sens!$J$6522+Sens!$J$6523-Sens!$J$6524</f>
        <v>0</v>
      </c>
      <c r="K6527" s="39" t="n">
        <f aca="false">Sens!$K$6522+Sens!$K$6523-Sens!$K$6524</f>
        <v>0</v>
      </c>
      <c r="L6527" s="39" t="n">
        <f aca="false">Sens!$L$6522+Sens!$L$6523-Sens!$L$6524</f>
        <v>0</v>
      </c>
      <c r="M6527" s="39" t="n">
        <f aca="false">Sens!$M$6522+Sens!$M$6523-Sens!$M$6524</f>
        <v>0</v>
      </c>
      <c r="N6527" s="39" t="n">
        <f aca="false">Sens!$N$6522+Sens!$N$6523-Sens!$N$6524</f>
        <v>0</v>
      </c>
      <c r="O6527" s="39" t="n">
        <f aca="false">Sens!$O$6522+Sens!$O$6523-Sens!$O$6524</f>
        <v>0</v>
      </c>
    </row>
    <row r="6528" customFormat="false" ht="17.15" hidden="false" customHeight="false" outlineLevel="0" collapsed="false">
      <c r="A6528" s="24" t="s">
        <v>657</v>
      </c>
      <c r="B6528" s="25" t="s">
        <v>73</v>
      </c>
      <c r="C6528" s="39" t="n">
        <f aca="false">Sens!$C$6461+Sens!$C$6462+Sens!$C$6524-Sens!$C$6525</f>
        <v>0</v>
      </c>
      <c r="D6528" s="39" t="n">
        <f aca="false">Sens!$D$6461+Sens!$D$6462+Sens!$D$6524-Sens!$D$6525</f>
        <v>0</v>
      </c>
      <c r="E6528" s="39" t="n">
        <f aca="false">Sens!$E$6461+Sens!$E$6462+Sens!$E$6524-Sens!$E$6525</f>
        <v>0</v>
      </c>
      <c r="F6528" s="39" t="n">
        <f aca="false">Sens!$F$6461+Sens!$F$6462+Sens!$F$6524-Sens!$F$6525</f>
        <v>0</v>
      </c>
      <c r="G6528" s="39" t="n">
        <f aca="false">Sens!$G$6461+Sens!$G$6462+Sens!$G$6524-Sens!$G$6525</f>
        <v>0</v>
      </c>
      <c r="H6528" s="39" t="n">
        <f aca="false">Sens!$H$6461+Sens!$H$6462+Sens!$H$6524-Sens!$H$6525</f>
        <v>0</v>
      </c>
      <c r="I6528" s="39" t="n">
        <f aca="false">Sens!$I$6461+Sens!$I$6462+Sens!$I$6524-Sens!$I$6525</f>
        <v>0</v>
      </c>
      <c r="J6528" s="39" t="n">
        <f aca="false">Sens!$J$6461+Sens!$J$6462+Sens!$J$6524-Sens!$J$6525</f>
        <v>0</v>
      </c>
      <c r="K6528" s="39" t="n">
        <f aca="false">Sens!$K$6461+Sens!$K$6462+Sens!$K$6524-Sens!$K$6525</f>
        <v>0</v>
      </c>
      <c r="L6528" s="39" t="n">
        <f aca="false">Sens!$L$6461+Sens!$L$6462+Sens!$L$6524-Sens!$L$6525</f>
        <v>0</v>
      </c>
      <c r="M6528" s="39" t="n">
        <f aca="false">Sens!$M$6461+Sens!$M$6462+Sens!$M$6524-Sens!$M$6525</f>
        <v>0</v>
      </c>
      <c r="N6528" s="39" t="n">
        <f aca="false">Sens!$N$6461+Sens!$N$6462+Sens!$N$6524-Sens!$N$6525</f>
        <v>0</v>
      </c>
      <c r="O6528" s="39" t="n">
        <f aca="false">Sens!$O$6461+Sens!$O$6462+Sens!$O$6524-Sens!$O$6525</f>
        <v>0</v>
      </c>
    </row>
    <row r="6529" customFormat="false" ht="15" hidden="false" customHeight="false" outlineLevel="0" collapsed="false">
      <c r="A6529" s="5" t="s">
        <v>651</v>
      </c>
      <c r="B6529" s="0" t="s">
        <v>52</v>
      </c>
      <c r="G6529" s="12" t="n">
        <f aca="false">Sens!$G$6525/Sens!$D$6525-1</f>
        <v>0.161378156222718</v>
      </c>
      <c r="H6529" s="12" t="n">
        <f aca="false">Sens!$H$6525/Sens!$G$6525-1</f>
        <v>0.166192665236357</v>
      </c>
      <c r="I6529" s="12" t="n">
        <f aca="false">Sens!$I$6525/Sens!$H$6525-1</f>
        <v>0.143618092519351</v>
      </c>
      <c r="J6529" s="12" t="n">
        <f aca="false">Sens!$J$6525/Sens!$I$6525-1</f>
        <v>0.117712411733268</v>
      </c>
      <c r="K6529" s="12" t="n">
        <f aca="false">Sens!$K$6525/Sens!$J$6525-1</f>
        <v>0.0937151404237868</v>
      </c>
      <c r="L6529" s="12" t="n">
        <f aca="false">Sens!$L$6525/Sens!$K$6525-1</f>
        <v>0.0896982852494186</v>
      </c>
      <c r="M6529" s="12" t="n">
        <f aca="false">Sens!$M$6525/Sens!$L$6525-1</f>
        <v>0.0862697420528154</v>
      </c>
    </row>
    <row r="6530" customFormat="false" ht="17.15" hidden="false" customHeight="false" outlineLevel="0" collapsed="false">
      <c r="A6530" s="0" t="s">
        <v>652</v>
      </c>
      <c r="B6530" s="0" t="s">
        <v>52</v>
      </c>
      <c r="C6530" s="12" t="n">
        <f aca="false">Sens!$C$6524/Sens!$C$6525</f>
        <v>0.168593906504964</v>
      </c>
      <c r="D6530" s="12" t="n">
        <f aca="false">Sens!$D$6524/Sens!$D$6525</f>
        <v>0.179551807444025</v>
      </c>
      <c r="E6530" s="12" t="n">
        <f aca="false">Sens!$E$6524/Sens!$E$6525</f>
        <v>0.208881910369643</v>
      </c>
      <c r="F6530" s="12" t="n">
        <f aca="false">Sens!$F$6524/Sens!$F$6525</f>
        <v>0.207679264769203</v>
      </c>
      <c r="G6530" s="12" t="n">
        <f aca="false">Sens!$G$6524/Sens!$G$6525</f>
        <v>0.208231210458731</v>
      </c>
      <c r="H6530" s="12" t="n">
        <f aca="false">Sens!$H$6524/Sens!$H$6525</f>
        <v>0.248260191414043</v>
      </c>
      <c r="I6530" s="12" t="n">
        <f aca="false">Sens!$I$6524/Sens!$I$6525</f>
        <v>0.28110473450946</v>
      </c>
      <c r="J6530" s="12" t="n">
        <f aca="false">Sens!$J$6524/Sens!$J$6525</f>
        <v>0.30570109287086</v>
      </c>
      <c r="K6530" s="12" t="n">
        <f aca="false">Sens!$K$6524/Sens!$K$6525</f>
        <v>0.324071291782835</v>
      </c>
      <c r="L6530" s="12" t="n">
        <f aca="false">Sens!$L$6524/Sens!$L$6525</f>
        <v>0.339333003903741</v>
      </c>
      <c r="M6530" s="12" t="n">
        <f aca="false">Sens!$M$6524/Sens!$M$6525</f>
        <v>0.3520169237354</v>
      </c>
      <c r="N6530" s="12" t="n">
        <f aca="false">Sens!$N$6524/Sens!$N$6525</f>
        <v>0.185979484737251</v>
      </c>
      <c r="O6530" s="12" t="n">
        <f aca="false">Sens!$O$6524/Sens!$O$6525</f>
        <v>0.174270432341096</v>
      </c>
    </row>
    <row r="6531" customFormat="false" ht="17.15" hidden="false" customHeight="false" outlineLevel="0" collapsed="false">
      <c r="A6531" s="0" t="s">
        <v>653</v>
      </c>
      <c r="B6531" s="0" t="s">
        <v>52</v>
      </c>
      <c r="C6531" s="12" t="n">
        <f aca="false">Sens!$C$6522/Sens!$C$6524</f>
        <v>0.0215795060896058</v>
      </c>
      <c r="D6531" s="12" t="n">
        <f aca="false">Sens!$D$6522/Sens!$D$6524</f>
        <v>0.0676152269462122</v>
      </c>
      <c r="E6531" s="12" t="n">
        <f aca="false">Sens!$E$6522/Sens!$E$6524</f>
        <v>0.106620641395783</v>
      </c>
      <c r="F6531" s="12" t="n">
        <f aca="false">Sens!$F$6522/Sens!$F$6524</f>
        <v>0.159936751776064</v>
      </c>
      <c r="G6531" s="12" t="n">
        <f aca="false">Sens!$G$6522/Sens!$G$6524</f>
        <v>0.135391237003751</v>
      </c>
      <c r="H6531" s="12" t="n">
        <f aca="false">Sens!$H$6522/Sens!$H$6524</f>
        <v>0.249589428545194</v>
      </c>
      <c r="I6531" s="12" t="n">
        <f aca="false">Sens!$I$6522/Sens!$I$6524</f>
        <v>0.325173850577483</v>
      </c>
      <c r="J6531" s="12" t="n">
        <f aca="false">Sens!$J$6522/Sens!$J$6524</f>
        <v>0.376953718817392</v>
      </c>
      <c r="K6531" s="12" t="n">
        <f aca="false">Sens!$K$6522/Sens!$K$6524</f>
        <v>0.419641605578676</v>
      </c>
      <c r="L6531" s="12" t="n">
        <f aca="false">Sens!$L$6522/Sens!$L$6524</f>
        <v>0.450676451094615</v>
      </c>
      <c r="M6531" s="12" t="n">
        <f aca="false">Sens!$M$6522/Sens!$M$6524</f>
        <v>0.473526096798086</v>
      </c>
      <c r="N6531" s="12" t="n">
        <f aca="false">Sens!$N$6522/Sens!$N$6524</f>
        <v>0.0506537999838362</v>
      </c>
      <c r="O6531" s="12" t="n">
        <f aca="false">Sens!$O$6522/Sens!$O$6524</f>
        <v>0.0824881615167056</v>
      </c>
    </row>
    <row r="6534" customFormat="false" ht="19.4" hidden="false" customHeight="false" outlineLevel="0" collapsed="false">
      <c r="A6534" s="31" t="s">
        <v>1185</v>
      </c>
    </row>
    <row r="6535" customFormat="false" ht="17.15" hidden="false" customHeight="false" outlineLevel="0" collapsed="false">
      <c r="A6535" s="6" t="s">
        <v>16</v>
      </c>
      <c r="B6535" s="6" t="s">
        <v>17</v>
      </c>
      <c r="C6535" s="20" t="s">
        <v>457</v>
      </c>
      <c r="D6535" s="20" t="s">
        <v>458</v>
      </c>
      <c r="E6535" s="20" t="s">
        <v>540</v>
      </c>
      <c r="F6535" s="20" t="s">
        <v>541</v>
      </c>
      <c r="G6535" s="20" t="s">
        <v>542</v>
      </c>
      <c r="H6535" s="20" t="s">
        <v>543</v>
      </c>
      <c r="I6535" s="20" t="s">
        <v>544</v>
      </c>
      <c r="J6535" s="20" t="s">
        <v>545</v>
      </c>
      <c r="K6535" s="20" t="s">
        <v>546</v>
      </c>
      <c r="L6535" s="20" t="s">
        <v>547</v>
      </c>
      <c r="M6535" s="20" t="s">
        <v>548</v>
      </c>
      <c r="N6535" s="20" t="s">
        <v>549</v>
      </c>
      <c r="O6535" s="20" t="s">
        <v>550</v>
      </c>
      <c r="P6535" s="6" t="s">
        <v>23</v>
      </c>
      <c r="R6535" s="20" t="n">
        <v>2023</v>
      </c>
      <c r="S6535" s="20" t="n">
        <v>2024</v>
      </c>
      <c r="T6535" s="20" t="n">
        <v>2025</v>
      </c>
      <c r="U6535" s="20" t="n">
        <v>2026</v>
      </c>
      <c r="V6535" s="20" t="n">
        <v>2027</v>
      </c>
      <c r="W6535" s="20" t="n">
        <v>2028</v>
      </c>
      <c r="X6535" s="20" t="n">
        <v>2029</v>
      </c>
      <c r="Y6535" s="20" t="n">
        <v>2030</v>
      </c>
      <c r="Z6535" s="20" t="n">
        <v>2031</v>
      </c>
      <c r="AA6535" s="20" t="n">
        <v>2032</v>
      </c>
    </row>
    <row r="6536" customFormat="false" ht="17.15" hidden="false" customHeight="false" outlineLevel="0" collapsed="false">
      <c r="A6536" s="1" t="s">
        <v>668</v>
      </c>
    </row>
    <row r="6537" customFormat="false" ht="15" hidden="false" customHeight="false" outlineLevel="0" collapsed="false">
      <c r="A6537" s="0" t="s">
        <v>479</v>
      </c>
      <c r="B6537" s="0" t="s">
        <v>73</v>
      </c>
      <c r="C6537" s="38" t="n">
        <f aca="false">Sens!$C$6447</f>
        <v>247.029</v>
      </c>
      <c r="D6537" s="38" t="n">
        <f aca="false">Sens!$D$6447</f>
        <v>269.287</v>
      </c>
      <c r="E6537" s="38" t="n">
        <f aca="false">Sens!$E$6447</f>
        <v>134.686</v>
      </c>
      <c r="F6537" s="38" t="n">
        <f aca="false">Sens!$F$6447</f>
        <v>160.728085930082</v>
      </c>
      <c r="G6537" s="38" t="n">
        <f aca="false">Sens!$G$6447</f>
        <v>295.414085930082</v>
      </c>
      <c r="H6537" s="38" t="n">
        <f aca="false">Sens!$H$6447</f>
        <v>320.828163943375</v>
      </c>
      <c r="I6537" s="38" t="n">
        <f aca="false">Sens!$I$6447</f>
        <v>344.575578072228</v>
      </c>
      <c r="J6537" s="38" t="n">
        <f aca="false">Sens!$J$6447</f>
        <v>365.942555779681</v>
      </c>
      <c r="K6537" s="38" t="n">
        <f aca="false">Sens!$K$6447</f>
        <v>384.239683568665</v>
      </c>
      <c r="L6537" s="38" t="n">
        <f aca="false">Sens!$L$6447</f>
        <v>403.451667747098</v>
      </c>
      <c r="M6537" s="38" t="n">
        <f aca="false">Sens!$M$6447</f>
        <v>423.624251134453</v>
      </c>
      <c r="N6537" s="38" t="n">
        <f aca="false">Sens!$N$6447</f>
        <v>118.892</v>
      </c>
      <c r="O6537" s="38" t="n">
        <f aca="false">Sens!$O$6447</f>
        <v>150.395</v>
      </c>
    </row>
    <row r="6538" customFormat="false" ht="15" hidden="false" customHeight="false" outlineLevel="0" collapsed="false">
      <c r="A6538" s="0" t="s">
        <v>480</v>
      </c>
      <c r="B6538" s="0" t="s">
        <v>73</v>
      </c>
      <c r="C6538" s="38" t="n">
        <f aca="false">Sens!$C$6449</f>
        <v>21.215</v>
      </c>
      <c r="D6538" s="38" t="n">
        <f aca="false">Sens!$D$6449</f>
        <v>22.561</v>
      </c>
      <c r="E6538" s="38" t="n">
        <f aca="false">Sens!$E$6449</f>
        <v>11.579</v>
      </c>
      <c r="F6538" s="38" t="n">
        <f aca="false">Sens!$F$6449</f>
        <v>12.0952613121125</v>
      </c>
      <c r="G6538" s="38" t="n">
        <f aca="false">Sens!$G$6449</f>
        <v>23.6742613121125</v>
      </c>
      <c r="H6538" s="38" t="n">
        <f aca="false">Sens!$H$6449</f>
        <v>24.8803243963206</v>
      </c>
      <c r="I6538" s="38" t="n">
        <f aca="false">Sens!$I$6449</f>
        <v>25.9741308664154</v>
      </c>
      <c r="J6538" s="38" t="n">
        <f aca="false">Sens!$J$6449</f>
        <v>26.9346894124267</v>
      </c>
      <c r="K6538" s="38" t="n">
        <f aca="false">Sens!$K$6449</f>
        <v>27.7427300947995</v>
      </c>
      <c r="L6538" s="38" t="n">
        <f aca="false">Sens!$L$6449</f>
        <v>28.5750119976435</v>
      </c>
      <c r="M6538" s="38" t="n">
        <f aca="false">Sens!$M$6449</f>
        <v>29.4322623575728</v>
      </c>
      <c r="N6538" s="38" t="n">
        <f aca="false">Sens!$N$6449</f>
        <v>11.128</v>
      </c>
      <c r="O6538" s="38" t="n">
        <f aca="false">Sens!$O$6449</f>
        <v>11.433</v>
      </c>
    </row>
    <row r="6539" customFormat="false" ht="15" hidden="false" customHeight="false" outlineLevel="0" collapsed="false">
      <c r="A6539" s="0" t="s">
        <v>481</v>
      </c>
      <c r="B6539" s="0" t="s">
        <v>73</v>
      </c>
      <c r="C6539" s="38" t="n">
        <f aca="false">Sens!$C$6451</f>
        <v>156.146</v>
      </c>
      <c r="D6539" s="38" t="n">
        <f aca="false">Sens!$D$6451</f>
        <v>172.162</v>
      </c>
      <c r="E6539" s="38" t="n">
        <f aca="false">Sens!$E$6451</f>
        <v>88.358</v>
      </c>
      <c r="F6539" s="38" t="n">
        <f aca="false">Sens!$F$6451</f>
        <v>103.62028337149</v>
      </c>
      <c r="G6539" s="38" t="n">
        <f aca="false">Sens!$G$6451</f>
        <v>191.97828337149</v>
      </c>
      <c r="H6539" s="38" t="n">
        <f aca="false">Sens!$H$6451</f>
        <v>212.128608444755</v>
      </c>
      <c r="I6539" s="38" t="n">
        <f aca="false">Sens!$I$6451</f>
        <v>231.92183134134</v>
      </c>
      <c r="J6539" s="38" t="n">
        <f aca="false">Sens!$J$6451</f>
        <v>250.859136487863</v>
      </c>
      <c r="K6539" s="38" t="n">
        <f aca="false">Sens!$K$6451</f>
        <v>268.419276042014</v>
      </c>
      <c r="L6539" s="38" t="n">
        <f aca="false">Sens!$L$6451</f>
        <v>287.208625364954</v>
      </c>
      <c r="M6539" s="38" t="n">
        <f aca="false">Sens!$M$6451</f>
        <v>307.313229140501</v>
      </c>
      <c r="N6539" s="38" t="n">
        <f aca="false">Sens!$N$6451</f>
        <v>76.86</v>
      </c>
      <c r="O6539" s="38" t="n">
        <f aca="false">Sens!$O$6451</f>
        <v>95.302</v>
      </c>
    </row>
    <row r="6540" customFormat="false" ht="15" hidden="false" customHeight="false" outlineLevel="0" collapsed="false">
      <c r="A6540" s="0" t="s">
        <v>482</v>
      </c>
      <c r="B6540" s="0" t="s">
        <v>73</v>
      </c>
      <c r="C6540" s="38" t="n">
        <f aca="false">Sens!$C$6453</f>
        <v>56.214</v>
      </c>
      <c r="D6540" s="38" t="n">
        <f aca="false">Sens!$D$6453</f>
        <v>68.635</v>
      </c>
      <c r="E6540" s="38" t="n">
        <f aca="false">Sens!$E$6453</f>
        <v>37.052</v>
      </c>
      <c r="F6540" s="38" t="n">
        <f aca="false">Sens!$F$6453</f>
        <v>48.1533381827382</v>
      </c>
      <c r="G6540" s="38" t="n">
        <f aca="false">Sens!$G$6453</f>
        <v>85.2053381827382</v>
      </c>
      <c r="H6540" s="38" t="n">
        <f aca="false">Sens!$H$6453</f>
        <v>102.29336185894</v>
      </c>
      <c r="I6540" s="38" t="n">
        <f aca="false">Sens!$I$6453</f>
        <v>119.379837585241</v>
      </c>
      <c r="J6540" s="38" t="n">
        <f aca="false">Sens!$J$6453</f>
        <v>135.319079048844</v>
      </c>
      <c r="K6540" s="38" t="n">
        <f aca="false">Sens!$K$6453</f>
        <v>148.850986953729</v>
      </c>
      <c r="L6540" s="38" t="n">
        <f aca="false">Sens!$L$6453</f>
        <v>163.736085649102</v>
      </c>
      <c r="M6540" s="38" t="n">
        <f aca="false">Sens!$M$6453</f>
        <v>180.109694214012</v>
      </c>
      <c r="N6540" s="38" t="n">
        <f aca="false">Sens!$N$6453</f>
        <v>29.615</v>
      </c>
      <c r="O6540" s="38" t="n">
        <f aca="false">Sens!$O$6453</f>
        <v>39.02</v>
      </c>
    </row>
    <row r="6541" customFormat="false" ht="15" hidden="false" customHeight="false" outlineLevel="0" collapsed="false">
      <c r="A6541" s="0" t="s">
        <v>483</v>
      </c>
      <c r="B6541" s="0" t="s">
        <v>73</v>
      </c>
      <c r="C6541" s="38" t="n">
        <f aca="false">Sens!$C$6455</f>
        <v>44.374</v>
      </c>
      <c r="D6541" s="38" t="n">
        <f aca="false">Sens!$D$6455</f>
        <v>49.619</v>
      </c>
      <c r="E6541" s="38" t="n">
        <f aca="false">Sens!$E$6455</f>
        <v>27.157</v>
      </c>
      <c r="F6541" s="38" t="n">
        <f aca="false">Sens!$F$6455</f>
        <v>28.9776360923374</v>
      </c>
      <c r="G6541" s="38" t="n">
        <f aca="false">Sens!$G$6455</f>
        <v>56.1346360923374</v>
      </c>
      <c r="H6541" s="38" t="n">
        <f aca="false">Sens!$H$6455</f>
        <v>62.4937078946075</v>
      </c>
      <c r="I6541" s="38" t="n">
        <f aca="false">Sens!$I$6455</f>
        <v>68.6715233062498</v>
      </c>
      <c r="J6541" s="38" t="n">
        <f aca="false">Sens!$J$6455</f>
        <v>74.4692882949818</v>
      </c>
      <c r="K6541" s="38" t="n">
        <f aca="false">Sens!$K$6455</f>
        <v>79.6821384756306</v>
      </c>
      <c r="L6541" s="38" t="n">
        <f aca="false">Sens!$L$6455</f>
        <v>85.2598881689247</v>
      </c>
      <c r="M6541" s="38" t="n">
        <f aca="false">Sens!$M$6455</f>
        <v>91.2280803407494</v>
      </c>
      <c r="N6541" s="38" t="n">
        <f aca="false">Sens!$N$6455</f>
        <v>23.923</v>
      </c>
      <c r="O6541" s="38" t="n">
        <f aca="false">Sens!$O$6455</f>
        <v>25.696</v>
      </c>
    </row>
    <row r="6542" customFormat="false" ht="15" hidden="false" customHeight="false" outlineLevel="0" collapsed="false">
      <c r="A6542" s="0" t="s">
        <v>484</v>
      </c>
      <c r="B6542" s="0" t="s">
        <v>73</v>
      </c>
      <c r="C6542" s="38" t="n">
        <f aca="false">Sens!$C$6457</f>
        <v>5.425</v>
      </c>
      <c r="D6542" s="38" t="n">
        <f aca="false">Sens!$D$6457</f>
        <v>5.935</v>
      </c>
      <c r="E6542" s="38" t="n">
        <f aca="false">Sens!$E$6457</f>
        <v>3.474</v>
      </c>
      <c r="F6542" s="38" t="n">
        <f aca="false">Sens!$F$6457</f>
        <v>3.36182431966931</v>
      </c>
      <c r="G6542" s="38" t="n">
        <f aca="false">Sens!$G$6457</f>
        <v>6.83582431966931</v>
      </c>
      <c r="H6542" s="38" t="n">
        <f aca="false">Sens!$H$6457</f>
        <v>7.31157108370141</v>
      </c>
      <c r="I6542" s="38" t="n">
        <f aca="false">Sens!$I$6457</f>
        <v>7.77266852639815</v>
      </c>
      <c r="J6542" s="38" t="n">
        <f aca="false">Sens!$J$6457</f>
        <v>8.2120733019884</v>
      </c>
      <c r="K6542" s="38" t="n">
        <f aca="false">Sens!$K$6457</f>
        <v>8.62267696708783</v>
      </c>
      <c r="L6542" s="38" t="n">
        <f aca="false">Sens!$L$6457</f>
        <v>9.05381081544222</v>
      </c>
      <c r="M6542" s="38" t="n">
        <f aca="false">Sens!$M$6457</f>
        <v>9.50650135621433</v>
      </c>
      <c r="N6542" s="38" t="n">
        <f aca="false">Sens!$N$6457</f>
        <v>2.811</v>
      </c>
      <c r="O6542" s="38" t="n">
        <f aca="false">Sens!$O$6457</f>
        <v>3.124</v>
      </c>
    </row>
    <row r="6543" customFormat="false" ht="17.15" hidden="false" customHeight="false" outlineLevel="0" collapsed="false">
      <c r="A6543" s="0" t="s">
        <v>669</v>
      </c>
      <c r="B6543" s="0" t="s">
        <v>73</v>
      </c>
      <c r="C6543" s="38" t="n">
        <f aca="false">Sens!$C$6524</f>
        <v>107.556</v>
      </c>
      <c r="D6543" s="38" t="n">
        <f aca="false">Sens!$D$6524</f>
        <v>128.725</v>
      </c>
      <c r="E6543" s="38" t="n">
        <f aca="false">Sens!$E$6524</f>
        <v>79.819</v>
      </c>
      <c r="F6543" s="38" t="n">
        <f aca="false">Sens!$F$6524</f>
        <v>93.5584440633857</v>
      </c>
      <c r="G6543" s="38" t="n">
        <f aca="false">Sens!$G$6524</f>
        <v>173.377444063386</v>
      </c>
      <c r="H6543" s="38" t="n">
        <f aca="false">Sens!$H$6524</f>
        <v>241.059451517916</v>
      </c>
      <c r="I6543" s="38" t="n">
        <f aca="false">Sens!$I$6524</f>
        <v>312.152096351442</v>
      </c>
      <c r="J6543" s="38" t="n">
        <f aca="false">Sens!$J$6524</f>
        <v>379.424316597773</v>
      </c>
      <c r="K6543" s="38" t="n">
        <f aca="false">Sens!$K$6524</f>
        <v>439.919237244402</v>
      </c>
      <c r="L6543" s="38" t="n">
        <f aca="false">Sens!$L$6524</f>
        <v>501.954974491517</v>
      </c>
      <c r="M6543" s="38" t="n">
        <f aca="false">Sens!$M$6524</f>
        <v>565.639704466895</v>
      </c>
      <c r="N6543" s="38" t="n">
        <f aca="false">Sens!$N$6524</f>
        <v>60.14</v>
      </c>
      <c r="O6543" s="38" t="n">
        <f aca="false">Sens!$O$6524</f>
        <v>68.585</v>
      </c>
    </row>
    <row r="6544" customFormat="false" ht="15" hidden="false" customHeight="false" outlineLevel="0" collapsed="false">
      <c r="A6544" s="1" t="s">
        <v>472</v>
      </c>
      <c r="B6544" s="8" t="s">
        <v>73</v>
      </c>
      <c r="C6544" s="38" t="n">
        <f aca="false">Sens!$C$6461</f>
        <v>387.497</v>
      </c>
      <c r="D6544" s="38" t="n">
        <f aca="false">Sens!$D$6461</f>
        <v>426.305</v>
      </c>
      <c r="E6544" s="38" t="n">
        <f aca="false">Sens!$E$6461</f>
        <v>220.32</v>
      </c>
      <c r="F6544" s="38" t="n">
        <f aca="false">Sens!$F$6461</f>
        <v>256.304015003807</v>
      </c>
      <c r="G6544" s="38" t="n">
        <f aca="false">Sens!$G$6461</f>
        <v>476.624015003807</v>
      </c>
      <c r="H6544" s="38" t="n">
        <f aca="false">Sens!$H$6461</f>
        <v>527.734391091543</v>
      </c>
      <c r="I6544" s="38" t="n">
        <f aca="false">Sens!$I$6461</f>
        <v>577.157693029577</v>
      </c>
      <c r="J6544" s="38" t="n">
        <f aca="false">Sens!$J$6461</f>
        <v>623.024923663827</v>
      </c>
      <c r="K6544" s="38" t="n">
        <f aca="false">Sens!$K$6461</f>
        <v>663.382568393781</v>
      </c>
      <c r="L6544" s="38" t="n">
        <f aca="false">Sens!$L$6461</f>
        <v>706.564873010432</v>
      </c>
      <c r="M6544" s="38" t="n">
        <f aca="false">Sens!$M$6461</f>
        <v>752.784687406019</v>
      </c>
      <c r="N6544" s="38" t="n">
        <f aca="false">Sens!$N$6461</f>
        <v>192.955</v>
      </c>
      <c r="O6544" s="38" t="n">
        <f aca="false">Sens!$O$6461</f>
        <v>233.35</v>
      </c>
    </row>
    <row r="6545" customFormat="false" ht="15" hidden="false" customHeight="false" outlineLevel="0" collapsed="false">
      <c r="A6545" s="1" t="s">
        <v>475</v>
      </c>
      <c r="B6545" s="8" t="s">
        <v>73</v>
      </c>
      <c r="C6545" s="38" t="n">
        <f aca="false">Sens!$C$6462</f>
        <v>142.906</v>
      </c>
      <c r="D6545" s="38" t="n">
        <f aca="false">Sens!$D$6462</f>
        <v>161.894</v>
      </c>
      <c r="E6545" s="38" t="n">
        <f aca="false">Sens!$E$6462</f>
        <v>81.986</v>
      </c>
      <c r="F6545" s="38" t="n">
        <f aca="false">Sens!$F$6462</f>
        <v>100.632414204623</v>
      </c>
      <c r="G6545" s="38" t="n">
        <f aca="false">Sens!$G$6462</f>
        <v>182.618414204623</v>
      </c>
      <c r="H6545" s="38" t="n">
        <f aca="false">Sens!$H$6462</f>
        <v>202.201346530158</v>
      </c>
      <c r="I6545" s="38" t="n">
        <f aca="false">Sens!$I$6462</f>
        <v>221.137876668296</v>
      </c>
      <c r="J6545" s="38" t="n">
        <f aca="false">Sens!$J$6462</f>
        <v>238.711898661958</v>
      </c>
      <c r="K6545" s="38" t="n">
        <f aca="false">Sens!$K$6462</f>
        <v>254.174923708144</v>
      </c>
      <c r="L6545" s="38" t="n">
        <f aca="false">Sens!$L$6462</f>
        <v>270.720216732733</v>
      </c>
      <c r="M6545" s="38" t="n">
        <f aca="false">Sens!$M$6462</f>
        <v>288.429331137484</v>
      </c>
      <c r="N6545" s="38" t="n">
        <f aca="false">Sens!$N$6462</f>
        <v>70.274</v>
      </c>
      <c r="O6545" s="38" t="n">
        <f aca="false">Sens!$O$6462</f>
        <v>91.62</v>
      </c>
    </row>
    <row r="6546" customFormat="false" ht="15" hidden="false" customHeight="false" outlineLevel="0" collapsed="false">
      <c r="A6546" s="1" t="s">
        <v>476</v>
      </c>
      <c r="B6546" s="8" t="s">
        <v>73</v>
      </c>
      <c r="C6546" s="38" t="n">
        <f aca="false">Sens!$C$6524</f>
        <v>107.556</v>
      </c>
      <c r="D6546" s="38" t="n">
        <f aca="false">Sens!$D$6524</f>
        <v>128.725</v>
      </c>
      <c r="E6546" s="38" t="n">
        <f aca="false">Sens!$E$6524</f>
        <v>79.819</v>
      </c>
      <c r="F6546" s="38" t="n">
        <f aca="false">Sens!$F$6524</f>
        <v>93.5584440633857</v>
      </c>
      <c r="G6546" s="38" t="n">
        <f aca="false">Sens!$G$6524</f>
        <v>173.377444063386</v>
      </c>
      <c r="H6546" s="38" t="n">
        <f aca="false">Sens!$H$6524</f>
        <v>241.059451517916</v>
      </c>
      <c r="I6546" s="38" t="n">
        <f aca="false">Sens!$I$6524</f>
        <v>312.152096351442</v>
      </c>
      <c r="J6546" s="38" t="n">
        <f aca="false">Sens!$J$6524</f>
        <v>379.424316597773</v>
      </c>
      <c r="K6546" s="38" t="n">
        <f aca="false">Sens!$K$6524</f>
        <v>439.919237244402</v>
      </c>
      <c r="L6546" s="38" t="n">
        <f aca="false">Sens!$L$6524</f>
        <v>501.954974491517</v>
      </c>
      <c r="M6546" s="38" t="n">
        <f aca="false">Sens!$M$6524</f>
        <v>565.639704466895</v>
      </c>
      <c r="N6546" s="38" t="n">
        <f aca="false">Sens!$N$6524</f>
        <v>60.14</v>
      </c>
      <c r="O6546" s="38" t="n">
        <f aca="false">Sens!$O$6524</f>
        <v>68.585</v>
      </c>
    </row>
    <row r="6547" customFormat="false" ht="17.15" hidden="false" customHeight="false" outlineLevel="0" collapsed="false">
      <c r="A6547" s="0" t="s">
        <v>643</v>
      </c>
      <c r="B6547" s="0" t="s">
        <v>73</v>
      </c>
      <c r="C6547" s="38" t="n">
        <f aca="false">Sens!$C$6522</f>
        <v>2.32100535697364</v>
      </c>
      <c r="D6547" s="38" t="n">
        <f aca="false">Sens!$D$6522</f>
        <v>8.70377008865116</v>
      </c>
      <c r="E6547" s="38" t="n">
        <f aca="false">Sens!$E$6522</f>
        <v>8.51035297557002</v>
      </c>
      <c r="F6547" s="38" t="n">
        <f aca="false">Sens!$F$6522</f>
        <v>14.9634336447205</v>
      </c>
      <c r="G6547" s="38" t="n">
        <f aca="false">Sens!$G$6522</f>
        <v>23.4737866202905</v>
      </c>
      <c r="H6547" s="38" t="n">
        <f aca="false">Sens!$H$6522</f>
        <v>60.1658907497746</v>
      </c>
      <c r="I6547" s="38" t="n">
        <f aca="false">Sens!$I$6522</f>
        <v>101.503699136432</v>
      </c>
      <c r="J6547" s="38" t="n">
        <f aca="false">Sens!$J$6522</f>
        <v>143.025407151278</v>
      </c>
      <c r="K6547" s="38" t="n">
        <f aca="false">Sens!$K$6522</f>
        <v>184.608415042187</v>
      </c>
      <c r="L6547" s="38" t="n">
        <f aca="false">Sens!$L$6522</f>
        <v>226.219286513125</v>
      </c>
      <c r="M6547" s="38" t="n">
        <f aca="false">Sens!$M$6522</f>
        <v>267.845161450232</v>
      </c>
      <c r="N6547" s="38" t="n">
        <f aca="false">Sens!$N$6522</f>
        <v>3.04631953102791</v>
      </c>
      <c r="O6547" s="38" t="n">
        <f aca="false">Sens!$O$6522</f>
        <v>5.65745055762326</v>
      </c>
    </row>
    <row r="6548" customFormat="false" ht="17.15" hidden="false" customHeight="false" outlineLevel="0" collapsed="false">
      <c r="A6548" s="0" t="s">
        <v>645</v>
      </c>
      <c r="B6548" s="0" t="s">
        <v>73</v>
      </c>
      <c r="C6548" s="38" t="n">
        <f aca="false">Sens!$C$6523</f>
        <v>105.234994643026</v>
      </c>
      <c r="D6548" s="38" t="n">
        <f aca="false">Sens!$D$6523</f>
        <v>120.021229911349</v>
      </c>
      <c r="E6548" s="38" t="n">
        <f aca="false">Sens!$E$6523</f>
        <v>71.30864702443</v>
      </c>
      <c r="F6548" s="38" t="n">
        <f aca="false">Sens!$F$6523</f>
        <v>78.5950104186653</v>
      </c>
      <c r="G6548" s="38" t="n">
        <f aca="false">Sens!$G$6523</f>
        <v>149.903657443095</v>
      </c>
      <c r="H6548" s="38" t="n">
        <f aca="false">Sens!$H$6523</f>
        <v>180.893560768142</v>
      </c>
      <c r="I6548" s="38" t="n">
        <f aca="false">Sens!$I$6523</f>
        <v>210.64839721501</v>
      </c>
      <c r="J6548" s="38" t="n">
        <f aca="false">Sens!$J$6523</f>
        <v>236.398909446495</v>
      </c>
      <c r="K6548" s="38" t="n">
        <f aca="false">Sens!$K$6523</f>
        <v>255.310822202215</v>
      </c>
      <c r="L6548" s="38" t="n">
        <f aca="false">Sens!$L$6523</f>
        <v>275.735687978392</v>
      </c>
      <c r="M6548" s="38" t="n">
        <f aca="false">Sens!$M$6523</f>
        <v>297.794543016663</v>
      </c>
      <c r="N6548" s="38" t="n">
        <f aca="false">Sens!$N$6523</f>
        <v>57.0936804689721</v>
      </c>
      <c r="O6548" s="38" t="n">
        <f aca="false">Sens!$O$6523</f>
        <v>62.9275494423768</v>
      </c>
    </row>
    <row r="6549" customFormat="false" ht="15" hidden="false" customHeight="false" outlineLevel="0" collapsed="false">
      <c r="A6549" s="3" t="s">
        <v>477</v>
      </c>
      <c r="B6549" s="8" t="s">
        <v>73</v>
      </c>
      <c r="C6549" s="38" t="n">
        <f aca="false">Sens!$C$6525</f>
        <v>637.959</v>
      </c>
      <c r="D6549" s="38" t="n">
        <f aca="false">Sens!$D$6525</f>
        <v>716.924</v>
      </c>
      <c r="E6549" s="38" t="n">
        <f aca="false">Sens!$E$6525</f>
        <v>382.125</v>
      </c>
      <c r="F6549" s="38" t="n">
        <f aca="false">Sens!$F$6525</f>
        <v>450.494873271816</v>
      </c>
      <c r="G6549" s="38" t="n">
        <f aca="false">Sens!$G$6525</f>
        <v>832.619873271816</v>
      </c>
      <c r="H6549" s="38" t="n">
        <f aca="false">Sens!$H$6525</f>
        <v>970.995189139617</v>
      </c>
      <c r="I6549" s="38" t="n">
        <f aca="false">Sens!$I$6525</f>
        <v>1110.44766604932</v>
      </c>
      <c r="J6549" s="38" t="n">
        <f aca="false">Sens!$J$6525</f>
        <v>1241.16113892356</v>
      </c>
      <c r="K6549" s="38" t="n">
        <f aca="false">Sens!$K$6525</f>
        <v>1357.47672934633</v>
      </c>
      <c r="L6549" s="38" t="n">
        <f aca="false">Sens!$L$6525</f>
        <v>1479.24006423468</v>
      </c>
      <c r="M6549" s="38" t="n">
        <f aca="false">Sens!$M$6525</f>
        <v>1606.8537230104</v>
      </c>
      <c r="N6549" s="38" t="n">
        <f aca="false">Sens!$N$6525</f>
        <v>323.369</v>
      </c>
      <c r="O6549" s="38" t="n">
        <f aca="false">Sens!$O$6525</f>
        <v>393.555</v>
      </c>
    </row>
    <row r="6550" customFormat="false" ht="17.15" hidden="false" customHeight="false" outlineLevel="0" collapsed="false">
      <c r="A6550" s="24" t="s">
        <v>655</v>
      </c>
      <c r="B6550" s="25" t="s">
        <v>73</v>
      </c>
      <c r="C6550" s="39" t="n">
        <f aca="false">Sens!$C$6537+Sens!$C$6538+Sens!$C$6539+Sens!$C$6540+Sens!$C$6541+Sens!$C$6542-(Sens!$C$6544+Sens!$C$6545)</f>
        <v>0</v>
      </c>
      <c r="D6550" s="39" t="n">
        <f aca="false">Sens!$D$6537+Sens!$D$6538+Sens!$D$6539+Sens!$D$6540+Sens!$D$6541+Sens!$D$6542-(Sens!$D$6544+Sens!$D$6545)</f>
        <v>0</v>
      </c>
      <c r="E6550" s="39" t="n">
        <f aca="false">Sens!$E$6537+Sens!$E$6538+Sens!$E$6539+Sens!$E$6540+Sens!$E$6541+Sens!$E$6542-(Sens!$E$6544+Sens!$E$6545)</f>
        <v>0</v>
      </c>
      <c r="F6550" s="39" t="n">
        <f aca="false">Sens!$F$6537+Sens!$F$6538+Sens!$F$6539+Sens!$F$6540+Sens!$F$6541+Sens!$F$6542-(Sens!$F$6544+Sens!$F$6545)</f>
        <v>0</v>
      </c>
      <c r="G6550" s="39" t="n">
        <f aca="false">Sens!$G$6537+Sens!$G$6538+Sens!$G$6539+Sens!$G$6540+Sens!$G$6541+Sens!$G$6542-(Sens!$G$6544+Sens!$G$6545)</f>
        <v>0</v>
      </c>
      <c r="H6550" s="39" t="n">
        <f aca="false">Sens!$H$6537+Sens!$H$6538+Sens!$H$6539+Sens!$H$6540+Sens!$H$6541+Sens!$H$6542-(Sens!$H$6544+Sens!$H$6545)</f>
        <v>0</v>
      </c>
      <c r="I6550" s="39" t="n">
        <f aca="false">Sens!$I$6537+Sens!$I$6538+Sens!$I$6539+Sens!$I$6540+Sens!$I$6541+Sens!$I$6542-(Sens!$I$6544+Sens!$I$6545)</f>
        <v>0</v>
      </c>
      <c r="J6550" s="39" t="n">
        <f aca="false">Sens!$J$6537+Sens!$J$6538+Sens!$J$6539+Sens!$J$6540+Sens!$J$6541+Sens!$J$6542-(Sens!$J$6544+Sens!$J$6545)</f>
        <v>0</v>
      </c>
      <c r="K6550" s="39" t="n">
        <f aca="false">Sens!$K$6537+Sens!$K$6538+Sens!$K$6539+Sens!$K$6540+Sens!$K$6541+Sens!$K$6542-(Sens!$K$6544+Sens!$K$6545)</f>
        <v>0</v>
      </c>
      <c r="L6550" s="39" t="n">
        <f aca="false">Sens!$L$6537+Sens!$L$6538+Sens!$L$6539+Sens!$L$6540+Sens!$L$6541+Sens!$L$6542-(Sens!$L$6544+Sens!$L$6545)</f>
        <v>0</v>
      </c>
      <c r="M6550" s="39" t="n">
        <f aca="false">Sens!$M$6537+Sens!$M$6538+Sens!$M$6539+Sens!$M$6540+Sens!$M$6541+Sens!$M$6542-(Sens!$M$6544+Sens!$M$6545)</f>
        <v>0</v>
      </c>
      <c r="N6550" s="39" t="n">
        <f aca="false">Sens!$N$6537+Sens!$N$6538+Sens!$N$6539+Sens!$N$6540+Sens!$N$6541+Sens!$N$6542-(Sens!$N$6544+Sens!$N$6545)</f>
        <v>0</v>
      </c>
      <c r="O6550" s="39" t="n">
        <f aca="false">Sens!$O$6537+Sens!$O$6538+Sens!$O$6539+Sens!$O$6540+Sens!$O$6541+Sens!$O$6542-(Sens!$O$6544+Sens!$O$6545)</f>
        <v>0</v>
      </c>
    </row>
    <row r="6551" customFormat="false" ht="17.15" hidden="false" customHeight="false" outlineLevel="0" collapsed="false">
      <c r="A6551" s="24" t="s">
        <v>656</v>
      </c>
      <c r="B6551" s="25" t="s">
        <v>73</v>
      </c>
      <c r="C6551" s="39" t="n">
        <f aca="false">Sens!$C$6547+Sens!$C$6548-Sens!$C$6546</f>
        <v>0</v>
      </c>
      <c r="D6551" s="39" t="n">
        <f aca="false">Sens!$D$6547+Sens!$D$6548-Sens!$D$6546</f>
        <v>0</v>
      </c>
      <c r="E6551" s="39" t="n">
        <f aca="false">Sens!$E$6547+Sens!$E$6548-Sens!$E$6546</f>
        <v>0</v>
      </c>
      <c r="F6551" s="39" t="n">
        <f aca="false">Sens!$F$6547+Sens!$F$6548-Sens!$F$6546</f>
        <v>0</v>
      </c>
      <c r="G6551" s="39" t="n">
        <f aca="false">Sens!$G$6547+Sens!$G$6548-Sens!$G$6546</f>
        <v>0</v>
      </c>
      <c r="H6551" s="39" t="n">
        <f aca="false">Sens!$H$6547+Sens!$H$6548-Sens!$H$6546</f>
        <v>0</v>
      </c>
      <c r="I6551" s="39" t="n">
        <f aca="false">Sens!$I$6547+Sens!$I$6548-Sens!$I$6546</f>
        <v>0</v>
      </c>
      <c r="J6551" s="39" t="n">
        <f aca="false">Sens!$J$6547+Sens!$J$6548-Sens!$J$6546</f>
        <v>0</v>
      </c>
      <c r="K6551" s="39" t="n">
        <f aca="false">Sens!$K$6547+Sens!$K$6548-Sens!$K$6546</f>
        <v>0</v>
      </c>
      <c r="L6551" s="39" t="n">
        <f aca="false">Sens!$L$6547+Sens!$L$6548-Sens!$L$6546</f>
        <v>0</v>
      </c>
      <c r="M6551" s="39" t="n">
        <f aca="false">Sens!$M$6547+Sens!$M$6548-Sens!$M$6546</f>
        <v>0</v>
      </c>
      <c r="N6551" s="39" t="n">
        <f aca="false">Sens!$N$6547+Sens!$N$6548-Sens!$N$6546</f>
        <v>0</v>
      </c>
      <c r="O6551" s="39" t="n">
        <f aca="false">Sens!$O$6547+Sens!$O$6548-Sens!$O$6546</f>
        <v>0</v>
      </c>
    </row>
    <row r="6552" customFormat="false" ht="17.15" hidden="false" customHeight="false" outlineLevel="0" collapsed="false">
      <c r="A6552" s="24" t="s">
        <v>710</v>
      </c>
      <c r="B6552" s="25" t="s">
        <v>73</v>
      </c>
      <c r="C6552" s="39" t="n">
        <f aca="false">Sens!$C$6537+Sens!$C$6538+Sens!$C$6539+Sens!$C$6540+Sens!$C$6541+Sens!$C$6542+Sens!$C$6543-Sens!$C$6549</f>
        <v>0</v>
      </c>
      <c r="D6552" s="39" t="n">
        <f aca="false">Sens!$D$6537+Sens!$D$6538+Sens!$D$6539+Sens!$D$6540+Sens!$D$6541+Sens!$D$6542+Sens!$D$6543-Sens!$D$6549</f>
        <v>0</v>
      </c>
      <c r="E6552" s="39" t="n">
        <f aca="false">Sens!$E$6537+Sens!$E$6538+Sens!$E$6539+Sens!$E$6540+Sens!$E$6541+Sens!$E$6542+Sens!$E$6543-Sens!$E$6549</f>
        <v>0</v>
      </c>
      <c r="F6552" s="39" t="n">
        <f aca="false">Sens!$F$6537+Sens!$F$6538+Sens!$F$6539+Sens!$F$6540+Sens!$F$6541+Sens!$F$6542+Sens!$F$6543-Sens!$F$6549</f>
        <v>0</v>
      </c>
      <c r="G6552" s="39" t="n">
        <f aca="false">Sens!$G$6537+Sens!$G$6538+Sens!$G$6539+Sens!$G$6540+Sens!$G$6541+Sens!$G$6542+Sens!$G$6543-Sens!$G$6549</f>
        <v>0</v>
      </c>
      <c r="H6552" s="39" t="n">
        <f aca="false">Sens!$H$6537+Sens!$H$6538+Sens!$H$6539+Sens!$H$6540+Sens!$H$6541+Sens!$H$6542+Sens!$H$6543-Sens!$H$6549</f>
        <v>0</v>
      </c>
      <c r="I6552" s="39" t="n">
        <f aca="false">Sens!$I$6537+Sens!$I$6538+Sens!$I$6539+Sens!$I$6540+Sens!$I$6541+Sens!$I$6542+Sens!$I$6543-Sens!$I$6549</f>
        <v>0</v>
      </c>
      <c r="J6552" s="39" t="n">
        <f aca="false">Sens!$J$6537+Sens!$J$6538+Sens!$J$6539+Sens!$J$6540+Sens!$J$6541+Sens!$J$6542+Sens!$J$6543-Sens!$J$6549</f>
        <v>0</v>
      </c>
      <c r="K6552" s="39" t="n">
        <f aca="false">Sens!$K$6537+Sens!$K$6538+Sens!$K$6539+Sens!$K$6540+Sens!$K$6541+Sens!$K$6542+Sens!$K$6543-Sens!$K$6549</f>
        <v>0</v>
      </c>
      <c r="L6552" s="39" t="n">
        <f aca="false">Sens!$L$6537+Sens!$L$6538+Sens!$L$6539+Sens!$L$6540+Sens!$L$6541+Sens!$L$6542+Sens!$L$6543-Sens!$L$6549</f>
        <v>0</v>
      </c>
      <c r="M6552" s="39" t="n">
        <f aca="false">Sens!$M$6537+Sens!$M$6538+Sens!$M$6539+Sens!$M$6540+Sens!$M$6541+Sens!$M$6542+Sens!$M$6543-Sens!$M$6549</f>
        <v>0</v>
      </c>
      <c r="N6552" s="39" t="n">
        <f aca="false">Sens!$N$6537+Sens!$N$6538+Sens!$N$6539+Sens!$N$6540+Sens!$N$6541+Sens!$N$6542+Sens!$N$6543-Sens!$N$6549</f>
        <v>0</v>
      </c>
      <c r="O6552" s="39" t="n">
        <f aca="false">Sens!$O$6537+Sens!$O$6538+Sens!$O$6539+Sens!$O$6540+Sens!$O$6541+Sens!$O$6542+Sens!$O$6543-Sens!$O$6549</f>
        <v>0</v>
      </c>
    </row>
    <row r="6553" customFormat="false" ht="17.15" hidden="false" customHeight="false" outlineLevel="0" collapsed="false">
      <c r="A6553" s="24" t="s">
        <v>657</v>
      </c>
      <c r="B6553" s="25" t="s">
        <v>73</v>
      </c>
      <c r="C6553" s="39" t="n">
        <f aca="false">Sens!$C$6544+Sens!$C$6545+Sens!$C$6546-Sens!$C$6549</f>
        <v>0</v>
      </c>
      <c r="D6553" s="39" t="n">
        <f aca="false">Sens!$D$6544+Sens!$D$6545+Sens!$D$6546-Sens!$D$6549</f>
        <v>0</v>
      </c>
      <c r="E6553" s="39" t="n">
        <f aca="false">Sens!$E$6544+Sens!$E$6545+Sens!$E$6546-Sens!$E$6549</f>
        <v>0</v>
      </c>
      <c r="F6553" s="39" t="n">
        <f aca="false">Sens!$F$6544+Sens!$F$6545+Sens!$F$6546-Sens!$F$6549</f>
        <v>0</v>
      </c>
      <c r="G6553" s="39" t="n">
        <f aca="false">Sens!$G$6544+Sens!$G$6545+Sens!$G$6546-Sens!$G$6549</f>
        <v>0</v>
      </c>
      <c r="H6553" s="39" t="n">
        <f aca="false">Sens!$H$6544+Sens!$H$6545+Sens!$H$6546-Sens!$H$6549</f>
        <v>0</v>
      </c>
      <c r="I6553" s="39" t="n">
        <f aca="false">Sens!$I$6544+Sens!$I$6545+Sens!$I$6546-Sens!$I$6549</f>
        <v>0</v>
      </c>
      <c r="J6553" s="39" t="n">
        <f aca="false">Sens!$J$6544+Sens!$J$6545+Sens!$J$6546-Sens!$J$6549</f>
        <v>0</v>
      </c>
      <c r="K6553" s="39" t="n">
        <f aca="false">Sens!$K$6544+Sens!$K$6545+Sens!$K$6546-Sens!$K$6549</f>
        <v>0</v>
      </c>
      <c r="L6553" s="39" t="n">
        <f aca="false">Sens!$L$6544+Sens!$L$6545+Sens!$L$6546-Sens!$L$6549</f>
        <v>0</v>
      </c>
      <c r="M6553" s="39" t="n">
        <f aca="false">Sens!$M$6544+Sens!$M$6545+Sens!$M$6546-Sens!$M$6549</f>
        <v>0</v>
      </c>
      <c r="N6553" s="39" t="n">
        <f aca="false">Sens!$N$6544+Sens!$N$6545+Sens!$N$6546-Sens!$N$6549</f>
        <v>0</v>
      </c>
      <c r="O6553" s="39" t="n">
        <f aca="false">Sens!$O$6544+Sens!$O$6545+Sens!$O$6546-Sens!$O$6549</f>
        <v>0</v>
      </c>
    </row>
    <row r="6554" customFormat="false" ht="17.15" hidden="false" customHeight="false" outlineLevel="0" collapsed="false">
      <c r="A6554" s="1" t="s">
        <v>671</v>
      </c>
    </row>
    <row r="6555" customFormat="false" ht="17.15" hidden="false" customHeight="false" outlineLevel="0" collapsed="false">
      <c r="A6555" s="0" t="s">
        <v>672</v>
      </c>
      <c r="B6555" s="0" t="s">
        <v>73</v>
      </c>
      <c r="C6555" s="38" t="n">
        <f aca="false">Sens!$C$6463*m_ad</f>
        <v>20.5341564414228</v>
      </c>
      <c r="D6555" s="38" t="n">
        <f aca="false">Sens!$D$6463*m_ad</f>
        <v>24.8720617299587</v>
      </c>
      <c r="E6555" s="38" t="n">
        <f aca="false">Sens!$E$6463*m_ad</f>
        <v>13.5017112462207</v>
      </c>
      <c r="F6555" s="38" t="n">
        <f aca="false">Sens!$F$6463*m_ad</f>
        <v>17.2886442824599</v>
      </c>
      <c r="G6555" s="38" t="n">
        <f aca="false">Sens!$G$6463*m_ad</f>
        <v>30.8011958765886</v>
      </c>
      <c r="H6555" s="38" t="n">
        <f aca="false">Sens!$H$6463*m_ad</f>
        <v>36.978409366026</v>
      </c>
      <c r="I6555" s="38" t="n">
        <f aca="false">Sens!$I$6463*m_ad</f>
        <v>43.155063281273</v>
      </c>
      <c r="J6555" s="38" t="n">
        <f aca="false">Sens!$J$6463*m_ad</f>
        <v>48.9169991988532</v>
      </c>
      <c r="K6555" s="38" t="n">
        <f aca="false">Sens!$K$6463*m_ad</f>
        <v>53.8086991187386</v>
      </c>
      <c r="L6555" s="38" t="n">
        <f aca="false">Sens!$L$6463*m_ad</f>
        <v>59.1895690306124</v>
      </c>
      <c r="M6555" s="38" t="n">
        <f aca="false">Sens!$M$6463*m_ad</f>
        <v>65.1085259336737</v>
      </c>
      <c r="N6555" s="38" t="n">
        <f aca="false">Sens!$N$6463*m_ad</f>
        <v>10.8543555706248</v>
      </c>
      <c r="O6555" s="38" t="n">
        <f aca="false">Sens!$O$6463*m_ad</f>
        <v>14.0094731821399</v>
      </c>
    </row>
    <row r="6556" customFormat="false" ht="17.15" hidden="false" customHeight="false" outlineLevel="0" collapsed="false">
      <c r="A6556" s="0" t="s">
        <v>673</v>
      </c>
      <c r="B6556" s="0" t="s">
        <v>73</v>
      </c>
      <c r="C6556" s="38" t="n">
        <f aca="false">Sens!$C$6461-Sens!$C$6463</f>
        <v>346.428687117154</v>
      </c>
      <c r="D6556" s="38" t="n">
        <f aca="false">Sens!$D$6461-Sens!$D$6463</f>
        <v>376.560876540083</v>
      </c>
      <c r="E6556" s="38" t="n">
        <f aca="false">Sens!$E$6461-Sens!$E$6463</f>
        <v>193.316577507559</v>
      </c>
      <c r="F6556" s="38" t="n">
        <f aca="false">Sens!$F$6461-Sens!$F$6463</f>
        <v>221.726726438887</v>
      </c>
      <c r="G6556" s="38" t="n">
        <f aca="false">Sens!$G$6461-Sens!$G$6463</f>
        <v>415.02162325063</v>
      </c>
      <c r="H6556" s="38" t="n">
        <f aca="false">Sens!$H$6461-Sens!$H$6463</f>
        <v>453.777572359491</v>
      </c>
      <c r="I6556" s="38" t="n">
        <f aca="false">Sens!$I$6461-Sens!$I$6463</f>
        <v>490.847566467031</v>
      </c>
      <c r="J6556" s="38" t="n">
        <f aca="false">Sens!$J$6461-Sens!$J$6463</f>
        <v>525.190925266121</v>
      </c>
      <c r="K6556" s="38" t="n">
        <f aca="false">Sens!$K$6461-Sens!$K$6463</f>
        <v>555.765170156304</v>
      </c>
      <c r="L6556" s="38" t="n">
        <f aca="false">Sens!$L$6461-Sens!$L$6463</f>
        <v>588.185734949207</v>
      </c>
      <c r="M6556" s="38" t="n">
        <f aca="false">Sens!$M$6461-Sens!$M$6463</f>
        <v>622.567635538672</v>
      </c>
      <c r="N6556" s="38" t="n">
        <f aca="false">Sens!$N$6461-Sens!$N$6463</f>
        <v>171.24628885875</v>
      </c>
      <c r="O6556" s="38" t="n">
        <f aca="false">Sens!$O$6461-Sens!$O$6463</f>
        <v>205.33105363572</v>
      </c>
    </row>
    <row r="6557" customFormat="false" ht="17.15" hidden="false" customHeight="false" outlineLevel="0" collapsed="false">
      <c r="A6557" s="0" t="s">
        <v>674</v>
      </c>
      <c r="B6557" s="0" t="s">
        <v>73</v>
      </c>
      <c r="C6557" s="38" t="n">
        <f aca="false">Sens!$C$6508*Sens!$C$6460</f>
        <v>0.123617442257179</v>
      </c>
      <c r="D6557" s="38" t="n">
        <f aca="false">Sens!$D$6508*Sens!$D$6460</f>
        <v>0.874366899302609</v>
      </c>
      <c r="E6557" s="38" t="n">
        <f aca="false">Sens!$E$6508*Sens!$E$6460</f>
        <v>1.29318830502574</v>
      </c>
      <c r="F6557" s="38" t="n">
        <f aca="false">Sens!$F$6508*Sens!$F$6460</f>
        <v>1.51802024162534</v>
      </c>
      <c r="G6557" s="38" t="n">
        <f aca="false">Sens!$G$6508*Sens!$G$6460</f>
        <v>2.81130189308167</v>
      </c>
      <c r="H6557" s="38" t="n">
        <f aca="false">Sens!$H$6508*Sens!$H$6460</f>
        <v>7.38966789318209</v>
      </c>
      <c r="I6557" s="38" t="n">
        <f aca="false">Sens!$I$6508*Sens!$I$6460</f>
        <v>12.8987443661473</v>
      </c>
      <c r="J6557" s="38" t="n">
        <f aca="false">Sens!$J$6508*Sens!$J$6460</f>
        <v>18.5570025453645</v>
      </c>
      <c r="K6557" s="38" t="n">
        <f aca="false">Sens!$K$6508*Sens!$K$6460</f>
        <v>24.3158972773405</v>
      </c>
      <c r="L6557" s="38" t="n">
        <f aca="false">Sens!$L$6508*Sens!$L$6460</f>
        <v>29.7827375558674</v>
      </c>
      <c r="M6557" s="38" t="n">
        <f aca="false">Sens!$M$6508*Sens!$M$6460</f>
        <v>35.3532344973194</v>
      </c>
      <c r="N6557" s="38" t="n">
        <f aca="false">Sens!$N$6508*Sens!$N$6460</f>
        <v>0.389180508437431</v>
      </c>
      <c r="O6557" s="38" t="n">
        <f aca="false">Sens!$O$6508*Sens!$O$6460</f>
        <v>0.485052120082802</v>
      </c>
    </row>
    <row r="6558" customFormat="false" ht="17.15" hidden="false" customHeight="false" outlineLevel="0" collapsed="false">
      <c r="A6558" s="0" t="s">
        <v>675</v>
      </c>
      <c r="B6558" s="0" t="s">
        <v>52</v>
      </c>
      <c r="C6558" s="28" t="n">
        <f aca="false">(Sens!$C$6559-Sens!$C$6555+Sens!$C$6557)/Sens!$C$6556</f>
        <v>0.0131526665379575</v>
      </c>
      <c r="D6558" s="28" t="n">
        <f aca="false">(Sens!$D$6559-Sens!$D$6555+Sens!$D$6557)/Sens!$D$6556</f>
        <v>0.0149280116962589</v>
      </c>
      <c r="E6558" s="28" t="n">
        <f aca="false">(Sens!$E$6559-Sens!$E$6555+Sens!$E$6557)/Sens!$E$6556</f>
        <v>0.0268030663774938</v>
      </c>
      <c r="F6558" s="28" t="n">
        <f aca="false">Sens!$O$6558+(Sens!$E$6558-Sens!$N$6558)</f>
        <v>0.0232379346966962</v>
      </c>
      <c r="G6558" s="28" t="n">
        <f aca="false">(Sens!$G$6559-Sens!$G$6555+Sens!$G$6557)/Sens!$G$6556</f>
        <v>0.0248738876928168</v>
      </c>
      <c r="H6558" s="28" t="n">
        <f aca="false">Sens!$G$6558+step_na</f>
        <v>0.0278738876928168</v>
      </c>
      <c r="I6558" s="28" t="n">
        <f aca="false">Sens!$H$6558+step_na</f>
        <v>0.0308738876928168</v>
      </c>
      <c r="J6558" s="28" t="n">
        <f aca="false">Sens!$I$6558+step_na</f>
        <v>0.0338738876928168</v>
      </c>
      <c r="K6558" s="28" t="n">
        <f aca="false">Sens!$J$6558+step_na</f>
        <v>0.0368738876928168</v>
      </c>
      <c r="L6558" s="28" t="n">
        <f aca="false">Sens!$K$6558</f>
        <v>0.0368738876928168</v>
      </c>
      <c r="M6558" s="28" t="n">
        <f aca="false">Sens!$L$6558</f>
        <v>0.0368738876928168</v>
      </c>
      <c r="N6558" s="28" t="n">
        <f aca="false">(Sens!$N$6559-Sens!$N$6555+Sens!$N$6557)/Sens!$N$6556</f>
        <v>0.0168927744775755</v>
      </c>
      <c r="O6558" s="28" t="n">
        <f aca="false">(Sens!$O$6559-Sens!$O$6555+Sens!$O$6557)/Sens!$O$6556</f>
        <v>0.0133276427967779</v>
      </c>
      <c r="P6558" s="8" t="s">
        <v>676</v>
      </c>
    </row>
    <row r="6559" customFormat="false" ht="17.15" hidden="false" customHeight="false" outlineLevel="0" collapsed="false">
      <c r="A6559" s="1" t="s">
        <v>677</v>
      </c>
      <c r="B6559" s="8" t="s">
        <v>73</v>
      </c>
      <c r="C6559" s="38" t="n">
        <f aca="false">Q!$D$22</f>
        <v>24.967</v>
      </c>
      <c r="D6559" s="38" t="n">
        <f aca="false">Q!$E$22</f>
        <v>29.619</v>
      </c>
      <c r="E6559" s="38" t="n">
        <f aca="false">Q!$P$22</f>
        <v>17.39</v>
      </c>
      <c r="F6559" s="38" t="n">
        <f aca="false">Sens!$F$6555+Sens!$F$6556*Sens!$F$6558-Sens!$F$6557</f>
        <v>20.9230952303336</v>
      </c>
      <c r="G6559" s="38" t="n">
        <f aca="false">Sens!$E$6559+Sens!$F$6559</f>
        <v>38.3130952303336</v>
      </c>
      <c r="H6559" s="38" t="n">
        <f aca="false">Sens!$H$6555+Sens!$H$6556*Sens!$H$6558-Sens!$H$6557</f>
        <v>42.2372865623114</v>
      </c>
      <c r="I6559" s="38" t="n">
        <f aca="false">Sens!$I$6555+Sens!$I$6556*Sens!$I$6558-Sens!$I$6557</f>
        <v>45.4106915565213</v>
      </c>
      <c r="J6559" s="38" t="n">
        <f aca="false">Sens!$J$6555+Sens!$J$6556*Sens!$J$6558-Sens!$J$6557</f>
        <v>48.1502550732398</v>
      </c>
      <c r="K6559" s="38" t="n">
        <f aca="false">Sens!$K$6555+Sens!$K$6556*Sens!$K$6558-Sens!$K$6557</f>
        <v>49.9860243093208</v>
      </c>
      <c r="L6559" s="38" t="n">
        <f aca="false">Sens!$L$6555+Sens!$L$6556*Sens!$L$6558-Sens!$L$6557</f>
        <v>51.095526207779</v>
      </c>
      <c r="M6559" s="38" t="n">
        <f aca="false">Sens!$M$6555+Sens!$M$6556*Sens!$M$6558-Sens!$M$6557</f>
        <v>52.7117805103898</v>
      </c>
      <c r="N6559" s="38" t="n">
        <f aca="false">Q!$N$22</f>
        <v>13.358</v>
      </c>
      <c r="O6559" s="38" t="n">
        <f aca="false">Q!$O$22</f>
        <v>16.261</v>
      </c>
    </row>
    <row r="6560" customFormat="false" ht="17.15" hidden="false" customHeight="false" outlineLevel="0" collapsed="false">
      <c r="A6560" s="0" t="s">
        <v>678</v>
      </c>
      <c r="B6560" s="0" t="s">
        <v>73</v>
      </c>
      <c r="C6560" s="38" t="n">
        <f aca="false">Sens!$C$6464*m_ad</f>
        <v>7.57284355857716</v>
      </c>
      <c r="D6560" s="38" t="n">
        <f aca="false">Sens!$D$6464*m_ad</f>
        <v>9.44543827004127</v>
      </c>
      <c r="E6560" s="38" t="n">
        <f aca="false">Sens!$E$6464*m_ad</f>
        <v>5.02428875377928</v>
      </c>
      <c r="F6560" s="38" t="n">
        <f aca="false">Sens!$F$6464*m_ad</f>
        <v>6.78802480890925</v>
      </c>
      <c r="G6560" s="38" t="n">
        <f aca="false">Sens!$G$6464*m_ad</f>
        <v>11.8014732147805</v>
      </c>
      <c r="H6560" s="38" t="n">
        <f aca="false">Sens!$H$6464*m_ad</f>
        <v>14.1682715634442</v>
      </c>
      <c r="I6560" s="38" t="n">
        <f aca="false">Sens!$I$6464*m_ad</f>
        <v>16.5348555113474</v>
      </c>
      <c r="J6560" s="38" t="n">
        <f aca="false">Sens!$J$6464*m_ad</f>
        <v>18.7425403255689</v>
      </c>
      <c r="K6560" s="38" t="n">
        <f aca="false">Sens!$K$6464*m_ad</f>
        <v>20.6167943581258</v>
      </c>
      <c r="L6560" s="38" t="n">
        <f aca="false">Sens!$L$6464*m_ad</f>
        <v>22.6784737939383</v>
      </c>
      <c r="M6560" s="38" t="n">
        <f aca="false">Sens!$M$6464*m_ad</f>
        <v>24.9463211733322</v>
      </c>
      <c r="N6560" s="38" t="n">
        <f aca="false">Sens!$N$6464*m_ad</f>
        <v>3.95314442937518</v>
      </c>
      <c r="O6560" s="38" t="n">
        <f aca="false">Sens!$O$6464*m_ad</f>
        <v>5.50052681786011</v>
      </c>
    </row>
    <row r="6561" customFormat="false" ht="17.15" hidden="false" customHeight="false" outlineLevel="0" collapsed="false">
      <c r="A6561" s="0" t="s">
        <v>679</v>
      </c>
      <c r="B6561" s="0" t="s">
        <v>73</v>
      </c>
      <c r="C6561" s="38" t="n">
        <f aca="false">Sens!$C$6462-Sens!$C$6464</f>
        <v>127.760312882846</v>
      </c>
      <c r="D6561" s="38" t="n">
        <f aca="false">Sens!$D$6462-Sens!$D$6464</f>
        <v>143.003123459917</v>
      </c>
      <c r="E6561" s="38" t="n">
        <f aca="false">Sens!$E$6462-Sens!$E$6464</f>
        <v>71.9374224924414</v>
      </c>
      <c r="F6561" s="38" t="n">
        <f aca="false">Sens!$F$6462-Sens!$F$6464</f>
        <v>87.0563645868046</v>
      </c>
      <c r="G6561" s="38" t="n">
        <f aca="false">Sens!$G$6462-Sens!$G$6464</f>
        <v>159.015467775062</v>
      </c>
      <c r="H6561" s="38" t="n">
        <f aca="false">Sens!$H$6462-Sens!$H$6464</f>
        <v>173.864803403269</v>
      </c>
      <c r="I6561" s="38" t="n">
        <f aca="false">Sens!$I$6462-Sens!$I$6464</f>
        <v>188.068165645601</v>
      </c>
      <c r="J6561" s="38" t="n">
        <f aca="false">Sens!$J$6462-Sens!$J$6464</f>
        <v>201.22681801082</v>
      </c>
      <c r="K6561" s="38" t="n">
        <f aca="false">Sens!$K$6462-Sens!$K$6464</f>
        <v>212.941334991893</v>
      </c>
      <c r="L6561" s="38" t="n">
        <f aca="false">Sens!$L$6462-Sens!$L$6464</f>
        <v>225.363269144856</v>
      </c>
      <c r="M6561" s="38" t="n">
        <f aca="false">Sens!$M$6462-Sens!$M$6464</f>
        <v>238.536688790819</v>
      </c>
      <c r="N6561" s="38" t="n">
        <f aca="false">Sens!$N$6462-Sens!$N$6464</f>
        <v>62.3677111412496</v>
      </c>
      <c r="O6561" s="38" t="n">
        <f aca="false">Sens!$O$6462-Sens!$O$6464</f>
        <v>80.6189463642798</v>
      </c>
    </row>
    <row r="6562" customFormat="false" ht="17.15" hidden="false" customHeight="false" outlineLevel="0" collapsed="false">
      <c r="A6562" s="0" t="s">
        <v>680</v>
      </c>
      <c r="B6562" s="0" t="s">
        <v>73</v>
      </c>
      <c r="C6562" s="38" t="n">
        <f aca="false">Sens!$C$6508*(1-Sens!$C$6460)</f>
        <v>0.0455891896019953</v>
      </c>
      <c r="D6562" s="38" t="n">
        <f aca="false">Sens!$D$6508*(1-Sens!$D$6460)</f>
        <v>0.332050421167231</v>
      </c>
      <c r="E6562" s="38" t="n">
        <f aca="false">Sens!$E$6508*(1-Sens!$E$6460)</f>
        <v>0.481224293644882</v>
      </c>
      <c r="F6562" s="38" t="n">
        <f aca="false">Sens!$F$6508*(1-Sens!$F$6460)</f>
        <v>0.596018918096053</v>
      </c>
      <c r="G6562" s="38" t="n">
        <f aca="false">Sens!$G$6508*(1-Sens!$G$6460)</f>
        <v>1.07714986531035</v>
      </c>
      <c r="H6562" s="38" t="n">
        <f aca="false">Sens!$H$6508*(1-Sens!$H$6460)</f>
        <v>2.83135005721638</v>
      </c>
      <c r="I6562" s="38" t="n">
        <f aca="false">Sens!$I$6508*(1-Sens!$I$6460)</f>
        <v>4.9421518161602</v>
      </c>
      <c r="J6562" s="38" t="n">
        <f aca="false">Sens!$J$6508*(1-Sens!$J$6460)</f>
        <v>7.11011252170866</v>
      </c>
      <c r="K6562" s="38" t="n">
        <f aca="false">Sens!$K$6508*(1-Sens!$K$6460)</f>
        <v>9.31663210615807</v>
      </c>
      <c r="L6562" s="38" t="n">
        <f aca="false">Sens!$L$6508*(1-Sens!$L$6460)</f>
        <v>11.411251074039</v>
      </c>
      <c r="M6562" s="38" t="n">
        <f aca="false">Sens!$M$6508*(1-Sens!$M$6460)</f>
        <v>13.5455860755423</v>
      </c>
      <c r="N6562" s="38" t="n">
        <f aca="false">Sens!$N$6508*(1-Sens!$N$6460)</f>
        <v>0.141739115596548</v>
      </c>
      <c r="O6562" s="38" t="n">
        <f aca="false">Sens!$O$6508*(1-Sens!$O$6460)</f>
        <v>0.190445576353059</v>
      </c>
    </row>
    <row r="6563" customFormat="false" ht="17.15" hidden="false" customHeight="false" outlineLevel="0" collapsed="false">
      <c r="A6563" s="0" t="s">
        <v>681</v>
      </c>
      <c r="B6563" s="0" t="s">
        <v>52</v>
      </c>
      <c r="C6563" s="28" t="n">
        <f aca="false">(Sens!$C$6564-Sens!$C$6560+Sens!$C$6562)/Sens!$C$6561</f>
        <v>-0.0292364215826579</v>
      </c>
      <c r="D6563" s="28" t="n">
        <f aca="false">(Sens!$D$6564-Sens!$D$6560+Sens!$D$6562)/Sens!$D$6561</f>
        <v>-0.0305125352740778</v>
      </c>
      <c r="E6563" s="28" t="n">
        <f aca="false">(Sens!$E$6564-Sens!$E$6560+Sens!$E$6562)/Sens!$E$6561</f>
        <v>-0.019490056934994</v>
      </c>
      <c r="F6563" s="28" t="n">
        <f aca="false">Sens!$O$6563+(Sens!$E$6563-Sens!$N$6563)</f>
        <v>-0.0367332293992226</v>
      </c>
      <c r="G6563" s="28" t="n">
        <f aca="false">(Sens!$G$6564-Sens!$G$6560+Sens!$G$6562)/Sens!$G$6561</f>
        <v>-0.0288599526442178</v>
      </c>
      <c r="H6563" s="28" t="n">
        <f aca="false">Sens!$G$6563+step_in</f>
        <v>-0.0288599526442178</v>
      </c>
      <c r="I6563" s="28" t="n">
        <f aca="false">Sens!$H$6563+step_in</f>
        <v>-0.0288599526442178</v>
      </c>
      <c r="J6563" s="28" t="n">
        <f aca="false">Sens!$I$6563+step_in</f>
        <v>-0.0288599526442178</v>
      </c>
      <c r="K6563" s="28" t="n">
        <f aca="false">Sens!$J$6563+step_in</f>
        <v>-0.0288599526442178</v>
      </c>
      <c r="L6563" s="28" t="n">
        <f aca="false">Sens!$K$6563</f>
        <v>-0.0288599526442178</v>
      </c>
      <c r="M6563" s="28" t="n">
        <f aca="false">Sens!$L$6563</f>
        <v>-0.0288599526442178</v>
      </c>
      <c r="N6563" s="28" t="n">
        <f aca="false">(Sens!$N$6564-Sens!$N$6560+Sens!$N$6562)/Sens!$N$6561</f>
        <v>-0.02085061789158</v>
      </c>
      <c r="O6563" s="28" t="n">
        <f aca="false">(Sens!$O$6564-Sens!$O$6560+Sens!$O$6562)/Sens!$O$6561</f>
        <v>-0.0380937903558086</v>
      </c>
      <c r="P6563" s="8" t="s">
        <v>676</v>
      </c>
    </row>
    <row r="6564" customFormat="false" ht="17.15" hidden="false" customHeight="false" outlineLevel="0" collapsed="false">
      <c r="A6564" s="1" t="s">
        <v>682</v>
      </c>
      <c r="B6564" s="8" t="s">
        <v>73</v>
      </c>
      <c r="C6564" s="38" t="n">
        <f aca="false">Q!$D$23</f>
        <v>3.792</v>
      </c>
      <c r="D6564" s="38" t="n">
        <f aca="false">Q!$E$23</f>
        <v>4.75</v>
      </c>
      <c r="E6564" s="38" t="n">
        <f aca="false">Q!$P$23</f>
        <v>3.141</v>
      </c>
      <c r="F6564" s="38" t="n">
        <f aca="false">Sens!$F$6560+Sens!$F$6561*Sens!$F$6563-Sens!$F$6562</f>
        <v>2.99414447978375</v>
      </c>
      <c r="G6564" s="38" t="n">
        <f aca="false">Sens!$E$6564+Sens!$F$6564</f>
        <v>6.13514447978375</v>
      </c>
      <c r="H6564" s="38" t="n">
        <f aca="false">Sens!$H$6560+Sens!$H$6561*Sens!$H$6563-Sens!$H$6562</f>
        <v>6.31919151351322</v>
      </c>
      <c r="I6564" s="38" t="n">
        <f aca="false">Sens!$I$6560+Sens!$I$6561*Sens!$I$6563-Sens!$I$6562</f>
        <v>6.16506534077027</v>
      </c>
      <c r="J6564" s="38" t="n">
        <f aca="false">Sens!$J$6560+Sens!$J$6561*Sens!$J$6563-Sens!$J$6562</f>
        <v>5.8250313653213</v>
      </c>
      <c r="K6564" s="38" t="n">
        <f aca="false">Sens!$K$6560+Sens!$K$6561*Sens!$K$6563-Sens!$K$6562</f>
        <v>5.15468540810514</v>
      </c>
      <c r="L6564" s="38" t="n">
        <f aca="false">Sens!$L$6560+Sens!$L$6561*Sens!$L$6563-Sens!$L$6562</f>
        <v>4.76324944463266</v>
      </c>
      <c r="M6564" s="38" t="n">
        <f aca="false">Sens!$M$6560+Sens!$M$6561*Sens!$M$6563-Sens!$M$6562</f>
        <v>4.51657755537829</v>
      </c>
      <c r="N6564" s="38" t="n">
        <f aca="false">Q!$N$23</f>
        <v>2.511</v>
      </c>
      <c r="O6564" s="38" t="n">
        <f aca="false">Q!$O$23</f>
        <v>2.239</v>
      </c>
    </row>
    <row r="6565" customFormat="false" ht="17.15" hidden="false" customHeight="false" outlineLevel="0" collapsed="false">
      <c r="A6565" s="0" t="s">
        <v>683</v>
      </c>
      <c r="B6565" s="0" t="s">
        <v>73</v>
      </c>
      <c r="C6565" s="38" t="n">
        <f aca="false">Sens!$C$6505</f>
        <v>1.64417882953695</v>
      </c>
      <c r="D6565" s="38" t="n">
        <f aca="false">Sens!$D$6505</f>
        <v>3.8781008067718</v>
      </c>
      <c r="E6565" s="38" t="n">
        <f aca="false">Sens!$E$6505</f>
        <v>1.41270258088753</v>
      </c>
      <c r="F6565" s="38" t="n">
        <f aca="false">Sens!$F$6505</f>
        <v>6.50727700583486</v>
      </c>
      <c r="G6565" s="38" t="n">
        <f aca="false">Sens!$G$6505</f>
        <v>7.9199795867224</v>
      </c>
      <c r="H6565" s="38" t="n">
        <f aca="false">Sens!$H$6505</f>
        <v>19.2818189481807</v>
      </c>
      <c r="I6565" s="38" t="n">
        <f aca="false">Sens!$I$6505</f>
        <v>30.140114407202</v>
      </c>
      <c r="J6565" s="38" t="n">
        <f aca="false">Sens!$J$6505</f>
        <v>40.3569468829854</v>
      </c>
      <c r="K6565" s="38" t="n">
        <f aca="false">Sens!$K$6505</f>
        <v>50.0782975081929</v>
      </c>
      <c r="L6565" s="38" t="n">
        <f aca="false">Sens!$L$6505</f>
        <v>61.443331993499</v>
      </c>
      <c r="M6565" s="38" t="n">
        <f aca="false">Sens!$M$6505</f>
        <v>72.2498791587849</v>
      </c>
      <c r="N6565" s="38" t="n">
        <f aca="false">Sens!$N$6505</f>
        <v>0.92264103489199</v>
      </c>
      <c r="O6565" s="38" t="n">
        <f aca="false">Sens!$O$6505</f>
        <v>2.95545977187981</v>
      </c>
    </row>
    <row r="6566" customFormat="false" ht="17.15" hidden="false" customHeight="false" outlineLevel="0" collapsed="false">
      <c r="A6566" s="0" t="s">
        <v>603</v>
      </c>
      <c r="B6566" s="0" t="s">
        <v>73</v>
      </c>
      <c r="C6566" s="38" t="n">
        <f aca="false">Sens!$C$6510</f>
        <v>38.1898211704631</v>
      </c>
      <c r="D6566" s="38" t="n">
        <f aca="false">Sens!$D$6510</f>
        <v>41.7278991932282</v>
      </c>
      <c r="E6566" s="38" t="n">
        <f aca="false">Sens!$E$6510</f>
        <v>29.3692974191125</v>
      </c>
      <c r="F6566" s="38" t="n">
        <f aca="false">Sens!$F$6510</f>
        <v>29.458060516894</v>
      </c>
      <c r="G6566" s="38" t="n">
        <f aca="false">Sens!$G$6510</f>
        <v>58.8273579360065</v>
      </c>
      <c r="H6566" s="38" t="n">
        <f aca="false">Sens!$H$6510</f>
        <v>67.8004040185081</v>
      </c>
      <c r="I6566" s="38" t="n">
        <f aca="false">Sens!$I$6510</f>
        <v>78.9527630302702</v>
      </c>
      <c r="J6566" s="38" t="n">
        <f aca="false">Sens!$J$6510</f>
        <v>88.6042681781841</v>
      </c>
      <c r="K6566" s="38" t="n">
        <f aca="false">Sens!$K$6510</f>
        <v>95.6926096324389</v>
      </c>
      <c r="L6566" s="38" t="n">
        <f aca="false">Sens!$L$6510</f>
        <v>103.348018403034</v>
      </c>
      <c r="M6566" s="38" t="n">
        <f aca="false">Sens!$M$6510</f>
        <v>111.615859875277</v>
      </c>
      <c r="N6566" s="38" t="n">
        <f aca="false">Sens!$N$6510</f>
        <v>20.784358965108</v>
      </c>
      <c r="O6566" s="38" t="n">
        <f aca="false">Sens!$O$6510</f>
        <v>20.9435402281202</v>
      </c>
    </row>
    <row r="6567" customFormat="false" ht="17.15" hidden="false" customHeight="false" outlineLevel="0" collapsed="false">
      <c r="A6567" s="1" t="s">
        <v>684</v>
      </c>
      <c r="B6567" s="8" t="s">
        <v>73</v>
      </c>
      <c r="C6567" s="38" t="n">
        <f aca="false">Q!$D$24</f>
        <v>39.834</v>
      </c>
      <c r="D6567" s="38" t="n">
        <f aca="false">Q!$E$24</f>
        <v>45.606</v>
      </c>
      <c r="E6567" s="38" t="n">
        <f aca="false">Q!$P$24</f>
        <v>30.782</v>
      </c>
      <c r="F6567" s="38" t="n">
        <f aca="false">Sens!$F$6565+Sens!$F$6566</f>
        <v>35.9653375227289</v>
      </c>
      <c r="G6567" s="38" t="n">
        <f aca="false">Sens!$G$6565+Sens!$G$6566</f>
        <v>66.7473375227289</v>
      </c>
      <c r="H6567" s="38" t="n">
        <f aca="false">Sens!$H$6565+Sens!$H$6566</f>
        <v>87.0822229666888</v>
      </c>
      <c r="I6567" s="38" t="n">
        <f aca="false">Sens!$I$6565+Sens!$I$6566</f>
        <v>109.092877437472</v>
      </c>
      <c r="J6567" s="38" t="n">
        <f aca="false">Sens!$J$6565+Sens!$J$6566</f>
        <v>128.96121506117</v>
      </c>
      <c r="K6567" s="38" t="n">
        <f aca="false">Sens!$K$6565+Sens!$K$6566</f>
        <v>145.770907140632</v>
      </c>
      <c r="L6567" s="38" t="n">
        <f aca="false">Sens!$L$6565+Sens!$L$6566</f>
        <v>164.791350396533</v>
      </c>
      <c r="M6567" s="38" t="n">
        <f aca="false">Sens!$M$6565+Sens!$M$6566</f>
        <v>183.865739034062</v>
      </c>
      <c r="N6567" s="38" t="n">
        <f aca="false">Q!$N$24</f>
        <v>21.707</v>
      </c>
      <c r="O6567" s="38" t="n">
        <f aca="false">Q!$O$24</f>
        <v>23.899</v>
      </c>
    </row>
    <row r="6568" customFormat="false" ht="17.15" hidden="false" customHeight="false" outlineLevel="0" collapsed="false">
      <c r="A6568" s="5" t="s">
        <v>685</v>
      </c>
      <c r="B6568" s="0" t="s">
        <v>73</v>
      </c>
      <c r="C6568" s="38" t="n">
        <f aca="false">Q!$D$26</f>
        <v>0</v>
      </c>
      <c r="D6568" s="38" t="n">
        <f aca="false">Q!$E$26</f>
        <v>0</v>
      </c>
      <c r="E6568" s="38" t="n">
        <f aca="false">Q!$P$26</f>
        <v>0</v>
      </c>
      <c r="F6568" s="41" t="n">
        <v>0</v>
      </c>
      <c r="G6568" s="38" t="n">
        <f aca="false">Sens!$E$6568+Sens!$F$6568</f>
        <v>0</v>
      </c>
      <c r="H6568" s="41" t="n">
        <v>0</v>
      </c>
      <c r="I6568" s="41" t="n">
        <v>0</v>
      </c>
      <c r="J6568" s="41" t="n">
        <v>0</v>
      </c>
      <c r="K6568" s="41" t="n">
        <v>0</v>
      </c>
      <c r="L6568" s="41" t="n">
        <v>0</v>
      </c>
      <c r="M6568" s="41" t="n">
        <v>0</v>
      </c>
      <c r="N6568" s="38" t="n">
        <f aca="false">Q!$N$26</f>
        <v>0</v>
      </c>
      <c r="O6568" s="38" t="n">
        <f aca="false">Q!$O$26</f>
        <v>0</v>
      </c>
    </row>
    <row r="6569" customFormat="false" ht="15" hidden="false" customHeight="false" outlineLevel="0" collapsed="false">
      <c r="A6569" s="3" t="s">
        <v>494</v>
      </c>
      <c r="B6569" s="8" t="s">
        <v>73</v>
      </c>
      <c r="C6569" s="38" t="n">
        <f aca="false">Q!$D$25</f>
        <v>68.593</v>
      </c>
      <c r="D6569" s="38" t="n">
        <f aca="false">Q!$E$25</f>
        <v>79.975</v>
      </c>
      <c r="E6569" s="38" t="n">
        <f aca="false">Q!$P$25</f>
        <v>51.313</v>
      </c>
      <c r="F6569" s="38" t="n">
        <f aca="false">Sens!$F$6559+Sens!$F$6564+Sens!$F$6567+Sens!$F$6568</f>
        <v>59.8825772328462</v>
      </c>
      <c r="G6569" s="38" t="n">
        <f aca="false">Sens!$G$6559+Sens!$G$6564+Sens!$G$6567+Sens!$G$6568</f>
        <v>111.195577232846</v>
      </c>
      <c r="H6569" s="38" t="n">
        <f aca="false">Sens!$H$6559+Sens!$H$6564+Sens!$H$6567+Sens!$H$6568</f>
        <v>135.638701042513</v>
      </c>
      <c r="I6569" s="38" t="n">
        <f aca="false">Sens!$I$6559+Sens!$I$6564+Sens!$I$6567+Sens!$I$6568</f>
        <v>160.668634334764</v>
      </c>
      <c r="J6569" s="38" t="n">
        <f aca="false">Sens!$J$6559+Sens!$J$6564+Sens!$J$6567+Sens!$J$6568</f>
        <v>182.936501499731</v>
      </c>
      <c r="K6569" s="38" t="n">
        <f aca="false">Sens!$K$6559+Sens!$K$6564+Sens!$K$6567+Sens!$K$6568</f>
        <v>200.911616858058</v>
      </c>
      <c r="L6569" s="38" t="n">
        <f aca="false">Sens!$L$6559+Sens!$L$6564+Sens!$L$6567+Sens!$L$6568</f>
        <v>220.650126048945</v>
      </c>
      <c r="M6569" s="38" t="n">
        <f aca="false">Sens!$M$6559+Sens!$M$6564+Sens!$M$6567+Sens!$M$6568</f>
        <v>241.09409709983</v>
      </c>
      <c r="N6569" s="38" t="n">
        <f aca="false">Q!$N$25</f>
        <v>37.576</v>
      </c>
      <c r="O6569" s="38" t="n">
        <f aca="false">Q!$O$25</f>
        <v>42.399</v>
      </c>
    </row>
    <row r="6570" customFormat="false" ht="17.15" hidden="false" customHeight="false" outlineLevel="0" collapsed="false">
      <c r="A6570" s="24" t="s">
        <v>711</v>
      </c>
      <c r="B6570" s="25" t="s">
        <v>73</v>
      </c>
      <c r="C6570" s="39" t="n">
        <f aca="false">Sens!$C$6559+Sens!$C$6564+Sens!$C$6567+Sens!$C$6568-Sens!$C$6569</f>
        <v>0</v>
      </c>
      <c r="D6570" s="39" t="n">
        <f aca="false">Sens!$D$6559+Sens!$D$6564+Sens!$D$6567+Sens!$D$6568-Sens!$D$6569</f>
        <v>0</v>
      </c>
      <c r="E6570" s="39" t="n">
        <f aca="false">Sens!$E$6559+Sens!$E$6564+Sens!$E$6567+Sens!$E$6568-Sens!$E$6569</f>
        <v>0</v>
      </c>
      <c r="F6570" s="39" t="n">
        <f aca="false">Sens!$F$6559+Sens!$F$6564+Sens!$F$6567+Sens!$F$6568-Sens!$F$6569</f>
        <v>0</v>
      </c>
      <c r="G6570" s="39" t="n">
        <f aca="false">Sens!$G$6559+Sens!$G$6564+Sens!$G$6567+Sens!$G$6568-Sens!$G$6569</f>
        <v>0</v>
      </c>
      <c r="H6570" s="39" t="n">
        <f aca="false">Sens!$H$6559+Sens!$H$6564+Sens!$H$6567+Sens!$H$6568-Sens!$H$6569</f>
        <v>0</v>
      </c>
      <c r="I6570" s="39" t="n">
        <f aca="false">Sens!$I$6559+Sens!$I$6564+Sens!$I$6567+Sens!$I$6568-Sens!$I$6569</f>
        <v>0</v>
      </c>
      <c r="J6570" s="39" t="n">
        <f aca="false">Sens!$J$6559+Sens!$J$6564+Sens!$J$6567+Sens!$J$6568-Sens!$J$6569</f>
        <v>0</v>
      </c>
      <c r="K6570" s="39" t="n">
        <f aca="false">Sens!$K$6559+Sens!$K$6564+Sens!$K$6567+Sens!$K$6568-Sens!$K$6569</f>
        <v>0</v>
      </c>
      <c r="L6570" s="39" t="n">
        <f aca="false">Sens!$L$6559+Sens!$L$6564+Sens!$L$6567+Sens!$L$6568-Sens!$L$6569</f>
        <v>0</v>
      </c>
      <c r="M6570" s="39" t="n">
        <f aca="false">Sens!$M$6559+Sens!$M$6564+Sens!$M$6567+Sens!$M$6568-Sens!$M$6569</f>
        <v>0</v>
      </c>
      <c r="N6570" s="39" t="n">
        <f aca="false">Sens!$N$6559+Sens!$N$6564+Sens!$N$6567+Sens!$N$6568-Sens!$N$6569</f>
        <v>0</v>
      </c>
      <c r="O6570" s="39" t="n">
        <f aca="false">Sens!$O$6559+Sens!$O$6564+Sens!$O$6567+Sens!$O$6568-Sens!$O$6569</f>
        <v>0</v>
      </c>
    </row>
    <row r="6571" customFormat="false" ht="17.15" hidden="false" customHeight="false" outlineLevel="0" collapsed="false">
      <c r="A6571" s="0" t="s">
        <v>687</v>
      </c>
      <c r="B6571" s="0" t="s">
        <v>52</v>
      </c>
      <c r="C6571" s="12" t="n">
        <f aca="false">Sens!$C$6559/Sens!$C$6544</f>
        <v>0.0644314665661928</v>
      </c>
      <c r="D6571" s="12" t="n">
        <f aca="false">Sens!$D$6559/Sens!$D$6544</f>
        <v>0.0694784250712518</v>
      </c>
      <c r="E6571" s="12" t="n">
        <f aca="false">Sens!$E$6559/Sens!$E$6544</f>
        <v>0.0789306463326071</v>
      </c>
      <c r="F6571" s="12" t="n">
        <f aca="false">Sens!$F$6559/Sens!$F$6544</f>
        <v>0.0816338957078875</v>
      </c>
      <c r="G6571" s="12" t="n">
        <f aca="false">Sens!$G$6559/Sens!$G$6544</f>
        <v>0.080384315570057</v>
      </c>
      <c r="H6571" s="12" t="n">
        <f aca="false">Sens!$H$6559/Sens!$H$6544</f>
        <v>0.080035122355679</v>
      </c>
      <c r="I6571" s="12" t="n">
        <f aca="false">Sens!$I$6559/Sens!$I$6544</f>
        <v>0.0786798687862144</v>
      </c>
      <c r="J6571" s="12" t="n">
        <f aca="false">Sens!$J$6559/Sens!$J$6544</f>
        <v>0.0772846370095153</v>
      </c>
      <c r="K6571" s="12" t="n">
        <f aca="false">Sens!$K$6559/Sens!$K$6544</f>
        <v>0.0753502227686655</v>
      </c>
      <c r="L6571" s="12" t="n">
        <f aca="false">Sens!$L$6559/Sens!$L$6544</f>
        <v>0.0723154067793922</v>
      </c>
      <c r="M6571" s="12" t="n">
        <f aca="false">Sens!$M$6559/Sens!$M$6544</f>
        <v>0.070022386735876</v>
      </c>
      <c r="N6571" s="12" t="n">
        <f aca="false">Sens!$N$6559/Sens!$N$6544</f>
        <v>0.069228576611127</v>
      </c>
      <c r="O6571" s="12" t="n">
        <f aca="false">Sens!$O$6559/Sens!$O$6544</f>
        <v>0.069685022498393</v>
      </c>
    </row>
    <row r="6572" customFormat="false" ht="17.15" hidden="false" customHeight="false" outlineLevel="0" collapsed="false">
      <c r="A6572" s="0" t="s">
        <v>688</v>
      </c>
      <c r="B6572" s="0" t="s">
        <v>52</v>
      </c>
      <c r="C6572" s="12" t="n">
        <f aca="false">Sens!$C$6564/Sens!$C$6545</f>
        <v>0.026534925055631</v>
      </c>
      <c r="D6572" s="12" t="n">
        <f aca="false">Sens!$D$6564/Sens!$D$6545</f>
        <v>0.0293401855535103</v>
      </c>
      <c r="E6572" s="12" t="n">
        <f aca="false">Sens!$E$6564/Sens!$E$6545</f>
        <v>0.03831141902276</v>
      </c>
      <c r="F6572" s="12" t="n">
        <f aca="false">Sens!$F$6564/Sens!$F$6545</f>
        <v>0.0297532808235678</v>
      </c>
      <c r="G6572" s="12" t="n">
        <f aca="false">Sens!$G$6564/Sens!$G$6545</f>
        <v>0.0335954317997163</v>
      </c>
      <c r="H6572" s="12" t="n">
        <f aca="false">Sens!$H$6564/Sens!$H$6545</f>
        <v>0.0312519754292078</v>
      </c>
      <c r="I6572" s="12" t="n">
        <f aca="false">Sens!$I$6564/Sens!$I$6545</f>
        <v>0.0278788303191397</v>
      </c>
      <c r="J6572" s="12" t="n">
        <f aca="false">Sens!$J$6564/Sens!$J$6545</f>
        <v>0.0244019313573061</v>
      </c>
      <c r="K6572" s="12" t="n">
        <f aca="false">Sens!$K$6564/Sens!$K$6545</f>
        <v>0.020280070641524</v>
      </c>
      <c r="L6572" s="12" t="n">
        <f aca="false">Sens!$L$6564/Sens!$L$6545</f>
        <v>0.0175947312030086</v>
      </c>
      <c r="M6572" s="12" t="n">
        <f aca="false">Sens!$M$6564/Sens!$M$6545</f>
        <v>0.0156592172424565</v>
      </c>
      <c r="N6572" s="12" t="n">
        <f aca="false">Sens!$N$6564/Sens!$N$6545</f>
        <v>0.0357315650169337</v>
      </c>
      <c r="O6572" s="12" t="n">
        <f aca="false">Sens!$O$6564/Sens!$O$6545</f>
        <v>0.0244378956559703</v>
      </c>
    </row>
    <row r="6573" customFormat="false" ht="17.15" hidden="false" customHeight="false" outlineLevel="0" collapsed="false">
      <c r="A6573" s="13" t="s">
        <v>689</v>
      </c>
      <c r="B6573" s="13" t="s">
        <v>52</v>
      </c>
      <c r="C6573" s="16" t="n">
        <f aca="false">Sens!$C$6567/Sens!$C$6546</f>
        <v>0.370355907620217</v>
      </c>
      <c r="D6573" s="16" t="n">
        <f aca="false">Sens!$D$6567/Sens!$D$6546</f>
        <v>0.35429015342785</v>
      </c>
      <c r="E6573" s="16" t="n">
        <f aca="false">Sens!$E$6567/Sens!$E$6546</f>
        <v>0.385647527531039</v>
      </c>
      <c r="F6573" s="16" t="n">
        <f aca="false">Sens!$F$6567/Sens!$F$6546</f>
        <v>0.384415729470259</v>
      </c>
      <c r="G6573" s="16" t="n">
        <f aca="false">Sens!$G$6567/Sens!$G$6546</f>
        <v>0.38498282105443</v>
      </c>
      <c r="H6573" s="16" t="n">
        <f aca="false">Sens!$H$6567/Sens!$H$6546</f>
        <v>0.361247909668527</v>
      </c>
      <c r="I6573" s="16" t="n">
        <f aca="false">Sens!$I$6567/Sens!$I$6546</f>
        <v>0.349486287974975</v>
      </c>
      <c r="J6573" s="16" t="n">
        <f aca="false">Sens!$J$6567/Sens!$J$6546</f>
        <v>0.339886531832068</v>
      </c>
      <c r="K6573" s="16" t="n">
        <f aca="false">Sens!$K$6567/Sens!$K$6546</f>
        <v>0.33135833762061</v>
      </c>
      <c r="L6573" s="16" t="n">
        <f aca="false">Sens!$L$6567/Sens!$L$6546</f>
        <v>0.328299068185284</v>
      </c>
      <c r="M6573" s="16" t="n">
        <f aca="false">Sens!$M$6567/Sens!$M$6546</f>
        <v>0.325058049465166</v>
      </c>
      <c r="N6573" s="16" t="n">
        <f aca="false">Sens!$N$6567/Sens!$N$6546</f>
        <v>0.360941137346192</v>
      </c>
      <c r="O6573" s="16" t="n">
        <f aca="false">Sens!$O$6567/Sens!$O$6546</f>
        <v>0.348458117664212</v>
      </c>
    </row>
    <row r="6574" customFormat="false" ht="17.15" hidden="false" customHeight="false" outlineLevel="0" collapsed="false">
      <c r="A6574" s="0" t="s">
        <v>690</v>
      </c>
      <c r="B6574" s="0" t="s">
        <v>52</v>
      </c>
      <c r="C6574" s="12" t="n">
        <f aca="false">Sens!$C$6565/Sens!$C$6547</f>
        <v>0.708390794789371</v>
      </c>
      <c r="D6574" s="12" t="n">
        <f aca="false">Sens!$D$6565/Sens!$D$6547</f>
        <v>0.445565630441968</v>
      </c>
      <c r="E6574" s="12" t="n">
        <f aca="false">Sens!$E$6565/Sens!$E$6547</f>
        <v>0.165998118402711</v>
      </c>
      <c r="F6574" s="12" t="n">
        <f aca="false">Sens!$F$6565/Sens!$F$6547</f>
        <v>0.434878595403858</v>
      </c>
      <c r="G6574" s="12" t="n">
        <f aca="false">Sens!$G$6565/Sens!$G$6547</f>
        <v>0.3373967615381</v>
      </c>
      <c r="H6574" s="12" t="n">
        <f aca="false">Sens!$H$6565/Sens!$H$6547</f>
        <v>0.320477578041224</v>
      </c>
      <c r="I6574" s="12" t="n">
        <f aca="false">Sens!$I$6565/Sens!$I$6547</f>
        <v>0.296936118226494</v>
      </c>
      <c r="J6574" s="12" t="n">
        <f aca="false">Sens!$J$6565/Sens!$J$6547</f>
        <v>0.282166278613001</v>
      </c>
      <c r="K6574" s="12" t="n">
        <f aca="false">Sens!$K$6565/Sens!$K$6547</f>
        <v>0.271267685694333</v>
      </c>
      <c r="L6574" s="12" t="n">
        <f aca="false">Sens!$L$6565/Sens!$L$6547</f>
        <v>0.27160960915653</v>
      </c>
      <c r="M6574" s="12" t="n">
        <f aca="false">Sens!$M$6565/Sens!$M$6547</f>
        <v>0.26974494804234</v>
      </c>
      <c r="N6574" s="12" t="n">
        <f aca="false">Sens!$N$6565/Sens!$N$6547</f>
        <v>0.302870734830849</v>
      </c>
      <c r="O6574" s="12" t="n">
        <f aca="false">Sens!$O$6565/Sens!$O$6547</f>
        <v>0.52240134346334</v>
      </c>
    </row>
    <row r="6575" customFormat="false" ht="15" hidden="false" customHeight="false" outlineLevel="0" collapsed="false">
      <c r="A6575" s="5" t="s">
        <v>691</v>
      </c>
      <c r="B6575" s="0" t="s">
        <v>52</v>
      </c>
      <c r="C6575" s="12" t="n">
        <f aca="false">Sens!$C$6569/Sens!$C$6549</f>
        <v>0.107519448742004</v>
      </c>
      <c r="D6575" s="12" t="n">
        <f aca="false">Sens!$D$6569/Sens!$D$6549</f>
        <v>0.111552967957552</v>
      </c>
      <c r="E6575" s="12" t="n">
        <f aca="false">Sens!$E$6569/Sens!$E$6549</f>
        <v>0.13428328426562</v>
      </c>
      <c r="F6575" s="12" t="n">
        <f aca="false">Sens!$F$6569/Sens!$F$6549</f>
        <v>0.132926212451512</v>
      </c>
      <c r="G6575" s="12" t="n">
        <f aca="false">Sens!$G$6569/Sens!$G$6549</f>
        <v>0.133549030959228</v>
      </c>
      <c r="H6575" s="12" t="n">
        <f aca="false">Sens!$H$6569/Sens!$H$6549</f>
        <v>0.139690394514416</v>
      </c>
      <c r="I6575" s="12" t="n">
        <f aca="false">Sens!$I$6569/Sens!$I$6549</f>
        <v>0.144688164284573</v>
      </c>
      <c r="J6575" s="12" t="n">
        <f aca="false">Sens!$J$6569/Sens!$J$6549</f>
        <v>0.147391419021054</v>
      </c>
      <c r="K6575" s="12" t="n">
        <f aca="false">Sens!$K$6569/Sens!$K$6549</f>
        <v>0.148003728177944</v>
      </c>
      <c r="L6575" s="12" t="n">
        <f aca="false">Sens!$L$6569/Sens!$L$6549</f>
        <v>0.149164514525979</v>
      </c>
      <c r="M6575" s="12" t="n">
        <f aca="false">Sens!$M$6569/Sens!$M$6549</f>
        <v>0.150041098108262</v>
      </c>
      <c r="N6575" s="12" t="n">
        <f aca="false">Sens!$N$6569/Sens!$N$6549</f>
        <v>0.116201614873411</v>
      </c>
      <c r="O6575" s="12" t="n">
        <f aca="false">Sens!$O$6569/Sens!$O$6549</f>
        <v>0.107733353660861</v>
      </c>
    </row>
    <row r="6576" customFormat="false" ht="17.15" hidden="false" customHeight="false" outlineLevel="0" collapsed="false">
      <c r="A6576" s="1" t="s">
        <v>692</v>
      </c>
    </row>
    <row r="6577" customFormat="false" ht="17.15" hidden="false" customHeight="false" outlineLevel="0" collapsed="false">
      <c r="A6577" s="5" t="s">
        <v>693</v>
      </c>
      <c r="B6577" s="0" t="s">
        <v>52</v>
      </c>
      <c r="D6577" s="28" t="n">
        <f aca="false">(Q!$E$29+Q!$E$30-(1-ext_sh)*Sens!$D$6501)/Sens!$D$6459</f>
        <v>0.0334674312393194</v>
      </c>
    </row>
    <row r="6578" customFormat="false" ht="17.15" hidden="false" customHeight="false" outlineLevel="0" collapsed="false">
      <c r="A6578" s="0" t="s">
        <v>498</v>
      </c>
      <c r="B6578" s="0" t="s">
        <v>73</v>
      </c>
      <c r="C6578" s="38" t="n">
        <f aca="false">Q!$D$29</f>
        <v>14.285</v>
      </c>
      <c r="D6578" s="38" t="n">
        <f aca="false">Q!$E$29</f>
        <v>15.503</v>
      </c>
      <c r="E6578" s="38" t="n">
        <f aca="false">Q!$P$29</f>
        <v>8.78</v>
      </c>
      <c r="F6578" s="38" t="n">
        <f aca="false">(Sens!$D$6577*Sens!$F$6459+(1-ext_sh)*Sens!$F$6501)*Sens!$F$6460</f>
        <v>9.51361751569285</v>
      </c>
      <c r="G6578" s="38" t="n">
        <f aca="false">Sens!$E$6578+Sens!$F$6578</f>
        <v>18.2936175156929</v>
      </c>
      <c r="H6578" s="38" t="n">
        <f aca="false">(Sens!$D$6577*Sens!$H$6459+(1-ext_sh)*Sens!$H$6501)*Sens!$H$6460</f>
        <v>22.7653661801943</v>
      </c>
      <c r="I6578" s="38" t="n">
        <f aca="false">(Sens!$D$6577*Sens!$I$6459+(1-ext_sh)*Sens!$I$6501)*Sens!$I$6460</f>
        <v>28.4281317305062</v>
      </c>
      <c r="J6578" s="38" t="n">
        <f aca="false">(Sens!$D$6577*Sens!$J$6459+(1-ext_sh)*Sens!$J$6501)*Sens!$J$6460</f>
        <v>34.1182922009732</v>
      </c>
      <c r="K6578" s="38" t="n">
        <f aca="false">(Sens!$D$6577*Sens!$K$6459+(1-ext_sh)*Sens!$K$6501)*Sens!$K$6460</f>
        <v>39.7237727987046</v>
      </c>
      <c r="L6578" s="38" t="n">
        <f aca="false">(Sens!$D$6577*Sens!$L$6459+(1-ext_sh)*Sens!$L$6501)*Sens!$L$6460</f>
        <v>45.1313127180263</v>
      </c>
      <c r="M6578" s="38" t="n">
        <f aca="false">(Sens!$D$6577*Sens!$M$6459+(1-ext_sh)*Sens!$M$6501)*Sens!$M$6460</f>
        <v>50.743940615442</v>
      </c>
      <c r="N6578" s="38" t="n">
        <f aca="false">Q!$N$29</f>
        <v>7.272</v>
      </c>
      <c r="O6578" s="38" t="n">
        <f aca="false">Q!$O$29</f>
        <v>8.231</v>
      </c>
    </row>
    <row r="6579" customFormat="false" ht="17.15" hidden="false" customHeight="false" outlineLevel="0" collapsed="false">
      <c r="A6579" s="0" t="s">
        <v>500</v>
      </c>
      <c r="B6579" s="0" t="s">
        <v>73</v>
      </c>
      <c r="C6579" s="38" t="n">
        <f aca="false">Q!$D$30</f>
        <v>4.462</v>
      </c>
      <c r="D6579" s="38" t="n">
        <f aca="false">Q!$E$30</f>
        <v>4.907</v>
      </c>
      <c r="E6579" s="38" t="n">
        <f aca="false">Q!$P$30</f>
        <v>2.57</v>
      </c>
      <c r="F6579" s="38" t="n">
        <f aca="false">(Sens!$D$6577*Sens!$F$6459+(1-ext_sh)*Sens!$F$6501)*(1-Sens!$F$6460)</f>
        <v>3.7353230631574</v>
      </c>
      <c r="G6579" s="38" t="n">
        <f aca="false">Sens!$E$6579+Sens!$F$6579</f>
        <v>6.3053230631574</v>
      </c>
      <c r="H6579" s="38" t="n">
        <f aca="false">(Sens!$D$6577*Sens!$H$6459+(1-ext_sh)*Sens!$H$6501)*(1-Sens!$H$6460)</f>
        <v>8.72254636724805</v>
      </c>
      <c r="I6579" s="38" t="n">
        <f aca="false">(Sens!$D$6577*Sens!$I$6459+(1-ext_sh)*Sens!$I$6501)*(1-Sens!$I$6460)</f>
        <v>10.8922340713019</v>
      </c>
      <c r="J6579" s="38" t="n">
        <f aca="false">(Sens!$D$6577*Sens!$J$6459+(1-ext_sh)*Sens!$J$6501)*(1-Sens!$J$6460)</f>
        <v>13.0724181345791</v>
      </c>
      <c r="K6579" s="38" t="n">
        <f aca="false">(Sens!$D$6577*Sens!$K$6459+(1-ext_sh)*Sens!$K$6501)*(1-Sens!$K$6460)</f>
        <v>15.2201571183236</v>
      </c>
      <c r="L6579" s="38" t="n">
        <f aca="false">(Sens!$D$6577*Sens!$L$6459+(1-ext_sh)*Sens!$L$6501)*(1-Sens!$L$6460)</f>
        <v>17.2920551631732</v>
      </c>
      <c r="M6579" s="38" t="n">
        <f aca="false">(Sens!$D$6577*Sens!$M$6459+(1-ext_sh)*Sens!$M$6501)*(1-Sens!$M$6460)</f>
        <v>19.4425326336348</v>
      </c>
      <c r="N6579" s="38" t="n">
        <f aca="false">Q!$N$30</f>
        <v>2.316</v>
      </c>
      <c r="O6579" s="38" t="n">
        <f aca="false">Q!$O$30</f>
        <v>2.591</v>
      </c>
    </row>
    <row r="6580" customFormat="false" ht="17.15" hidden="false" customHeight="false" outlineLevel="0" collapsed="false">
      <c r="A6580" s="0" t="s">
        <v>501</v>
      </c>
      <c r="B6580" s="0" t="s">
        <v>73</v>
      </c>
      <c r="C6580" s="38" t="n">
        <f aca="false">Sens!$C$6513</f>
        <v>13.32</v>
      </c>
      <c r="D6580" s="38" t="n">
        <f aca="false">Sens!$D$6513</f>
        <v>21.45</v>
      </c>
      <c r="E6580" s="38" t="n">
        <f aca="false">Sens!$E$6513</f>
        <v>15.353</v>
      </c>
      <c r="F6580" s="38" t="n">
        <f aca="false">Sens!$F$6513</f>
        <v>17.3614451462707</v>
      </c>
      <c r="G6580" s="38" t="n">
        <f aca="false">Sens!$G$6513</f>
        <v>32.7144451462707</v>
      </c>
      <c r="H6580" s="38" t="n">
        <f aca="false">Sens!$H$6513</f>
        <v>56.1966092719415</v>
      </c>
      <c r="I6580" s="38" t="n">
        <f aca="false">Sens!$I$6513</f>
        <v>82.9744039068297</v>
      </c>
      <c r="J6580" s="38" t="n">
        <f aca="false">Sens!$J$6513</f>
        <v>109.943252237669</v>
      </c>
      <c r="K6580" s="38" t="n">
        <f aca="false">Sens!$K$6513</f>
        <v>136.406703436571</v>
      </c>
      <c r="L6580" s="38" t="n">
        <f aca="false">Sens!$L$6513</f>
        <v>161.485870454155</v>
      </c>
      <c r="M6580" s="38" t="n">
        <f aca="false">Sens!$M$6513</f>
        <v>187.389846618199</v>
      </c>
      <c r="N6580" s="38" t="n">
        <f aca="false">Sens!$N$6513</f>
        <v>9.234</v>
      </c>
      <c r="O6580" s="38" t="n">
        <f aca="false">Sens!$O$6513</f>
        <v>12.216</v>
      </c>
    </row>
    <row r="6581" customFormat="false" ht="17.15" hidden="false" customHeight="false" outlineLevel="0" collapsed="false">
      <c r="A6581" s="5" t="s">
        <v>694</v>
      </c>
      <c r="B6581" s="0" t="s">
        <v>73</v>
      </c>
      <c r="C6581" s="38" t="n">
        <f aca="false">Sens!$C$6578+Sens!$C$6579+Sens!$C$6580</f>
        <v>32.067</v>
      </c>
      <c r="D6581" s="38" t="n">
        <f aca="false">Sens!$D$6578+Sens!$D$6579+Sens!$D$6580</f>
        <v>41.86</v>
      </c>
      <c r="E6581" s="38" t="n">
        <f aca="false">Sens!$E$6578+Sens!$E$6579+Sens!$E$6580</f>
        <v>26.703</v>
      </c>
      <c r="F6581" s="38" t="n">
        <f aca="false">Sens!$F$6578+Sens!$F$6579+Sens!$F$6580</f>
        <v>30.6103857251209</v>
      </c>
      <c r="G6581" s="38" t="n">
        <f aca="false">Sens!$G$6578+Sens!$G$6579+Sens!$G$6580</f>
        <v>57.3133857251209</v>
      </c>
      <c r="H6581" s="38" t="n">
        <f aca="false">Sens!$H$6578+Sens!$H$6579+Sens!$H$6580</f>
        <v>87.6845218193838</v>
      </c>
      <c r="I6581" s="38" t="n">
        <f aca="false">Sens!$I$6578+Sens!$I$6579+Sens!$I$6580</f>
        <v>122.294769708638</v>
      </c>
      <c r="J6581" s="38" t="n">
        <f aca="false">Sens!$J$6578+Sens!$J$6579+Sens!$J$6580</f>
        <v>157.133962573221</v>
      </c>
      <c r="K6581" s="38" t="n">
        <f aca="false">Sens!$K$6578+Sens!$K$6579+Sens!$K$6580</f>
        <v>191.350633353599</v>
      </c>
      <c r="L6581" s="38" t="n">
        <f aca="false">Sens!$L$6578+Sens!$L$6579+Sens!$L$6580</f>
        <v>223.909238335354</v>
      </c>
      <c r="M6581" s="38" t="n">
        <f aca="false">Sens!$M$6578+Sens!$M$6579+Sens!$M$6580</f>
        <v>257.576319867276</v>
      </c>
      <c r="N6581" s="38" t="n">
        <f aca="false">Sens!$N$6578+Sens!$N$6579+Sens!$N$6580</f>
        <v>18.822</v>
      </c>
      <c r="O6581" s="38" t="n">
        <f aca="false">Sens!$O$6578+Sens!$O$6579+Sens!$O$6580</f>
        <v>23.038</v>
      </c>
    </row>
    <row r="6582" customFormat="false" ht="17.15" hidden="false" customHeight="false" outlineLevel="0" collapsed="false">
      <c r="A6582" s="0" t="s">
        <v>695</v>
      </c>
      <c r="B6582" s="0" t="s">
        <v>73</v>
      </c>
      <c r="C6582" s="38" t="n">
        <f aca="false">Sens!$C$6555+Sens!$C$6560</f>
        <v>28.107</v>
      </c>
      <c r="D6582" s="38" t="n">
        <f aca="false">Sens!$D$6555+Sens!$D$6560</f>
        <v>34.3175</v>
      </c>
      <c r="E6582" s="38" t="n">
        <f aca="false">Sens!$E$6555+Sens!$E$6560</f>
        <v>18.526</v>
      </c>
      <c r="F6582" s="38" t="n">
        <f aca="false">Sens!$F$6555+Sens!$F$6560</f>
        <v>24.0766690913691</v>
      </c>
      <c r="G6582" s="38" t="n">
        <f aca="false">Sens!$G$6555+Sens!$G$6560</f>
        <v>42.6026690913691</v>
      </c>
      <c r="H6582" s="38" t="n">
        <f aca="false">Sens!$H$6555+Sens!$H$6560</f>
        <v>51.1466809294702</v>
      </c>
      <c r="I6582" s="38" t="n">
        <f aca="false">Sens!$I$6555+Sens!$I$6560</f>
        <v>59.6899187926205</v>
      </c>
      <c r="J6582" s="38" t="n">
        <f aca="false">Sens!$J$6555+Sens!$J$6560</f>
        <v>67.6595395244221</v>
      </c>
      <c r="K6582" s="38" t="n">
        <f aca="false">Sens!$K$6555+Sens!$K$6560</f>
        <v>74.4254934768643</v>
      </c>
      <c r="L6582" s="38" t="n">
        <f aca="false">Sens!$L$6555+Sens!$L$6560</f>
        <v>81.8680428245508</v>
      </c>
      <c r="M6582" s="38" t="n">
        <f aca="false">Sens!$M$6555+Sens!$M$6560</f>
        <v>90.0548471070059</v>
      </c>
      <c r="N6582" s="38" t="n">
        <f aca="false">Sens!$N$6555+Sens!$N$6560</f>
        <v>14.8075</v>
      </c>
      <c r="O6582" s="38" t="n">
        <f aca="false">Sens!$O$6555+Sens!$O$6560</f>
        <v>19.51</v>
      </c>
    </row>
    <row r="6583" customFormat="false" ht="17.15" hidden="false" customHeight="false" outlineLevel="0" collapsed="false">
      <c r="A6583" s="0" t="s">
        <v>696</v>
      </c>
      <c r="B6583" s="0" t="s">
        <v>73</v>
      </c>
      <c r="C6583" s="38" t="n">
        <f aca="false">Sens!$C$6559+Sens!$C$6564+Sens!$C$6578+Sens!$C$6579-Sens!$C$6582</f>
        <v>19.399</v>
      </c>
      <c r="D6583" s="38" t="n">
        <f aca="false">Sens!$D$6559+Sens!$D$6564+Sens!$D$6578+Sens!$D$6579-Sens!$D$6582</f>
        <v>20.4615</v>
      </c>
      <c r="E6583" s="38" t="n">
        <f aca="false">Sens!$E$6559+Sens!$E$6564+Sens!$E$6578+Sens!$E$6579-Sens!$E$6582</f>
        <v>13.355</v>
      </c>
      <c r="F6583" s="38" t="n">
        <f aca="false">Sens!$F$6559+Sens!$F$6564+Sens!$F$6578+Sens!$F$6579-Sens!$F$6582</f>
        <v>13.0895111975985</v>
      </c>
      <c r="G6583" s="38" t="n">
        <f aca="false">Sens!$G$6559+Sens!$G$6564+Sens!$G$6578+Sens!$G$6579-Sens!$G$6582</f>
        <v>26.4445111975985</v>
      </c>
      <c r="H6583" s="38" t="n">
        <f aca="false">Sens!$H$6559+Sens!$H$6564+Sens!$H$6578+Sens!$H$6579-Sens!$H$6582</f>
        <v>28.8977096937968</v>
      </c>
      <c r="I6583" s="38" t="n">
        <f aca="false">Sens!$I$6559+Sens!$I$6564+Sens!$I$6578+Sens!$I$6579-Sens!$I$6582</f>
        <v>31.2062039064791</v>
      </c>
      <c r="J6583" s="38" t="n">
        <f aca="false">Sens!$J$6559+Sens!$J$6564+Sens!$J$6578+Sens!$J$6579-Sens!$J$6582</f>
        <v>33.5064572496913</v>
      </c>
      <c r="K6583" s="38" t="n">
        <f aca="false">Sens!$K$6559+Sens!$K$6564+Sens!$K$6578+Sens!$K$6579-Sens!$K$6582</f>
        <v>35.6591461575899</v>
      </c>
      <c r="L6583" s="38" t="n">
        <f aca="false">Sens!$L$6559+Sens!$L$6564+Sens!$L$6578+Sens!$L$6579-Sens!$L$6582</f>
        <v>36.4141007090604</v>
      </c>
      <c r="M6583" s="38" t="n">
        <f aca="false">Sens!$M$6559+Sens!$M$6564+Sens!$M$6578+Sens!$M$6579-Sens!$M$6582</f>
        <v>37.359984207839</v>
      </c>
      <c r="N6583" s="38" t="n">
        <f aca="false">Sens!$N$6559+Sens!$N$6564+Sens!$N$6578+Sens!$N$6579-Sens!$N$6582</f>
        <v>10.6495</v>
      </c>
      <c r="O6583" s="38" t="n">
        <f aca="false">Sens!$O$6559+Sens!$O$6564+Sens!$O$6578+Sens!$O$6579-Sens!$O$6582</f>
        <v>9.81200000000001</v>
      </c>
    </row>
    <row r="6584" customFormat="false" ht="17.15" hidden="false" customHeight="false" outlineLevel="0" collapsed="false">
      <c r="A6584" s="0" t="s">
        <v>697</v>
      </c>
      <c r="B6584" s="0" t="s">
        <v>73</v>
      </c>
      <c r="C6584" s="38" t="n">
        <f aca="false">Sens!$C$6566+Sens!$C$6580-ext_sh*Sens!$C$6501</f>
        <v>51.3470500115664</v>
      </c>
      <c r="D6584" s="38" t="n">
        <f aca="false">Sens!$D$6566+Sens!$D$6580-ext_sh*Sens!$D$6501</f>
        <v>60.2799375433739</v>
      </c>
      <c r="E6584" s="38" t="n">
        <f aca="false">Sens!$E$6566+Sens!$E$6580-ext_sh*Sens!$E$6501</f>
        <v>39.5095167090767</v>
      </c>
      <c r="F6584" s="38" t="n">
        <f aca="false">Sens!$F$6566+Sens!$F$6580-ext_sh*Sens!$F$6501</f>
        <v>41.606724953129</v>
      </c>
      <c r="G6584" s="38" t="n">
        <f aca="false">Sens!$G$6566+Sens!$G$6580-ext_sh*Sens!$G$6501</f>
        <v>81.1162416622057</v>
      </c>
      <c r="H6584" s="38" t="n">
        <f aca="false">Sens!$H$6566+Sens!$H$6580-ext_sh*Sens!$H$6501</f>
        <v>95.7616595325849</v>
      </c>
      <c r="I6584" s="38" t="n">
        <f aca="false">Sens!$I$6566+Sens!$I$6580-ext_sh*Sens!$I$6501</f>
        <v>111.513312079935</v>
      </c>
      <c r="J6584" s="38" t="n">
        <f aca="false">Sens!$J$6566+Sens!$J$6580-ext_sh*Sens!$J$6501</f>
        <v>125.145150463955</v>
      </c>
      <c r="K6584" s="38" t="n">
        <f aca="false">Sens!$K$6566+Sens!$K$6580-ext_sh*Sens!$K$6501</f>
        <v>135.156762501071</v>
      </c>
      <c r="L6584" s="38" t="n">
        <f aca="false">Sens!$L$6566+Sens!$L$6580-ext_sh*Sens!$L$6501</f>
        <v>145.969303501157</v>
      </c>
      <c r="M6584" s="38" t="n">
        <f aca="false">Sens!$M$6566+Sens!$M$6580-ext_sh*Sens!$M$6501</f>
        <v>157.646847781249</v>
      </c>
      <c r="N6584" s="38" t="n">
        <f aca="false">Sens!$N$6566+Sens!$N$6580-ext_sh*Sens!$N$6501</f>
        <v>28.5693781401809</v>
      </c>
      <c r="O6584" s="38" t="n">
        <f aca="false">Sens!$O$6566+Sens!$O$6580-ext_sh*Sens!$O$6501</f>
        <v>31.7105594031931</v>
      </c>
    </row>
    <row r="6585" customFormat="false" ht="17.15" hidden="false" customHeight="false" outlineLevel="0" collapsed="false">
      <c r="A6585" s="0" t="s">
        <v>698</v>
      </c>
      <c r="B6585" s="0" t="s">
        <v>73</v>
      </c>
      <c r="C6585" s="38" t="n">
        <f aca="false">Sens!$C$6504</f>
        <v>1.80694998843362</v>
      </c>
      <c r="D6585" s="38" t="n">
        <f aca="false">Sens!$D$6504</f>
        <v>6.77606245662607</v>
      </c>
      <c r="E6585" s="38" t="n">
        <f aca="false">Sens!$E$6504</f>
        <v>6.62548329092326</v>
      </c>
      <c r="F6585" s="38" t="n">
        <f aca="false">Sens!$F$6504</f>
        <v>11.7200577158706</v>
      </c>
      <c r="G6585" s="38" t="n">
        <f aca="false">Sens!$G$6504</f>
        <v>18.3455410067939</v>
      </c>
      <c r="H6585" s="38" t="n">
        <f aca="false">Sens!$H$6504</f>
        <v>47.5171727060453</v>
      </c>
      <c r="I6585" s="38" t="n">
        <f aca="false">Sens!$I$6504</f>
        <v>80.5539692643667</v>
      </c>
      <c r="J6585" s="38" t="n">
        <f aca="false">Sens!$J$6504</f>
        <v>113.759316834883</v>
      </c>
      <c r="K6585" s="38" t="n">
        <f aca="false">Sens!$K$6504</f>
        <v>147.020848076132</v>
      </c>
      <c r="L6585" s="38" t="n">
        <f aca="false">Sens!$L$6504</f>
        <v>180.307917349531</v>
      </c>
      <c r="M6585" s="38" t="n">
        <f aca="false">Sens!$M$6504</f>
        <v>213.608737871012</v>
      </c>
      <c r="N6585" s="38" t="n">
        <f aca="false">Sens!$N$6504</f>
        <v>2.37162185981912</v>
      </c>
      <c r="O6585" s="38" t="n">
        <f aca="false">Sens!$O$6504</f>
        <v>4.40444059680694</v>
      </c>
    </row>
    <row r="6586" customFormat="false" ht="17.15" hidden="false" customHeight="false" outlineLevel="0" collapsed="false">
      <c r="A6586" s="0" t="s">
        <v>699</v>
      </c>
      <c r="B6586" s="0" t="s">
        <v>73</v>
      </c>
      <c r="C6586" s="38" t="n">
        <f aca="false">Sens!$C$6569+Sens!$C$6581</f>
        <v>100.66</v>
      </c>
      <c r="D6586" s="38" t="n">
        <f aca="false">Sens!$D$6569+Sens!$D$6581</f>
        <v>121.835</v>
      </c>
      <c r="E6586" s="38" t="n">
        <f aca="false">Sens!$E$6569+Sens!$E$6581</f>
        <v>78.016</v>
      </c>
      <c r="F6586" s="38" t="n">
        <f aca="false">Sens!$F$6569+Sens!$F$6581</f>
        <v>90.4929629579672</v>
      </c>
      <c r="G6586" s="38" t="n">
        <f aca="false">Sens!$G$6569+Sens!$G$6581</f>
        <v>168.508962957967</v>
      </c>
      <c r="H6586" s="38" t="n">
        <f aca="false">Sens!$H$6569+Sens!$H$6581</f>
        <v>223.323222861897</v>
      </c>
      <c r="I6586" s="38" t="n">
        <f aca="false">Sens!$I$6569+Sens!$I$6581</f>
        <v>282.963404043402</v>
      </c>
      <c r="J6586" s="38" t="n">
        <f aca="false">Sens!$J$6569+Sens!$J$6581</f>
        <v>340.070464072952</v>
      </c>
      <c r="K6586" s="38" t="n">
        <f aca="false">Sens!$K$6569+Sens!$K$6581</f>
        <v>392.262250211657</v>
      </c>
      <c r="L6586" s="38" t="n">
        <f aca="false">Sens!$L$6569+Sens!$L$6581</f>
        <v>444.559364384299</v>
      </c>
      <c r="M6586" s="38" t="n">
        <f aca="false">Sens!$M$6569+Sens!$M$6581</f>
        <v>498.670416967106</v>
      </c>
      <c r="N6586" s="38" t="n">
        <f aca="false">Sens!$N$6569+Sens!$N$6581</f>
        <v>56.398</v>
      </c>
      <c r="O6586" s="38" t="n">
        <f aca="false">Sens!$O$6569+Sens!$O$6581</f>
        <v>65.437</v>
      </c>
    </row>
    <row r="6587" customFormat="false" ht="17.15" hidden="false" customHeight="false" outlineLevel="0" collapsed="false">
      <c r="A6587" s="1" t="s">
        <v>700</v>
      </c>
    </row>
    <row r="6588" customFormat="false" ht="15" hidden="false" customHeight="false" outlineLevel="0" collapsed="false">
      <c r="A6588" s="5" t="s">
        <v>504</v>
      </c>
      <c r="B6588" s="0" t="s">
        <v>73</v>
      </c>
      <c r="C6588" s="38" t="n">
        <f aca="false">Q!$D$34</f>
        <v>2.406</v>
      </c>
      <c r="D6588" s="38" t="n">
        <f aca="false">Q!$E$34</f>
        <v>2.274</v>
      </c>
      <c r="E6588" s="38" t="n">
        <f aca="false">Q!$P$34</f>
        <v>2.114</v>
      </c>
      <c r="F6588" s="38" t="n">
        <f aca="false">Sens!$F$6624</f>
        <v>3.24888964316061</v>
      </c>
      <c r="G6588" s="38" t="n">
        <f aca="false">Sens!$E$6588+Sens!$F$6588</f>
        <v>5.36288964316061</v>
      </c>
      <c r="H6588" s="38" t="n">
        <f aca="false">Sens!$H$6624</f>
        <v>7.42354178632123</v>
      </c>
      <c r="I6588" s="38" t="n">
        <f aca="false">Sens!$I$6624</f>
        <v>7.51827597635917</v>
      </c>
      <c r="J6588" s="38" t="n">
        <f aca="false">Sens!$J$6624</f>
        <v>7.76994062068418</v>
      </c>
      <c r="K6588" s="38" t="n">
        <f aca="false">Sens!$K$6624</f>
        <v>7.76994062068418</v>
      </c>
      <c r="L6588" s="38" t="n">
        <f aca="false">Sens!$L$6624</f>
        <v>7.76994062068418</v>
      </c>
      <c r="M6588" s="38" t="n">
        <f aca="false">Sens!$M$6624</f>
        <v>7.76994062068418</v>
      </c>
      <c r="N6588" s="38" t="n">
        <f aca="false">Q!$N$34</f>
        <v>1.057</v>
      </c>
      <c r="O6588" s="38" t="n">
        <f aca="false">Q!$O$34</f>
        <v>1.217</v>
      </c>
    </row>
    <row r="6589" customFormat="false" ht="15" hidden="false" customHeight="false" outlineLevel="0" collapsed="false">
      <c r="A6589" s="5" t="s">
        <v>701</v>
      </c>
      <c r="B6589" s="0" t="s">
        <v>73</v>
      </c>
      <c r="F6589" s="38" t="n">
        <f aca="false">Sens!$F$6625</f>
        <v>2.59</v>
      </c>
      <c r="H6589" s="38" t="n">
        <f aca="false">Sens!$H$6625</f>
        <v>4.00971603121774</v>
      </c>
      <c r="I6589" s="38" t="n">
        <f aca="false">Sens!$I$6625</f>
        <v>2.10589651022864</v>
      </c>
      <c r="J6589" s="38" t="n">
        <f aca="false">Sens!$J$6625</f>
        <v>2.10589651022864</v>
      </c>
      <c r="K6589" s="38" t="n">
        <f aca="false">Sens!$K$6625</f>
        <v>3.77985822695893</v>
      </c>
      <c r="L6589" s="38" t="n">
        <f aca="false">Sens!$L$6625</f>
        <v>7.24081936505971</v>
      </c>
      <c r="M6589" s="38" t="n">
        <f aca="false">Sens!$M$6625</f>
        <v>11.205150593419</v>
      </c>
    </row>
    <row r="6590" customFormat="false" ht="17.15" hidden="false" customHeight="false" outlineLevel="0" collapsed="false">
      <c r="A6590" s="5" t="s">
        <v>702</v>
      </c>
      <c r="B6590" s="0" t="s">
        <v>73</v>
      </c>
      <c r="C6590" s="38" t="n">
        <f aca="false">Q!$D$39</f>
        <v>2.427</v>
      </c>
      <c r="D6590" s="38" t="n">
        <f aca="false">Q!$E$39</f>
        <v>19.61</v>
      </c>
      <c r="E6590" s="38" t="n">
        <f aca="false">Q!$P$39</f>
        <v>71.492</v>
      </c>
      <c r="F6590" s="41" t="n">
        <v>0</v>
      </c>
      <c r="G6590" s="38" t="n">
        <f aca="false">Sens!$E$6590+Sens!$F$6590</f>
        <v>71.492</v>
      </c>
      <c r="H6590" s="41" t="n">
        <v>0</v>
      </c>
      <c r="I6590" s="41" t="n">
        <v>0</v>
      </c>
      <c r="J6590" s="41" t="n">
        <v>0</v>
      </c>
      <c r="K6590" s="41" t="n">
        <v>0</v>
      </c>
      <c r="L6590" s="41" t="n">
        <v>0</v>
      </c>
      <c r="M6590" s="41" t="n">
        <v>0</v>
      </c>
      <c r="N6590" s="38" t="n">
        <f aca="false">Q!$N$39</f>
        <v>6.017</v>
      </c>
      <c r="O6590" s="38" t="n">
        <f aca="false">Q!$O$39</f>
        <v>13.593</v>
      </c>
      <c r="P6590" s="5" t="s">
        <v>703</v>
      </c>
    </row>
    <row r="6591" customFormat="false" ht="15" hidden="false" customHeight="false" outlineLevel="0" collapsed="false">
      <c r="A6591" s="5" t="s">
        <v>507</v>
      </c>
      <c r="B6591" s="0" t="s">
        <v>73</v>
      </c>
      <c r="C6591" s="38" t="n">
        <f aca="false">Q!$D$36</f>
        <v>68.614</v>
      </c>
      <c r="D6591" s="38" t="n">
        <f aca="false">Q!$E$36</f>
        <v>97.311</v>
      </c>
      <c r="E6591" s="38" t="n">
        <f aca="false">Q!$P$36</f>
        <v>120.691</v>
      </c>
      <c r="F6591" s="38" t="n">
        <f aca="false">Sens!$F$6569-Sens!$F$6588+Sens!$F$6589+Sens!$F$6590</f>
        <v>59.2236875896856</v>
      </c>
      <c r="G6591" s="38" t="n">
        <f aca="false">Sens!$E$6591+Sens!$F$6591</f>
        <v>179.914687589686</v>
      </c>
      <c r="H6591" s="38" t="n">
        <f aca="false">Sens!$H$6569-Sens!$H$6588+Sens!$H$6589+Sens!$H$6590</f>
        <v>132.22487528741</v>
      </c>
      <c r="I6591" s="38" t="n">
        <f aca="false">Sens!$I$6569-Sens!$I$6588+Sens!$I$6589+Sens!$I$6590</f>
        <v>155.256254868633</v>
      </c>
      <c r="J6591" s="38" t="n">
        <f aca="false">Sens!$J$6569-Sens!$J$6588+Sens!$J$6589+Sens!$J$6590</f>
        <v>177.272457389275</v>
      </c>
      <c r="K6591" s="38" t="n">
        <f aca="false">Sens!$K$6569-Sens!$K$6588+Sens!$K$6589+Sens!$K$6590</f>
        <v>196.921534464333</v>
      </c>
      <c r="L6591" s="38" t="n">
        <f aca="false">Sens!$L$6569-Sens!$L$6588+Sens!$L$6589+Sens!$L$6590</f>
        <v>220.12100479332</v>
      </c>
      <c r="M6591" s="38" t="n">
        <f aca="false">Sens!$M$6569-Sens!$M$6588+Sens!$M$6589+Sens!$M$6590</f>
        <v>244.529307072564</v>
      </c>
      <c r="N6591" s="38" t="n">
        <f aca="false">Q!$N$36</f>
        <v>42.536</v>
      </c>
      <c r="O6591" s="38" t="n">
        <f aca="false">Q!$O$36</f>
        <v>54.775</v>
      </c>
    </row>
    <row r="6592" customFormat="false" ht="15" hidden="false" customHeight="false" outlineLevel="0" collapsed="false">
      <c r="A6592" s="5" t="s">
        <v>508</v>
      </c>
      <c r="B6592" s="0" t="s">
        <v>73</v>
      </c>
      <c r="C6592" s="38" t="n">
        <f aca="false">Q!$D$37</f>
        <v>9.265</v>
      </c>
      <c r="D6592" s="38" t="n">
        <f aca="false">Q!$E$37</f>
        <v>19.087</v>
      </c>
      <c r="E6592" s="38" t="n">
        <f aca="false">Q!$P$37</f>
        <v>27.759</v>
      </c>
      <c r="F6592" s="38" t="n">
        <f aca="false">Sens!$F$6591*tax</f>
        <v>10.2803157750071</v>
      </c>
      <c r="G6592" s="38" t="n">
        <f aca="false">Sens!$E$6592+Sens!$F$6592</f>
        <v>38.0393157750071</v>
      </c>
      <c r="H6592" s="38" t="n">
        <f aca="false">Sens!$H$6591*tax</f>
        <v>22.9521923842892</v>
      </c>
      <c r="I6592" s="38" t="n">
        <f aca="false">Sens!$I$6591*tax</f>
        <v>26.9500835063251</v>
      </c>
      <c r="J6592" s="38" t="n">
        <f aca="false">Sens!$J$6591*tax</f>
        <v>30.7717555988633</v>
      </c>
      <c r="K6592" s="38" t="n">
        <f aca="false">Sens!$K$6591*tax</f>
        <v>34.1825313414772</v>
      </c>
      <c r="L6592" s="38" t="n">
        <f aca="false">Sens!$L$6591*tax</f>
        <v>38.209600416393</v>
      </c>
      <c r="M6592" s="38" t="n">
        <f aca="false">Sens!$M$6591*tax</f>
        <v>42.4465040131586</v>
      </c>
      <c r="N6592" s="38" t="n">
        <f aca="false">Q!$N$37</f>
        <v>7.231</v>
      </c>
      <c r="O6592" s="38" t="n">
        <f aca="false">Q!$O$37</f>
        <v>11.856</v>
      </c>
    </row>
    <row r="6593" customFormat="false" ht="15" hidden="false" customHeight="false" outlineLevel="0" collapsed="false">
      <c r="A6593" s="3" t="s">
        <v>509</v>
      </c>
      <c r="B6593" s="8" t="s">
        <v>73</v>
      </c>
      <c r="C6593" s="38" t="n">
        <f aca="false">Q!$D$38</f>
        <v>59.248</v>
      </c>
      <c r="D6593" s="38" t="n">
        <f aca="false">Q!$E$38</f>
        <v>77.67</v>
      </c>
      <c r="E6593" s="38" t="n">
        <f aca="false">Q!$P$38</f>
        <v>92.902</v>
      </c>
      <c r="F6593" s="38" t="n">
        <f aca="false">Sens!$F$6591-Sens!$F$6592</f>
        <v>48.9433718146785</v>
      </c>
      <c r="G6593" s="38" t="n">
        <f aca="false">Sens!$E$6593+Sens!$F$6593</f>
        <v>141.845371814679</v>
      </c>
      <c r="H6593" s="38" t="n">
        <f aca="false">Sens!$H$6591-Sens!$H$6592</f>
        <v>109.272682903121</v>
      </c>
      <c r="I6593" s="38" t="n">
        <f aca="false">Sens!$I$6591-Sens!$I$6592</f>
        <v>128.306171362308</v>
      </c>
      <c r="J6593" s="38" t="n">
        <f aca="false">Sens!$J$6591-Sens!$J$6592</f>
        <v>146.500701790412</v>
      </c>
      <c r="K6593" s="38" t="n">
        <f aca="false">Sens!$K$6591-Sens!$K$6592</f>
        <v>162.739003122855</v>
      </c>
      <c r="L6593" s="38" t="n">
        <f aca="false">Sens!$L$6591-Sens!$L$6592</f>
        <v>181.911404376927</v>
      </c>
      <c r="M6593" s="38" t="n">
        <f aca="false">Sens!$M$6591-Sens!$M$6592</f>
        <v>202.082803059406</v>
      </c>
      <c r="N6593" s="38" t="n">
        <f aca="false">Q!$N$38</f>
        <v>35.291</v>
      </c>
      <c r="O6593" s="38" t="n">
        <f aca="false">Q!$O$38</f>
        <v>42.379</v>
      </c>
    </row>
    <row r="6594" customFormat="false" ht="17.15" hidden="false" customHeight="false" outlineLevel="0" collapsed="false">
      <c r="A6594" s="5" t="s">
        <v>512</v>
      </c>
      <c r="B6594" s="5" t="s">
        <v>33</v>
      </c>
      <c r="C6594" s="22" t="n">
        <f aca="false">Q!$D$41</f>
        <v>10.721</v>
      </c>
      <c r="D6594" s="22" t="n">
        <f aca="false">Q!$E$41</f>
        <v>10.827</v>
      </c>
      <c r="E6594" s="22" t="n">
        <f aca="false">(Q!$L$41+Q!$M$41)/2</f>
        <v>10.8885</v>
      </c>
      <c r="F6594" s="22" t="n">
        <f aca="false">Sens!$G$6594</f>
        <v>10.924806</v>
      </c>
      <c r="G6594" s="22" t="n">
        <f aca="false">Q!$M$41*(1+sh_g*0.25)</f>
        <v>10.924806</v>
      </c>
      <c r="H6594" s="22" t="n">
        <f aca="false">Sens!$G$6594*(1+sh_g)</f>
        <v>11.012204448</v>
      </c>
      <c r="I6594" s="22" t="n">
        <f aca="false">Sens!$H$6594*(1+sh_g)</f>
        <v>11.100302083584</v>
      </c>
      <c r="J6594" s="22" t="n">
        <f aca="false">Sens!$I$6594*(1+sh_g)</f>
        <v>11.1891045002527</v>
      </c>
      <c r="K6594" s="22" t="n">
        <f aca="false">Sens!$J$6594*(1+sh_g)</f>
        <v>11.2786173362547</v>
      </c>
      <c r="L6594" s="22" t="n">
        <f aca="false">Sens!$K$6594*(1+sh_g)</f>
        <v>11.3688462749447</v>
      </c>
      <c r="M6594" s="22" t="n">
        <f aca="false">Sens!$L$6594*(1+sh_g)</f>
        <v>11.4597970451443</v>
      </c>
      <c r="P6594" s="5" t="s">
        <v>704</v>
      </c>
    </row>
    <row r="6595" customFormat="false" ht="17.15" hidden="false" customHeight="false" outlineLevel="0" collapsed="false">
      <c r="A6595" s="42" t="s">
        <v>705</v>
      </c>
      <c r="B6595" s="13" t="s">
        <v>27</v>
      </c>
      <c r="C6595" s="43" t="n">
        <f aca="false">Sens!$C$6593/Sens!$C$6594</f>
        <v>5.52635015390355</v>
      </c>
      <c r="D6595" s="43" t="n">
        <f aca="false">Sens!$D$6593/Sens!$D$6594</f>
        <v>7.1737323358271</v>
      </c>
      <c r="E6595" s="43" t="n">
        <f aca="false">Sens!$E$6593/Sens!$E$6594</f>
        <v>8.53212104513937</v>
      </c>
      <c r="F6595" s="13"/>
      <c r="G6595" s="43" t="n">
        <f aca="false">Sens!$G$6593/Sens!$G$6594</f>
        <v>12.9837886196495</v>
      </c>
      <c r="H6595" s="43" t="n">
        <f aca="false">Sens!$H$6593/Sens!$H$6594</f>
        <v>9.92287088558062</v>
      </c>
      <c r="I6595" s="43" t="n">
        <f aca="false">Sens!$I$6593/Sens!$I$6594</f>
        <v>11.5587999674403</v>
      </c>
      <c r="J6595" s="43" t="n">
        <f aca="false">Sens!$J$6593/Sens!$J$6594</f>
        <v>13.0931569892035</v>
      </c>
      <c r="K6595" s="43" t="n">
        <f aca="false">Sens!$K$6593/Sens!$K$6594</f>
        <v>14.4289852444711</v>
      </c>
      <c r="L6595" s="43" t="n">
        <f aca="false">Sens!$L$6593/Sens!$L$6594</f>
        <v>16.0008676322621</v>
      </c>
      <c r="M6595" s="43" t="n">
        <f aca="false">Sens!$M$6593/Sens!$M$6594</f>
        <v>17.6340647450673</v>
      </c>
      <c r="N6595" s="13"/>
      <c r="O6595" s="13"/>
    </row>
    <row r="6596" customFormat="false" ht="17.15" hidden="false" customHeight="false" outlineLevel="0" collapsed="false">
      <c r="A6596" s="0" t="s">
        <v>706</v>
      </c>
      <c r="B6596" s="0" t="s">
        <v>27</v>
      </c>
      <c r="C6596" s="30" t="n">
        <f aca="false">(Sens!$C$6593-Sens!$C$6590*(1-tax))/Sens!$C$6594</f>
        <v>5.33926775917445</v>
      </c>
      <c r="D6596" s="30" t="n">
        <f aca="false">(Sens!$D$6593-Sens!$D$6590*(1-tax))/Sens!$D$6594</f>
        <v>5.67691812755503</v>
      </c>
      <c r="E6596" s="30" t="n">
        <f aca="false">(Sens!$E$6593-Sens!$E$6590*(1-tax))/Sens!$E$6594</f>
        <v>3.10602057006846</v>
      </c>
      <c r="G6596" s="30" t="n">
        <f aca="false">(Sens!$G$6593-Sens!$G$6590*(1-tax))/Sens!$G$6594</f>
        <v>7.57572050175252</v>
      </c>
      <c r="H6596" s="30" t="n">
        <f aca="false">(Sens!$H$6593-Sens!$H$6590*(1-tax))/Sens!$H$6594</f>
        <v>9.92287088558062</v>
      </c>
      <c r="I6596" s="30" t="n">
        <f aca="false">(Sens!$I$6593-Sens!$I$6590*(1-tax))/Sens!$I$6594</f>
        <v>11.5587999674403</v>
      </c>
      <c r="J6596" s="30" t="n">
        <f aca="false">(Sens!$J$6593-Sens!$J$6590*(1-tax))/Sens!$J$6594</f>
        <v>13.0931569892035</v>
      </c>
      <c r="K6596" s="30" t="n">
        <f aca="false">(Sens!$K$6593-Sens!$K$6590*(1-tax))/Sens!$K$6594</f>
        <v>14.4289852444711</v>
      </c>
      <c r="L6596" s="30" t="n">
        <f aca="false">(Sens!$L$6593-Sens!$L$6590*(1-tax))/Sens!$L$6594</f>
        <v>16.0008676322621</v>
      </c>
      <c r="M6596" s="30" t="n">
        <f aca="false">(Sens!$M$6593-Sens!$M$6590*(1-tax))/Sens!$M$6594</f>
        <v>17.6340647450673</v>
      </c>
      <c r="P6596" s="5" t="s">
        <v>707</v>
      </c>
    </row>
    <row r="6597" customFormat="false" ht="17.15" hidden="false" customHeight="false" outlineLevel="0" collapsed="false">
      <c r="A6597" s="0" t="s">
        <v>708</v>
      </c>
      <c r="B6597" s="0" t="s">
        <v>52</v>
      </c>
      <c r="H6597" s="12" t="n">
        <f aca="false">Sens!$H$6595/Sens!$G$6595-1</f>
        <v>-0.23574919645846</v>
      </c>
      <c r="I6597" s="12" t="n">
        <f aca="false">Sens!$I$6595/Sens!$H$6595-1</f>
        <v>0.164864493423664</v>
      </c>
      <c r="J6597" s="12" t="n">
        <f aca="false">Sens!$J$6595/Sens!$I$6595-1</f>
        <v>0.132743626162345</v>
      </c>
      <c r="K6597" s="12" t="n">
        <f aca="false">Sens!$K$6595/Sens!$J$6595-1</f>
        <v>0.102024917013454</v>
      </c>
      <c r="L6597" s="12" t="n">
        <f aca="false">Sens!$L$6595/Sens!$K$6595-1</f>
        <v>0.108939219297719</v>
      </c>
      <c r="M6597" s="12" t="n">
        <f aca="false">Sens!$M$6595/Sens!$L$6595-1</f>
        <v>0.102069284637555</v>
      </c>
    </row>
    <row r="6600" customFormat="false" ht="19.4" hidden="false" customHeight="false" outlineLevel="0" collapsed="false">
      <c r="A6600" s="31" t="s">
        <v>1186</v>
      </c>
    </row>
    <row r="6601" customFormat="false" ht="17.15" hidden="false" customHeight="false" outlineLevel="0" collapsed="false">
      <c r="A6601" s="6" t="s">
        <v>16</v>
      </c>
      <c r="B6601" s="6" t="s">
        <v>17</v>
      </c>
      <c r="C6601" s="20" t="s">
        <v>457</v>
      </c>
      <c r="D6601" s="20" t="s">
        <v>458</v>
      </c>
      <c r="E6601" s="20" t="s">
        <v>540</v>
      </c>
      <c r="F6601" s="20" t="s">
        <v>541</v>
      </c>
      <c r="G6601" s="20" t="s">
        <v>542</v>
      </c>
      <c r="H6601" s="20" t="s">
        <v>543</v>
      </c>
      <c r="I6601" s="20" t="s">
        <v>544</v>
      </c>
      <c r="J6601" s="20" t="s">
        <v>545</v>
      </c>
      <c r="K6601" s="20" t="s">
        <v>546</v>
      </c>
      <c r="L6601" s="20" t="s">
        <v>547</v>
      </c>
      <c r="M6601" s="20" t="s">
        <v>548</v>
      </c>
      <c r="N6601" s="20" t="s">
        <v>549</v>
      </c>
      <c r="O6601" s="20" t="s">
        <v>550</v>
      </c>
      <c r="P6601" s="6" t="s">
        <v>23</v>
      </c>
      <c r="R6601" s="20" t="n">
        <v>2023</v>
      </c>
      <c r="S6601" s="20" t="n">
        <v>2024</v>
      </c>
      <c r="T6601" s="20" t="n">
        <v>2025</v>
      </c>
      <c r="U6601" s="20" t="n">
        <v>2026</v>
      </c>
      <c r="V6601" s="20" t="n">
        <v>2027</v>
      </c>
      <c r="W6601" s="20" t="n">
        <v>2028</v>
      </c>
      <c r="X6601" s="20" t="n">
        <v>2029</v>
      </c>
      <c r="Y6601" s="20" t="n">
        <v>2030</v>
      </c>
      <c r="Z6601" s="20" t="n">
        <v>2031</v>
      </c>
      <c r="AA6601" s="20" t="n">
        <v>2032</v>
      </c>
    </row>
    <row r="6602" customFormat="false" ht="15" hidden="false" customHeight="false" outlineLevel="0" collapsed="false">
      <c r="A6602" s="5" t="s">
        <v>509</v>
      </c>
      <c r="B6602" s="0" t="s">
        <v>73</v>
      </c>
      <c r="C6602" s="38" t="n">
        <f aca="false">Sens!$C$6593</f>
        <v>59.248</v>
      </c>
      <c r="D6602" s="38" t="n">
        <f aca="false">Sens!$D$6593</f>
        <v>77.67</v>
      </c>
      <c r="E6602" s="38" t="n">
        <f aca="false">Sens!$E$6593</f>
        <v>92.902</v>
      </c>
      <c r="F6602" s="38" t="n">
        <f aca="false">Sens!$F$6593</f>
        <v>48.9433718146785</v>
      </c>
      <c r="G6602" s="38" t="n">
        <f aca="false">Sens!$G$6593</f>
        <v>141.845371814679</v>
      </c>
      <c r="H6602" s="38" t="n">
        <f aca="false">Sens!$H$6593</f>
        <v>109.272682903121</v>
      </c>
      <c r="I6602" s="38" t="n">
        <f aca="false">Sens!$I$6593</f>
        <v>128.306171362308</v>
      </c>
      <c r="J6602" s="38" t="n">
        <f aca="false">Sens!$J$6593</f>
        <v>146.500701790412</v>
      </c>
      <c r="K6602" s="38" t="n">
        <f aca="false">Sens!$K$6593</f>
        <v>162.739003122855</v>
      </c>
      <c r="L6602" s="38" t="n">
        <f aca="false">Sens!$L$6593</f>
        <v>181.911404376927</v>
      </c>
      <c r="M6602" s="38" t="n">
        <f aca="false">Sens!$M$6593</f>
        <v>202.082803059406</v>
      </c>
    </row>
    <row r="6603" customFormat="false" ht="17.15" hidden="false" customHeight="false" outlineLevel="0" collapsed="false">
      <c r="A6603" s="5" t="s">
        <v>730</v>
      </c>
      <c r="B6603" s="0" t="s">
        <v>73</v>
      </c>
      <c r="C6603" s="38" t="n">
        <f aca="false">Sens!$C$6581</f>
        <v>32.067</v>
      </c>
      <c r="D6603" s="38" t="n">
        <f aca="false">Sens!$D$6581</f>
        <v>41.86</v>
      </c>
      <c r="E6603" s="38" t="n">
        <f aca="false">Sens!$E$6581</f>
        <v>26.703</v>
      </c>
      <c r="F6603" s="38" t="n">
        <f aca="false">Sens!$F$6581</f>
        <v>30.6103857251209</v>
      </c>
      <c r="G6603" s="38" t="n">
        <f aca="false">Sens!$G$6581</f>
        <v>57.3133857251209</v>
      </c>
      <c r="H6603" s="38" t="n">
        <f aca="false">Sens!$H$6581</f>
        <v>87.6845218193838</v>
      </c>
      <c r="I6603" s="38" t="n">
        <f aca="false">Sens!$I$6581</f>
        <v>122.294769708638</v>
      </c>
      <c r="J6603" s="38" t="n">
        <f aca="false">Sens!$J$6581</f>
        <v>157.133962573221</v>
      </c>
      <c r="K6603" s="38" t="n">
        <f aca="false">Sens!$K$6581</f>
        <v>191.350633353599</v>
      </c>
      <c r="L6603" s="38" t="n">
        <f aca="false">Sens!$L$6581</f>
        <v>223.909238335354</v>
      </c>
      <c r="M6603" s="38" t="n">
        <f aca="false">Sens!$M$6581</f>
        <v>257.576319867276</v>
      </c>
    </row>
    <row r="6604" customFormat="false" ht="15" hidden="false" customHeight="false" outlineLevel="0" collapsed="false">
      <c r="A6604" s="5" t="s">
        <v>731</v>
      </c>
      <c r="B6604" s="0" t="s">
        <v>73</v>
      </c>
      <c r="C6604" s="38" t="n">
        <f aca="false">Q!$D$48</f>
        <v>22.011</v>
      </c>
      <c r="D6604" s="38" t="n">
        <f aca="false">Q!$E$48</f>
        <v>19.467</v>
      </c>
      <c r="E6604" s="38" t="n">
        <f aca="false">Q!$P$48</f>
        <v>10.07</v>
      </c>
      <c r="F6604" s="38" t="n">
        <f aca="false">sbc_r*Sens!$F$6525</f>
        <v>11.2170714500462</v>
      </c>
      <c r="G6604" s="38" t="n">
        <f aca="false">Sens!$E$6604+Sens!$F$6604</f>
        <v>21.2870714500462</v>
      </c>
      <c r="H6604" s="38" t="n">
        <f aca="false">sbc_r*Sens!$H$6525</f>
        <v>24.1772394325528</v>
      </c>
      <c r="I6604" s="38" t="n">
        <f aca="false">sbc_r*Sens!$I$6525</f>
        <v>27.6495284422397</v>
      </c>
      <c r="J6604" s="38" t="n">
        <f aca="false">sbc_r*Sens!$J$6525</f>
        <v>30.9042211184633</v>
      </c>
      <c r="K6604" s="38" t="n">
        <f aca="false">sbc_r*Sens!$K$6525</f>
        <v>33.8004145402678</v>
      </c>
      <c r="L6604" s="38" t="n">
        <f aca="false">sbc_r*Sens!$L$6525</f>
        <v>36.8322537652494</v>
      </c>
      <c r="M6604" s="38" t="n">
        <f aca="false">sbc_r*Sens!$M$6525</f>
        <v>40.0097627968013</v>
      </c>
    </row>
    <row r="6605" customFormat="false" ht="17.15" hidden="false" customHeight="false" outlineLevel="0" collapsed="false">
      <c r="A6605" s="5" t="s">
        <v>732</v>
      </c>
      <c r="B6605" s="0" t="s">
        <v>73</v>
      </c>
      <c r="C6605" s="38" t="n">
        <f aca="false">Q!$D$44-Sens!$C$6602-Sens!$C$6603-Sens!$C$6604</f>
        <v>2.551</v>
      </c>
      <c r="D6605" s="38" t="n">
        <f aca="false">Q!$E$44-Sens!$D$6602-Sens!$D$6603-Sens!$D$6604</f>
        <v>0.51700000000001</v>
      </c>
      <c r="E6605" s="38" t="n">
        <f aca="false">Q!$P$44-Sens!$E$6602-Sens!$E$6603-Sens!$E$6604</f>
        <v>-58.256</v>
      </c>
      <c r="F6605" s="38" t="n">
        <f aca="false">wc_2h26+oth_r*Sens!$F$6525</f>
        <v>7.34599241893378</v>
      </c>
      <c r="G6605" s="38" t="n">
        <f aca="false">Sens!$E$6605+Sens!$F$6605</f>
        <v>-50.9100075810662</v>
      </c>
      <c r="H6605" s="38" t="n">
        <f aca="false">oth_r*Sens!$H$6525</f>
        <v>11.6369707537667</v>
      </c>
      <c r="I6605" s="38" t="n">
        <f aca="false">oth_r*Sens!$I$6525</f>
        <v>13.3082502961262</v>
      </c>
      <c r="J6605" s="38" t="n">
        <f aca="false">oth_r*Sens!$J$6525</f>
        <v>14.8747965344332</v>
      </c>
      <c r="K6605" s="38" t="n">
        <f aca="false">oth_r*Sens!$K$6525</f>
        <v>16.2687901804328</v>
      </c>
      <c r="L6605" s="38" t="n">
        <f aca="false">oth_r*Sens!$L$6525</f>
        <v>17.7280727627002</v>
      </c>
      <c r="M6605" s="38" t="n">
        <f aca="false">oth_r*Sens!$M$6525</f>
        <v>19.2574690270319</v>
      </c>
      <c r="P6605" s="8" t="s">
        <v>733</v>
      </c>
    </row>
    <row r="6606" customFormat="false" ht="15" hidden="false" customHeight="false" outlineLevel="0" collapsed="false">
      <c r="A6606" s="3" t="s">
        <v>515</v>
      </c>
      <c r="B6606" s="8" t="s">
        <v>73</v>
      </c>
      <c r="C6606" s="38" t="n">
        <f aca="false">Q!$D$44</f>
        <v>115.877</v>
      </c>
      <c r="D6606" s="38" t="n">
        <f aca="false">Q!$E$44</f>
        <v>139.514</v>
      </c>
      <c r="E6606" s="38" t="n">
        <f aca="false">Q!$P$44</f>
        <v>71.419</v>
      </c>
      <c r="F6606" s="38" t="n">
        <f aca="false">Sens!$F$6602+Sens!$F$6603+Sens!$F$6604+Sens!$F$6605</f>
        <v>98.1168214087795</v>
      </c>
      <c r="G6606" s="38" t="n">
        <f aca="false">Sens!$E$6606+Sens!$F$6606</f>
        <v>169.535821408779</v>
      </c>
      <c r="H6606" s="38" t="n">
        <f aca="false">Sens!$H$6602+Sens!$H$6603+Sens!$H$6604+Sens!$H$6605</f>
        <v>232.771414908824</v>
      </c>
      <c r="I6606" s="38" t="n">
        <f aca="false">Sens!$I$6602+Sens!$I$6603+Sens!$I$6604+Sens!$I$6605</f>
        <v>291.558719809312</v>
      </c>
      <c r="J6606" s="38" t="n">
        <f aca="false">Sens!$J$6602+Sens!$J$6603+Sens!$J$6604+Sens!$J$6605</f>
        <v>349.413682016529</v>
      </c>
      <c r="K6606" s="38" t="n">
        <f aca="false">Sens!$K$6602+Sens!$K$6603+Sens!$K$6604+Sens!$K$6605</f>
        <v>404.158841197156</v>
      </c>
      <c r="L6606" s="38" t="n">
        <f aca="false">Sens!$L$6602+Sens!$L$6603+Sens!$L$6604+Sens!$L$6605</f>
        <v>460.380969240231</v>
      </c>
      <c r="M6606" s="38" t="n">
        <f aca="false">Sens!$M$6602+Sens!$M$6603+Sens!$M$6604+Sens!$M$6605</f>
        <v>518.926354750515</v>
      </c>
    </row>
    <row r="6607" customFormat="false" ht="17.15" hidden="false" customHeight="false" outlineLevel="0" collapsed="false">
      <c r="A6607" s="5" t="s">
        <v>734</v>
      </c>
      <c r="B6607" s="0" t="s">
        <v>73</v>
      </c>
      <c r="C6607" s="38" t="n">
        <f aca="false">Sens!$C$6495</f>
        <v>25.2781053077374</v>
      </c>
      <c r="D6607" s="38" t="n">
        <f aca="false">Sens!$D$6495</f>
        <v>69.5686316310026</v>
      </c>
      <c r="E6607" s="38" t="n">
        <f aca="false">Sens!$E$6495</f>
        <v>64.1899206485108</v>
      </c>
      <c r="F6607" s="38" t="n">
        <f aca="false">Sens!$F$6495</f>
        <v>96.2481299895</v>
      </c>
      <c r="G6607" s="38" t="n">
        <f aca="false">Sens!$G$6495</f>
        <v>160.438050638011</v>
      </c>
      <c r="H6607" s="38" t="n">
        <f aca="false">Sens!$H$6495</f>
        <v>198.57136494475</v>
      </c>
      <c r="I6607" s="38" t="n">
        <f aca="false">Sens!$I$6495</f>
        <v>204.6464699105</v>
      </c>
      <c r="J6607" s="38" t="n">
        <f aca="false">Sens!$J$6495</f>
        <v>209.8832381105</v>
      </c>
      <c r="K6607" s="38" t="n">
        <f aca="false">Sens!$K$6495</f>
        <v>215.1200063105</v>
      </c>
      <c r="L6607" s="38" t="n">
        <f aca="false">Sens!$L$6495</f>
        <v>251.7773837105</v>
      </c>
      <c r="M6607" s="38" t="n">
        <f aca="false">Sens!$M$6495</f>
        <v>311.87584476575</v>
      </c>
    </row>
    <row r="6608" customFormat="false" ht="17.15" hidden="false" customHeight="false" outlineLevel="0" collapsed="false">
      <c r="A6608" s="5" t="s">
        <v>735</v>
      </c>
      <c r="B6608" s="0" t="s">
        <v>73</v>
      </c>
      <c r="C6608" s="38" t="n">
        <f aca="false">cx_awso*Sens!$C$6523</f>
        <v>21.0469989286053</v>
      </c>
      <c r="D6608" s="38" t="n">
        <f aca="false">cx_awso*Sens!$D$6523</f>
        <v>24.0042459822698</v>
      </c>
      <c r="E6608" s="38" t="n">
        <f aca="false">cx_awso*Sens!$E$6523</f>
        <v>14.261729404886</v>
      </c>
      <c r="F6608" s="38" t="n">
        <f aca="false">cx_awso*Sens!$F$6523</f>
        <v>15.7190020837331</v>
      </c>
      <c r="G6608" s="38" t="n">
        <f aca="false">Sens!$E$6608+Sens!$F$6608</f>
        <v>29.9807314886191</v>
      </c>
      <c r="H6608" s="38" t="n">
        <f aca="false">cx_awso*Sens!$H$6523</f>
        <v>36.1787121536283</v>
      </c>
      <c r="I6608" s="38" t="n">
        <f aca="false">cx_awso*Sens!$I$6523</f>
        <v>42.1296794430021</v>
      </c>
      <c r="J6608" s="38" t="n">
        <f aca="false">cx_awso*Sens!$J$6523</f>
        <v>47.279781889299</v>
      </c>
      <c r="K6608" s="38" t="n">
        <f aca="false">cx_awso*Sens!$K$6523</f>
        <v>51.0621644404429</v>
      </c>
      <c r="L6608" s="38" t="n">
        <f aca="false">cx_awso*Sens!$L$6523</f>
        <v>55.1471375956783</v>
      </c>
      <c r="M6608" s="38" t="n">
        <f aca="false">cx_awso*Sens!$M$6523</f>
        <v>59.5589086033326</v>
      </c>
    </row>
    <row r="6609" customFormat="false" ht="17.15" hidden="false" customHeight="false" outlineLevel="0" collapsed="false">
      <c r="A6609" s="5" t="s">
        <v>736</v>
      </c>
      <c r="B6609" s="0" t="s">
        <v>73</v>
      </c>
      <c r="C6609" s="38" t="n">
        <f aca="false">Q!$D$46-Sens!$C$6607-Sens!$C$6608</f>
        <v>31.3328957636573</v>
      </c>
      <c r="D6609" s="38" t="n">
        <f aca="false">Q!$E$46-Sens!$D$6607-Sens!$D$6608</f>
        <v>34.7471223867276</v>
      </c>
      <c r="E6609" s="38" t="n">
        <f aca="false">Q!$P$46-Sens!$E$6607-Sens!$E$6608</f>
        <v>17.8583499466032</v>
      </c>
      <c r="F6609" s="38" t="n">
        <f aca="false">cx_rt*Sens!$F$6459</f>
        <v>21.0855744229195</v>
      </c>
      <c r="G6609" s="38" t="n">
        <f aca="false">Sens!$E$6609+Sens!$F$6609</f>
        <v>38.9439243695228</v>
      </c>
      <c r="H6609" s="38" t="n">
        <f aca="false">cx_rt*Sens!$H$6459</f>
        <v>43.1200434029767</v>
      </c>
      <c r="I6609" s="38" t="n">
        <f aca="false">cx_rt*Sens!$I$6459</f>
        <v>47.1583152318763</v>
      </c>
      <c r="J6609" s="38" t="n">
        <f aca="false">cx_rt*Sens!$J$6459</f>
        <v>50.9060281137911</v>
      </c>
      <c r="K6609" s="38" t="n">
        <f aca="false">cx_rt*Sens!$K$6459</f>
        <v>54.2035645673053</v>
      </c>
      <c r="L6609" s="38" t="n">
        <f aca="false">cx_rt*Sens!$L$6459</f>
        <v>57.7318979121519</v>
      </c>
      <c r="M6609" s="38" t="n">
        <f aca="false">cx_rt*Sens!$M$6459</f>
        <v>61.5084196557756</v>
      </c>
    </row>
    <row r="6610" customFormat="false" ht="15" hidden="false" customHeight="false" outlineLevel="0" collapsed="false">
      <c r="A6610" s="3" t="s">
        <v>737</v>
      </c>
      <c r="B6610" s="8" t="s">
        <v>73</v>
      </c>
      <c r="C6610" s="38" t="n">
        <f aca="false">Q!$D$46</f>
        <v>77.658</v>
      </c>
      <c r="D6610" s="38" t="n">
        <f aca="false">Q!$E$46</f>
        <v>128.32</v>
      </c>
      <c r="E6610" s="38" t="n">
        <f aca="false">Q!$P$46</f>
        <v>96.31</v>
      </c>
      <c r="F6610" s="38" t="n">
        <f aca="false">Sens!$F$6607+Sens!$F$6608+Sens!$F$6609</f>
        <v>133.052706496153</v>
      </c>
      <c r="G6610" s="38" t="n">
        <f aca="false">Sens!$E$6610+Sens!$F$6610</f>
        <v>229.362706496153</v>
      </c>
      <c r="H6610" s="38" t="n">
        <f aca="false">Sens!$H$6607+Sens!$H$6608+Sens!$H$6609</f>
        <v>277.870120501355</v>
      </c>
      <c r="I6610" s="38" t="n">
        <f aca="false">Sens!$I$6607+Sens!$I$6608+Sens!$I$6609</f>
        <v>293.934464585378</v>
      </c>
      <c r="J6610" s="38" t="n">
        <f aca="false">Sens!$J$6607+Sens!$J$6608+Sens!$J$6609</f>
        <v>308.06904811359</v>
      </c>
      <c r="K6610" s="38" t="n">
        <f aca="false">Sens!$K$6607+Sens!$K$6608+Sens!$K$6609</f>
        <v>320.385735318248</v>
      </c>
      <c r="L6610" s="38" t="n">
        <f aca="false">Sens!$L$6607+Sens!$L$6608+Sens!$L$6609</f>
        <v>364.65641921833</v>
      </c>
      <c r="M6610" s="38" t="n">
        <f aca="false">Sens!$M$6607+Sens!$M$6608+Sens!$M$6609</f>
        <v>432.943173024858</v>
      </c>
    </row>
    <row r="6611" customFormat="false" ht="17.15" hidden="false" customHeight="false" outlineLevel="0" collapsed="false">
      <c r="A6611" s="5" t="s">
        <v>523</v>
      </c>
      <c r="B6611" s="0" t="s">
        <v>73</v>
      </c>
      <c r="C6611" s="38" t="n">
        <f aca="false">Q!$D$50</f>
        <v>2.043</v>
      </c>
      <c r="D6611" s="38" t="n">
        <f aca="false">Q!$E$50</f>
        <v>1.557</v>
      </c>
      <c r="E6611" s="38" t="n">
        <f aca="false">lease_pr/2</f>
        <v>0.8</v>
      </c>
      <c r="F6611" s="38" t="n">
        <f aca="false">lease_pr/2</f>
        <v>0.8</v>
      </c>
      <c r="G6611" s="38" t="n">
        <f aca="false">Sens!$E$6611+Sens!$F$6611</f>
        <v>1.6</v>
      </c>
      <c r="H6611" s="38" t="n">
        <f aca="false">lease_pr</f>
        <v>1.6</v>
      </c>
      <c r="I6611" s="38" t="n">
        <f aca="false">lease_pr</f>
        <v>1.6</v>
      </c>
      <c r="J6611" s="38" t="n">
        <f aca="false">lease_pr</f>
        <v>1.6</v>
      </c>
      <c r="K6611" s="38" t="n">
        <f aca="false">lease_pr</f>
        <v>1.6</v>
      </c>
      <c r="L6611" s="38" t="n">
        <f aca="false">lease_pr</f>
        <v>1.6</v>
      </c>
      <c r="M6611" s="38" t="n">
        <f aca="false">lease_pr</f>
        <v>1.6</v>
      </c>
      <c r="P6611" s="8" t="s">
        <v>738</v>
      </c>
    </row>
    <row r="6612" customFormat="false" ht="15" hidden="false" customHeight="false" outlineLevel="0" collapsed="false">
      <c r="A6612" s="46" t="s">
        <v>739</v>
      </c>
      <c r="B6612" s="13" t="s">
        <v>73</v>
      </c>
      <c r="C6612" s="47" t="n">
        <f aca="false">Sens!$C$6606-Sens!$C$6610-Sens!$C$6611</f>
        <v>36.176</v>
      </c>
      <c r="D6612" s="47" t="n">
        <f aca="false">Sens!$D$6606-Sens!$D$6610-Sens!$D$6611</f>
        <v>9.63700000000002</v>
      </c>
      <c r="E6612" s="47" t="n">
        <f aca="false">Sens!$E$6606-Sens!$E$6610-Sens!$E$6611</f>
        <v>-25.691</v>
      </c>
      <c r="F6612" s="47" t="n">
        <f aca="false">Sens!$F$6606-Sens!$F$6610-Sens!$F$6611</f>
        <v>-35.7358850873731</v>
      </c>
      <c r="G6612" s="47" t="n">
        <f aca="false">Sens!$G$6606-Sens!$G$6610-Sens!$G$6611</f>
        <v>-61.4268850873731</v>
      </c>
      <c r="H6612" s="47" t="n">
        <f aca="false">Sens!$H$6606-Sens!$H$6610-Sens!$H$6611</f>
        <v>-46.6987055925312</v>
      </c>
      <c r="I6612" s="47" t="n">
        <f aca="false">Sens!$I$6606-Sens!$I$6610-Sens!$I$6611</f>
        <v>-3.97574477606648</v>
      </c>
      <c r="J6612" s="47" t="n">
        <f aca="false">Sens!$J$6606-Sens!$J$6610-Sens!$J$6611</f>
        <v>39.7446339029391</v>
      </c>
      <c r="K6612" s="47" t="n">
        <f aca="false">Sens!$K$6606-Sens!$K$6610-Sens!$K$6611</f>
        <v>82.1731058789073</v>
      </c>
      <c r="L6612" s="47" t="n">
        <f aca="false">Sens!$L$6606-Sens!$L$6610-Sens!$L$6611</f>
        <v>94.1245500219009</v>
      </c>
      <c r="M6612" s="47" t="n">
        <f aca="false">Sens!$M$6606-Sens!$M$6610-Sens!$M$6611</f>
        <v>84.3831817256571</v>
      </c>
      <c r="N6612" s="13"/>
      <c r="O6612" s="13"/>
    </row>
    <row r="6613" customFormat="false" ht="17.15" hidden="false" customHeight="false" outlineLevel="0" collapsed="false">
      <c r="A6613" s="5" t="s">
        <v>740</v>
      </c>
      <c r="B6613" s="0" t="s">
        <v>73</v>
      </c>
      <c r="C6613" s="38" t="n">
        <f aca="false">dps*Sens!$C$6594</f>
        <v>0</v>
      </c>
      <c r="D6613" s="38" t="n">
        <f aca="false">dps*Sens!$D$6594</f>
        <v>0</v>
      </c>
      <c r="E6613" s="38" t="n">
        <f aca="false">dps*Sens!$E$6594</f>
        <v>0</v>
      </c>
      <c r="F6613" s="38" t="n">
        <f aca="false">0</f>
        <v>0</v>
      </c>
      <c r="G6613" s="38" t="n">
        <f aca="false">dps*Sens!$G$6594</f>
        <v>0</v>
      </c>
      <c r="H6613" s="38" t="n">
        <f aca="false">dps*Sens!$H$6594</f>
        <v>0</v>
      </c>
      <c r="I6613" s="38" t="n">
        <f aca="false">dps*Sens!$I$6594</f>
        <v>0</v>
      </c>
      <c r="J6613" s="38" t="n">
        <f aca="false">dps*Sens!$J$6594</f>
        <v>0</v>
      </c>
      <c r="K6613" s="38" t="n">
        <f aca="false">dps*Sens!$K$6594</f>
        <v>0</v>
      </c>
      <c r="L6613" s="38" t="n">
        <f aca="false">dps*Sens!$L$6594</f>
        <v>0</v>
      </c>
      <c r="M6613" s="38" t="n">
        <f aca="false">dps*Sens!$M$6594</f>
        <v>0</v>
      </c>
      <c r="P6613" s="8" t="s">
        <v>741</v>
      </c>
    </row>
    <row r="6614" customFormat="false" ht="17.15" hidden="false" customHeight="false" outlineLevel="0" collapsed="false">
      <c r="A6614" s="5" t="s">
        <v>742</v>
      </c>
      <c r="B6614" s="0" t="s">
        <v>73</v>
      </c>
      <c r="C6614" s="38" t="n">
        <f aca="false">0</f>
        <v>0</v>
      </c>
      <c r="D6614" s="38" t="n">
        <f aca="false">0</f>
        <v>0</v>
      </c>
      <c r="E6614" s="38" t="n">
        <f aca="false">0</f>
        <v>0</v>
      </c>
      <c r="F6614" s="38" t="n">
        <f aca="false">0</f>
        <v>0</v>
      </c>
      <c r="G6614" s="38" t="n">
        <f aca="false">0</f>
        <v>0</v>
      </c>
      <c r="H6614" s="38" t="n">
        <f aca="false">0</f>
        <v>0</v>
      </c>
      <c r="I6614" s="38" t="n">
        <f aca="false">0</f>
        <v>0</v>
      </c>
      <c r="J6614" s="38" t="n">
        <f aca="false">0</f>
        <v>0</v>
      </c>
      <c r="K6614" s="38" t="n">
        <f aca="false">0</f>
        <v>0</v>
      </c>
      <c r="L6614" s="38" t="n">
        <f aca="false">0</f>
        <v>0</v>
      </c>
      <c r="M6614" s="38" t="n">
        <f aca="false">0</f>
        <v>0</v>
      </c>
      <c r="P6614" s="8" t="s">
        <v>743</v>
      </c>
    </row>
    <row r="6615" customFormat="false" ht="15" hidden="false" customHeight="false" outlineLevel="0" collapsed="false">
      <c r="A6615" s="3" t="s">
        <v>744</v>
      </c>
      <c r="B6615" s="8" t="s">
        <v>73</v>
      </c>
      <c r="C6615" s="38" t="n">
        <f aca="false">Sens!$C$6612-Sens!$C$6613</f>
        <v>36.176</v>
      </c>
      <c r="D6615" s="38" t="n">
        <f aca="false">Sens!$D$6612-Sens!$D$6613</f>
        <v>9.63700000000002</v>
      </c>
      <c r="E6615" s="38" t="n">
        <f aca="false">Sens!$E$6612-Sens!$E$6613</f>
        <v>-25.691</v>
      </c>
      <c r="F6615" s="38" t="n">
        <f aca="false">Sens!$F$6612-Sens!$F$6613</f>
        <v>-35.7358850873731</v>
      </c>
      <c r="G6615" s="38" t="n">
        <f aca="false">Sens!$G$6612-Sens!$G$6613</f>
        <v>-61.4268850873731</v>
      </c>
      <c r="H6615" s="38" t="n">
        <f aca="false">Sens!$H$6612-Sens!$H$6613</f>
        <v>-46.6987055925312</v>
      </c>
      <c r="I6615" s="38" t="n">
        <f aca="false">Sens!$I$6612-Sens!$I$6613</f>
        <v>-3.97574477606648</v>
      </c>
      <c r="J6615" s="38" t="n">
        <f aca="false">Sens!$J$6612-Sens!$J$6613</f>
        <v>39.7446339029391</v>
      </c>
      <c r="K6615" s="38" t="n">
        <f aca="false">Sens!$K$6612-Sens!$K$6613</f>
        <v>82.1731058789073</v>
      </c>
      <c r="L6615" s="38" t="n">
        <f aca="false">Sens!$L$6612-Sens!$L$6613</f>
        <v>94.1245500219009</v>
      </c>
      <c r="M6615" s="38" t="n">
        <f aca="false">Sens!$M$6612-Sens!$M$6613</f>
        <v>84.3831817256571</v>
      </c>
    </row>
    <row r="6616" customFormat="false" ht="17.15" hidden="false" customHeight="false" outlineLevel="0" collapsed="false">
      <c r="A6616" s="5" t="s">
        <v>745</v>
      </c>
      <c r="B6616" s="0" t="s">
        <v>73</v>
      </c>
      <c r="E6616" s="38" t="n">
        <f aca="false">Q!$P$53</f>
        <v>39.767</v>
      </c>
      <c r="F6616" s="38" t="n">
        <f aca="false">inv_2h26</f>
        <v>21.3</v>
      </c>
      <c r="G6616" s="38" t="n">
        <f aca="false">Sens!$E$6616+Sens!$F$6616</f>
        <v>61.067</v>
      </c>
      <c r="H6616" s="41" t="n">
        <v>0</v>
      </c>
      <c r="I6616" s="41" t="n">
        <v>0</v>
      </c>
      <c r="J6616" s="41" t="n">
        <v>0</v>
      </c>
      <c r="K6616" s="41" t="n">
        <v>0</v>
      </c>
      <c r="L6616" s="41" t="n">
        <v>0</v>
      </c>
      <c r="M6616" s="41" t="n">
        <v>0</v>
      </c>
    </row>
    <row r="6617" customFormat="false" ht="17.15" hidden="false" customHeight="false" outlineLevel="0" collapsed="false">
      <c r="A6617" s="5" t="s">
        <v>746</v>
      </c>
      <c r="B6617" s="0" t="s">
        <v>73</v>
      </c>
      <c r="F6617" s="38" t="n">
        <f aca="false">iss_2h26</f>
        <v>29.25</v>
      </c>
      <c r="G6617" s="38" t="n">
        <f aca="false">Sens!$F$6617</f>
        <v>29.25</v>
      </c>
      <c r="H6617" s="41" t="n">
        <v>0</v>
      </c>
      <c r="I6617" s="41" t="n">
        <v>0</v>
      </c>
      <c r="J6617" s="41" t="n">
        <v>0</v>
      </c>
      <c r="K6617" s="41" t="n">
        <v>0</v>
      </c>
      <c r="L6617" s="41" t="n">
        <v>0</v>
      </c>
      <c r="M6617" s="41" t="n">
        <v>0</v>
      </c>
    </row>
    <row r="6618" customFormat="false" ht="17.15" hidden="false" customHeight="false" outlineLevel="0" collapsed="false">
      <c r="A6618" s="5" t="s">
        <v>747</v>
      </c>
      <c r="B6618" s="0" t="s">
        <v>73</v>
      </c>
      <c r="F6618" s="38" t="n">
        <f aca="false">cash_q2</f>
        <v>122.988</v>
      </c>
      <c r="G6618" s="38" t="n">
        <f aca="false">cash_q2</f>
        <v>122.988</v>
      </c>
      <c r="H6618" s="38" t="n">
        <f aca="false">Sens!$G$6621</f>
        <v>95.2021149126269</v>
      </c>
      <c r="I6618" s="38" t="n">
        <f aca="false">Sens!$H$6621</f>
        <v>50</v>
      </c>
      <c r="J6618" s="38" t="n">
        <f aca="false">Sens!$I$6621</f>
        <v>50</v>
      </c>
      <c r="K6618" s="38" t="n">
        <f aca="false">Sens!$J$6621</f>
        <v>89.7446339029391</v>
      </c>
      <c r="L6618" s="38" t="n">
        <f aca="false">Sens!$K$6621</f>
        <v>171.917739781846</v>
      </c>
      <c r="M6618" s="38" t="n">
        <f aca="false">Sens!$L$6621</f>
        <v>266.042289803747</v>
      </c>
    </row>
    <row r="6619" customFormat="false" ht="15" hidden="false" customHeight="false" outlineLevel="0" collapsed="false">
      <c r="A6619" s="5" t="s">
        <v>748</v>
      </c>
      <c r="B6619" s="0" t="s">
        <v>73</v>
      </c>
      <c r="F6619" s="38" t="n">
        <f aca="false">Sens!$F$6618+Sens!$F$6615-Sens!$F$6614-Sens!$F$6616+Sens!$F$6617</f>
        <v>95.2021149126269</v>
      </c>
      <c r="H6619" s="38" t="n">
        <f aca="false">Sens!$H$6618+Sens!$H$6615-Sens!$H$6614-Sens!$H$6616+Sens!$H$6617</f>
        <v>48.5034093200957</v>
      </c>
      <c r="I6619" s="38" t="n">
        <f aca="false">Sens!$I$6618+Sens!$I$6615-Sens!$I$6614-Sens!$I$6616+Sens!$I$6617</f>
        <v>46.0242552239335</v>
      </c>
      <c r="J6619" s="38" t="n">
        <f aca="false">Sens!$J$6618+Sens!$J$6615-Sens!$J$6614-Sens!$J$6616+Sens!$J$6617</f>
        <v>89.7446339029391</v>
      </c>
      <c r="K6619" s="38" t="n">
        <f aca="false">Sens!$K$6618+Sens!$K$6615-Sens!$K$6614-Sens!$K$6616+Sens!$K$6617</f>
        <v>171.917739781846</v>
      </c>
      <c r="L6619" s="38" t="n">
        <f aca="false">Sens!$L$6618+Sens!$L$6615-Sens!$L$6614-Sens!$L$6616+Sens!$L$6617</f>
        <v>266.042289803747</v>
      </c>
      <c r="M6619" s="38" t="n">
        <f aca="false">Sens!$M$6618+Sens!$M$6615-Sens!$M$6614-Sens!$M$6616+Sens!$M$6617</f>
        <v>350.425471529404</v>
      </c>
    </row>
    <row r="6620" customFormat="false" ht="17.15" hidden="false" customHeight="false" outlineLevel="0" collapsed="false">
      <c r="A6620" s="5" t="s">
        <v>749</v>
      </c>
      <c r="B6620" s="0" t="s">
        <v>73</v>
      </c>
      <c r="F6620" s="38" t="n">
        <f aca="false">MAX(0,min_cash-Sens!$F$6619)</f>
        <v>0</v>
      </c>
      <c r="G6620" s="38" t="n">
        <f aca="false">Sens!$F$6620</f>
        <v>0</v>
      </c>
      <c r="H6620" s="38" t="n">
        <f aca="false">MAX(0,min_cash-Sens!$H$6619)</f>
        <v>1.49659067990431</v>
      </c>
      <c r="I6620" s="38" t="n">
        <f aca="false">MAX(0,min_cash-Sens!$I$6619)</f>
        <v>3.97574477606648</v>
      </c>
      <c r="J6620" s="38" t="n">
        <f aca="false">MAX(0,min_cash-Sens!$J$6619)</f>
        <v>0</v>
      </c>
      <c r="K6620" s="38" t="n">
        <f aca="false">MAX(0,min_cash-Sens!$K$6619)</f>
        <v>0</v>
      </c>
      <c r="L6620" s="38" t="n">
        <f aca="false">MAX(0,min_cash-Sens!$L$6619)</f>
        <v>0</v>
      </c>
      <c r="M6620" s="38" t="n">
        <f aca="false">MAX(0,min_cash-Sens!$M$6619)</f>
        <v>0</v>
      </c>
      <c r="P6620" s="5" t="s">
        <v>750</v>
      </c>
    </row>
    <row r="6621" customFormat="false" ht="15" hidden="false" customHeight="false" outlineLevel="0" collapsed="false">
      <c r="A6621" s="5" t="s">
        <v>751</v>
      </c>
      <c r="B6621" s="0" t="s">
        <v>73</v>
      </c>
      <c r="D6621" s="38" t="n">
        <f aca="false">Q!$E$61</f>
        <v>123.029</v>
      </c>
      <c r="E6621" s="38" t="n">
        <f aca="false">Q!$M$61</f>
        <v>122.988</v>
      </c>
      <c r="F6621" s="38" t="n">
        <f aca="false">Sens!$F$6619+Sens!$F$6620</f>
        <v>95.2021149126269</v>
      </c>
      <c r="G6621" s="38" t="n">
        <f aca="false">Sens!$F$6621</f>
        <v>95.2021149126269</v>
      </c>
      <c r="H6621" s="38" t="n">
        <f aca="false">Sens!$H$6619+Sens!$H$6620</f>
        <v>50</v>
      </c>
      <c r="I6621" s="38" t="n">
        <f aca="false">Sens!$I$6619+Sens!$I$6620</f>
        <v>50</v>
      </c>
      <c r="J6621" s="38" t="n">
        <f aca="false">Sens!$J$6619+Sens!$J$6620</f>
        <v>89.7446339029391</v>
      </c>
      <c r="K6621" s="38" t="n">
        <f aca="false">Sens!$K$6619+Sens!$K$6620</f>
        <v>171.917739781846</v>
      </c>
      <c r="L6621" s="38" t="n">
        <f aca="false">Sens!$L$6619+Sens!$L$6620</f>
        <v>266.042289803747</v>
      </c>
      <c r="M6621" s="38" t="n">
        <f aca="false">Sens!$M$6619+Sens!$M$6620</f>
        <v>350.425471529404</v>
      </c>
    </row>
    <row r="6622" customFormat="false" ht="15" hidden="false" customHeight="false" outlineLevel="0" collapsed="false">
      <c r="A6622" s="5" t="s">
        <v>752</v>
      </c>
      <c r="B6622" s="0" t="s">
        <v>73</v>
      </c>
      <c r="D6622" s="38" t="n">
        <f aca="false">Q!$E$62</f>
        <v>68.836</v>
      </c>
      <c r="E6622" s="38" t="n">
        <f aca="false">Q!$M$62</f>
        <v>132.995</v>
      </c>
      <c r="F6622" s="38" t="n">
        <f aca="false">debt_q2+Sens!$F$6617+Sens!$F$6620</f>
        <v>162.245</v>
      </c>
      <c r="G6622" s="38" t="n">
        <f aca="false">Sens!$F$6622</f>
        <v>162.245</v>
      </c>
      <c r="H6622" s="38" t="n">
        <f aca="false">Sens!$G$6622+Sens!$H$6620</f>
        <v>163.741590679904</v>
      </c>
      <c r="I6622" s="38" t="n">
        <f aca="false">Sens!$H$6622+Sens!$I$6620</f>
        <v>167.717335455971</v>
      </c>
      <c r="J6622" s="38" t="n">
        <f aca="false">Sens!$I$6622+Sens!$J$6620</f>
        <v>167.717335455971</v>
      </c>
      <c r="K6622" s="38" t="n">
        <f aca="false">Sens!$J$6622+Sens!$K$6620</f>
        <v>167.717335455971</v>
      </c>
      <c r="L6622" s="38" t="n">
        <f aca="false">Sens!$K$6622+Sens!$L$6620</f>
        <v>167.717335455971</v>
      </c>
      <c r="M6622" s="38" t="n">
        <f aca="false">Sens!$L$6622+Sens!$M$6620</f>
        <v>167.717335455971</v>
      </c>
    </row>
    <row r="6623" customFormat="false" ht="15" hidden="false" customHeight="false" outlineLevel="0" collapsed="false">
      <c r="A6623" s="5" t="s">
        <v>753</v>
      </c>
      <c r="B6623" s="0" t="s">
        <v>73</v>
      </c>
      <c r="D6623" s="38" t="n">
        <f aca="false">Sens!$D$6622-Sens!$D$6621</f>
        <v>-54.193</v>
      </c>
      <c r="E6623" s="38" t="n">
        <f aca="false">Sens!$E$6622-Sens!$E$6621</f>
        <v>10.007</v>
      </c>
      <c r="F6623" s="38" t="n">
        <f aca="false">Sens!$F$6622-Sens!$F$6621</f>
        <v>67.0428850873731</v>
      </c>
      <c r="G6623" s="38" t="n">
        <f aca="false">Sens!$G$6622-Sens!$G$6621</f>
        <v>67.0428850873731</v>
      </c>
      <c r="H6623" s="38" t="n">
        <f aca="false">Sens!$H$6622-Sens!$H$6621</f>
        <v>113.741590679904</v>
      </c>
      <c r="I6623" s="38" t="n">
        <f aca="false">Sens!$I$6622-Sens!$I$6621</f>
        <v>117.717335455971</v>
      </c>
      <c r="J6623" s="38" t="n">
        <f aca="false">Sens!$J$6622-Sens!$J$6621</f>
        <v>77.9727015530317</v>
      </c>
      <c r="K6623" s="38" t="n">
        <f aca="false">Sens!$K$6622-Sens!$K$6621</f>
        <v>-4.20040432587558</v>
      </c>
      <c r="L6623" s="38" t="n">
        <f aca="false">Sens!$L$6622-Sens!$L$6621</f>
        <v>-98.3249543477765</v>
      </c>
      <c r="M6623" s="38" t="n">
        <f aca="false">Sens!$M$6622-Sens!$M$6621</f>
        <v>-182.708136073434</v>
      </c>
    </row>
    <row r="6624" customFormat="false" ht="17.15" hidden="false" customHeight="false" outlineLevel="0" collapsed="false">
      <c r="A6624" s="5" t="s">
        <v>754</v>
      </c>
      <c r="B6624" s="0" t="s">
        <v>73</v>
      </c>
      <c r="F6624" s="38" t="n">
        <f aca="false">debt_q2*kd_book*0.5+iss_2h26*kd_new*0.25</f>
        <v>3.24888964316061</v>
      </c>
      <c r="H6624" s="38" t="n">
        <f aca="false">debt_q2*kd_book+(Sens!$G$6622-debt_q2)*kd_new</f>
        <v>7.42354178632123</v>
      </c>
      <c r="I6624" s="38" t="n">
        <f aca="false">debt_q2*kd_book+(Sens!$H$6622-debt_q2)*kd_new</f>
        <v>7.51827597635917</v>
      </c>
      <c r="J6624" s="38" t="n">
        <f aca="false">debt_q2*kd_book+(Sens!$I$6622-debt_q2)*kd_new</f>
        <v>7.76994062068418</v>
      </c>
      <c r="K6624" s="38" t="n">
        <f aca="false">debt_q2*kd_book+(Sens!$J$6622-debt_q2)*kd_new</f>
        <v>7.76994062068418</v>
      </c>
      <c r="L6624" s="38" t="n">
        <f aca="false">debt_q2*kd_book+(Sens!$K$6622-debt_q2)*kd_new</f>
        <v>7.76994062068418</v>
      </c>
      <c r="M6624" s="38" t="n">
        <f aca="false">debt_q2*kd_book+(Sens!$L$6622-debt_q2)*kd_new</f>
        <v>7.76994062068418</v>
      </c>
    </row>
    <row r="6625" customFormat="false" ht="17.15" hidden="false" customHeight="false" outlineLevel="0" collapsed="false">
      <c r="A6625" s="5" t="s">
        <v>755</v>
      </c>
      <c r="B6625" s="0" t="s">
        <v>73</v>
      </c>
      <c r="F6625" s="38" t="n">
        <f aca="false">cash_q2*y_cash*0.5</f>
        <v>2.59</v>
      </c>
      <c r="H6625" s="38" t="n">
        <f aca="false">Sens!$G$6621*y_cash</f>
        <v>4.00971603121774</v>
      </c>
      <c r="I6625" s="38" t="n">
        <f aca="false">Sens!$H$6621*y_cash</f>
        <v>2.10589651022864</v>
      </c>
      <c r="J6625" s="38" t="n">
        <f aca="false">Sens!$I$6621*y_cash</f>
        <v>2.10589651022864</v>
      </c>
      <c r="K6625" s="38" t="n">
        <f aca="false">Sens!$J$6621*y_cash</f>
        <v>3.77985822695893</v>
      </c>
      <c r="L6625" s="38" t="n">
        <f aca="false">Sens!$K$6621*y_cash</f>
        <v>7.24081936505971</v>
      </c>
      <c r="M6625" s="38" t="n">
        <f aca="false">Sens!$L$6621*y_cash</f>
        <v>11.205150593419</v>
      </c>
    </row>
    <row r="6626" customFormat="false" ht="17.15" hidden="false" customHeight="false" outlineLevel="0" collapsed="false">
      <c r="A6626" s="46" t="s">
        <v>756</v>
      </c>
      <c r="B6626" s="13" t="s">
        <v>73</v>
      </c>
      <c r="C6626" s="13"/>
      <c r="D6626" s="13"/>
      <c r="E6626" s="13"/>
      <c r="F6626" s="13"/>
      <c r="G6626" s="47" t="n">
        <f aca="false">SUM(Sens!$G$6615:$K$6615)</f>
        <v>9.81640432587554</v>
      </c>
      <c r="H6626" s="13"/>
      <c r="I6626" s="13"/>
      <c r="J6626" s="13"/>
      <c r="K6626" s="13"/>
      <c r="L6626" s="13"/>
      <c r="M6626" s="13"/>
      <c r="N6626" s="13"/>
      <c r="O6626" s="13"/>
    </row>
    <row r="6627" customFormat="false" ht="17.15" hidden="false" customHeight="false" outlineLevel="0" collapsed="false">
      <c r="A6627" s="0" t="s">
        <v>723</v>
      </c>
      <c r="B6627" s="0" t="s">
        <v>73</v>
      </c>
      <c r="G6627" s="38" t="n">
        <f aca="false">SUM(Sens!$G$6620:$K$6620)</f>
        <v>5.47233545597079</v>
      </c>
    </row>
    <row r="6630" customFormat="false" ht="19.4" hidden="false" customHeight="false" outlineLevel="0" collapsed="false">
      <c r="A6630" s="31" t="s">
        <v>1187</v>
      </c>
    </row>
    <row r="6631" customFormat="false" ht="17.15" hidden="false" customHeight="false" outlineLevel="0" collapsed="false">
      <c r="A6631" s="6" t="s">
        <v>16</v>
      </c>
      <c r="B6631" s="6" t="s">
        <v>17</v>
      </c>
      <c r="C6631" s="20" t="s">
        <v>457</v>
      </c>
      <c r="D6631" s="20" t="s">
        <v>458</v>
      </c>
      <c r="E6631" s="20" t="s">
        <v>540</v>
      </c>
      <c r="F6631" s="20" t="s">
        <v>541</v>
      </c>
      <c r="G6631" s="20" t="s">
        <v>542</v>
      </c>
      <c r="H6631" s="20" t="s">
        <v>543</v>
      </c>
      <c r="I6631" s="20" t="s">
        <v>544</v>
      </c>
      <c r="J6631" s="20" t="s">
        <v>545</v>
      </c>
      <c r="K6631" s="20" t="s">
        <v>546</v>
      </c>
      <c r="L6631" s="20" t="s">
        <v>547</v>
      </c>
      <c r="M6631" s="20" t="s">
        <v>548</v>
      </c>
      <c r="N6631" s="20" t="s">
        <v>549</v>
      </c>
      <c r="O6631" s="20" t="s">
        <v>550</v>
      </c>
      <c r="P6631" s="6" t="s">
        <v>23</v>
      </c>
      <c r="R6631" s="20" t="n">
        <v>2023</v>
      </c>
      <c r="S6631" s="20" t="n">
        <v>2024</v>
      </c>
      <c r="T6631" s="20" t="n">
        <v>2025</v>
      </c>
      <c r="U6631" s="20" t="n">
        <v>2026</v>
      </c>
      <c r="V6631" s="20" t="n">
        <v>2027</v>
      </c>
      <c r="W6631" s="20" t="n">
        <v>2028</v>
      </c>
      <c r="X6631" s="20" t="n">
        <v>2029</v>
      </c>
      <c r="Y6631" s="20" t="n">
        <v>2030</v>
      </c>
      <c r="Z6631" s="20" t="n">
        <v>2031</v>
      </c>
      <c r="AA6631" s="20" t="n">
        <v>2032</v>
      </c>
    </row>
    <row r="6632" customFormat="false" ht="17.15" hidden="false" customHeight="false" outlineLevel="0" collapsed="false">
      <c r="A6632" s="1" t="s">
        <v>851</v>
      </c>
    </row>
    <row r="6633" customFormat="false" ht="17.15" hidden="false" customHeight="false" outlineLevel="0" collapsed="false">
      <c r="A6633" s="0" t="s">
        <v>852</v>
      </c>
      <c r="B6633" s="0" t="s">
        <v>73</v>
      </c>
      <c r="H6633" s="38" t="n">
        <f aca="false">Sens!$H$6569*(1-tax)</f>
        <v>112.093921330558</v>
      </c>
      <c r="I6633" s="38" t="n">
        <f aca="false">Sens!$I$6569*(1-tax)</f>
        <v>132.779045500917</v>
      </c>
      <c r="J6633" s="38" t="n">
        <f aca="false">Sens!$J$6569*(1-tax)</f>
        <v>151.181555485193</v>
      </c>
      <c r="K6633" s="38" t="n">
        <f aca="false">Sens!$K$6569*(1-tax)</f>
        <v>166.036468953087</v>
      </c>
      <c r="L6633" s="38" t="n">
        <f aca="false">Sens!$L$6569*(1-tax)</f>
        <v>182.348678369869</v>
      </c>
      <c r="M6633" s="38" t="n">
        <f aca="false">Sens!$M$6569*(1-tax)</f>
        <v>199.243892383632</v>
      </c>
    </row>
    <row r="6634" customFormat="false" ht="15" hidden="false" customHeight="false" outlineLevel="0" collapsed="false">
      <c r="A6634" s="5" t="s">
        <v>853</v>
      </c>
      <c r="B6634" s="0" t="s">
        <v>73</v>
      </c>
      <c r="H6634" s="38" t="n">
        <f aca="false">Sens!$H$6581</f>
        <v>87.6845218193838</v>
      </c>
      <c r="I6634" s="38" t="n">
        <f aca="false">Sens!$I$6581</f>
        <v>122.294769708638</v>
      </c>
      <c r="J6634" s="38" t="n">
        <f aca="false">Sens!$J$6581</f>
        <v>157.133962573221</v>
      </c>
      <c r="K6634" s="38" t="n">
        <f aca="false">Sens!$K$6581</f>
        <v>191.350633353599</v>
      </c>
      <c r="L6634" s="38" t="n">
        <f aca="false">Sens!$L$6581</f>
        <v>223.909238335354</v>
      </c>
      <c r="M6634" s="38" t="n">
        <f aca="false">Sens!$M$6581</f>
        <v>257.576319867276</v>
      </c>
    </row>
    <row r="6635" customFormat="false" ht="15" hidden="false" customHeight="false" outlineLevel="0" collapsed="false">
      <c r="A6635" s="5" t="s">
        <v>854</v>
      </c>
      <c r="B6635" s="0" t="s">
        <v>73</v>
      </c>
      <c r="H6635" s="38" t="n">
        <f aca="false">Sens!$H$6610</f>
        <v>277.870120501355</v>
      </c>
      <c r="I6635" s="38" t="n">
        <f aca="false">Sens!$I$6610</f>
        <v>293.934464585378</v>
      </c>
      <c r="J6635" s="38" t="n">
        <f aca="false">Sens!$J$6610</f>
        <v>308.06904811359</v>
      </c>
      <c r="K6635" s="38" t="n">
        <f aca="false">Sens!$K$6610</f>
        <v>320.385735318248</v>
      </c>
      <c r="L6635" s="38" t="n">
        <f aca="false">Sens!$L$6610</f>
        <v>364.65641921833</v>
      </c>
      <c r="M6635" s="38" t="n">
        <f aca="false">Sens!$M$6610</f>
        <v>432.943173024858</v>
      </c>
    </row>
    <row r="6636" customFormat="false" ht="15" hidden="false" customHeight="false" outlineLevel="0" collapsed="false">
      <c r="A6636" s="5" t="s">
        <v>855</v>
      </c>
      <c r="B6636" s="0" t="s">
        <v>73</v>
      </c>
      <c r="H6636" s="38" t="n">
        <f aca="false">Sens!$H$6611</f>
        <v>1.6</v>
      </c>
      <c r="I6636" s="38" t="n">
        <f aca="false">Sens!$I$6611</f>
        <v>1.6</v>
      </c>
      <c r="J6636" s="38" t="n">
        <f aca="false">Sens!$J$6611</f>
        <v>1.6</v>
      </c>
      <c r="K6636" s="38" t="n">
        <f aca="false">Sens!$K$6611</f>
        <v>1.6</v>
      </c>
      <c r="L6636" s="38" t="n">
        <f aca="false">Sens!$L$6611</f>
        <v>1.6</v>
      </c>
      <c r="M6636" s="38" t="n">
        <f aca="false">Sens!$M$6611</f>
        <v>1.6</v>
      </c>
    </row>
    <row r="6637" customFormat="false" ht="15" hidden="false" customHeight="false" outlineLevel="0" collapsed="false">
      <c r="A6637" s="5" t="s">
        <v>856</v>
      </c>
      <c r="B6637" s="0" t="s">
        <v>73</v>
      </c>
      <c r="H6637" s="38" t="n">
        <f aca="false">Sens!$H$6605</f>
        <v>11.6369707537667</v>
      </c>
      <c r="I6637" s="38" t="n">
        <f aca="false">Sens!$I$6605</f>
        <v>13.3082502961262</v>
      </c>
      <c r="J6637" s="38" t="n">
        <f aca="false">Sens!$J$6605</f>
        <v>14.8747965344332</v>
      </c>
      <c r="K6637" s="38" t="n">
        <f aca="false">Sens!$K$6605</f>
        <v>16.2687901804328</v>
      </c>
      <c r="L6637" s="38" t="n">
        <f aca="false">Sens!$L$6605</f>
        <v>17.7280727627002</v>
      </c>
      <c r="M6637" s="38" t="n">
        <f aca="false">Sens!$M$6605</f>
        <v>19.2574690270319</v>
      </c>
    </row>
    <row r="6638" customFormat="false" ht="17.15" hidden="false" customHeight="false" outlineLevel="0" collapsed="false">
      <c r="A6638" s="1" t="s">
        <v>857</v>
      </c>
      <c r="B6638" s="8" t="s">
        <v>73</v>
      </c>
      <c r="H6638" s="38" t="n">
        <f aca="false">Sens!$H$6633+Sens!$H$6634-Sens!$H$6635-Sens!$H$6636+Sens!$H$6637</f>
        <v>-68.0547065976468</v>
      </c>
      <c r="I6638" s="38" t="n">
        <f aca="false">Sens!$I$6633+Sens!$I$6634-Sens!$I$6635-Sens!$I$6636+Sens!$I$6637</f>
        <v>-27.1523990796972</v>
      </c>
      <c r="J6638" s="38" t="n">
        <f aca="false">Sens!$J$6633+Sens!$J$6634-Sens!$J$6635-Sens!$J$6636+Sens!$J$6637</f>
        <v>13.5212664792573</v>
      </c>
      <c r="K6638" s="38" t="n">
        <f aca="false">Sens!$K$6633+Sens!$K$6634-Sens!$K$6635-Sens!$K$6636+Sens!$K$6637</f>
        <v>51.6701571688709</v>
      </c>
      <c r="L6638" s="38" t="n">
        <f aca="false">Sens!$L$6633+Sens!$L$6634-Sens!$L$6635-Sens!$L$6636+Sens!$L$6637</f>
        <v>57.7295702495933</v>
      </c>
      <c r="M6638" s="38" t="n">
        <f aca="false">Sens!$M$6633+Sens!$M$6634-Sens!$M$6635-Sens!$M$6636+Sens!$M$6637</f>
        <v>41.534508253082</v>
      </c>
    </row>
    <row r="6639" customFormat="false" ht="15" hidden="false" customHeight="false" outlineLevel="0" collapsed="false">
      <c r="A6639" s="5" t="s">
        <v>858</v>
      </c>
      <c r="B6639" s="0" t="s">
        <v>57</v>
      </c>
      <c r="H6639" s="51" t="n">
        <f aca="false">1/(1+wacc)^(2027-2026-0.5)</f>
        <v>0.942858177653364</v>
      </c>
      <c r="I6639" s="51" t="n">
        <f aca="false">1/(1+wacc)^(2028-2026-0.5)</f>
        <v>0.838183517758688</v>
      </c>
      <c r="J6639" s="51" t="n">
        <f aca="false">1/(1+wacc)^(2029-2026-0.5)</f>
        <v>0.745129677074952</v>
      </c>
      <c r="K6639" s="51" t="n">
        <f aca="false">1/(1+wacc)^(2030-2026-0.5)</f>
        <v>0.662406530186232</v>
      </c>
      <c r="L6639" s="51" t="n">
        <f aca="false">1/(1+wacc)^(2031-2026-0.5)</f>
        <v>0.588867179409399</v>
      </c>
      <c r="M6639" s="51" t="n">
        <f aca="false">1/(1+wacc)^(2032-2026-0.5)</f>
        <v>0.52349205387225</v>
      </c>
    </row>
    <row r="6640" customFormat="false" ht="15" hidden="false" customHeight="false" outlineLevel="0" collapsed="false">
      <c r="A6640" s="5" t="s">
        <v>859</v>
      </c>
      <c r="B6640" s="0" t="s">
        <v>73</v>
      </c>
      <c r="H6640" s="38" t="n">
        <f aca="false">Sens!$H$6638*Sens!$H$6639</f>
        <v>-64.1659366433916</v>
      </c>
      <c r="I6640" s="38" t="n">
        <f aca="false">Sens!$I$6638*Sens!$I$6639</f>
        <v>-22.7586933762084</v>
      </c>
      <c r="J6640" s="38" t="n">
        <f aca="false">Sens!$J$6638*Sens!$J$6639</f>
        <v>10.0750969253334</v>
      </c>
      <c r="K6640" s="38" t="n">
        <f aca="false">Sens!$K$6638*Sens!$K$6639</f>
        <v>34.226649524409</v>
      </c>
      <c r="L6640" s="38" t="n">
        <f aca="false">Sens!$L$6638*Sens!$L$6639</f>
        <v>33.9950492013948</v>
      </c>
      <c r="M6640" s="38" t="n">
        <f aca="false">Sens!$M$6638*Sens!$M$6639</f>
        <v>21.7429850319798</v>
      </c>
    </row>
    <row r="6641" customFormat="false" ht="15" hidden="false" customHeight="false" outlineLevel="0" collapsed="false">
      <c r="A6641" s="5" t="s">
        <v>860</v>
      </c>
      <c r="B6641" s="0" t="s">
        <v>73</v>
      </c>
      <c r="C6641" s="38" t="n">
        <f aca="false">SUM(Sens!$H$6640:$M$6640)</f>
        <v>13.115150663517</v>
      </c>
    </row>
    <row r="6642" customFormat="false" ht="17.15" hidden="false" customHeight="false" outlineLevel="0" collapsed="false">
      <c r="A6642" s="5" t="s">
        <v>861</v>
      </c>
      <c r="B6642" s="0" t="s">
        <v>73</v>
      </c>
      <c r="C6642" s="38" t="n">
        <f aca="false">Sens!$M$6633*(1+tg)*(1-tg/ronic)/(wacc-tg)</f>
        <v>1643.3111431308</v>
      </c>
    </row>
    <row r="6643" customFormat="false" ht="15" hidden="false" customHeight="false" outlineLevel="0" collapsed="false">
      <c r="A6643" s="5" t="s">
        <v>862</v>
      </c>
      <c r="B6643" s="0" t="s">
        <v>73</v>
      </c>
      <c r="C6643" s="38" t="n">
        <f aca="false">Sens!$C$6642/(1+wacc)^6</f>
        <v>811.103482778908</v>
      </c>
    </row>
    <row r="6644" customFormat="false" ht="17.15" hidden="false" customHeight="false" outlineLevel="0" collapsed="false">
      <c r="A6644" s="5" t="s">
        <v>863</v>
      </c>
      <c r="B6644" s="0" t="s">
        <v>73</v>
      </c>
      <c r="C6644" s="38" t="n">
        <f aca="false">Sens!$C$6641+Sens!$C$6643</f>
        <v>824.218633442425</v>
      </c>
    </row>
    <row r="6645" customFormat="false" ht="17.15" hidden="false" customHeight="false" outlineLevel="0" collapsed="false">
      <c r="A6645" s="5" t="s">
        <v>864</v>
      </c>
      <c r="B6645" s="0" t="s">
        <v>52</v>
      </c>
      <c r="C6645" s="12" t="n">
        <f aca="false">Sens!$C$6643/Sens!$C$6644</f>
        <v>0.984087777039521</v>
      </c>
    </row>
    <row r="6646" customFormat="false" ht="17.15" hidden="false" customHeight="false" outlineLevel="0" collapsed="false">
      <c r="A6646" s="5" t="s">
        <v>865</v>
      </c>
      <c r="B6646" s="0" t="s">
        <v>73</v>
      </c>
      <c r="C6646" s="38" t="n">
        <f aca="false">Sens!$G$6623</f>
        <v>67.0428850873731</v>
      </c>
    </row>
    <row r="6647" customFormat="false" ht="17.15" hidden="false" customHeight="false" outlineLevel="0" collapsed="false">
      <c r="A6647" s="5" t="s">
        <v>866</v>
      </c>
      <c r="B6647" s="0" t="s">
        <v>73</v>
      </c>
      <c r="C6647" s="38" t="n">
        <f aca="false">(ant_val*ant_sh_hi+oai_val*oai_sh)*(1-liq_disc)</f>
        <v>202.104</v>
      </c>
    </row>
    <row r="6648" customFormat="false" ht="15" hidden="false" customHeight="false" outlineLevel="0" collapsed="false">
      <c r="A6648" s="5" t="s">
        <v>867</v>
      </c>
      <c r="B6648" s="0" t="s">
        <v>73</v>
      </c>
      <c r="C6648" s="38" t="n">
        <f aca="false">Sens!$C$6644-Sens!$C$6646+Sens!$C$6647</f>
        <v>959.279748355051</v>
      </c>
    </row>
    <row r="6649" customFormat="false" ht="17.15" hidden="false" customHeight="false" outlineLevel="0" collapsed="false">
      <c r="A6649" s="5" t="s">
        <v>868</v>
      </c>
      <c r="B6649" s="0" t="s">
        <v>27</v>
      </c>
      <c r="C6649" s="30" t="n">
        <f aca="false">Sens!$C$6648/sh_val</f>
        <v>86.967583003988</v>
      </c>
    </row>
    <row r="6650" customFormat="false" ht="17.15" hidden="false" customHeight="false" outlineLevel="0" collapsed="false">
      <c r="A6650" s="1" t="s">
        <v>869</v>
      </c>
      <c r="B6650" s="8" t="s">
        <v>27</v>
      </c>
      <c r="C6650" s="30" t="n">
        <f aca="false">Sens!$C$6649*(1+ke)^tp_yf</f>
        <v>96.0509052901551</v>
      </c>
    </row>
    <row r="6651" customFormat="false" ht="17.15" hidden="false" customHeight="false" outlineLevel="0" collapsed="false">
      <c r="A6651" s="3" t="s">
        <v>870</v>
      </c>
    </row>
    <row r="6652" customFormat="false" ht="17.15" hidden="false" customHeight="false" outlineLevel="0" collapsed="false">
      <c r="A6652" s="5" t="s">
        <v>871</v>
      </c>
      <c r="B6652" s="0" t="s">
        <v>73</v>
      </c>
      <c r="C6652" s="38" t="n">
        <f aca="false">0.25*Sens!$H$6582+0.75*Sens!$I$6582</f>
        <v>57.5541093268329</v>
      </c>
    </row>
    <row r="6653" customFormat="false" ht="15" hidden="false" customHeight="false" outlineLevel="0" collapsed="false">
      <c r="A6653" s="5" t="s">
        <v>872</v>
      </c>
      <c r="B6653" s="0" t="s">
        <v>57</v>
      </c>
      <c r="C6653" s="30" t="n">
        <f aca="false">m_ads*m_x</f>
        <v>9.11</v>
      </c>
    </row>
    <row r="6654" customFormat="false" ht="17.15" hidden="false" customHeight="false" outlineLevel="0" collapsed="false">
      <c r="A6654" s="5" t="s">
        <v>873</v>
      </c>
      <c r="B6654" s="0" t="s">
        <v>73</v>
      </c>
      <c r="C6654" s="38" t="n">
        <f aca="false">Sens!$C$6652*Sens!$C$6653</f>
        <v>524.317935967448</v>
      </c>
    </row>
    <row r="6655" customFormat="false" ht="17.15" hidden="false" customHeight="false" outlineLevel="0" collapsed="false">
      <c r="A6655" s="5" t="s">
        <v>874</v>
      </c>
      <c r="B6655" s="0" t="s">
        <v>73</v>
      </c>
      <c r="C6655" s="38" t="n">
        <f aca="false">0.25*Sens!$H$6583+0.75*Sens!$I$6583</f>
        <v>30.6290803533085</v>
      </c>
    </row>
    <row r="6656" customFormat="false" ht="15" hidden="false" customHeight="false" outlineLevel="0" collapsed="false">
      <c r="A6656" s="5" t="s">
        <v>875</v>
      </c>
      <c r="B6656" s="0" t="s">
        <v>57</v>
      </c>
      <c r="C6656" s="30" t="n">
        <f aca="false">m_retail*m_x</f>
        <v>17.72</v>
      </c>
    </row>
    <row r="6657" customFormat="false" ht="17.15" hidden="false" customHeight="false" outlineLevel="0" collapsed="false">
      <c r="A6657" s="5" t="s">
        <v>876</v>
      </c>
      <c r="B6657" s="0" t="s">
        <v>73</v>
      </c>
      <c r="C6657" s="38" t="n">
        <f aca="false">Sens!$C$6655*Sens!$C$6656</f>
        <v>542.747303860627</v>
      </c>
    </row>
    <row r="6658" customFormat="false" ht="17.15" hidden="false" customHeight="false" outlineLevel="0" collapsed="false">
      <c r="A6658" s="0" t="s">
        <v>877</v>
      </c>
      <c r="B6658" s="0" t="s">
        <v>73</v>
      </c>
      <c r="C6658" s="38" t="n">
        <f aca="false">0.25*Sens!$H$6584+0.75*Sens!$I$6584</f>
        <v>107.575398943098</v>
      </c>
    </row>
    <row r="6659" customFormat="false" ht="17.15" hidden="false" customHeight="false" outlineLevel="0" collapsed="false">
      <c r="A6659" s="0" t="s">
        <v>878</v>
      </c>
      <c r="B6659" s="0" t="s">
        <v>57</v>
      </c>
      <c r="C6659" s="30" t="n">
        <f aca="false">m_cloud*m_x</f>
        <v>13.82</v>
      </c>
    </row>
    <row r="6660" customFormat="false" ht="17.15" hidden="false" customHeight="false" outlineLevel="0" collapsed="false">
      <c r="A6660" s="0" t="s">
        <v>879</v>
      </c>
      <c r="B6660" s="0" t="s">
        <v>73</v>
      </c>
      <c r="C6660" s="38" t="n">
        <f aca="false">Sens!$C$6658*Sens!$C$6659</f>
        <v>1486.69201339361</v>
      </c>
    </row>
    <row r="6661" customFormat="false" ht="17.15" hidden="false" customHeight="false" outlineLevel="0" collapsed="false">
      <c r="A6661" s="0" t="s">
        <v>880</v>
      </c>
      <c r="B6661" s="0" t="s">
        <v>73</v>
      </c>
      <c r="C6661" s="38" t="n">
        <f aca="false">0.25*Sens!$H$6585+0.75*Sens!$I$6585</f>
        <v>72.2947701247864</v>
      </c>
    </row>
    <row r="6662" customFormat="false" ht="17.15" hidden="false" customHeight="false" outlineLevel="0" collapsed="false">
      <c r="A6662" s="0" t="s">
        <v>881</v>
      </c>
      <c r="B6662" s="0" t="s">
        <v>57</v>
      </c>
      <c r="C6662" s="30" t="n">
        <f aca="false">m_ai</f>
        <v>6</v>
      </c>
    </row>
    <row r="6663" customFormat="false" ht="17.15" hidden="false" customHeight="false" outlineLevel="0" collapsed="false">
      <c r="A6663" s="0" t="s">
        <v>882</v>
      </c>
      <c r="B6663" s="0" t="s">
        <v>73</v>
      </c>
      <c r="C6663" s="38" t="n">
        <f aca="false">Sens!$C$6661*Sens!$C$6662</f>
        <v>433.768620748718</v>
      </c>
    </row>
    <row r="6664" customFormat="false" ht="17.15" hidden="false" customHeight="false" outlineLevel="0" collapsed="false">
      <c r="A6664" s="5" t="s">
        <v>883</v>
      </c>
      <c r="B6664" s="0" t="s">
        <v>73</v>
      </c>
      <c r="C6664" s="38" t="n">
        <f aca="false">Sens!$C$6654+Sens!$C$6657+Sens!$C$6660+Sens!$C$6663</f>
        <v>2987.5258739704</v>
      </c>
    </row>
    <row r="6665" customFormat="false" ht="17.15" hidden="false" customHeight="false" outlineLevel="0" collapsed="false">
      <c r="A6665" s="5" t="s">
        <v>884</v>
      </c>
      <c r="B6665" s="0" t="s">
        <v>73</v>
      </c>
      <c r="C6665" s="38" t="n">
        <f aca="false">Sens!$H$6623</f>
        <v>113.741590679904</v>
      </c>
    </row>
    <row r="6666" customFormat="false" ht="15" hidden="false" customHeight="false" outlineLevel="0" collapsed="false">
      <c r="A6666" s="5" t="s">
        <v>885</v>
      </c>
      <c r="B6666" s="0" t="s">
        <v>73</v>
      </c>
      <c r="C6666" s="38" t="n">
        <f aca="false">Sens!$C$6664-Sens!$C$6665+Sens!$C$6647</f>
        <v>3075.8882832905</v>
      </c>
    </row>
    <row r="6667" customFormat="false" ht="15" hidden="false" customHeight="false" outlineLevel="0" collapsed="false">
      <c r="A6667" s="3" t="s">
        <v>886</v>
      </c>
      <c r="B6667" s="8" t="s">
        <v>27</v>
      </c>
      <c r="C6667" s="30" t="n">
        <f aca="false">Sens!$C$6666/sh_val</f>
        <v>278.857726379367</v>
      </c>
    </row>
    <row r="6668" customFormat="false" ht="17.15" hidden="false" customHeight="false" outlineLevel="0" collapsed="false">
      <c r="A6668" s="46" t="s">
        <v>887</v>
      </c>
      <c r="B6668" s="13" t="s">
        <v>27</v>
      </c>
      <c r="C6668" s="43" t="n">
        <f aca="false">w_dcf*Sens!$C$6650+(1-w_dcf)*Sens!$C$6667</f>
        <v>187.454315834761</v>
      </c>
      <c r="D6668" s="13"/>
      <c r="E6668" s="13"/>
      <c r="F6668" s="13"/>
      <c r="G6668" s="13"/>
      <c r="H6668" s="13"/>
      <c r="I6668" s="13"/>
      <c r="J6668" s="13"/>
      <c r="K6668" s="13"/>
      <c r="L6668" s="13"/>
      <c r="M6668" s="13"/>
      <c r="N6668" s="13"/>
      <c r="O6668" s="13"/>
    </row>
    <row r="6669" customFormat="false" ht="17.15" hidden="false" customHeight="false" outlineLevel="0" collapsed="false">
      <c r="A6669" s="5" t="s">
        <v>888</v>
      </c>
      <c r="B6669" s="0" t="s">
        <v>27</v>
      </c>
      <c r="C6669" s="30" t="n">
        <f aca="false">0.45*Sens!$C$6650+0.55*Sens!$C$6667</f>
        <v>196.594656889222</v>
      </c>
    </row>
    <row r="6672" customFormat="false" ht="19.4" hidden="false" customHeight="false" outlineLevel="0" collapsed="false">
      <c r="A6672" s="31" t="s">
        <v>1188</v>
      </c>
    </row>
    <row r="6673" customFormat="false" ht="17.15" hidden="false" customHeight="false" outlineLevel="0" collapsed="false">
      <c r="A6673" s="6" t="s">
        <v>16</v>
      </c>
      <c r="B6673" s="6" t="s">
        <v>17</v>
      </c>
      <c r="C6673" s="20" t="s">
        <v>457</v>
      </c>
      <c r="D6673" s="20" t="s">
        <v>458</v>
      </c>
      <c r="E6673" s="20" t="s">
        <v>540</v>
      </c>
      <c r="F6673" s="20" t="s">
        <v>541</v>
      </c>
      <c r="G6673" s="20" t="s">
        <v>542</v>
      </c>
      <c r="H6673" s="20" t="s">
        <v>543</v>
      </c>
      <c r="I6673" s="20" t="s">
        <v>544</v>
      </c>
      <c r="J6673" s="20" t="s">
        <v>545</v>
      </c>
      <c r="K6673" s="20" t="s">
        <v>546</v>
      </c>
      <c r="L6673" s="20" t="s">
        <v>547</v>
      </c>
      <c r="M6673" s="20" t="s">
        <v>548</v>
      </c>
      <c r="N6673" s="20" t="s">
        <v>549</v>
      </c>
      <c r="O6673" s="20" t="s">
        <v>550</v>
      </c>
      <c r="P6673" s="6" t="s">
        <v>23</v>
      </c>
      <c r="R6673" s="20" t="n">
        <v>2023</v>
      </c>
      <c r="S6673" s="20" t="n">
        <v>2024</v>
      </c>
      <c r="T6673" s="20" t="n">
        <v>2025</v>
      </c>
      <c r="U6673" s="20" t="n">
        <v>2026</v>
      </c>
      <c r="V6673" s="20" t="n">
        <v>2027</v>
      </c>
      <c r="W6673" s="20" t="n">
        <v>2028</v>
      </c>
      <c r="X6673" s="20" t="n">
        <v>2029</v>
      </c>
      <c r="Y6673" s="20" t="n">
        <v>2030</v>
      </c>
      <c r="Z6673" s="20" t="n">
        <v>2031</v>
      </c>
      <c r="AA6673" s="20" t="n">
        <v>2032</v>
      </c>
    </row>
    <row r="6674" customFormat="false" ht="17.15" hidden="false" customHeight="false" outlineLevel="0" collapsed="false">
      <c r="A6674" s="1" t="s">
        <v>620</v>
      </c>
    </row>
    <row r="6675" customFormat="false" ht="17.15" hidden="false" customHeight="false" outlineLevel="0" collapsed="false">
      <c r="A6675" s="0" t="s">
        <v>479</v>
      </c>
      <c r="B6675" s="0" t="s">
        <v>73</v>
      </c>
      <c r="C6675" s="38" t="n">
        <f aca="false">Q!$D$10</f>
        <v>247.029</v>
      </c>
      <c r="D6675" s="38" t="n">
        <f aca="false">Q!$E$10</f>
        <v>269.287</v>
      </c>
      <c r="E6675" s="38" t="n">
        <f aca="false">Q!$P$10</f>
        <v>134.686</v>
      </c>
      <c r="F6675" s="38" t="n">
        <f aca="false">Sens!$O$6675*(1+Sens!$F$6676)-pd_amt*Q!$O$10/(Q!$O$10+Q!$O$12)</f>
        <v>160.728085930082</v>
      </c>
      <c r="G6675" s="38" t="n">
        <f aca="false">Sens!$E$6675+Sens!$F$6675</f>
        <v>295.414085930082</v>
      </c>
      <c r="H6675" s="38" t="n">
        <f aca="false">Sens!$G$6675*(1+Sens!$H$6676)</f>
        <v>320.828163943375</v>
      </c>
      <c r="I6675" s="38" t="n">
        <f aca="false">Sens!$H$6675*(1+Sens!$I$6676)</f>
        <v>344.575578072228</v>
      </c>
      <c r="J6675" s="38" t="n">
        <f aca="false">Sens!$I$6675*(1+Sens!$J$6676)</f>
        <v>365.942555779681</v>
      </c>
      <c r="K6675" s="38" t="n">
        <f aca="false">Sens!$J$6675*(1+Sens!$K$6676)</f>
        <v>384.239683568665</v>
      </c>
      <c r="L6675" s="38" t="n">
        <f aca="false">Sens!$K$6675*(1+Sens!$L$6676)</f>
        <v>403.451667747098</v>
      </c>
      <c r="M6675" s="38" t="n">
        <f aca="false">Sens!$L$6675*(1+Sens!$M$6676)</f>
        <v>423.624251134453</v>
      </c>
      <c r="N6675" s="38" t="n">
        <f aca="false">Q!$N$10</f>
        <v>118.892</v>
      </c>
      <c r="O6675" s="38" t="n">
        <f aca="false">Q!$O$10</f>
        <v>150.395</v>
      </c>
      <c r="P6675" s="8" t="s">
        <v>621</v>
      </c>
    </row>
    <row r="6676" customFormat="false" ht="17.15" hidden="false" customHeight="false" outlineLevel="0" collapsed="false">
      <c r="A6676" s="0" t="s">
        <v>622</v>
      </c>
      <c r="B6676" s="0" t="s">
        <v>52</v>
      </c>
      <c r="E6676" s="12" t="n">
        <f aca="false">Sens!$E$6675/Sens!$N$6675-1</f>
        <v>0.132843252699929</v>
      </c>
      <c r="F6676" s="12" t="n">
        <f aca="false">Sens!$O$6675/(Q!$F$10+Q!$G$10)-1</f>
        <v>0.0980382135842941</v>
      </c>
      <c r="G6676" s="12" t="n">
        <f aca="false">Sens!$G$6675/Sens!$D$6675-1</f>
        <v>0.0970231980380869</v>
      </c>
      <c r="H6676" s="12" t="n">
        <f aca="false">Sens!$F$6676+(g_os-Sens!$F$6676)*1/4</f>
        <v>0.0860286601882206</v>
      </c>
      <c r="I6676" s="12" t="n">
        <f aca="false">Sens!$F$6676+(g_os-Sens!$F$6676)*2/4</f>
        <v>0.074019106792147</v>
      </c>
      <c r="J6676" s="12" t="n">
        <f aca="false">Sens!$F$6676+(g_os-Sens!$F$6676)*3/4</f>
        <v>0.0620095533960735</v>
      </c>
      <c r="K6676" s="12" t="n">
        <f aca="false">Sens!$F$6676+(g_os-Sens!$F$6676)*4/4</f>
        <v>0.05</v>
      </c>
      <c r="L6676" s="12" t="n">
        <f aca="false">g_os</f>
        <v>0.05</v>
      </c>
      <c r="M6676" s="12" t="n">
        <f aca="false">g_os</f>
        <v>0.05</v>
      </c>
      <c r="P6676" s="8" t="s">
        <v>623</v>
      </c>
    </row>
    <row r="6677" customFormat="false" ht="17.15" hidden="false" customHeight="false" outlineLevel="0" collapsed="false">
      <c r="A6677" s="0" t="s">
        <v>480</v>
      </c>
      <c r="B6677" s="0" t="s">
        <v>73</v>
      </c>
      <c r="C6677" s="38" t="n">
        <f aca="false">Q!$D$11</f>
        <v>21.215</v>
      </c>
      <c r="D6677" s="38" t="n">
        <f aca="false">Q!$E$11</f>
        <v>22.561</v>
      </c>
      <c r="E6677" s="38" t="n">
        <f aca="false">Q!$P$11</f>
        <v>11.579</v>
      </c>
      <c r="F6677" s="38" t="n">
        <f aca="false">Sens!$O$6677*(1+Sens!$F$6678)</f>
        <v>12.0952613121125</v>
      </c>
      <c r="G6677" s="38" t="n">
        <f aca="false">Sens!$E$6677+Sens!$F$6677</f>
        <v>23.6742613121125</v>
      </c>
      <c r="H6677" s="38" t="n">
        <f aca="false">Sens!$G$6677*(1+Sens!$H$6678)</f>
        <v>24.8803243963206</v>
      </c>
      <c r="I6677" s="38" t="n">
        <f aca="false">Sens!$H$6677*(1+Sens!$I$6678)</f>
        <v>25.9741308664154</v>
      </c>
      <c r="J6677" s="38" t="n">
        <f aca="false">Sens!$I$6677*(1+Sens!$J$6678)</f>
        <v>26.9346894124267</v>
      </c>
      <c r="K6677" s="38" t="n">
        <f aca="false">Sens!$J$6677*(1+Sens!$K$6678)</f>
        <v>27.7427300947995</v>
      </c>
      <c r="L6677" s="38" t="n">
        <f aca="false">Sens!$K$6677*(1+Sens!$L$6678)</f>
        <v>28.5750119976435</v>
      </c>
      <c r="M6677" s="38" t="n">
        <f aca="false">Sens!$L$6677*(1+Sens!$M$6678)</f>
        <v>29.4322623575728</v>
      </c>
      <c r="N6677" s="38" t="n">
        <f aca="false">Q!$N$11</f>
        <v>11.128</v>
      </c>
      <c r="O6677" s="38" t="n">
        <f aca="false">Q!$O$11</f>
        <v>11.433</v>
      </c>
      <c r="P6677" s="8" t="s">
        <v>621</v>
      </c>
    </row>
    <row r="6678" customFormat="false" ht="17.15" hidden="false" customHeight="false" outlineLevel="0" collapsed="false">
      <c r="A6678" s="0" t="s">
        <v>624</v>
      </c>
      <c r="B6678" s="0" t="s">
        <v>52</v>
      </c>
      <c r="E6678" s="12" t="n">
        <f aca="false">Sens!$E$6677/Sens!$N$6677-1</f>
        <v>0.0405283968368082</v>
      </c>
      <c r="F6678" s="12" t="n">
        <f aca="false">Sens!$O$6677/(Q!$F$11+Q!$G$11)-1</f>
        <v>0.0579254187100955</v>
      </c>
      <c r="G6678" s="12" t="n">
        <f aca="false">Sens!$G$6677/Sens!$D$6677-1</f>
        <v>0.0493445021103904</v>
      </c>
      <c r="H6678" s="12" t="n">
        <f aca="false">Sens!$F$6678+(g_ps-Sens!$F$6678)*1/4</f>
        <v>0.0509440640325716</v>
      </c>
      <c r="I6678" s="12" t="n">
        <f aca="false">Sens!$F$6678+(g_ps-Sens!$F$6678)*2/4</f>
        <v>0.0439627093550477</v>
      </c>
      <c r="J6678" s="12" t="n">
        <f aca="false">Sens!$F$6678+(g_ps-Sens!$F$6678)*3/4</f>
        <v>0.0369813546775239</v>
      </c>
      <c r="K6678" s="12" t="n">
        <f aca="false">Sens!$F$6678+(g_ps-Sens!$F$6678)*4/4</f>
        <v>0.03</v>
      </c>
      <c r="L6678" s="12" t="n">
        <f aca="false">g_ps</f>
        <v>0.03</v>
      </c>
      <c r="M6678" s="12" t="n">
        <f aca="false">g_ps</f>
        <v>0.03</v>
      </c>
      <c r="P6678" s="8" t="s">
        <v>625</v>
      </c>
    </row>
    <row r="6679" customFormat="false" ht="17.15" hidden="false" customHeight="false" outlineLevel="0" collapsed="false">
      <c r="A6679" s="0" t="s">
        <v>481</v>
      </c>
      <c r="B6679" s="0" t="s">
        <v>73</v>
      </c>
      <c r="C6679" s="38" t="n">
        <f aca="false">Q!$D$12</f>
        <v>156.146</v>
      </c>
      <c r="D6679" s="38" t="n">
        <f aca="false">Q!$E$12</f>
        <v>172.162</v>
      </c>
      <c r="E6679" s="38" t="n">
        <f aca="false">Q!$P$12</f>
        <v>88.358</v>
      </c>
      <c r="F6679" s="38" t="n">
        <f aca="false">Sens!$O$6679*(1+Sens!$F$6680)-pd_amt*Q!$O$12/(Q!$O$10+Q!$O$12)</f>
        <v>103.62028337149</v>
      </c>
      <c r="G6679" s="38" t="n">
        <f aca="false">Sens!$E$6679+Sens!$F$6679</f>
        <v>191.97828337149</v>
      </c>
      <c r="H6679" s="38" t="n">
        <f aca="false">Sens!$G$6679*(1+Sens!$H$6680)</f>
        <v>212.128608444755</v>
      </c>
      <c r="I6679" s="38" t="n">
        <f aca="false">Sens!$H$6679*(1+Sens!$I$6680)</f>
        <v>231.92183134134</v>
      </c>
      <c r="J6679" s="38" t="n">
        <f aca="false">Sens!$I$6679*(1+Sens!$J$6680)</f>
        <v>250.859136487863</v>
      </c>
      <c r="K6679" s="38" t="n">
        <f aca="false">Sens!$J$6679*(1+Sens!$K$6680)</f>
        <v>268.419276042014</v>
      </c>
      <c r="L6679" s="38" t="n">
        <f aca="false">Sens!$K$6679*(1+Sens!$L$6680)</f>
        <v>287.208625364954</v>
      </c>
      <c r="M6679" s="38" t="n">
        <f aca="false">Sens!$L$6679*(1+Sens!$M$6680)</f>
        <v>307.313229140501</v>
      </c>
      <c r="N6679" s="38" t="n">
        <f aca="false">Q!$N$12</f>
        <v>76.86</v>
      </c>
      <c r="O6679" s="38" t="n">
        <f aca="false">Q!$O$12</f>
        <v>95.302</v>
      </c>
      <c r="P6679" s="8" t="s">
        <v>621</v>
      </c>
    </row>
    <row r="6680" customFormat="false" ht="17.15" hidden="false" customHeight="false" outlineLevel="0" collapsed="false">
      <c r="A6680" s="0" t="s">
        <v>626</v>
      </c>
      <c r="B6680" s="0" t="s">
        <v>52</v>
      </c>
      <c r="E6680" s="12" t="n">
        <f aca="false">Sens!$E$6679/Sens!$N$6679-1</f>
        <v>0.1495966692688</v>
      </c>
      <c r="F6680" s="12" t="n">
        <f aca="false">Sens!$O$6679/(Q!$F$12+Q!$G$12)-1</f>
        <v>0.11661530890813</v>
      </c>
      <c r="G6680" s="12" t="n">
        <f aca="false">Sens!$G$6679/Sens!$D$6679-1</f>
        <v>0.115102539303041</v>
      </c>
      <c r="H6680" s="12" t="n">
        <f aca="false">Sens!$F$6680+(g_sp-Sens!$F$6680)*1/4</f>
        <v>0.104961481681098</v>
      </c>
      <c r="I6680" s="12" t="n">
        <f aca="false">Sens!$F$6680+(g_sp-Sens!$F$6680)*2/4</f>
        <v>0.0933076544540651</v>
      </c>
      <c r="J6680" s="12" t="n">
        <f aca="false">Sens!$F$6680+(g_sp-Sens!$F$6680)*3/4</f>
        <v>0.0816538272270325</v>
      </c>
      <c r="K6680" s="12" t="n">
        <f aca="false">Sens!$F$6680+(g_sp-Sens!$F$6680)*4/4</f>
        <v>0.07</v>
      </c>
      <c r="L6680" s="12" t="n">
        <f aca="false">g_sp</f>
        <v>0.07</v>
      </c>
      <c r="M6680" s="12" t="n">
        <f aca="false">g_sp</f>
        <v>0.07</v>
      </c>
      <c r="P6680" s="8" t="s">
        <v>627</v>
      </c>
    </row>
    <row r="6681" customFormat="false" ht="17.15" hidden="false" customHeight="false" outlineLevel="0" collapsed="false">
      <c r="A6681" s="0" t="s">
        <v>482</v>
      </c>
      <c r="B6681" s="0" t="s">
        <v>73</v>
      </c>
      <c r="C6681" s="38" t="n">
        <f aca="false">Q!$D$13</f>
        <v>56.214</v>
      </c>
      <c r="D6681" s="38" t="n">
        <f aca="false">Q!$E$13</f>
        <v>68.635</v>
      </c>
      <c r="E6681" s="38" t="n">
        <f aca="false">Q!$P$13</f>
        <v>37.052</v>
      </c>
      <c r="F6681" s="38" t="n">
        <f aca="false">Sens!$O$6681*(1+Sens!$F$6682)</f>
        <v>48.1533381827382</v>
      </c>
      <c r="G6681" s="38" t="n">
        <f aca="false">Sens!$E$6681+Sens!$F$6681</f>
        <v>85.2053381827382</v>
      </c>
      <c r="H6681" s="38" t="n">
        <f aca="false">Sens!$G$6681*(1+Sens!$H$6682)</f>
        <v>102.29336185894</v>
      </c>
      <c r="I6681" s="38" t="n">
        <f aca="false">Sens!$H$6681*(1+Sens!$I$6682)</f>
        <v>119.379837585241</v>
      </c>
      <c r="J6681" s="38" t="n">
        <f aca="false">Sens!$I$6681*(1+Sens!$J$6682)</f>
        <v>135.319079048844</v>
      </c>
      <c r="K6681" s="38" t="n">
        <f aca="false">Sens!$J$6681*(1+Sens!$K$6682)</f>
        <v>148.850986953729</v>
      </c>
      <c r="L6681" s="38" t="n">
        <f aca="false">Sens!$K$6681*(1+Sens!$L$6682)</f>
        <v>163.736085649102</v>
      </c>
      <c r="M6681" s="38" t="n">
        <f aca="false">Sens!$L$6681*(1+Sens!$M$6682)</f>
        <v>180.109694214012</v>
      </c>
      <c r="N6681" s="38" t="n">
        <f aca="false">Q!$N$13</f>
        <v>29.615</v>
      </c>
      <c r="O6681" s="38" t="n">
        <f aca="false">Q!$O$13</f>
        <v>39.02</v>
      </c>
      <c r="P6681" s="8" t="s">
        <v>621</v>
      </c>
    </row>
    <row r="6682" customFormat="false" ht="17.15" hidden="false" customHeight="false" outlineLevel="0" collapsed="false">
      <c r="A6682" s="0" t="s">
        <v>628</v>
      </c>
      <c r="B6682" s="0" t="s">
        <v>52</v>
      </c>
      <c r="E6682" s="12" t="n">
        <f aca="false">Sens!$E$6681/Sens!$N$6681-1</f>
        <v>0.25112274185379</v>
      </c>
      <c r="F6682" s="12" t="n">
        <f aca="false">Sens!$O$6681/(Q!$F$13+Q!$G$13)-1</f>
        <v>0.234068123596572</v>
      </c>
      <c r="G6682" s="12" t="n">
        <f aca="false">Sens!$G$6681/Sens!$D$6681-1</f>
        <v>0.241426942270536</v>
      </c>
      <c r="H6682" s="12" t="n">
        <f aca="false">Sens!$F$6682+(g_ad-Sens!$F$6682)*1/4</f>
        <v>0.200551092697429</v>
      </c>
      <c r="I6682" s="12" t="n">
        <f aca="false">Sens!$F$6682+(g_ad-Sens!$F$6682)*2/4</f>
        <v>0.167034061798286</v>
      </c>
      <c r="J6682" s="12" t="n">
        <f aca="false">Sens!$F$6682+(g_ad-Sens!$F$6682)*3/4</f>
        <v>0.133517030899143</v>
      </c>
      <c r="K6682" s="12" t="n">
        <f aca="false">Sens!$F$6682+(g_ad-Sens!$F$6682)*4/4</f>
        <v>0.1</v>
      </c>
      <c r="L6682" s="12" t="n">
        <f aca="false">g_ad</f>
        <v>0.1</v>
      </c>
      <c r="M6682" s="12" t="n">
        <f aca="false">g_ad</f>
        <v>0.1</v>
      </c>
      <c r="P6682" s="8" t="s">
        <v>629</v>
      </c>
    </row>
    <row r="6683" customFormat="false" ht="17.15" hidden="false" customHeight="false" outlineLevel="0" collapsed="false">
      <c r="A6683" s="0" t="s">
        <v>483</v>
      </c>
      <c r="B6683" s="0" t="s">
        <v>73</v>
      </c>
      <c r="C6683" s="38" t="n">
        <f aca="false">Q!$D$14</f>
        <v>44.374</v>
      </c>
      <c r="D6683" s="38" t="n">
        <f aca="false">Q!$E$14</f>
        <v>49.619</v>
      </c>
      <c r="E6683" s="38" t="n">
        <f aca="false">Q!$P$14</f>
        <v>27.157</v>
      </c>
      <c r="F6683" s="38" t="n">
        <f aca="false">Sens!$O$6683*(1+Sens!$F$6684)</f>
        <v>28.9776360923374</v>
      </c>
      <c r="G6683" s="38" t="n">
        <f aca="false">Sens!$E$6683+Sens!$F$6683</f>
        <v>56.1346360923374</v>
      </c>
      <c r="H6683" s="38" t="n">
        <f aca="false">Sens!$G$6683*(1+Sens!$H$6684)</f>
        <v>62.4937078946075</v>
      </c>
      <c r="I6683" s="38" t="n">
        <f aca="false">Sens!$H$6683*(1+Sens!$I$6684)</f>
        <v>68.6715233062498</v>
      </c>
      <c r="J6683" s="38" t="n">
        <f aca="false">Sens!$I$6683*(1+Sens!$J$6684)</f>
        <v>74.4692882949818</v>
      </c>
      <c r="K6683" s="38" t="n">
        <f aca="false">Sens!$J$6683*(1+Sens!$K$6684)</f>
        <v>79.6821384756306</v>
      </c>
      <c r="L6683" s="38" t="n">
        <f aca="false">Sens!$K$6683*(1+Sens!$L$6684)</f>
        <v>85.2598881689247</v>
      </c>
      <c r="M6683" s="38" t="n">
        <f aca="false">Sens!$L$6683*(1+Sens!$M$6684)</f>
        <v>91.2280803407494</v>
      </c>
      <c r="N6683" s="38" t="n">
        <f aca="false">Q!$N$14</f>
        <v>23.923</v>
      </c>
      <c r="O6683" s="38" t="n">
        <f aca="false">Q!$O$14</f>
        <v>25.696</v>
      </c>
      <c r="P6683" s="8" t="s">
        <v>621</v>
      </c>
    </row>
    <row r="6684" customFormat="false" ht="17.15" hidden="false" customHeight="false" outlineLevel="0" collapsed="false">
      <c r="A6684" s="0" t="s">
        <v>630</v>
      </c>
      <c r="B6684" s="0" t="s">
        <v>52</v>
      </c>
      <c r="E6684" s="12" t="n">
        <f aca="false">Sens!$E$6683/Sens!$N$6683-1</f>
        <v>0.135183714417088</v>
      </c>
      <c r="F6684" s="12" t="n">
        <f aca="false">Sens!$O$6683/(Q!$F$14+Q!$G$14)-1</f>
        <v>0.127709997366804</v>
      </c>
      <c r="G6684" s="12" t="n">
        <f aca="false">Sens!$G$6683/Sens!$D$6683-1</f>
        <v>0.131313329416905</v>
      </c>
      <c r="H6684" s="12" t="n">
        <f aca="false">Sens!$F$6684+(g_sub-Sens!$F$6684)*1/4</f>
        <v>0.113282498025103</v>
      </c>
      <c r="I6684" s="12" t="n">
        <f aca="false">Sens!$F$6684+(g_sub-Sens!$F$6684)*2/4</f>
        <v>0.0988549986834021</v>
      </c>
      <c r="J6684" s="12" t="n">
        <f aca="false">Sens!$F$6684+(g_sub-Sens!$F$6684)*3/4</f>
        <v>0.084427499341701</v>
      </c>
      <c r="K6684" s="12" t="n">
        <f aca="false">Sens!$F$6684+(g_sub-Sens!$F$6684)*4/4</f>
        <v>0.07</v>
      </c>
      <c r="L6684" s="12" t="n">
        <f aca="false">g_sub</f>
        <v>0.07</v>
      </c>
      <c r="M6684" s="12" t="n">
        <f aca="false">g_sub</f>
        <v>0.07</v>
      </c>
      <c r="P6684" s="8" t="s">
        <v>631</v>
      </c>
    </row>
    <row r="6685" customFormat="false" ht="17.15" hidden="false" customHeight="false" outlineLevel="0" collapsed="false">
      <c r="A6685" s="0" t="s">
        <v>484</v>
      </c>
      <c r="B6685" s="0" t="s">
        <v>73</v>
      </c>
      <c r="C6685" s="38" t="n">
        <f aca="false">Q!$D$15</f>
        <v>5.425</v>
      </c>
      <c r="D6685" s="38" t="n">
        <f aca="false">Q!$E$15</f>
        <v>5.935</v>
      </c>
      <c r="E6685" s="38" t="n">
        <f aca="false">Q!$P$15</f>
        <v>3.474</v>
      </c>
      <c r="F6685" s="38" t="n">
        <f aca="false">Sens!$O$6685*(1+Sens!$F$6686)</f>
        <v>3.36182431966931</v>
      </c>
      <c r="G6685" s="38" t="n">
        <f aca="false">Sens!$E$6685+Sens!$F$6685</f>
        <v>6.83582431966931</v>
      </c>
      <c r="H6685" s="38" t="n">
        <f aca="false">Sens!$G$6685*(1+Sens!$H$6686)</f>
        <v>7.31157108370141</v>
      </c>
      <c r="I6685" s="38" t="n">
        <f aca="false">Sens!$H$6685*(1+Sens!$I$6686)</f>
        <v>7.77266852639815</v>
      </c>
      <c r="J6685" s="38" t="n">
        <f aca="false">Sens!$I$6685*(1+Sens!$J$6686)</f>
        <v>8.2120733019884</v>
      </c>
      <c r="K6685" s="38" t="n">
        <f aca="false">Sens!$J$6685*(1+Sens!$K$6686)</f>
        <v>8.62267696708783</v>
      </c>
      <c r="L6685" s="38" t="n">
        <f aca="false">Sens!$K$6685*(1+Sens!$L$6686)</f>
        <v>9.05381081544222</v>
      </c>
      <c r="M6685" s="38" t="n">
        <f aca="false">Sens!$L$6685*(1+Sens!$M$6686)</f>
        <v>9.50650135621433</v>
      </c>
      <c r="N6685" s="38" t="n">
        <f aca="false">Q!$N$15</f>
        <v>2.811</v>
      </c>
      <c r="O6685" s="38" t="n">
        <f aca="false">Q!$O$15</f>
        <v>3.124</v>
      </c>
      <c r="P6685" s="8" t="s">
        <v>621</v>
      </c>
    </row>
    <row r="6686" customFormat="false" ht="17.15" hidden="false" customHeight="false" outlineLevel="0" collapsed="false">
      <c r="A6686" s="0" t="s">
        <v>632</v>
      </c>
      <c r="B6686" s="0" t="s">
        <v>52</v>
      </c>
      <c r="E6686" s="12" t="n">
        <f aca="false">Sens!$E$6685/Sens!$N$6685-1</f>
        <v>0.235859124866596</v>
      </c>
      <c r="F6686" s="12" t="n">
        <f aca="false">Sens!$O$6685/(Q!$F$15+Q!$G$15)-1</f>
        <v>0.0761281433000345</v>
      </c>
      <c r="G6686" s="12" t="n">
        <f aca="false">Sens!$G$6685/Sens!$D$6685-1</f>
        <v>0.151781688234087</v>
      </c>
      <c r="H6686" s="12" t="n">
        <f aca="false">Sens!$F$6686+(g_ot-Sens!$F$6686)*1/4</f>
        <v>0.0695961074750259</v>
      </c>
      <c r="I6686" s="12" t="n">
        <f aca="false">Sens!$F$6686+(g_ot-Sens!$F$6686)*2/4</f>
        <v>0.0630640716500172</v>
      </c>
      <c r="J6686" s="12" t="n">
        <f aca="false">Sens!$F$6686+(g_ot-Sens!$F$6686)*3/4</f>
        <v>0.0565320358250086</v>
      </c>
      <c r="K6686" s="12" t="n">
        <f aca="false">Sens!$F$6686+(g_ot-Sens!$F$6686)*4/4</f>
        <v>0.05</v>
      </c>
      <c r="L6686" s="12" t="n">
        <f aca="false">g_ot</f>
        <v>0.05</v>
      </c>
      <c r="M6686" s="12" t="n">
        <f aca="false">g_ot</f>
        <v>0.05</v>
      </c>
      <c r="P6686" s="8" t="s">
        <v>633</v>
      </c>
    </row>
    <row r="6687" customFormat="false" ht="17.15" hidden="false" customHeight="false" outlineLevel="0" collapsed="false">
      <c r="A6687" s="3" t="s">
        <v>634</v>
      </c>
      <c r="B6687" s="8" t="s">
        <v>73</v>
      </c>
      <c r="C6687" s="38" t="n">
        <f aca="false">Sens!$C$6675+Sens!$C$6677+Sens!$C$6679+Sens!$C$6681+Sens!$C$6683+Sens!$C$6685</f>
        <v>530.403</v>
      </c>
      <c r="D6687" s="38" t="n">
        <f aca="false">Sens!$D$6675+Sens!$D$6677+Sens!$D$6679+Sens!$D$6681+Sens!$D$6683+Sens!$D$6685</f>
        <v>588.199</v>
      </c>
      <c r="E6687" s="38" t="n">
        <f aca="false">Sens!$E$6675+Sens!$E$6677+Sens!$E$6679+Sens!$E$6681+Sens!$E$6683+Sens!$E$6685</f>
        <v>302.306</v>
      </c>
      <c r="F6687" s="38" t="n">
        <f aca="false">Sens!$F$6675+Sens!$F$6677+Sens!$F$6679+Sens!$F$6681+Sens!$F$6683+Sens!$F$6685</f>
        <v>356.93642920843</v>
      </c>
      <c r="G6687" s="38" t="n">
        <f aca="false">Sens!$G$6675+Sens!$G$6677+Sens!$G$6679+Sens!$G$6681+Sens!$G$6683+Sens!$G$6685</f>
        <v>659.24242920843</v>
      </c>
      <c r="H6687" s="38" t="n">
        <f aca="false">Sens!$H$6675+Sens!$H$6677+Sens!$H$6679+Sens!$H$6681+Sens!$H$6683+Sens!$H$6685</f>
        <v>729.935737621701</v>
      </c>
      <c r="I6687" s="38" t="n">
        <f aca="false">Sens!$I$6675+Sens!$I$6677+Sens!$I$6679+Sens!$I$6681+Sens!$I$6683+Sens!$I$6685</f>
        <v>798.295569697873</v>
      </c>
      <c r="J6687" s="38" t="n">
        <f aca="false">Sens!$J$6675+Sens!$J$6677+Sens!$J$6679+Sens!$J$6681+Sens!$J$6683+Sens!$J$6685</f>
        <v>861.736822325785</v>
      </c>
      <c r="K6687" s="38" t="n">
        <f aca="false">Sens!$K$6675+Sens!$K$6677+Sens!$K$6679+Sens!$K$6681+Sens!$K$6683+Sens!$K$6685</f>
        <v>917.557492101925</v>
      </c>
      <c r="L6687" s="38" t="n">
        <f aca="false">Sens!$L$6675+Sens!$L$6677+Sens!$L$6679+Sens!$L$6681+Sens!$L$6683+Sens!$L$6685</f>
        <v>977.285089743165</v>
      </c>
      <c r="M6687" s="38" t="n">
        <f aca="false">Sens!$M$6675+Sens!$M$6677+Sens!$M$6679+Sens!$M$6681+Sens!$M$6683+Sens!$M$6685</f>
        <v>1041.2140185435</v>
      </c>
      <c r="N6687" s="38" t="n">
        <f aca="false">Sens!$N$6675+Sens!$N$6677+Sens!$N$6679+Sens!$N$6681+Sens!$N$6683+Sens!$N$6685</f>
        <v>263.229</v>
      </c>
      <c r="O6687" s="38" t="n">
        <f aca="false">Sens!$O$6675+Sens!$O$6677+Sens!$O$6679+Sens!$O$6681+Sens!$O$6683+Sens!$O$6685</f>
        <v>324.97</v>
      </c>
    </row>
    <row r="6688" customFormat="false" ht="17.15" hidden="false" customHeight="false" outlineLevel="0" collapsed="false">
      <c r="A6688" s="5" t="s">
        <v>635</v>
      </c>
      <c r="B6688" s="0" t="s">
        <v>52</v>
      </c>
      <c r="C6688" s="12" t="n">
        <f aca="false">Q!$D$5/(Q!$D$5+Q!$D$6)</f>
        <v>0.730570905519011</v>
      </c>
      <c r="D6688" s="12" t="n">
        <f aca="false">Q!$E$5/(Q!$E$5+Q!$E$6)</f>
        <v>0.724763217890544</v>
      </c>
      <c r="E6688" s="12" t="n">
        <f aca="false">Q!$P$5/(Q!$P$5+Q!$P$6)</f>
        <v>0.728797972914861</v>
      </c>
      <c r="F6688" s="12" t="n">
        <f aca="false">Sens!$O$6688</f>
        <v>0.718066283041511</v>
      </c>
      <c r="G6688" s="12" t="n">
        <f aca="false">Sens!$G$6689/Sens!$G$6687</f>
        <v>0.722987468473627</v>
      </c>
      <c r="H6688" s="12" t="n">
        <f aca="false">Sens!$G$6688</f>
        <v>0.722987468473627</v>
      </c>
      <c r="I6688" s="12" t="n">
        <f aca="false">Sens!$G$6688</f>
        <v>0.722987468473627</v>
      </c>
      <c r="J6688" s="12" t="n">
        <f aca="false">Sens!$G$6688</f>
        <v>0.722987468473627</v>
      </c>
      <c r="K6688" s="12" t="n">
        <f aca="false">Sens!$G$6688</f>
        <v>0.722987468473627</v>
      </c>
      <c r="L6688" s="12" t="n">
        <f aca="false">Sens!$G$6688</f>
        <v>0.722987468473627</v>
      </c>
      <c r="M6688" s="12" t="n">
        <f aca="false">Sens!$G$6688</f>
        <v>0.722987468473627</v>
      </c>
      <c r="N6688" s="12" t="n">
        <f aca="false">Q!$N$5/(Q!$N$5+Q!$N$6)</f>
        <v>0.733030935041352</v>
      </c>
      <c r="O6688" s="12" t="n">
        <f aca="false">Q!$O$5/(Q!$O$5+Q!$O$6)</f>
        <v>0.718066283041511</v>
      </c>
      <c r="P6688" s="8" t="s">
        <v>636</v>
      </c>
    </row>
    <row r="6689" customFormat="false" ht="17.15" hidden="false" customHeight="false" outlineLevel="0" collapsed="false">
      <c r="A6689" s="1" t="s">
        <v>472</v>
      </c>
      <c r="B6689" s="8" t="s">
        <v>73</v>
      </c>
      <c r="C6689" s="38" t="n">
        <f aca="false">Q!$D$5</f>
        <v>387.497</v>
      </c>
      <c r="D6689" s="38" t="n">
        <f aca="false">Q!$E$5</f>
        <v>426.305</v>
      </c>
      <c r="E6689" s="38" t="n">
        <f aca="false">Q!$P$5</f>
        <v>220.32</v>
      </c>
      <c r="F6689" s="38" t="n">
        <f aca="false">Sens!$F$6687*Sens!$F$6688</f>
        <v>256.304015003807</v>
      </c>
      <c r="G6689" s="38" t="n">
        <f aca="false">Sens!$E$6689+Sens!$F$6689</f>
        <v>476.624015003807</v>
      </c>
      <c r="H6689" s="38" t="n">
        <f aca="false">Sens!$H$6687*Sens!$H$6688</f>
        <v>527.734391091543</v>
      </c>
      <c r="I6689" s="38" t="n">
        <f aca="false">Sens!$I$6687*Sens!$I$6688</f>
        <v>577.157693029577</v>
      </c>
      <c r="J6689" s="38" t="n">
        <f aca="false">Sens!$J$6687*Sens!$J$6688</f>
        <v>623.024923663827</v>
      </c>
      <c r="K6689" s="38" t="n">
        <f aca="false">Sens!$K$6687*Sens!$K$6688</f>
        <v>663.382568393781</v>
      </c>
      <c r="L6689" s="38" t="n">
        <f aca="false">Sens!$L$6687*Sens!$L$6688</f>
        <v>706.564873010432</v>
      </c>
      <c r="M6689" s="38" t="n">
        <f aca="false">Sens!$M$6687*Sens!$M$6688</f>
        <v>752.784687406019</v>
      </c>
      <c r="N6689" s="38" t="n">
        <f aca="false">Q!$N$5</f>
        <v>192.955</v>
      </c>
      <c r="O6689" s="38" t="n">
        <f aca="false">Q!$O$5</f>
        <v>233.35</v>
      </c>
      <c r="P6689" s="5" t="s">
        <v>637</v>
      </c>
    </row>
    <row r="6690" customFormat="false" ht="17.15" hidden="false" customHeight="false" outlineLevel="0" collapsed="false">
      <c r="A6690" s="1" t="s">
        <v>475</v>
      </c>
      <c r="B6690" s="8" t="s">
        <v>73</v>
      </c>
      <c r="C6690" s="38" t="n">
        <f aca="false">Q!$D$6</f>
        <v>142.906</v>
      </c>
      <c r="D6690" s="38" t="n">
        <f aca="false">Q!$E$6</f>
        <v>161.894</v>
      </c>
      <c r="E6690" s="38" t="n">
        <f aca="false">Q!$P$6</f>
        <v>81.986</v>
      </c>
      <c r="F6690" s="38" t="n">
        <f aca="false">Sens!$F$6687*(1-Sens!$F$6688)</f>
        <v>100.632414204623</v>
      </c>
      <c r="G6690" s="38" t="n">
        <f aca="false">Sens!$E$6690+Sens!$F$6690</f>
        <v>182.618414204623</v>
      </c>
      <c r="H6690" s="38" t="n">
        <f aca="false">Sens!$H$6687*(1-Sens!$H$6688)</f>
        <v>202.201346530158</v>
      </c>
      <c r="I6690" s="38" t="n">
        <f aca="false">Sens!$I$6687*(1-Sens!$I$6688)</f>
        <v>221.137876668296</v>
      </c>
      <c r="J6690" s="38" t="n">
        <f aca="false">Sens!$J$6687*(1-Sens!$J$6688)</f>
        <v>238.711898661958</v>
      </c>
      <c r="K6690" s="38" t="n">
        <f aca="false">Sens!$K$6687*(1-Sens!$K$6688)</f>
        <v>254.174923708144</v>
      </c>
      <c r="L6690" s="38" t="n">
        <f aca="false">Sens!$L$6687*(1-Sens!$L$6688)</f>
        <v>270.720216732733</v>
      </c>
      <c r="M6690" s="38" t="n">
        <f aca="false">Sens!$M$6687*(1-Sens!$M$6688)</f>
        <v>288.429331137484</v>
      </c>
      <c r="N6690" s="38" t="n">
        <f aca="false">Q!$N$6</f>
        <v>70.274</v>
      </c>
      <c r="O6690" s="38" t="n">
        <f aca="false">Q!$O$6</f>
        <v>91.62</v>
      </c>
      <c r="P6690" s="5" t="s">
        <v>638</v>
      </c>
    </row>
    <row r="6691" customFormat="false" ht="17.15" hidden="false" customHeight="false" outlineLevel="0" collapsed="false">
      <c r="A6691" s="5" t="s">
        <v>639</v>
      </c>
      <c r="B6691" s="0" t="s">
        <v>73</v>
      </c>
      <c r="C6691" s="38" t="n">
        <f aca="false">Sens!$C$6681*Sens!$C$6688</f>
        <v>41.0683128828457</v>
      </c>
      <c r="D6691" s="38" t="n">
        <f aca="false">Sens!$D$6681*Sens!$D$6688</f>
        <v>49.7441234599175</v>
      </c>
      <c r="E6691" s="38" t="n">
        <f aca="false">Sens!$E$6681*Sens!$E$6688</f>
        <v>27.0034224924414</v>
      </c>
      <c r="F6691" s="38" t="n">
        <f aca="false">Sens!$F$6681*Sens!$F$6688</f>
        <v>34.5772885649197</v>
      </c>
      <c r="G6691" s="38" t="n">
        <f aca="false">Sens!$G$6681*Sens!$G$6688</f>
        <v>61.6023917531772</v>
      </c>
      <c r="H6691" s="38" t="n">
        <f aca="false">Sens!$H$6681*Sens!$H$6688</f>
        <v>73.9568187320519</v>
      </c>
      <c r="I6691" s="38" t="n">
        <f aca="false">Sens!$I$6681*Sens!$I$6688</f>
        <v>86.3101265625461</v>
      </c>
      <c r="J6691" s="38" t="n">
        <f aca="false">Sens!$J$6681*Sens!$J$6688</f>
        <v>97.8339983977065</v>
      </c>
      <c r="K6691" s="38" t="n">
        <f aca="false">Sens!$K$6681*Sens!$K$6688</f>
        <v>107.617398237477</v>
      </c>
      <c r="L6691" s="38" t="n">
        <f aca="false">Sens!$L$6681*Sens!$L$6688</f>
        <v>118.379138061225</v>
      </c>
      <c r="M6691" s="38" t="n">
        <f aca="false">Sens!$M$6681*Sens!$M$6688</f>
        <v>130.217051867347</v>
      </c>
      <c r="N6691" s="38" t="n">
        <f aca="false">Sens!$N$6681*Sens!$N$6688</f>
        <v>21.7087111412496</v>
      </c>
      <c r="O6691" s="38" t="n">
        <f aca="false">Sens!$O$6681*Sens!$O$6688</f>
        <v>28.0189463642798</v>
      </c>
      <c r="P6691" s="5" t="s">
        <v>640</v>
      </c>
    </row>
    <row r="6692" customFormat="false" ht="15" hidden="false" customHeight="false" outlineLevel="0" collapsed="false">
      <c r="A6692" s="5" t="s">
        <v>641</v>
      </c>
      <c r="B6692" s="0" t="s">
        <v>73</v>
      </c>
      <c r="C6692" s="38" t="n">
        <f aca="false">Sens!$C$6681-Sens!$C$6691</f>
        <v>15.1456871171543</v>
      </c>
      <c r="D6692" s="38" t="n">
        <f aca="false">Sens!$D$6681-Sens!$D$6691</f>
        <v>18.8908765400825</v>
      </c>
      <c r="E6692" s="38" t="n">
        <f aca="false">Sens!$E$6681-Sens!$E$6691</f>
        <v>10.0485775075586</v>
      </c>
      <c r="F6692" s="38" t="n">
        <f aca="false">Sens!$F$6681-Sens!$F$6691</f>
        <v>13.5760496178185</v>
      </c>
      <c r="G6692" s="38" t="n">
        <f aca="false">Sens!$G$6681-Sens!$G$6691</f>
        <v>23.6029464295611</v>
      </c>
      <c r="H6692" s="38" t="n">
        <f aca="false">Sens!$H$6681-Sens!$H$6691</f>
        <v>28.3365431268884</v>
      </c>
      <c r="I6692" s="38" t="n">
        <f aca="false">Sens!$I$6681-Sens!$I$6691</f>
        <v>33.0697110226949</v>
      </c>
      <c r="J6692" s="38" t="n">
        <f aca="false">Sens!$J$6681-Sens!$J$6691</f>
        <v>37.4850806511378</v>
      </c>
      <c r="K6692" s="38" t="n">
        <f aca="false">Sens!$K$6681-Sens!$K$6691</f>
        <v>41.2335887162515</v>
      </c>
      <c r="L6692" s="38" t="n">
        <f aca="false">Sens!$L$6681-Sens!$L$6691</f>
        <v>45.3569475878767</v>
      </c>
      <c r="M6692" s="38" t="n">
        <f aca="false">Sens!$M$6681-Sens!$M$6691</f>
        <v>49.8926423466644</v>
      </c>
      <c r="N6692" s="38" t="n">
        <f aca="false">Sens!$N$6681-Sens!$N$6691</f>
        <v>7.90628885875037</v>
      </c>
      <c r="O6692" s="38" t="n">
        <f aca="false">Sens!$O$6681-Sens!$O$6691</f>
        <v>11.0010536357202</v>
      </c>
    </row>
    <row r="6693" customFormat="false" ht="19.4" hidden="false" customHeight="false" outlineLevel="0" collapsed="false">
      <c r="A6693" s="31" t="s">
        <v>1189</v>
      </c>
    </row>
    <row r="6694" customFormat="false" ht="17.15" hidden="false" customHeight="false" outlineLevel="0" collapsed="false">
      <c r="A6694" s="6" t="s">
        <v>16</v>
      </c>
      <c r="B6694" s="6" t="s">
        <v>17</v>
      </c>
      <c r="C6694" s="20" t="s">
        <v>457</v>
      </c>
      <c r="D6694" s="20" t="s">
        <v>458</v>
      </c>
      <c r="E6694" s="20" t="s">
        <v>540</v>
      </c>
      <c r="F6694" s="20" t="s">
        <v>541</v>
      </c>
      <c r="G6694" s="20" t="s">
        <v>542</v>
      </c>
      <c r="H6694" s="20" t="s">
        <v>543</v>
      </c>
      <c r="I6694" s="20" t="s">
        <v>544</v>
      </c>
      <c r="J6694" s="20" t="s">
        <v>545</v>
      </c>
      <c r="K6694" s="20" t="s">
        <v>546</v>
      </c>
      <c r="L6694" s="20" t="s">
        <v>547</v>
      </c>
      <c r="M6694" s="20" t="s">
        <v>548</v>
      </c>
      <c r="N6694" s="20" t="s">
        <v>549</v>
      </c>
      <c r="O6694" s="20" t="s">
        <v>550</v>
      </c>
      <c r="P6694" s="6" t="s">
        <v>23</v>
      </c>
      <c r="R6694" s="20" t="n">
        <v>2023</v>
      </c>
      <c r="S6694" s="20" t="n">
        <v>2024</v>
      </c>
      <c r="T6694" s="20" t="n">
        <v>2025</v>
      </c>
      <c r="U6694" s="20" t="n">
        <v>2026</v>
      </c>
      <c r="V6694" s="20" t="n">
        <v>2027</v>
      </c>
      <c r="W6694" s="20" t="n">
        <v>2028</v>
      </c>
      <c r="X6694" s="20" t="n">
        <v>2029</v>
      </c>
      <c r="Y6694" s="20" t="n">
        <v>2030</v>
      </c>
      <c r="Z6694" s="20" t="n">
        <v>2031</v>
      </c>
      <c r="AA6694" s="20" t="n">
        <v>2032</v>
      </c>
    </row>
    <row r="6695" customFormat="false" ht="17.15" hidden="false" customHeight="false" outlineLevel="0" collapsed="false">
      <c r="A6695" s="1" t="s">
        <v>551</v>
      </c>
    </row>
    <row r="6696" customFormat="false" ht="17.15" hidden="false" customHeight="false" outlineLevel="0" collapsed="false">
      <c r="A6696" s="14" t="s">
        <v>552</v>
      </c>
      <c r="B6696" s="13" t="s">
        <v>108</v>
      </c>
      <c r="C6696" s="32" t="n">
        <f aca="false">mw_ye24</f>
        <v>360</v>
      </c>
      <c r="D6696" s="32" t="n">
        <f aca="false">mw_ye25</f>
        <v>1440</v>
      </c>
      <c r="E6696" s="32" t="n">
        <f aca="false">mw_open</f>
        <v>2080</v>
      </c>
      <c r="F6696" s="32" t="n">
        <f aca="false">Sens!$E$6696+pace_B*0.5</f>
        <v>3897.15</v>
      </c>
      <c r="G6696" s="32" t="n">
        <f aca="false">Sens!$F$6696</f>
        <v>3897.15</v>
      </c>
      <c r="H6696" s="32" t="n">
        <f aca="false">Sens!$G$6696+pace_B</f>
        <v>7531.45</v>
      </c>
      <c r="I6696" s="32" t="n">
        <f aca="false">Sens!$H$6696+pace_B</f>
        <v>11165.75</v>
      </c>
      <c r="J6696" s="32" t="n">
        <f aca="false">Sens!$I$6696+pace_B</f>
        <v>14800.05</v>
      </c>
      <c r="K6696" s="32" t="n">
        <f aca="false">Sens!$J$6696+pace_B</f>
        <v>18434.35</v>
      </c>
      <c r="L6696" s="32" t="n">
        <f aca="false">Sens!$K$6696+pace_B</f>
        <v>22068.65</v>
      </c>
      <c r="M6696" s="32" t="n">
        <f aca="false">Sens!$L$6696+pace_B</f>
        <v>25702.95</v>
      </c>
      <c r="N6696" s="32" t="n">
        <f aca="false">(mw_ye24+mw_ye25)/2</f>
        <v>900</v>
      </c>
      <c r="O6696" s="32" t="n">
        <f aca="false">mw_ye25</f>
        <v>1440</v>
      </c>
      <c r="P6696" s="5" t="s">
        <v>553</v>
      </c>
    </row>
    <row r="6697" customFormat="false" ht="17.15" hidden="false" customHeight="false" outlineLevel="0" collapsed="false">
      <c r="A6697" s="5" t="s">
        <v>554</v>
      </c>
      <c r="B6697" s="0" t="s">
        <v>108</v>
      </c>
      <c r="C6697" s="33" t="n">
        <f aca="false">(mw_ye23+mw_ye24)/2</f>
        <v>240</v>
      </c>
      <c r="D6697" s="33" t="n">
        <f aca="false">(Sens!$C$6696+Sens!$D$6696)/2</f>
        <v>900</v>
      </c>
      <c r="E6697" s="33" t="n">
        <f aca="false">(Sens!$D$6696+Sens!$E$6696)/2</f>
        <v>1760</v>
      </c>
      <c r="F6697" s="33" t="n">
        <f aca="false">(Sens!$E$6696+Sens!$F$6696)/2</f>
        <v>2988.575</v>
      </c>
      <c r="G6697" s="33" t="n">
        <f aca="false">(Sens!$E$6697+Sens!$F$6697)/2</f>
        <v>2374.2875</v>
      </c>
      <c r="H6697" s="33" t="n">
        <f aca="false">(Sens!$G$6696+Sens!$H$6696)/2</f>
        <v>5714.3</v>
      </c>
      <c r="I6697" s="33" t="n">
        <f aca="false">(Sens!$H$6696+Sens!$I$6696)/2</f>
        <v>9348.6</v>
      </c>
      <c r="J6697" s="33" t="n">
        <f aca="false">(Sens!$I$6696+Sens!$J$6696)/2</f>
        <v>12982.9</v>
      </c>
      <c r="K6697" s="33" t="n">
        <f aca="false">(Sens!$J$6696+Sens!$K$6696)/2</f>
        <v>16617.2</v>
      </c>
      <c r="L6697" s="33" t="n">
        <f aca="false">(Sens!$K$6696+Sens!$L$6696)/2</f>
        <v>20251.5</v>
      </c>
      <c r="M6697" s="33" t="n">
        <f aca="false">(Sens!$L$6696+Sens!$M$6696)/2</f>
        <v>23885.8</v>
      </c>
      <c r="N6697" s="33" t="n">
        <f aca="false">(Sens!$C$6696+Sens!$N$6696)/2</f>
        <v>630</v>
      </c>
      <c r="O6697" s="33" t="n">
        <f aca="false">(Sens!$N$6696+Sens!$O$6696)/2</f>
        <v>1170</v>
      </c>
    </row>
    <row r="6698" customFormat="false" ht="15" hidden="false" customHeight="false" outlineLevel="0" collapsed="false">
      <c r="A6698" s="5" t="s">
        <v>555</v>
      </c>
      <c r="B6698" s="5" t="s">
        <v>102</v>
      </c>
      <c r="C6698" s="34" t="n">
        <v>1</v>
      </c>
      <c r="D6698" s="34" t="n">
        <v>1</v>
      </c>
      <c r="E6698" s="34" t="n">
        <v>0.5</v>
      </c>
      <c r="F6698" s="34" t="n">
        <v>0.5</v>
      </c>
      <c r="G6698" s="34" t="n">
        <v>1</v>
      </c>
      <c r="H6698" s="34" t="n">
        <v>1</v>
      </c>
      <c r="I6698" s="34" t="n">
        <v>1</v>
      </c>
      <c r="J6698" s="34" t="n">
        <v>1</v>
      </c>
      <c r="K6698" s="34" t="n">
        <v>1</v>
      </c>
      <c r="L6698" s="34" t="n">
        <v>1</v>
      </c>
      <c r="M6698" s="34" t="n">
        <v>1</v>
      </c>
      <c r="N6698" s="34" t="n">
        <v>0.5</v>
      </c>
      <c r="O6698" s="34" t="n">
        <v>0.5</v>
      </c>
    </row>
    <row r="6699" customFormat="false" ht="17.15" hidden="false" customHeight="false" outlineLevel="0" collapsed="false">
      <c r="A6699" s="5" t="s">
        <v>556</v>
      </c>
      <c r="B6699" s="0" t="s">
        <v>108</v>
      </c>
      <c r="C6699" s="33" t="n">
        <f aca="false">Sens!$C$6696-mw_ye23</f>
        <v>240</v>
      </c>
      <c r="D6699" s="33" t="n">
        <f aca="false">Sens!$D$6696-Sens!$C$6696</f>
        <v>1080</v>
      </c>
      <c r="E6699" s="33" t="n">
        <f aca="false">Sens!$E$6696-Sens!$D$6696</f>
        <v>640</v>
      </c>
      <c r="F6699" s="33" t="n">
        <f aca="false">Sens!$F$6696-Sens!$E$6696</f>
        <v>1817.15</v>
      </c>
      <c r="G6699" s="33" t="n">
        <f aca="false">Sens!$E$6699+Sens!$F$6699</f>
        <v>2457.15</v>
      </c>
      <c r="H6699" s="33" t="n">
        <f aca="false">Sens!$H$6696-Sens!$G$6696</f>
        <v>3634.3</v>
      </c>
      <c r="I6699" s="33" t="n">
        <f aca="false">Sens!$I$6696-Sens!$H$6696</f>
        <v>3634.3</v>
      </c>
      <c r="J6699" s="33" t="n">
        <f aca="false">Sens!$J$6696-Sens!$I$6696</f>
        <v>3634.3</v>
      </c>
      <c r="K6699" s="33" t="n">
        <f aca="false">Sens!$K$6696-Sens!$J$6696</f>
        <v>3634.3</v>
      </c>
      <c r="L6699" s="33" t="n">
        <f aca="false">Sens!$L$6696-Sens!$K$6696</f>
        <v>3634.3</v>
      </c>
      <c r="M6699" s="33" t="n">
        <f aca="false">Sens!$M$6696-Sens!$L$6696</f>
        <v>3634.3</v>
      </c>
      <c r="N6699" s="33" t="n">
        <f aca="false">Sens!$N$6696-Sens!$C$6696</f>
        <v>540</v>
      </c>
      <c r="O6699" s="33" t="n">
        <f aca="false">Sens!$O$6696-Sens!$N$6696</f>
        <v>540</v>
      </c>
    </row>
    <row r="6700" customFormat="false" ht="17.15" hidden="false" customHeight="false" outlineLevel="0" collapsed="false">
      <c r="A6700" s="5" t="s">
        <v>557</v>
      </c>
      <c r="B6700" s="0" t="s">
        <v>108</v>
      </c>
      <c r="C6700" s="33" t="n">
        <f aca="false">Sens!$C$6699/ext_sh</f>
        <v>300</v>
      </c>
      <c r="D6700" s="33" t="n">
        <f aca="false">Sens!$D$6699/ext_sh</f>
        <v>1350</v>
      </c>
      <c r="E6700" s="33" t="n">
        <f aca="false">Sens!$E$6699/ext_sh</f>
        <v>800</v>
      </c>
      <c r="F6700" s="33" t="n">
        <f aca="false">Sens!$F$6699/ext_sh</f>
        <v>2271.4375</v>
      </c>
      <c r="G6700" s="33" t="n">
        <f aca="false">Sens!$G$6699/ext_sh</f>
        <v>3071.4375</v>
      </c>
      <c r="H6700" s="33" t="n">
        <f aca="false">Sens!$H$6699/ext_sh</f>
        <v>4542.875</v>
      </c>
      <c r="I6700" s="33" t="n">
        <f aca="false">Sens!$I$6699/ext_sh</f>
        <v>4542.875</v>
      </c>
      <c r="J6700" s="33" t="n">
        <f aca="false">Sens!$J$6699/ext_sh</f>
        <v>4542.875</v>
      </c>
      <c r="K6700" s="33" t="n">
        <f aca="false">Sens!$K$6699/ext_sh</f>
        <v>4542.875</v>
      </c>
      <c r="L6700" s="33" t="n">
        <f aca="false">Sens!$L$6699/ext_sh</f>
        <v>4542.875</v>
      </c>
      <c r="M6700" s="33" t="n">
        <f aca="false">Sens!$M$6699/ext_sh</f>
        <v>4542.875</v>
      </c>
      <c r="N6700" s="33" t="n">
        <f aca="false">Sens!$N$6699/ext_sh</f>
        <v>675</v>
      </c>
      <c r="O6700" s="33" t="n">
        <f aca="false">Sens!$O$6699/ext_sh</f>
        <v>675</v>
      </c>
      <c r="P6700" s="8" t="s">
        <v>558</v>
      </c>
      <c r="R6700" s="33" t="n">
        <f aca="false">mw_ye23/ext_sh</f>
        <v>150</v>
      </c>
      <c r="S6700" s="33" t="n">
        <f aca="false">Sens!$C$6700</f>
        <v>300</v>
      </c>
      <c r="T6700" s="33" t="n">
        <f aca="false">Sens!$D$6700</f>
        <v>1350</v>
      </c>
      <c r="U6700" s="33" t="n">
        <f aca="false">Sens!$G$6700</f>
        <v>3071.4375</v>
      </c>
      <c r="V6700" s="33" t="n">
        <f aca="false">Sens!$H$6700</f>
        <v>4542.875</v>
      </c>
      <c r="W6700" s="33" t="n">
        <f aca="false">Sens!$I$6700</f>
        <v>4542.875</v>
      </c>
      <c r="X6700" s="33" t="n">
        <f aca="false">Sens!$J$6700</f>
        <v>4542.875</v>
      </c>
      <c r="Y6700" s="33" t="n">
        <f aca="false">Sens!$K$6700</f>
        <v>4542.875</v>
      </c>
      <c r="Z6700" s="33" t="n">
        <f aca="false">Sens!$L$6700</f>
        <v>4542.875</v>
      </c>
      <c r="AA6700" s="33" t="n">
        <f aca="false">Sens!$M$6700</f>
        <v>4542.875</v>
      </c>
    </row>
    <row r="6701" customFormat="false" ht="17.15" hidden="false" customHeight="false" outlineLevel="0" collapsed="false">
      <c r="A6701" s="1" t="s">
        <v>559</v>
      </c>
    </row>
    <row r="6702" customFormat="false" ht="17.15" hidden="false" customHeight="false" outlineLevel="0" collapsed="false">
      <c r="A6702" s="0" t="s">
        <v>560</v>
      </c>
      <c r="B6702" s="0" t="s">
        <v>52</v>
      </c>
      <c r="F6702" s="35" t="n">
        <f aca="false">na_vr26</f>
        <v>0</v>
      </c>
      <c r="G6702" s="35" t="n">
        <f aca="false">na_vr26</f>
        <v>0</v>
      </c>
      <c r="H6702" s="35" t="n">
        <f aca="false">na_vr27</f>
        <v>0.5</v>
      </c>
      <c r="I6702" s="35" t="n">
        <f aca="false">na_vr28</f>
        <v>1</v>
      </c>
      <c r="J6702" s="35" t="n">
        <f aca="false">na_vr28</f>
        <v>1</v>
      </c>
      <c r="K6702" s="35" t="n">
        <f aca="false">na_vr28</f>
        <v>1</v>
      </c>
      <c r="L6702" s="35" t="n">
        <f aca="false">na_vr28</f>
        <v>1</v>
      </c>
      <c r="M6702" s="35" t="n">
        <f aca="false">na_vr28</f>
        <v>1</v>
      </c>
    </row>
    <row r="6703" customFormat="false" ht="17.15" hidden="false" customHeight="false" outlineLevel="0" collapsed="false">
      <c r="A6703" s="5" t="s">
        <v>561</v>
      </c>
      <c r="B6703" s="0" t="s">
        <v>151</v>
      </c>
      <c r="F6703" s="36" t="n">
        <f aca="false">cust_sh*tk_he_gb300*cf_chip+(1-cust_sh)*((1-Sens!$F$6702)*tk_he_gb300+Sens!$F$6702*tk_he_vr200)</f>
        <v>10.8864110021101</v>
      </c>
      <c r="G6703" s="36" t="n">
        <f aca="false">cust_sh*tk_he_gb300*cf_chip+(1-cust_sh)*((1-Sens!$G$6702)*tk_he_gb300+Sens!$G$6702*tk_he_vr200)</f>
        <v>10.8864110021101</v>
      </c>
      <c r="H6703" s="36" t="n">
        <f aca="false">cust_sh*tk_he_gb300*cf_chip+(1-cust_sh)*((1-Sens!$H$6702)*tk_he_gb300+Sens!$H$6702*tk_he_vr200)</f>
        <v>11.2211760027286</v>
      </c>
      <c r="I6703" s="36" t="n">
        <f aca="false">cust_sh*tk_he_gb300*cf_chip+(1-cust_sh)*((1-Sens!$I$6702)*tk_he_gb300+Sens!$I$6702*tk_he_vr200)</f>
        <v>11.5559410033471</v>
      </c>
      <c r="J6703" s="36" t="n">
        <f aca="false">cust_sh*tk_he_gb300*cf_chip+(1-cust_sh)*((1-Sens!$J$6702)*tk_he_gb300+Sens!$J$6702*tk_he_vr200)</f>
        <v>11.5559410033471</v>
      </c>
      <c r="K6703" s="36" t="n">
        <f aca="false">cust_sh*tk_he_gb300*cf_chip+(1-cust_sh)*((1-Sens!$K$6702)*tk_he_gb300+Sens!$K$6702*tk_he_vr200)</f>
        <v>11.5559410033471</v>
      </c>
      <c r="L6703" s="36" t="n">
        <f aca="false">cust_sh*tk_he_gb300*cf_chip+(1-cust_sh)*((1-Sens!$L$6702)*tk_he_gb300+Sens!$L$6702*tk_he_vr200)</f>
        <v>11.5559410033471</v>
      </c>
      <c r="M6703" s="36" t="n">
        <f aca="false">cust_sh*tk_he_gb300*cf_chip+(1-cust_sh)*((1-Sens!$M$6702)*tk_he_gb300+Sens!$M$6702*tk_he_vr200)</f>
        <v>11.5559410033471</v>
      </c>
    </row>
    <row r="6704" customFormat="false" ht="17.15" hidden="false" customHeight="false" outlineLevel="0" collapsed="false">
      <c r="A6704" s="5" t="s">
        <v>562</v>
      </c>
      <c r="B6704" s="0" t="s">
        <v>151</v>
      </c>
      <c r="F6704" s="36" t="n">
        <f aca="false">cust_sh*tk_ox_gb300+(1-cust_sh)*((1-Sens!$F$6702)*tk_ox_gb300+Sens!$F$6702*tk_ox_vr200)</f>
        <v>1.98263481314457</v>
      </c>
      <c r="G6704" s="36" t="n">
        <f aca="false">cust_sh*tk_ox_gb300+(1-cust_sh)*((1-Sens!$G$6702)*tk_ox_gb300+Sens!$G$6702*tk_ox_vr200)</f>
        <v>1.98263481314457</v>
      </c>
      <c r="H6704" s="36" t="n">
        <f aca="false">cust_sh*tk_ox_gb300+(1-cust_sh)*((1-Sens!$H$6702)*tk_ox_gb300+Sens!$H$6702*tk_ox_vr200)</f>
        <v>2.01034999693694</v>
      </c>
      <c r="I6704" s="36" t="n">
        <f aca="false">cust_sh*tk_ox_gb300+(1-cust_sh)*((1-Sens!$I$6702)*tk_ox_gb300+Sens!$I$6702*tk_ox_vr200)</f>
        <v>2.0380651807293</v>
      </c>
      <c r="J6704" s="36" t="n">
        <f aca="false">cust_sh*tk_ox_gb300+(1-cust_sh)*((1-Sens!$J$6702)*tk_ox_gb300+Sens!$J$6702*tk_ox_vr200)</f>
        <v>2.0380651807293</v>
      </c>
      <c r="K6704" s="36" t="n">
        <f aca="false">cust_sh*tk_ox_gb300+(1-cust_sh)*((1-Sens!$K$6702)*tk_ox_gb300+Sens!$K$6702*tk_ox_vr200)</f>
        <v>2.0380651807293</v>
      </c>
      <c r="L6704" s="36" t="n">
        <f aca="false">cust_sh*tk_ox_gb300+(1-cust_sh)*((1-Sens!$L$6702)*tk_ox_gb300+Sens!$L$6702*tk_ox_vr200)</f>
        <v>2.0380651807293</v>
      </c>
      <c r="M6704" s="36" t="n">
        <f aca="false">cust_sh*tk_ox_gb300+(1-cust_sh)*((1-Sens!$M$6702)*tk_ox_gb300+Sens!$M$6702*tk_ox_vr200)</f>
        <v>2.0380651807293</v>
      </c>
    </row>
    <row r="6705" customFormat="false" ht="17.15" hidden="false" customHeight="false" outlineLevel="0" collapsed="false">
      <c r="A6705" s="5" t="s">
        <v>563</v>
      </c>
      <c r="B6705" s="0" t="s">
        <v>170</v>
      </c>
      <c r="F6705" s="36" t="n">
        <f aca="false">cust_sh*tk_cx_gb300*cf_cx+(1-cust_sh)*((1-Sens!$F$6702)*tk_cx_gb300+Sens!$F$6702*tk_cx_vr200)</f>
        <v>32.237224</v>
      </c>
      <c r="G6705" s="36" t="n">
        <f aca="false">cust_sh*tk_cx_gb300*cf_cx+(1-cust_sh)*((1-Sens!$G$6702)*tk_cx_gb300+Sens!$G$6702*tk_cx_vr200)</f>
        <v>32.237224</v>
      </c>
      <c r="H6705" s="36" t="n">
        <f aca="false">cust_sh*tk_cx_gb300*cf_cx+(1-cust_sh)*((1-Sens!$H$6702)*tk_cx_gb300+Sens!$H$6702*tk_cx_vr200)</f>
        <v>33.574506</v>
      </c>
      <c r="I6705" s="36" t="n">
        <f aca="false">cust_sh*tk_cx_gb300*cf_cx+(1-cust_sh)*((1-Sens!$I$6702)*tk_cx_gb300+Sens!$I$6702*tk_cx_vr200)</f>
        <v>34.911788</v>
      </c>
      <c r="J6705" s="36" t="n">
        <f aca="false">cust_sh*tk_cx_gb300*cf_cx+(1-cust_sh)*((1-Sens!$J$6702)*tk_cx_gb300+Sens!$J$6702*tk_cx_vr200)</f>
        <v>34.911788</v>
      </c>
      <c r="K6705" s="36" t="n">
        <f aca="false">cust_sh*tk_cx_gb300*cf_cx+(1-cust_sh)*((1-Sens!$K$6702)*tk_cx_gb300+Sens!$K$6702*tk_cx_vr200)</f>
        <v>34.911788</v>
      </c>
      <c r="L6705" s="36" t="n">
        <f aca="false">cust_sh*tk_cx_gb300*cf_cx+(1-cust_sh)*((1-Sens!$L$6702)*tk_cx_gb300+Sens!$L$6702*tk_cx_vr200)</f>
        <v>34.911788</v>
      </c>
      <c r="M6705" s="36" t="n">
        <f aca="false">cust_sh*tk_cx_gb300*cf_cx+(1-cust_sh)*((1-Sens!$M$6702)*tk_cx_gb300+Sens!$M$6702*tk_cx_vr200)</f>
        <v>34.911788</v>
      </c>
    </row>
    <row r="6706" customFormat="false" ht="17.15" hidden="false" customHeight="false" outlineLevel="0" collapsed="false">
      <c r="A6706" s="5" t="s">
        <v>564</v>
      </c>
      <c r="B6706" s="0" t="s">
        <v>108</v>
      </c>
      <c r="F6706" s="33" t="n">
        <f aca="false">Sens!$F$6696-mw_open</f>
        <v>1817.15</v>
      </c>
      <c r="G6706" s="33" t="n">
        <f aca="false">Sens!$F$6706</f>
        <v>1817.15</v>
      </c>
      <c r="H6706" s="33" t="n">
        <f aca="false">Sens!$H$6696-mw_open</f>
        <v>5451.45</v>
      </c>
      <c r="I6706" s="33" t="n">
        <f aca="false">Sens!$I$6696-mw_open</f>
        <v>9085.75</v>
      </c>
      <c r="J6706" s="33" t="n">
        <f aca="false">Sens!$J$6696-mw_open</f>
        <v>12720.05</v>
      </c>
      <c r="K6706" s="33" t="n">
        <f aca="false">Sens!$K$6696-mw_open</f>
        <v>16354.35</v>
      </c>
      <c r="L6706" s="33" t="n">
        <f aca="false">Sens!$L$6696-mw_open</f>
        <v>19988.65</v>
      </c>
      <c r="M6706" s="33" t="n">
        <f aca="false">Sens!$M$6696-mw_open</f>
        <v>23622.95</v>
      </c>
    </row>
    <row r="6707" customFormat="false" ht="17.15" hidden="false" customHeight="false" outlineLevel="0" collapsed="false">
      <c r="A6707" s="0" t="s">
        <v>565</v>
      </c>
      <c r="B6707" s="0" t="s">
        <v>566</v>
      </c>
      <c r="F6707" s="33" t="n">
        <f aca="false">Sens!$F$6699*Sens!$F$6703</f>
        <v>19782.2417524844</v>
      </c>
      <c r="G6707" s="33" t="n">
        <f aca="false">Sens!$F$6707</f>
        <v>19782.2417524844</v>
      </c>
      <c r="H6707" s="33" t="n">
        <f aca="false">Sens!$G$6707+Sens!$H$6699*Sens!$H$6703</f>
        <v>60563.3616992009</v>
      </c>
      <c r="I6707" s="33" t="n">
        <f aca="false">Sens!$H$6707+Sens!$I$6699*Sens!$I$6703</f>
        <v>102561.118087665</v>
      </c>
      <c r="J6707" s="33" t="n">
        <f aca="false">Sens!$I$6707+Sens!$J$6699*Sens!$J$6703</f>
        <v>144558.87447613</v>
      </c>
      <c r="K6707" s="33" t="n">
        <f aca="false">Sens!$J$6707+Sens!$K$6699*Sens!$K$6703</f>
        <v>186556.630864594</v>
      </c>
      <c r="L6707" s="33" t="n">
        <f aca="false">Sens!$K$6707+Sens!$L$6699*Sens!$L$6703</f>
        <v>228554.387253058</v>
      </c>
      <c r="M6707" s="33" t="n">
        <f aca="false">Sens!$L$6707+Sens!$M$6699*Sens!$M$6703</f>
        <v>270552.143641523</v>
      </c>
    </row>
    <row r="6708" customFormat="false" ht="17.15" hidden="false" customHeight="false" outlineLevel="0" collapsed="false">
      <c r="A6708" s="0" t="s">
        <v>567</v>
      </c>
      <c r="B6708" s="0" t="s">
        <v>566</v>
      </c>
      <c r="F6708" s="33" t="n">
        <f aca="false">Sens!$F$6699*Sens!$F$6704</f>
        <v>3602.74485070566</v>
      </c>
      <c r="G6708" s="33" t="n">
        <f aca="false">Sens!$F$6708</f>
        <v>3602.74485070566</v>
      </c>
      <c r="H6708" s="33" t="n">
        <f aca="false">Sens!$G$6708+Sens!$H$6699*Sens!$H$6704</f>
        <v>10908.9598445736</v>
      </c>
      <c r="I6708" s="33" t="n">
        <f aca="false">Sens!$H$6708+Sens!$I$6699*Sens!$I$6704</f>
        <v>18315.9001308981</v>
      </c>
      <c r="J6708" s="33" t="n">
        <f aca="false">Sens!$I$6708+Sens!$J$6699*Sens!$J$6704</f>
        <v>25722.8404172225</v>
      </c>
      <c r="K6708" s="33" t="n">
        <f aca="false">Sens!$J$6708+Sens!$K$6699*Sens!$K$6704</f>
        <v>33129.780703547</v>
      </c>
      <c r="L6708" s="33" t="n">
        <f aca="false">Sens!$K$6708+Sens!$L$6699*Sens!$L$6704</f>
        <v>40536.7209898715</v>
      </c>
      <c r="M6708" s="33" t="n">
        <f aca="false">Sens!$L$6708+Sens!$M$6699*Sens!$M$6704</f>
        <v>47943.661276196</v>
      </c>
    </row>
    <row r="6709" customFormat="false" ht="17.15" hidden="false" customHeight="false" outlineLevel="0" collapsed="false">
      <c r="A6709" s="5" t="s">
        <v>568</v>
      </c>
      <c r="B6709" s="0" t="s">
        <v>151</v>
      </c>
      <c r="F6709" s="36" t="n">
        <f aca="false">IF(Sens!$F$6706&gt;0,Sens!$F$6707/Sens!$F$6706,Sens!$F$6703)</f>
        <v>10.8864110021101</v>
      </c>
      <c r="G6709" s="36" t="n">
        <f aca="false">IF(Sens!$G$6706&gt;0,Sens!$G$6707/Sens!$G$6706,Sens!$G$6703)</f>
        <v>10.8864110021101</v>
      </c>
      <c r="H6709" s="36" t="n">
        <f aca="false">IF(Sens!$H$6706&gt;0,Sens!$H$6707/Sens!$H$6706,Sens!$H$6703)</f>
        <v>11.1095876691891</v>
      </c>
      <c r="I6709" s="36" t="n">
        <f aca="false">IF(Sens!$I$6706&gt;0,Sens!$I$6707/Sens!$I$6706,Sens!$I$6703)</f>
        <v>11.2881290028523</v>
      </c>
      <c r="J6709" s="36" t="n">
        <f aca="false">IF(Sens!$J$6706&gt;0,Sens!$J$6707/Sens!$J$6706,Sens!$J$6703)</f>
        <v>11.3646467172794</v>
      </c>
      <c r="K6709" s="36" t="n">
        <f aca="false">IF(Sens!$K$6706&gt;0,Sens!$K$6707/Sens!$K$6706,Sens!$K$6703)</f>
        <v>11.4071565586278</v>
      </c>
      <c r="L6709" s="36" t="n">
        <f aca="false">IF(Sens!$L$6706&gt;0,Sens!$L$6707/Sens!$L$6706,Sens!$L$6703)</f>
        <v>11.4342082758495</v>
      </c>
      <c r="M6709" s="36" t="n">
        <f aca="false">IF(Sens!$M$6706&gt;0,Sens!$M$6707/Sens!$M$6706,Sens!$M$6703)</f>
        <v>11.4529363877722</v>
      </c>
    </row>
    <row r="6710" customFormat="false" ht="17.15" hidden="false" customHeight="false" outlineLevel="0" collapsed="false">
      <c r="A6710" s="5" t="s">
        <v>569</v>
      </c>
      <c r="B6710" s="0" t="s">
        <v>151</v>
      </c>
      <c r="F6710" s="36" t="n">
        <f aca="false">IF(Sens!$F$6706&gt;0,Sens!$F$6708/Sens!$F$6706,Sens!$F$6704)</f>
        <v>1.98263481314457</v>
      </c>
      <c r="G6710" s="36" t="n">
        <f aca="false">IF(Sens!$G$6706&gt;0,Sens!$G$6708/Sens!$G$6706,Sens!$G$6704)</f>
        <v>1.98263481314457</v>
      </c>
      <c r="H6710" s="36" t="n">
        <f aca="false">IF(Sens!$H$6706&gt;0,Sens!$H$6708/Sens!$H$6706,Sens!$H$6704)</f>
        <v>2.00111160233948</v>
      </c>
      <c r="I6710" s="36" t="n">
        <f aca="false">IF(Sens!$I$6706&gt;0,Sens!$I$6708/Sens!$I$6706,Sens!$I$6704)</f>
        <v>2.01589303369541</v>
      </c>
      <c r="J6710" s="36" t="n">
        <f aca="false">IF(Sens!$J$6706&gt;0,Sens!$J$6708/Sens!$J$6706,Sens!$J$6704)</f>
        <v>2.02222793284795</v>
      </c>
      <c r="K6710" s="36" t="n">
        <f aca="false">IF(Sens!$K$6706&gt;0,Sens!$K$6708/Sens!$K$6706,Sens!$K$6704)</f>
        <v>2.02574732126603</v>
      </c>
      <c r="L6710" s="36" t="n">
        <f aca="false">IF(Sens!$L$6706&gt;0,Sens!$L$6708/Sens!$L$6706,Sens!$L$6704)</f>
        <v>2.02798693207753</v>
      </c>
      <c r="M6710" s="36" t="n">
        <f aca="false">IF(Sens!$M$6706&gt;0,Sens!$M$6708/Sens!$M$6706,Sens!$M$6704)</f>
        <v>2.02953743187011</v>
      </c>
    </row>
    <row r="6711" customFormat="false" ht="17.15" hidden="false" customHeight="false" outlineLevel="0" collapsed="false">
      <c r="A6711" s="14" t="s">
        <v>570</v>
      </c>
      <c r="B6711" s="13" t="s">
        <v>151</v>
      </c>
      <c r="C6711" s="13"/>
      <c r="D6711" s="13"/>
      <c r="E6711" s="13"/>
      <c r="F6711" s="37" t="n">
        <f aca="false">Sens!$F$6709*k_B</f>
        <v>10.7987645808025</v>
      </c>
      <c r="G6711" s="37" t="n">
        <f aca="false">Sens!$G$6709*k_B</f>
        <v>10.7987645808025</v>
      </c>
      <c r="H6711" s="37" t="n">
        <f aca="false">Sens!$H$6709*k_B</f>
        <v>11.0201444540452</v>
      </c>
      <c r="I6711" s="37" t="n">
        <f aca="false">Sens!$I$6709*k_B</f>
        <v>11.1972483526393</v>
      </c>
      <c r="J6711" s="37" t="n">
        <f aca="false">Sens!$J$6709*k_B</f>
        <v>11.2731500234653</v>
      </c>
      <c r="K6711" s="37" t="n">
        <f aca="false">Sens!$K$6709*k_B</f>
        <v>11.3153176183687</v>
      </c>
      <c r="L6711" s="37" t="n">
        <f aca="false">Sens!$L$6709*k_B</f>
        <v>11.3421515423981</v>
      </c>
      <c r="M6711" s="37" t="n">
        <f aca="false">Sens!$M$6709*k_B</f>
        <v>11.3607288744184</v>
      </c>
      <c r="N6711" s="13"/>
      <c r="O6711" s="13"/>
      <c r="P6711" s="5" t="s">
        <v>571</v>
      </c>
    </row>
    <row r="6712" customFormat="false" ht="17.15" hidden="false" customHeight="false" outlineLevel="0" collapsed="false">
      <c r="A6712" s="5" t="s">
        <v>572</v>
      </c>
      <c r="B6712" s="0" t="s">
        <v>108</v>
      </c>
      <c r="F6712" s="33" t="n">
        <f aca="false">Sens!$F$6706/2</f>
        <v>908.575</v>
      </c>
      <c r="H6712" s="33" t="n">
        <f aca="false">(Sens!$G$6706+Sens!$H$6706)/2</f>
        <v>3634.3</v>
      </c>
      <c r="I6712" s="33" t="n">
        <f aca="false">(Sens!$H$6706+Sens!$I$6706)/2</f>
        <v>7268.6</v>
      </c>
      <c r="J6712" s="33" t="n">
        <f aca="false">(Sens!$I$6706+Sens!$J$6706)/2</f>
        <v>10902.9</v>
      </c>
      <c r="K6712" s="33" t="n">
        <f aca="false">(Sens!$J$6706+Sens!$K$6706)/2</f>
        <v>14537.2</v>
      </c>
      <c r="L6712" s="33" t="n">
        <f aca="false">(Sens!$K$6706+Sens!$L$6706)/2</f>
        <v>18171.5</v>
      </c>
      <c r="M6712" s="33" t="n">
        <f aca="false">(Sens!$L$6706+Sens!$M$6706)/2</f>
        <v>21805.8</v>
      </c>
    </row>
    <row r="6713" customFormat="false" ht="17.15" hidden="false" customHeight="false" outlineLevel="0" collapsed="false">
      <c r="A6713" s="1" t="s">
        <v>573</v>
      </c>
    </row>
    <row r="6714" customFormat="false" ht="17.15" hidden="false" customHeight="false" outlineLevel="0" collapsed="false">
      <c r="A6714" s="1" t="s">
        <v>574</v>
      </c>
      <c r="B6714" s="8" t="s">
        <v>73</v>
      </c>
      <c r="C6714" s="38" t="n">
        <f aca="false">Sens!$C$6697*rpm_open*Sens!$C$6698/1000</f>
        <v>2.32100535697364</v>
      </c>
      <c r="D6714" s="38" t="n">
        <f aca="false">Sens!$D$6697*rpm_open*Sens!$D$6698/1000</f>
        <v>8.70377008865116</v>
      </c>
      <c r="E6714" s="38" t="n">
        <f aca="false">Sens!$E$6697*rpm_open*Sens!$E$6698/1000</f>
        <v>8.51035297557002</v>
      </c>
      <c r="F6714" s="38" t="n">
        <f aca="false">(mw_open*rpm_open+Sens!$F$6712*Sens!$F$6711)*Sens!$F$6698/1000</f>
        <v>14.9634336447205</v>
      </c>
      <c r="G6714" s="38" t="n">
        <f aca="false">Sens!$E$6714+Sens!$F$6714</f>
        <v>23.4737866202905</v>
      </c>
      <c r="H6714" s="38" t="n">
        <f aca="false">(mw_open*rpm_open+Sens!$H$6712*Sens!$H$6711)/1000</f>
        <v>60.1658907497746</v>
      </c>
      <c r="I6714" s="38" t="n">
        <f aca="false">(mw_open*rpm_open+Sens!$I$6712*Sens!$I$6711)/1000</f>
        <v>101.503699136432</v>
      </c>
      <c r="J6714" s="38" t="n">
        <f aca="false">(mw_open*rpm_open+Sens!$J$6712*Sens!$J$6711)/1000</f>
        <v>143.025407151278</v>
      </c>
      <c r="K6714" s="38" t="n">
        <f aca="false">(mw_open*rpm_open+Sens!$K$6712*Sens!$K$6711)/1000</f>
        <v>184.608415042187</v>
      </c>
      <c r="L6714" s="38" t="n">
        <f aca="false">(mw_open*rpm_open+Sens!$L$6712*Sens!$L$6711)/1000</f>
        <v>226.219286513125</v>
      </c>
      <c r="M6714" s="38" t="n">
        <f aca="false">(mw_open*rpm_open+Sens!$M$6712*Sens!$M$6711)/1000</f>
        <v>267.845161450232</v>
      </c>
      <c r="N6714" s="38" t="n">
        <f aca="false">Sens!$N$6697*rpm_open*Sens!$N$6698/1000</f>
        <v>3.04631953102791</v>
      </c>
      <c r="O6714" s="38" t="n">
        <f aca="false">Sens!$O$6697*rpm_open*Sens!$O$6698/1000</f>
        <v>5.65745055762326</v>
      </c>
      <c r="P6714" s="5" t="s">
        <v>575</v>
      </c>
    </row>
    <row r="6715" customFormat="false" ht="17.15" hidden="false" customHeight="false" outlineLevel="0" collapsed="false">
      <c r="A6715" s="5" t="s">
        <v>576</v>
      </c>
      <c r="B6715" s="0" t="s">
        <v>151</v>
      </c>
      <c r="C6715" s="36" t="n">
        <f aca="false">Sens!$C$6714*1000/(Sens!$C$6697*Sens!$C$6698)</f>
        <v>9.67085565405685</v>
      </c>
      <c r="D6715" s="36" t="n">
        <f aca="false">Sens!$D$6714*1000/(Sens!$D$6697*Sens!$D$6698)</f>
        <v>9.67085565405685</v>
      </c>
      <c r="E6715" s="36" t="n">
        <f aca="false">Sens!$E$6714*1000/(Sens!$E$6697*Sens!$E$6698)</f>
        <v>9.67085565405685</v>
      </c>
      <c r="F6715" s="36" t="n">
        <f aca="false">Sens!$F$6714*1000/(Sens!$F$6697*Sens!$F$6698)</f>
        <v>10.0137581588017</v>
      </c>
      <c r="G6715" s="36" t="n">
        <f aca="false">Sens!$G$6714*1000/(Sens!$G$6697*Sens!$G$6698)</f>
        <v>9.88666562928478</v>
      </c>
      <c r="H6715" s="36" t="n">
        <f aca="false">Sens!$H$6714*1000/(Sens!$H$6697*Sens!$H$6698)</f>
        <v>10.5290045586992</v>
      </c>
      <c r="I6715" s="36" t="n">
        <f aca="false">Sens!$I$6714*1000/(Sens!$I$6697*Sens!$I$6698)</f>
        <v>10.8576363451674</v>
      </c>
      <c r="J6715" s="36" t="n">
        <f aca="false">Sens!$J$6714*1000/(Sens!$J$6697*Sens!$J$6698)</f>
        <v>11.0164452588619</v>
      </c>
      <c r="K6715" s="36" t="n">
        <f aca="false">Sens!$K$6714*1000/(Sens!$K$6697*Sens!$K$6698)</f>
        <v>11.1094778327388</v>
      </c>
      <c r="L6715" s="36" t="n">
        <f aca="false">Sens!$L$6714*1000/(Sens!$L$6697*Sens!$L$6698)</f>
        <v>11.1704953466718</v>
      </c>
      <c r="M6715" s="36" t="n">
        <f aca="false">Sens!$M$6714*1000/(Sens!$M$6697*Sens!$M$6698)</f>
        <v>11.2135729785158</v>
      </c>
      <c r="N6715" s="36" t="n">
        <f aca="false">Sens!$N$6714*1000/(Sens!$N$6697*Sens!$N$6698)</f>
        <v>9.67085565405685</v>
      </c>
      <c r="O6715" s="36" t="n">
        <f aca="false">Sens!$O$6714*1000/(Sens!$O$6697*Sens!$O$6698)</f>
        <v>9.67085565405685</v>
      </c>
    </row>
    <row r="6716" customFormat="false" ht="17.15" hidden="false" customHeight="false" outlineLevel="0" collapsed="false">
      <c r="A6716" s="0" t="s">
        <v>577</v>
      </c>
      <c r="B6716" s="0" t="s">
        <v>73</v>
      </c>
      <c r="C6716" s="38" t="n">
        <f aca="false">Sens!$C$6697/ext_sh*(ox_open+rent_mw)*Sens!$C$6698/1000</f>
        <v>0.642569210675032</v>
      </c>
      <c r="D6716" s="38" t="n">
        <f aca="false">Sens!$D$6697/ext_sh*(ox_open+rent_mw)*Sens!$D$6698/1000</f>
        <v>2.40963454003137</v>
      </c>
      <c r="E6716" s="38" t="n">
        <f aca="false">Sens!$E$6697/ext_sh*(ox_open+rent_mw)*Sens!$E$6698/1000</f>
        <v>2.35608710580845</v>
      </c>
      <c r="F6716" s="38" t="n">
        <f aca="false">((mw_open*ox_open+Sens!$F$6712*Sens!$F$6710)/ext_sh+Sens!$F$6697/ext_sh*rent_mw)*Sens!$F$6698/1000</f>
        <v>4.05421991106232</v>
      </c>
      <c r="G6716" s="38" t="n">
        <f aca="false">Sens!$E$6716+Sens!$F$6716</f>
        <v>6.41030701687077</v>
      </c>
      <c r="H6716" s="38" t="n">
        <f aca="false">((mw_open*ox_open+Sens!$H$6712*Sens!$H$6710)/ext_sh+Sens!$H$6697/ext_sh*rent_mw)*Sens!$H$6698/1000</f>
        <v>15.8108975546616</v>
      </c>
      <c r="I6716" s="38" t="n">
        <f aca="false">((mw_open*ox_open+Sens!$I$6712*Sens!$I$6710)/ext_sh+Sens!$I$6697/ext_sh*rent_mw)*Sens!$I$6698/1000</f>
        <v>26.1871623400817</v>
      </c>
      <c r="J6716" s="38" t="n">
        <f aca="false">((mw_open*ox_open+Sens!$J$6712*Sens!$J$6710)/ext_sh+Sens!$J$6697/ext_sh*rent_mw)*Sens!$J$6698/1000</f>
        <v>36.5826128954935</v>
      </c>
      <c r="K6716" s="38" t="n">
        <f aca="false">((mw_open*ox_open+Sens!$K$6712*Sens!$K$6710)/ext_sh+Sens!$K$6697/ext_sh*rent_mw)*Sens!$K$6698/1000</f>
        <v>46.9844587075692</v>
      </c>
      <c r="L6716" s="38" t="n">
        <f aca="false">((mw_open*ox_open+Sens!$L$6712*Sens!$L$6710)/ext_sh+Sens!$L$6697/ext_sh*rent_mw)*Sens!$L$6698/1000</f>
        <v>57.3892114544922</v>
      </c>
      <c r="M6716" s="38" t="n">
        <f aca="false">((mw_open*ox_open+Sens!$M$6712*Sens!$M$6710)/ext_sh+Sens!$M$6697/ext_sh*rent_mw)*Sens!$M$6698/1000</f>
        <v>67.7955294740252</v>
      </c>
      <c r="N6716" s="38" t="n">
        <f aca="false">Sens!$N$6697/ext_sh*(ox_open+rent_mw)*Sens!$N$6698/1000</f>
        <v>0.84337208901098</v>
      </c>
      <c r="O6716" s="38" t="n">
        <f aca="false">Sens!$O$6697/ext_sh*(ox_open+rent_mw)*Sens!$O$6698/1000</f>
        <v>1.56626245102039</v>
      </c>
    </row>
    <row r="6717" customFormat="false" ht="17.15" hidden="false" customHeight="false" outlineLevel="0" collapsed="false">
      <c r="A6717" s="0" t="s">
        <v>578</v>
      </c>
      <c r="B6717" s="0" t="s">
        <v>73</v>
      </c>
      <c r="C6717" s="38" t="n">
        <f aca="false">Q!$D$7</f>
        <v>107.556</v>
      </c>
      <c r="D6717" s="38" t="n">
        <f aca="false">Q!$E$7</f>
        <v>128.725</v>
      </c>
      <c r="E6717" s="38" t="n">
        <f aca="false">Q!$P$7</f>
        <v>79.819</v>
      </c>
      <c r="N6717" s="38" t="n">
        <f aca="false">Q!$N$7</f>
        <v>60.14</v>
      </c>
      <c r="O6717" s="38" t="n">
        <f aca="false">Q!$O$7</f>
        <v>68.585</v>
      </c>
    </row>
    <row r="6718" customFormat="false" ht="17.15" hidden="false" customHeight="false" outlineLevel="0" collapsed="false">
      <c r="A6718" s="1" t="s">
        <v>579</v>
      </c>
      <c r="B6718" s="8" t="s">
        <v>73</v>
      </c>
      <c r="C6718" s="38" t="n">
        <f aca="false">Sens!$C$6717-Sens!$C$6714</f>
        <v>105.234994643026</v>
      </c>
      <c r="D6718" s="38" t="n">
        <f aca="false">Sens!$D$6717-Sens!$D$6714</f>
        <v>120.021229911349</v>
      </c>
      <c r="E6718" s="38" t="n">
        <f aca="false">Sens!$E$6717-Sens!$E$6714</f>
        <v>71.30864702443</v>
      </c>
      <c r="F6718" s="38" t="n">
        <f aca="false">Sens!$O$6718*(1+Sens!$F$6719)</f>
        <v>78.5950104186653</v>
      </c>
      <c r="G6718" s="38" t="n">
        <f aca="false">Sens!$E$6718+Sens!$F$6718</f>
        <v>149.903657443095</v>
      </c>
      <c r="H6718" s="38" t="n">
        <f aca="false">Sens!$G$6718*(1+Sens!$H$6719)</f>
        <v>180.893560768142</v>
      </c>
      <c r="I6718" s="38" t="n">
        <f aca="false">Sens!$H$6718*(1+Sens!$I$6719)</f>
        <v>210.64839721501</v>
      </c>
      <c r="J6718" s="38" t="n">
        <f aca="false">Sens!$I$6718*(1+Sens!$J$6719)</f>
        <v>236.398909446495</v>
      </c>
      <c r="K6718" s="38" t="n">
        <f aca="false">Sens!$J$6718*(1+Sens!$K$6719)</f>
        <v>255.310822202215</v>
      </c>
      <c r="L6718" s="38" t="n">
        <f aca="false">Sens!$K$6718*(1+Sens!$L$6719)</f>
        <v>275.735687978392</v>
      </c>
      <c r="M6718" s="38" t="n">
        <f aca="false">Sens!$L$6718*(1+Sens!$M$6719)</f>
        <v>297.794543016663</v>
      </c>
      <c r="N6718" s="38" t="n">
        <f aca="false">Sens!$N$6717-Sens!$N$6714</f>
        <v>57.0936804689721</v>
      </c>
      <c r="O6718" s="38" t="n">
        <f aca="false">Sens!$O$6717-Sens!$O$6714</f>
        <v>62.9275494423768</v>
      </c>
      <c r="P6718" s="5" t="s">
        <v>580</v>
      </c>
    </row>
    <row r="6719" customFormat="false" ht="17.15" hidden="false" customHeight="false" outlineLevel="0" collapsed="false">
      <c r="A6719" s="0" t="s">
        <v>581</v>
      </c>
      <c r="B6719" s="0" t="s">
        <v>52</v>
      </c>
      <c r="E6719" s="12" t="n">
        <f aca="false">Sens!$E$6718/Sens!$N$6718-1</f>
        <v>0.248976181579029</v>
      </c>
      <c r="F6719" s="12" t="n">
        <f aca="false">Sens!$E$6719</f>
        <v>0.248976181579029</v>
      </c>
      <c r="G6719" s="12" t="n">
        <f aca="false">Sens!$G$6718/Sens!$D$6718-1</f>
        <v>0.248976181579029</v>
      </c>
      <c r="H6719" s="12" t="n">
        <f aca="false">Sens!$E$6719+(g_awso_lt-Sens!$E$6719)*1/4</f>
        <v>0.206732136184272</v>
      </c>
      <c r="I6719" s="12" t="n">
        <f aca="false">Sens!$E$6719+(g_awso_lt-Sens!$E$6719)*2/4</f>
        <v>0.164488090789515</v>
      </c>
      <c r="J6719" s="12" t="n">
        <f aca="false">Sens!$E$6719+(g_awso_lt-Sens!$E$6719)*3/4</f>
        <v>0.122244045394757</v>
      </c>
      <c r="K6719" s="12" t="n">
        <f aca="false">Sens!$E$6719+(g_awso_lt-Sens!$E$6719)*4/4</f>
        <v>0.08</v>
      </c>
      <c r="L6719" s="12" t="n">
        <f aca="false">g_awso_lt</f>
        <v>0.08</v>
      </c>
      <c r="M6719" s="12" t="n">
        <f aca="false">g_awso_lt</f>
        <v>0.08</v>
      </c>
      <c r="P6719" s="8" t="s">
        <v>582</v>
      </c>
    </row>
    <row r="6720" customFormat="false" ht="17.15" hidden="false" customHeight="false" outlineLevel="0" collapsed="false">
      <c r="A6720" s="1" t="s">
        <v>583</v>
      </c>
    </row>
    <row r="6721" customFormat="false" ht="17.15" hidden="false" customHeight="false" outlineLevel="0" collapsed="false">
      <c r="A6721" s="0" t="s">
        <v>584</v>
      </c>
      <c r="B6721" s="0" t="s">
        <v>73</v>
      </c>
      <c r="F6721" s="38" t="n">
        <f aca="false">cx_rt*Sens!$F$6687+cx_awso*Sens!$F$6718</f>
        <v>36.8045765066526</v>
      </c>
    </row>
    <row r="6722" customFormat="false" ht="17.15" hidden="false" customHeight="false" outlineLevel="0" collapsed="false">
      <c r="A6722" s="0" t="s">
        <v>585</v>
      </c>
      <c r="B6722" s="0" t="s">
        <v>52</v>
      </c>
      <c r="C6722" s="12" t="n">
        <f aca="false">tk_cx_h100/(tk_cx_h100+tk_fac*(1-colo_sh))</f>
        <v>0.730756458006641</v>
      </c>
      <c r="D6722" s="12" t="n">
        <f aca="false">tk_cx_h100/(tk_cx_h100+tk_fac*(1-colo_sh))</f>
        <v>0.730756458006641</v>
      </c>
      <c r="E6722" s="12" t="n">
        <f aca="false">Sens!$F$6722</f>
        <v>0.760792334328868</v>
      </c>
      <c r="F6722" s="12" t="n">
        <f aca="false">Sens!$F$6705/(Sens!$F$6705+tk_fac*(1-colo_sh))</f>
        <v>0.760792334328868</v>
      </c>
      <c r="G6722" s="12" t="n">
        <f aca="false">Sens!$G$6705/(Sens!$G$6705+tk_fac*(1-colo_sh))</f>
        <v>0.760792334328868</v>
      </c>
      <c r="H6722" s="12" t="n">
        <f aca="false">Sens!$H$6705/(Sens!$H$6705+tk_fac*(1-colo_sh))</f>
        <v>0.768110668862996</v>
      </c>
      <c r="I6722" s="12" t="n">
        <f aca="false">Sens!$I$6705/(Sens!$I$6705+tk_fac*(1-colo_sh))</f>
        <v>0.77499450139483</v>
      </c>
      <c r="J6722" s="12" t="n">
        <f aca="false">Sens!$J$6705/(Sens!$J$6705+tk_fac*(1-colo_sh))</f>
        <v>0.77499450139483</v>
      </c>
      <c r="K6722" s="12" t="n">
        <f aca="false">Sens!$K$6705/(Sens!$K$6705+tk_fac*(1-colo_sh))</f>
        <v>0.77499450139483</v>
      </c>
      <c r="L6722" s="12" t="n">
        <f aca="false">Sens!$L$6705/(Sens!$L$6705+tk_fac*(1-colo_sh))</f>
        <v>0.77499450139483</v>
      </c>
      <c r="M6722" s="12" t="n">
        <f aca="false">Sens!$M$6705/(Sens!$M$6705+tk_fac*(1-colo_sh))</f>
        <v>0.77499450139483</v>
      </c>
    </row>
    <row r="6723" customFormat="false" ht="17.15" hidden="false" customHeight="false" outlineLevel="0" collapsed="false">
      <c r="A6723" s="1" t="s">
        <v>586</v>
      </c>
      <c r="B6723" s="8" t="s">
        <v>73</v>
      </c>
      <c r="C6723" s="38" t="n">
        <f aca="false">Q!$D$46-cx_rt*Q!$D$16-cx_awso*Sens!$C$6718</f>
        <v>25.2781053077374</v>
      </c>
      <c r="D6723" s="38" t="n">
        <f aca="false">Q!$E$46-cx_rt*Q!$E$16-cx_awso*Sens!$D$6718</f>
        <v>69.5686316310026</v>
      </c>
      <c r="E6723" s="38" t="n">
        <f aca="false">Q!$P$46-cx_rt*Q!$P$16-cx_awso*Sens!$E$6718</f>
        <v>64.1899206485108</v>
      </c>
      <c r="F6723" s="38" t="n">
        <f aca="false">MAX(Sens!$F$6700*(Sens!$F$6705+tk_fac*(1-colo_sh))/1000,capex_g26-Q!$P$46-Sens!$F$6721)</f>
        <v>96.2481299895</v>
      </c>
      <c r="G6723" s="38" t="n">
        <f aca="false">Sens!$E$6723+Sens!$F$6723</f>
        <v>160.438050638011</v>
      </c>
      <c r="H6723" s="38" t="n">
        <f aca="false">Sens!$H$6700*(Sens!$H$6705+tk_fac*(1-colo_sh))/1000+Sens!$H$6724</f>
        <v>198.57136494475</v>
      </c>
      <c r="I6723" s="38" t="n">
        <f aca="false">Sens!$I$6700*(Sens!$I$6705+tk_fac*(1-colo_sh))/1000+Sens!$I$6724</f>
        <v>204.6464699105</v>
      </c>
      <c r="J6723" s="38" t="n">
        <f aca="false">Sens!$J$6700*(Sens!$J$6705+tk_fac*(1-colo_sh))/1000+Sens!$J$6724</f>
        <v>209.8832381105</v>
      </c>
      <c r="K6723" s="38" t="n">
        <f aca="false">Sens!$K$6700*(Sens!$K$6705+tk_fac*(1-colo_sh))/1000+Sens!$K$6724</f>
        <v>215.1200063105</v>
      </c>
      <c r="L6723" s="38" t="n">
        <f aca="false">Sens!$L$6700*(Sens!$L$6705+tk_fac*(1-colo_sh))/1000+Sens!$L$6724</f>
        <v>251.7773837105</v>
      </c>
      <c r="M6723" s="38" t="n">
        <f aca="false">Sens!$M$6700*(Sens!$M$6705+tk_fac*(1-colo_sh))/1000+Sens!$M$6724</f>
        <v>311.87584476575</v>
      </c>
      <c r="P6723" s="5" t="s">
        <v>587</v>
      </c>
      <c r="R6723" s="38" t="n">
        <f aca="false">Q!$C$46-cx_rt*Q!$C$16-cx_awso*(Q!$C$7-mw_ye23/2*rpm_open/1000)</f>
        <v>1.50429979529945</v>
      </c>
      <c r="S6723" s="38" t="n">
        <f aca="false">Sens!$C$6723</f>
        <v>25.2781053077374</v>
      </c>
      <c r="T6723" s="38" t="n">
        <f aca="false">Sens!$D$6723</f>
        <v>69.5686316310026</v>
      </c>
      <c r="U6723" s="38" t="n">
        <f aca="false">Sens!$G$6723</f>
        <v>160.438050638011</v>
      </c>
      <c r="V6723" s="38" t="n">
        <f aca="false">Sens!$H$6723</f>
        <v>198.57136494475</v>
      </c>
      <c r="W6723" s="38" t="n">
        <f aca="false">Sens!$I$6723</f>
        <v>204.6464699105</v>
      </c>
      <c r="X6723" s="38" t="n">
        <f aca="false">Sens!$J$6723</f>
        <v>209.8832381105</v>
      </c>
      <c r="Y6723" s="38" t="n">
        <f aca="false">Sens!$K$6723</f>
        <v>215.1200063105</v>
      </c>
      <c r="Z6723" s="38" t="n">
        <f aca="false">Sens!$L$6723</f>
        <v>251.7773837105</v>
      </c>
      <c r="AA6723" s="38" t="n">
        <f aca="false">Sens!$M$6723</f>
        <v>311.87584476575</v>
      </c>
    </row>
    <row r="6724" customFormat="false" ht="17.15" hidden="false" customHeight="false" outlineLevel="0" collapsed="false">
      <c r="A6724" s="0" t="s">
        <v>588</v>
      </c>
      <c r="B6724" s="0" t="s">
        <v>73</v>
      </c>
      <c r="H6724" s="38" t="n">
        <f aca="false">SUMPRODUCT(--(Sens!$R$6694:$AA$6694=2027-tk_life),Sens!$R$6700:$AA$6700)*Sens!$H$6705/1000</f>
        <v>0</v>
      </c>
      <c r="I6724" s="38" t="n">
        <f aca="false">SUMPRODUCT(--(Sens!$R$6694:$AA$6694=2028-tk_life),Sens!$R$6700:$AA$6700)*Sens!$I$6705/1000</f>
        <v>0</v>
      </c>
      <c r="J6724" s="38" t="n">
        <f aca="false">SUMPRODUCT(--(Sens!$R$6694:$AA$6694=2029-tk_life),Sens!$R$6700:$AA$6700)*Sens!$J$6705/1000</f>
        <v>5.2367682</v>
      </c>
      <c r="K6724" s="38" t="n">
        <f aca="false">SUMPRODUCT(--(Sens!$R$6694:$AA$6694=2030-tk_life),Sens!$R$6700:$AA$6700)*Sens!$K$6705/1000</f>
        <v>10.4735364</v>
      </c>
      <c r="L6724" s="38" t="n">
        <f aca="false">SUMPRODUCT(--(Sens!$R$6694:$AA$6694=2031-tk_life),Sens!$R$6700:$AA$6700)*Sens!$L$6705/1000</f>
        <v>47.1309138</v>
      </c>
      <c r="M6724" s="38" t="n">
        <f aca="false">SUMPRODUCT(--(Sens!$R$6694:$AA$6694=2032-tk_life),Sens!$R$6700:$AA$6700)*Sens!$M$6705/1000</f>
        <v>107.22937485525</v>
      </c>
    </row>
    <row r="6725" customFormat="false" ht="17.15" hidden="false" customHeight="false" outlineLevel="0" collapsed="false">
      <c r="A6725" s="5" t="s">
        <v>589</v>
      </c>
      <c r="B6725" s="0" t="s">
        <v>73</v>
      </c>
      <c r="C6725" s="38" t="n">
        <f aca="false">Sens!$C$6723*Sens!$C$6722</f>
        <v>18.472138699801</v>
      </c>
      <c r="D6725" s="38" t="n">
        <f aca="false">Sens!$D$6723*Sens!$D$6722</f>
        <v>50.8377268390402</v>
      </c>
      <c r="E6725" s="38" t="n">
        <f aca="false">Sens!$E$6723*Sens!$E$6722</f>
        <v>48.8351995705653</v>
      </c>
      <c r="F6725" s="38" t="n">
        <f aca="false">Sens!$F$6723*Sens!$F$6722</f>
        <v>73.2248394895</v>
      </c>
      <c r="G6725" s="38" t="n">
        <f aca="false">Sens!$E$6725+Sens!$F$6725</f>
        <v>122.060039060065</v>
      </c>
      <c r="H6725" s="38" t="n">
        <f aca="false">(Sens!$H$6723-Sens!$H$6724)*Sens!$H$6722+Sens!$H$6724</f>
        <v>152.52478394475</v>
      </c>
      <c r="I6725" s="38" t="n">
        <f aca="false">(Sens!$I$6723-Sens!$I$6724)*Sens!$I$6722+Sens!$I$6724</f>
        <v>158.5998889105</v>
      </c>
      <c r="J6725" s="38" t="n">
        <f aca="false">(Sens!$J$6723-Sens!$J$6724)*Sens!$J$6722+Sens!$J$6724</f>
        <v>163.8366571105</v>
      </c>
      <c r="K6725" s="38" t="n">
        <f aca="false">(Sens!$K$6723-Sens!$K$6724)*Sens!$K$6722+Sens!$K$6724</f>
        <v>169.0734253105</v>
      </c>
      <c r="L6725" s="38" t="n">
        <f aca="false">(Sens!$L$6723-Sens!$L$6724)*Sens!$L$6722+Sens!$L$6724</f>
        <v>205.7308027105</v>
      </c>
      <c r="M6725" s="38" t="n">
        <f aca="false">(Sens!$M$6723-Sens!$M$6724)*Sens!$M$6722+Sens!$M$6724</f>
        <v>265.82926376575</v>
      </c>
      <c r="R6725" s="38" t="n">
        <f aca="false">Sens!$R$6723*Sens!$C$6722</f>
        <v>1.09927679019314</v>
      </c>
      <c r="S6725" s="38" t="n">
        <f aca="false">Sens!$C$6725</f>
        <v>18.472138699801</v>
      </c>
      <c r="T6725" s="38" t="n">
        <f aca="false">Sens!$D$6725</f>
        <v>50.8377268390402</v>
      </c>
      <c r="U6725" s="38" t="n">
        <f aca="false">Sens!$G$6725</f>
        <v>122.060039060065</v>
      </c>
      <c r="V6725" s="38" t="n">
        <f aca="false">Sens!$H$6725</f>
        <v>152.52478394475</v>
      </c>
      <c r="W6725" s="38" t="n">
        <f aca="false">Sens!$I$6725</f>
        <v>158.5998889105</v>
      </c>
      <c r="X6725" s="38" t="n">
        <f aca="false">Sens!$J$6725</f>
        <v>163.8366571105</v>
      </c>
      <c r="Y6725" s="38" t="n">
        <f aca="false">Sens!$K$6725</f>
        <v>169.0734253105</v>
      </c>
      <c r="Z6725" s="38" t="n">
        <f aca="false">Sens!$L$6725</f>
        <v>205.7308027105</v>
      </c>
      <c r="AA6725" s="38" t="n">
        <f aca="false">Sens!$M$6725</f>
        <v>265.82926376575</v>
      </c>
    </row>
    <row r="6726" customFormat="false" ht="15" hidden="false" customHeight="false" outlineLevel="0" collapsed="false">
      <c r="A6726" s="5" t="s">
        <v>590</v>
      </c>
      <c r="B6726" s="0" t="s">
        <v>73</v>
      </c>
      <c r="R6726" s="38" t="n">
        <f aca="false">Sens!$R$6723-Sens!$R$6725</f>
        <v>0.405023005106309</v>
      </c>
      <c r="S6726" s="38" t="n">
        <f aca="false">Sens!$S$6723-Sens!$S$6725</f>
        <v>6.80596660793636</v>
      </c>
      <c r="T6726" s="38" t="n">
        <f aca="false">Sens!$T$6723-Sens!$T$6725</f>
        <v>18.7309047919624</v>
      </c>
      <c r="U6726" s="38" t="n">
        <f aca="false">Sens!$U$6723-Sens!$U$6725</f>
        <v>38.3780115779455</v>
      </c>
      <c r="V6726" s="38" t="n">
        <f aca="false">Sens!$V$6723-Sens!$V$6725</f>
        <v>46.046581</v>
      </c>
      <c r="W6726" s="38" t="n">
        <f aca="false">Sens!$W$6723-Sens!$W$6725</f>
        <v>46.046581</v>
      </c>
      <c r="X6726" s="38" t="n">
        <f aca="false">Sens!$X$6723-Sens!$X$6725</f>
        <v>46.046581</v>
      </c>
      <c r="Y6726" s="38" t="n">
        <f aca="false">Sens!$Y$6723-Sens!$Y$6725</f>
        <v>46.046581</v>
      </c>
      <c r="Z6726" s="38" t="n">
        <f aca="false">Sens!$Z$6723-Sens!$Z$6725</f>
        <v>46.046581</v>
      </c>
      <c r="AA6726" s="38" t="n">
        <f aca="false">Sens!$AA$6723-Sens!$AA$6725</f>
        <v>46.046581</v>
      </c>
    </row>
    <row r="6727" customFormat="false" ht="17.15" hidden="false" customHeight="false" outlineLevel="0" collapsed="false">
      <c r="A6727" s="0" t="s">
        <v>591</v>
      </c>
      <c r="B6727" s="0" t="s">
        <v>73</v>
      </c>
      <c r="C6727" s="38" t="n">
        <f aca="false">Sens!$S$6727</f>
        <v>0.183212798365523</v>
      </c>
      <c r="D6727" s="38" t="n">
        <f aca="false">Sens!$T$6727</f>
        <v>3.2619025816657</v>
      </c>
      <c r="E6727" s="38" t="n">
        <f aca="false">Sens!$G$6727/2</f>
        <v>5.86742852741953</v>
      </c>
      <c r="F6727" s="38" t="n">
        <f aca="false">Sens!$G$6727/2</f>
        <v>5.86742852741953</v>
      </c>
      <c r="G6727" s="38" t="n">
        <f aca="false">Sens!$U$6727</f>
        <v>11.7348570548391</v>
      </c>
      <c r="H6727" s="38" t="n">
        <f aca="false">Sens!$V$6727</f>
        <v>32.0781968981833</v>
      </c>
      <c r="I6727" s="38" t="n">
        <f aca="false">Sens!$W$6727</f>
        <v>57.4989942223083</v>
      </c>
      <c r="J6727" s="38" t="n">
        <f aca="false">Sens!$X$6727</f>
        <v>83.932309040725</v>
      </c>
      <c r="K6727" s="38" t="n">
        <f aca="false">Sens!$Y$6727</f>
        <v>111.055205760776</v>
      </c>
      <c r="L6727" s="38" t="n">
        <f aca="false">Sens!$Z$6727</f>
        <v>136.155420195893</v>
      </c>
      <c r="M6727" s="38" t="n">
        <f aca="false">Sens!$AA$6727</f>
        <v>161.970932841136</v>
      </c>
      <c r="N6727" s="38" t="n">
        <f aca="false">Sens!$D$6727/2</f>
        <v>1.63095129083285</v>
      </c>
      <c r="O6727" s="38" t="n">
        <f aca="false">Sens!$D$6727/2</f>
        <v>1.63095129083285</v>
      </c>
      <c r="R6727" s="38" t="n">
        <f aca="false">SUMPRODUCT(--(Sens!$R$6694:$AA$6694&lt;Sens!R$6694),--(Sens!$R$6694:$AA$6694&gt;=Sens!R$6694-tk_life),Sens!$R$6725:$AA$6725)/tk_life</f>
        <v>0</v>
      </c>
      <c r="S6727" s="38" t="n">
        <f aca="false">SUMPRODUCT(--(Sens!$R$6694:$AA$6694&lt;Sens!S$6694),--(Sens!$R$6694:$AA$6694&gt;=Sens!S$6694-tk_life),Sens!$R$6725:$AA$6725)/tk_life</f>
        <v>0.183212798365523</v>
      </c>
      <c r="T6727" s="38" t="n">
        <f aca="false">SUMPRODUCT(--(Sens!$R$6694:$AA$6694&lt;Sens!T$6694),--(Sens!$R$6694:$AA$6694&gt;=Sens!T$6694-tk_life),Sens!$R$6725:$AA$6725)/tk_life</f>
        <v>3.2619025816657</v>
      </c>
      <c r="U6727" s="38" t="n">
        <f aca="false">SUMPRODUCT(--(Sens!$R$6694:$AA$6694&lt;Sens!U$6694),--(Sens!$R$6694:$AA$6694&gt;=Sens!U$6694-tk_life),Sens!$R$6725:$AA$6725)/tk_life</f>
        <v>11.7348570548391</v>
      </c>
      <c r="V6727" s="38" t="n">
        <f aca="false">SUMPRODUCT(--(Sens!$R$6694:$AA$6694&lt;Sens!V$6694),--(Sens!$R$6694:$AA$6694&gt;=Sens!V$6694-tk_life),Sens!$R$6725:$AA$6725)/tk_life</f>
        <v>32.0781968981833</v>
      </c>
      <c r="W6727" s="38" t="n">
        <f aca="false">SUMPRODUCT(--(Sens!$R$6694:$AA$6694&lt;Sens!W$6694),--(Sens!$R$6694:$AA$6694&gt;=Sens!W$6694-tk_life),Sens!$R$6725:$AA$6725)/tk_life</f>
        <v>57.4989942223083</v>
      </c>
      <c r="X6727" s="38" t="n">
        <f aca="false">SUMPRODUCT(--(Sens!$R$6694:$AA$6694&lt;Sens!X$6694),--(Sens!$R$6694:$AA$6694&gt;=Sens!X$6694-tk_life),Sens!$R$6725:$AA$6725)/tk_life</f>
        <v>83.932309040725</v>
      </c>
      <c r="Y6727" s="38" t="n">
        <f aca="false">SUMPRODUCT(--(Sens!$R$6694:$AA$6694&lt;Sens!Y$6694),--(Sens!$R$6694:$AA$6694&gt;=Sens!Y$6694-tk_life),Sens!$R$6725:$AA$6725)/tk_life</f>
        <v>111.055205760776</v>
      </c>
      <c r="Z6727" s="38" t="n">
        <f aca="false">SUMPRODUCT(--(Sens!$R$6694:$AA$6694&lt;Sens!Z$6694),--(Sens!$R$6694:$AA$6694&gt;=Sens!Z$6694-tk_life),Sens!$R$6725:$AA$6725)/tk_life</f>
        <v>136.155420195893</v>
      </c>
      <c r="AA6727" s="38" t="n">
        <f aca="false">SUMPRODUCT(--(Sens!$R$6694:$AA$6694&lt;Sens!AA$6694),--(Sens!$R$6694:$AA$6694&gt;=Sens!AA$6694-tk_life),Sens!$R$6725:$AA$6725)/tk_life</f>
        <v>161.970932841136</v>
      </c>
    </row>
    <row r="6728" customFormat="false" ht="17.15" hidden="false" customHeight="false" outlineLevel="0" collapsed="false">
      <c r="A6728" s="0" t="s">
        <v>592</v>
      </c>
      <c r="B6728" s="0" t="s">
        <v>73</v>
      </c>
      <c r="C6728" s="38" t="n">
        <f aca="false">Sens!$S$6728</f>
        <v>0.0202511502553155</v>
      </c>
      <c r="D6728" s="38" t="n">
        <f aca="false">Sens!$T$6728</f>
        <v>0.360549480652134</v>
      </c>
      <c r="E6728" s="38" t="n">
        <f aca="false">Sens!$G$6728/2</f>
        <v>0.648547360125127</v>
      </c>
      <c r="F6728" s="38" t="n">
        <f aca="false">Sens!$G$6728/2</f>
        <v>0.648547360125127</v>
      </c>
      <c r="G6728" s="38" t="n">
        <f aca="false">Sens!$U$6728</f>
        <v>1.29709472025025</v>
      </c>
      <c r="H6728" s="38" t="n">
        <f aca="false">Sens!$V$6728</f>
        <v>3.21599529914753</v>
      </c>
      <c r="I6728" s="38" t="n">
        <f aca="false">Sens!$W$6728</f>
        <v>5.51832434914753</v>
      </c>
      <c r="J6728" s="38" t="n">
        <f aca="false">Sens!$X$6728</f>
        <v>7.82065339914753</v>
      </c>
      <c r="K6728" s="38" t="n">
        <f aca="false">Sens!$Y$6728</f>
        <v>10.1229824491475</v>
      </c>
      <c r="L6728" s="38" t="n">
        <f aca="false">Sens!$Z$6728</f>
        <v>12.4253114991475</v>
      </c>
      <c r="M6728" s="38" t="n">
        <f aca="false">Sens!$AA$6728</f>
        <v>14.7276405491475</v>
      </c>
      <c r="N6728" s="38" t="n">
        <f aca="false">Sens!$D$6728/2</f>
        <v>0.180274740326067</v>
      </c>
      <c r="O6728" s="38" t="n">
        <f aca="false">Sens!$D$6728/2</f>
        <v>0.180274740326067</v>
      </c>
      <c r="R6728" s="38" t="n">
        <f aca="false">SUMPRODUCT(--(Sens!$R$6694:$AA$6694&lt;Sens!R$6694),Sens!$R$6726:$AA$6726)/fac_life</f>
        <v>0</v>
      </c>
      <c r="S6728" s="38" t="n">
        <f aca="false">SUMPRODUCT(--(Sens!$R$6694:$AA$6694&lt;Sens!S$6694),Sens!$R$6726:$AA$6726)/fac_life</f>
        <v>0.0202511502553155</v>
      </c>
      <c r="T6728" s="38" t="n">
        <f aca="false">SUMPRODUCT(--(Sens!$R$6694:$AA$6694&lt;Sens!T$6694),Sens!$R$6726:$AA$6726)/fac_life</f>
        <v>0.360549480652134</v>
      </c>
      <c r="U6728" s="38" t="n">
        <f aca="false">SUMPRODUCT(--(Sens!$R$6694:$AA$6694&lt;Sens!U$6694),Sens!$R$6726:$AA$6726)/fac_life</f>
        <v>1.29709472025025</v>
      </c>
      <c r="V6728" s="38" t="n">
        <f aca="false">SUMPRODUCT(--(Sens!$R$6694:$AA$6694&lt;Sens!V$6694),Sens!$R$6726:$AA$6726)/fac_life</f>
        <v>3.21599529914753</v>
      </c>
      <c r="W6728" s="38" t="n">
        <f aca="false">SUMPRODUCT(--(Sens!$R$6694:$AA$6694&lt;Sens!W$6694),Sens!$R$6726:$AA$6726)/fac_life</f>
        <v>5.51832434914753</v>
      </c>
      <c r="X6728" s="38" t="n">
        <f aca="false">SUMPRODUCT(--(Sens!$R$6694:$AA$6694&lt;Sens!X$6694),Sens!$R$6726:$AA$6726)/fac_life</f>
        <v>7.82065339914753</v>
      </c>
      <c r="Y6728" s="38" t="n">
        <f aca="false">SUMPRODUCT(--(Sens!$R$6694:$AA$6694&lt;Sens!Y$6694),Sens!$R$6726:$AA$6726)/fac_life</f>
        <v>10.1229824491475</v>
      </c>
      <c r="Z6728" s="38" t="n">
        <f aca="false">SUMPRODUCT(--(Sens!$R$6694:$AA$6694&lt;Sens!Z$6694),Sens!$R$6726:$AA$6726)/fac_life</f>
        <v>12.4253114991475</v>
      </c>
      <c r="AA6728" s="38" t="n">
        <f aca="false">SUMPRODUCT(--(Sens!$R$6694:$AA$6694&lt;Sens!AA$6694),Sens!$R$6726:$AA$6726)/fac_life</f>
        <v>14.7276405491475</v>
      </c>
    </row>
    <row r="6729" customFormat="false" ht="17.15" hidden="false" customHeight="false" outlineLevel="0" collapsed="false">
      <c r="A6729" s="1" t="s">
        <v>593</v>
      </c>
      <c r="B6729" s="8" t="s">
        <v>73</v>
      </c>
      <c r="C6729" s="38" t="n">
        <f aca="false">Sens!$C$6727+Sens!$C$6728</f>
        <v>0.203463948620839</v>
      </c>
      <c r="D6729" s="38" t="n">
        <f aca="false">Sens!$D$6727+Sens!$D$6728</f>
        <v>3.62245206231783</v>
      </c>
      <c r="E6729" s="38" t="n">
        <f aca="false">Sens!$E$6727+Sens!$E$6728</f>
        <v>6.51597588754466</v>
      </c>
      <c r="F6729" s="38" t="n">
        <f aca="false">Sens!$F$6727+Sens!$F$6728</f>
        <v>6.51597588754466</v>
      </c>
      <c r="G6729" s="38" t="n">
        <f aca="false">Sens!$G$6727+Sens!$G$6728</f>
        <v>13.0319517750893</v>
      </c>
      <c r="H6729" s="38" t="n">
        <f aca="false">Sens!$H$6727+Sens!$H$6728</f>
        <v>35.2941921973308</v>
      </c>
      <c r="I6729" s="38" t="n">
        <f aca="false">Sens!$I$6727+Sens!$I$6728</f>
        <v>63.0173185714558</v>
      </c>
      <c r="J6729" s="38" t="n">
        <f aca="false">Sens!$J$6727+Sens!$J$6728</f>
        <v>91.7529624398725</v>
      </c>
      <c r="K6729" s="38" t="n">
        <f aca="false">Sens!$K$6727+Sens!$K$6728</f>
        <v>121.178188209924</v>
      </c>
      <c r="L6729" s="38" t="n">
        <f aca="false">Sens!$L$6727+Sens!$L$6728</f>
        <v>148.58073169504</v>
      </c>
      <c r="M6729" s="38" t="n">
        <f aca="false">Sens!$M$6727+Sens!$M$6728</f>
        <v>176.698573390283</v>
      </c>
      <c r="N6729" s="38" t="n">
        <f aca="false">Sens!$N$6727+Sens!$N$6728</f>
        <v>1.81122603115892</v>
      </c>
      <c r="O6729" s="38" t="n">
        <f aca="false">Sens!$O$6727+Sens!$O$6728</f>
        <v>1.81122603115892</v>
      </c>
      <c r="R6729" s="38" t="n">
        <f aca="false">Sens!$R$6727+Sens!$R$6728</f>
        <v>0</v>
      </c>
      <c r="S6729" s="38" t="n">
        <f aca="false">Sens!$S$6727+Sens!$S$6728</f>
        <v>0.203463948620839</v>
      </c>
      <c r="T6729" s="38" t="n">
        <f aca="false">Sens!$T$6727+Sens!$T$6728</f>
        <v>3.62245206231783</v>
      </c>
      <c r="U6729" s="38" t="n">
        <f aca="false">Sens!$U$6727+Sens!$U$6728</f>
        <v>13.0319517750893</v>
      </c>
      <c r="V6729" s="38" t="n">
        <f aca="false">Sens!$V$6727+Sens!$V$6728</f>
        <v>35.2941921973308</v>
      </c>
      <c r="W6729" s="38" t="n">
        <f aca="false">Sens!$W$6727+Sens!$W$6728</f>
        <v>63.0173185714558</v>
      </c>
      <c r="X6729" s="38" t="n">
        <f aca="false">Sens!$X$6727+Sens!$X$6728</f>
        <v>91.7529624398725</v>
      </c>
      <c r="Y6729" s="38" t="n">
        <f aca="false">Sens!$Y$6727+Sens!$Y$6728</f>
        <v>121.178188209924</v>
      </c>
      <c r="Z6729" s="38" t="n">
        <f aca="false">Sens!$Z$6727+Sens!$Z$6728</f>
        <v>148.58073169504</v>
      </c>
      <c r="AA6729" s="38" t="n">
        <f aca="false">Sens!$AA$6727+Sens!$AA$6728</f>
        <v>176.698573390283</v>
      </c>
    </row>
    <row r="6730" customFormat="false" ht="17.15" hidden="false" customHeight="false" outlineLevel="0" collapsed="false">
      <c r="A6730" s="0" t="s">
        <v>594</v>
      </c>
      <c r="B6730" s="0" t="s">
        <v>73</v>
      </c>
      <c r="C6730" s="38" t="n">
        <f aca="false">Sens!$S$6730</f>
        <v>26.578941154416</v>
      </c>
      <c r="D6730" s="38" t="n">
        <f aca="false">Sens!$T$6730</f>
        <v>92.5251207231008</v>
      </c>
      <c r="G6730" s="38" t="n">
        <f aca="false">Sens!$U$6730</f>
        <v>239.931219586022</v>
      </c>
      <c r="H6730" s="38" t="n">
        <f aca="false">Sens!$V$6730</f>
        <v>403.208392333442</v>
      </c>
      <c r="I6730" s="38" t="n">
        <f aca="false">Sens!$W$6730</f>
        <v>544.837543672486</v>
      </c>
      <c r="J6730" s="38" t="n">
        <f aca="false">Sens!$X$6730</f>
        <v>662.967819343113</v>
      </c>
      <c r="K6730" s="38" t="n">
        <f aca="false">Sens!$Y$6730</f>
        <v>756.90963744369</v>
      </c>
      <c r="L6730" s="38" t="n">
        <f aca="false">Sens!$Z$6730</f>
        <v>860.10628945915</v>
      </c>
      <c r="M6730" s="38" t="n">
        <f aca="false">Sens!$AA$6730</f>
        <v>995.283560834616</v>
      </c>
      <c r="R6730" s="38" t="n">
        <f aca="false">SUM(Sens!$R$6723:$R$6723)-SUM(Sens!$R$6729:$R$6729)</f>
        <v>1.50429979529945</v>
      </c>
      <c r="S6730" s="38" t="n">
        <f aca="false">SUM(Sens!$R$6723:$S$6723)-SUM(Sens!$R$6729:$S$6729)</f>
        <v>26.578941154416</v>
      </c>
      <c r="T6730" s="38" t="n">
        <f aca="false">SUM(Sens!$R$6723:$T$6723)-SUM(Sens!$R$6729:$T$6729)</f>
        <v>92.5251207231008</v>
      </c>
      <c r="U6730" s="38" t="n">
        <f aca="false">SUM(Sens!$R$6723:$U$6723)-SUM(Sens!$R$6729:$U$6729)</f>
        <v>239.931219586022</v>
      </c>
      <c r="V6730" s="38" t="n">
        <f aca="false">SUM(Sens!$R$6723:$V$6723)-SUM(Sens!$R$6729:$V$6729)</f>
        <v>403.208392333442</v>
      </c>
      <c r="W6730" s="38" t="n">
        <f aca="false">SUM(Sens!$R$6723:$W$6723)-SUM(Sens!$R$6729:$W$6729)</f>
        <v>544.837543672486</v>
      </c>
      <c r="X6730" s="38" t="n">
        <f aca="false">SUM(Sens!$R$6723:$X$6723)-SUM(Sens!$R$6729:$X$6729)</f>
        <v>662.967819343113</v>
      </c>
      <c r="Y6730" s="38" t="n">
        <f aca="false">SUM(Sens!$R$6723:$Y$6723)-SUM(Sens!$R$6729:$Y$6729)</f>
        <v>756.90963744369</v>
      </c>
      <c r="Z6730" s="38" t="n">
        <f aca="false">SUM(Sens!$R$6723:$Z$6723)-SUM(Sens!$R$6729:$Z$6729)</f>
        <v>860.10628945915</v>
      </c>
      <c r="AA6730" s="38" t="n">
        <f aca="false">SUM(Sens!$R$6723:$AA$6723)-SUM(Sens!$R$6729:$AA$6729)</f>
        <v>995.283560834616</v>
      </c>
    </row>
    <row r="6731" customFormat="false" ht="17.15" hidden="false" customHeight="false" outlineLevel="0" collapsed="false">
      <c r="A6731" s="1" t="s">
        <v>595</v>
      </c>
    </row>
    <row r="6732" customFormat="false" ht="17.15" hidden="false" customHeight="false" outlineLevel="0" collapsed="false">
      <c r="A6732" s="0" t="s">
        <v>596</v>
      </c>
      <c r="B6732" s="0" t="s">
        <v>73</v>
      </c>
      <c r="C6732" s="38" t="n">
        <f aca="false">Sens!$C$6714-ext_sh*Sens!$C$6716</f>
        <v>1.80694998843362</v>
      </c>
      <c r="D6732" s="38" t="n">
        <f aca="false">Sens!$D$6714-ext_sh*Sens!$D$6716</f>
        <v>6.77606245662607</v>
      </c>
      <c r="E6732" s="38" t="n">
        <f aca="false">Sens!$E$6714-ext_sh*Sens!$E$6716</f>
        <v>6.62548329092326</v>
      </c>
      <c r="F6732" s="38" t="n">
        <f aca="false">Sens!$F$6714-ext_sh*Sens!$F$6716</f>
        <v>11.7200577158706</v>
      </c>
      <c r="G6732" s="38" t="n">
        <f aca="false">Sens!$G$6714-ext_sh*Sens!$G$6716</f>
        <v>18.3455410067939</v>
      </c>
      <c r="H6732" s="38" t="n">
        <f aca="false">Sens!$H$6714-ext_sh*Sens!$H$6716</f>
        <v>47.5171727060453</v>
      </c>
      <c r="I6732" s="38" t="n">
        <f aca="false">Sens!$I$6714-ext_sh*Sens!$I$6716</f>
        <v>80.5539692643667</v>
      </c>
      <c r="J6732" s="38" t="n">
        <f aca="false">Sens!$J$6714-ext_sh*Sens!$J$6716</f>
        <v>113.759316834883</v>
      </c>
      <c r="K6732" s="38" t="n">
        <f aca="false">Sens!$K$6714-ext_sh*Sens!$K$6716</f>
        <v>147.020848076132</v>
      </c>
      <c r="L6732" s="38" t="n">
        <f aca="false">Sens!$L$6714-ext_sh*Sens!$L$6716</f>
        <v>180.307917349531</v>
      </c>
      <c r="M6732" s="38" t="n">
        <f aca="false">Sens!$M$6714-ext_sh*Sens!$M$6716</f>
        <v>213.608737871012</v>
      </c>
      <c r="N6732" s="38" t="n">
        <f aca="false">Sens!$N$6714-ext_sh*Sens!$N$6716</f>
        <v>2.37162185981912</v>
      </c>
      <c r="O6732" s="38" t="n">
        <f aca="false">Sens!$O$6714-ext_sh*Sens!$O$6716</f>
        <v>4.40444059680694</v>
      </c>
    </row>
    <row r="6733" customFormat="false" ht="17.15" hidden="false" customHeight="false" outlineLevel="0" collapsed="false">
      <c r="A6733" s="1" t="s">
        <v>597</v>
      </c>
      <c r="B6733" s="8" t="s">
        <v>73</v>
      </c>
      <c r="C6733" s="38" t="n">
        <f aca="false">Sens!$C$6732-ext_sh*Sens!$C$6729</f>
        <v>1.64417882953695</v>
      </c>
      <c r="D6733" s="38" t="n">
        <f aca="false">Sens!$D$6732-ext_sh*Sens!$D$6729</f>
        <v>3.8781008067718</v>
      </c>
      <c r="E6733" s="38" t="n">
        <f aca="false">Sens!$E$6732-ext_sh*Sens!$E$6729</f>
        <v>1.41270258088753</v>
      </c>
      <c r="F6733" s="38" t="n">
        <f aca="false">Sens!$F$6732-ext_sh*Sens!$F$6729</f>
        <v>6.50727700583486</v>
      </c>
      <c r="G6733" s="38" t="n">
        <f aca="false">Sens!$G$6732-ext_sh*Sens!$G$6729</f>
        <v>7.9199795867224</v>
      </c>
      <c r="H6733" s="38" t="n">
        <f aca="false">Sens!$H$6732-ext_sh*Sens!$H$6729</f>
        <v>19.2818189481807</v>
      </c>
      <c r="I6733" s="38" t="n">
        <f aca="false">Sens!$I$6732-ext_sh*Sens!$I$6729</f>
        <v>30.140114407202</v>
      </c>
      <c r="J6733" s="38" t="n">
        <f aca="false">Sens!$J$6732-ext_sh*Sens!$J$6729</f>
        <v>40.3569468829854</v>
      </c>
      <c r="K6733" s="38" t="n">
        <f aca="false">Sens!$K$6732-ext_sh*Sens!$K$6729</f>
        <v>50.0782975081929</v>
      </c>
      <c r="L6733" s="38" t="n">
        <f aca="false">Sens!$L$6732-ext_sh*Sens!$L$6729</f>
        <v>61.443331993499</v>
      </c>
      <c r="M6733" s="38" t="n">
        <f aca="false">Sens!$M$6732-ext_sh*Sens!$M$6729</f>
        <v>72.2498791587849</v>
      </c>
      <c r="N6733" s="38" t="n">
        <f aca="false">Sens!$N$6732-ext_sh*Sens!$N$6729</f>
        <v>0.92264103489199</v>
      </c>
      <c r="O6733" s="38" t="n">
        <f aca="false">Sens!$O$6732-ext_sh*Sens!$O$6729</f>
        <v>2.95545977187981</v>
      </c>
    </row>
    <row r="6734" customFormat="false" ht="17.15" hidden="false" customHeight="false" outlineLevel="0" collapsed="false">
      <c r="A6734" s="0" t="s">
        <v>598</v>
      </c>
      <c r="B6734" s="0" t="s">
        <v>52</v>
      </c>
      <c r="C6734" s="12" t="n">
        <f aca="false">Sens!$C$6733/Sens!$C$6714</f>
        <v>0.708390794789371</v>
      </c>
      <c r="D6734" s="12" t="n">
        <f aca="false">Sens!$D$6733/Sens!$D$6714</f>
        <v>0.445565630441968</v>
      </c>
      <c r="E6734" s="12" t="n">
        <f aca="false">Sens!$E$6733/Sens!$E$6714</f>
        <v>0.165998118402711</v>
      </c>
      <c r="F6734" s="12" t="n">
        <f aca="false">Sens!$F$6733/Sens!$F$6714</f>
        <v>0.434878595403858</v>
      </c>
      <c r="G6734" s="12" t="n">
        <f aca="false">Sens!$G$6733/Sens!$G$6714</f>
        <v>0.3373967615381</v>
      </c>
      <c r="H6734" s="12" t="n">
        <f aca="false">Sens!$H$6733/Sens!$H$6714</f>
        <v>0.320477578041224</v>
      </c>
      <c r="I6734" s="12" t="n">
        <f aca="false">Sens!$I$6733/Sens!$I$6714</f>
        <v>0.296936118226494</v>
      </c>
      <c r="J6734" s="12" t="n">
        <f aca="false">Sens!$J$6733/Sens!$J$6714</f>
        <v>0.282166278613001</v>
      </c>
      <c r="K6734" s="12" t="n">
        <f aca="false">Sens!$K$6733/Sens!$K$6714</f>
        <v>0.271267685694333</v>
      </c>
      <c r="L6734" s="12" t="n">
        <f aca="false">Sens!$L$6733/Sens!$L$6714</f>
        <v>0.27160960915653</v>
      </c>
      <c r="M6734" s="12" t="n">
        <f aca="false">Sens!$M$6733/Sens!$M$6714</f>
        <v>0.26974494804234</v>
      </c>
      <c r="N6734" s="12" t="n">
        <f aca="false">Sens!$N$6733/Sens!$N$6714</f>
        <v>0.302870734830849</v>
      </c>
      <c r="O6734" s="12" t="n">
        <f aca="false">Sens!$O$6733/Sens!$O$6714</f>
        <v>0.52240134346334</v>
      </c>
    </row>
    <row r="6735" customFormat="false" ht="17.15" hidden="false" customHeight="false" outlineLevel="0" collapsed="false">
      <c r="A6735" s="5" t="s">
        <v>599</v>
      </c>
      <c r="B6735" s="0" t="s">
        <v>73</v>
      </c>
      <c r="C6735" s="38" t="n">
        <f aca="false">rd2*(1-ext_sh)/ext_sh*Sens!$C$6697*he_open*Sens!$C$6698/1000</f>
        <v>0</v>
      </c>
      <c r="D6735" s="38" t="n">
        <f aca="false">rd2*(1-ext_sh)/ext_sh*Sens!$D$6697*he_open*Sens!$D$6698/1000</f>
        <v>0</v>
      </c>
      <c r="E6735" s="38" t="n">
        <f aca="false">rd2*(1-ext_sh)/ext_sh*Sens!$E$6697*he_open*Sens!$E$6698/1000</f>
        <v>0</v>
      </c>
      <c r="F6735" s="38" t="n">
        <f aca="false">rd2*(1-ext_sh)/ext_sh*(mw_open*he_open+Sens!$F$6712*Sens!$F$6709)*Sens!$F$6698/1000</f>
        <v>0</v>
      </c>
      <c r="G6735" s="38" t="n">
        <f aca="false">Sens!$E$6735+Sens!$F$6735</f>
        <v>0</v>
      </c>
      <c r="H6735" s="38" t="n">
        <f aca="false">rd2*(1-ext_sh)/ext_sh*(mw_open*he_open+Sens!$H$6712*Sens!$H$6709)*Sens!$H$6698/1000</f>
        <v>0</v>
      </c>
      <c r="I6735" s="38" t="n">
        <f aca="false">rd2*(1-ext_sh)/ext_sh*(mw_open*he_open+Sens!$I$6712*Sens!$I$6709)*Sens!$I$6698/1000</f>
        <v>0</v>
      </c>
      <c r="J6735" s="38" t="n">
        <f aca="false">rd2*(1-ext_sh)/ext_sh*(mw_open*he_open+Sens!$J$6712*Sens!$J$6709)*Sens!$J$6698/1000</f>
        <v>0</v>
      </c>
      <c r="K6735" s="38" t="n">
        <f aca="false">rd2*(1-ext_sh)/ext_sh*(mw_open*he_open+Sens!$K$6712*Sens!$K$6709)*Sens!$K$6698/1000</f>
        <v>0</v>
      </c>
      <c r="L6735" s="38" t="n">
        <f aca="false">rd2*(1-ext_sh)/ext_sh*(mw_open*he_open+Sens!$L$6712*Sens!$L$6709)*Sens!$L$6698/1000</f>
        <v>0</v>
      </c>
      <c r="M6735" s="38" t="n">
        <f aca="false">rd2*(1-ext_sh)/ext_sh*(mw_open*he_open+Sens!$M$6712*Sens!$M$6709)*Sens!$M$6698/1000</f>
        <v>0</v>
      </c>
      <c r="N6735" s="38" t="n">
        <f aca="false">rd2*(1-ext_sh)/ext_sh*Sens!$N$6697*he_open*Sens!$N$6698/1000</f>
        <v>0</v>
      </c>
      <c r="O6735" s="38" t="n">
        <f aca="false">rd2*(1-ext_sh)/ext_sh*Sens!$O$6697*he_open*Sens!$O$6698/1000</f>
        <v>0</v>
      </c>
      <c r="P6735" s="8" t="s">
        <v>600</v>
      </c>
    </row>
    <row r="6736" customFormat="false" ht="17.15" hidden="false" customHeight="false" outlineLevel="0" collapsed="false">
      <c r="A6736" s="5" t="s">
        <v>601</v>
      </c>
      <c r="B6736" s="0" t="s">
        <v>73</v>
      </c>
      <c r="C6736" s="38" t="n">
        <f aca="false">(1-ext_sh)*(Sens!$C$6716+Sens!$C$6729)-Sens!$C$6735</f>
        <v>0.169206631859174</v>
      </c>
      <c r="D6736" s="38" t="n">
        <f aca="false">(1-ext_sh)*(Sens!$D$6716+Sens!$D$6729)-Sens!$D$6735</f>
        <v>1.20641732046984</v>
      </c>
      <c r="E6736" s="38" t="n">
        <f aca="false">(1-ext_sh)*(Sens!$E$6716+Sens!$E$6729)-Sens!$E$6735</f>
        <v>1.77441259867062</v>
      </c>
      <c r="F6736" s="38" t="n">
        <f aca="false">(1-ext_sh)*(Sens!$F$6716+Sens!$F$6729)-Sens!$F$6735</f>
        <v>2.1140391597214</v>
      </c>
      <c r="G6736" s="38" t="n">
        <f aca="false">(1-ext_sh)*(Sens!$G$6716+Sens!$G$6729)-Sens!$G$6735</f>
        <v>3.88845175839202</v>
      </c>
      <c r="H6736" s="38" t="n">
        <f aca="false">(1-ext_sh)*(Sens!$H$6716+Sens!$H$6729)-Sens!$H$6735</f>
        <v>10.2210179503985</v>
      </c>
      <c r="I6736" s="38" t="n">
        <f aca="false">(1-ext_sh)*(Sens!$I$6716+Sens!$I$6729)-Sens!$I$6735</f>
        <v>17.8408961823075</v>
      </c>
      <c r="J6736" s="38" t="n">
        <f aca="false">(1-ext_sh)*(Sens!$J$6716+Sens!$J$6729)-Sens!$J$6735</f>
        <v>25.6671150670732</v>
      </c>
      <c r="K6736" s="38" t="n">
        <f aca="false">(1-ext_sh)*(Sens!$K$6716+Sens!$K$6729)-Sens!$K$6735</f>
        <v>33.6325293834986</v>
      </c>
      <c r="L6736" s="38" t="n">
        <f aca="false">(1-ext_sh)*(Sens!$L$6716+Sens!$L$6729)-Sens!$L$6735</f>
        <v>41.1939886299065</v>
      </c>
      <c r="M6736" s="38" t="n">
        <f aca="false">(1-ext_sh)*(Sens!$M$6716+Sens!$M$6729)-Sens!$M$6735</f>
        <v>48.8988205728617</v>
      </c>
      <c r="N6736" s="38" t="n">
        <f aca="false">(1-ext_sh)*(Sens!$N$6716+Sens!$N$6729)-Sens!$N$6735</f>
        <v>0.530919624033979</v>
      </c>
      <c r="O6736" s="38" t="n">
        <f aca="false">(1-ext_sh)*(Sens!$O$6716+Sens!$O$6729)-Sens!$O$6735</f>
        <v>0.675497696435861</v>
      </c>
    </row>
    <row r="6737" customFormat="false" ht="17.15" hidden="false" customHeight="false" outlineLevel="0" collapsed="false">
      <c r="A6737" s="0" t="s">
        <v>602</v>
      </c>
      <c r="B6737" s="0" t="s">
        <v>73</v>
      </c>
      <c r="C6737" s="38" t="n">
        <f aca="false">Q!$D$24</f>
        <v>39.834</v>
      </c>
      <c r="D6737" s="38" t="n">
        <f aca="false">Q!$E$24</f>
        <v>45.606</v>
      </c>
      <c r="E6737" s="38" t="n">
        <f aca="false">Q!$P$24</f>
        <v>30.782</v>
      </c>
      <c r="N6737" s="38" t="n">
        <f aca="false">Q!$N$24</f>
        <v>21.707</v>
      </c>
      <c r="O6737" s="38" t="n">
        <f aca="false">Q!$O$24</f>
        <v>23.899</v>
      </c>
    </row>
    <row r="6738" customFormat="false" ht="17.15" hidden="false" customHeight="false" outlineLevel="0" collapsed="false">
      <c r="A6738" s="0" t="s">
        <v>603</v>
      </c>
      <c r="B6738" s="0" t="s">
        <v>73</v>
      </c>
      <c r="C6738" s="38" t="n">
        <f aca="false">Sens!$C$6737-Sens!$C$6733</f>
        <v>38.1898211704631</v>
      </c>
      <c r="D6738" s="38" t="n">
        <f aca="false">Sens!$D$6737-Sens!$D$6733</f>
        <v>41.7278991932282</v>
      </c>
      <c r="E6738" s="38" t="n">
        <f aca="false">Sens!$E$6737-Sens!$E$6733</f>
        <v>29.3692974191125</v>
      </c>
      <c r="F6738" s="38" t="n">
        <f aca="false">Sens!$F$6718*Sens!$F$6739</f>
        <v>29.458060516894</v>
      </c>
      <c r="G6738" s="38" t="n">
        <f aca="false">Sens!$E$6738+Sens!$F$6738</f>
        <v>58.8273579360065</v>
      </c>
      <c r="H6738" s="38" t="n">
        <f aca="false">Sens!$H$6718*Sens!$H$6739</f>
        <v>67.8004040185081</v>
      </c>
      <c r="I6738" s="38" t="n">
        <f aca="false">Sens!$I$6718*Sens!$I$6739</f>
        <v>78.9527630302702</v>
      </c>
      <c r="J6738" s="38" t="n">
        <f aca="false">Sens!$J$6718*Sens!$J$6739</f>
        <v>88.6042681781841</v>
      </c>
      <c r="K6738" s="38" t="n">
        <f aca="false">Sens!$K$6718*Sens!$K$6739</f>
        <v>95.6926096324389</v>
      </c>
      <c r="L6738" s="38" t="n">
        <f aca="false">Sens!$L$6718*Sens!$L$6739</f>
        <v>103.348018403034</v>
      </c>
      <c r="M6738" s="38" t="n">
        <f aca="false">Sens!$M$6718*Sens!$M$6739</f>
        <v>111.615859875277</v>
      </c>
      <c r="N6738" s="38" t="n">
        <f aca="false">Sens!$N$6737-Sens!$N$6733</f>
        <v>20.784358965108</v>
      </c>
      <c r="O6738" s="38" t="n">
        <f aca="false">Sens!$O$6737-Sens!$O$6733</f>
        <v>20.9435402281202</v>
      </c>
      <c r="P6738" s="5" t="s">
        <v>604</v>
      </c>
    </row>
    <row r="6739" customFormat="false" ht="17.15" hidden="false" customHeight="false" outlineLevel="0" collapsed="false">
      <c r="A6739" s="0" t="s">
        <v>605</v>
      </c>
      <c r="B6739" s="0" t="s">
        <v>52</v>
      </c>
      <c r="C6739" s="12" t="n">
        <f aca="false">Sens!$C$6738/Sens!$C$6718</f>
        <v>0.362900395443635</v>
      </c>
      <c r="D6739" s="12" t="n">
        <f aca="false">Sens!$D$6738/Sens!$D$6718</f>
        <v>0.34767098474203</v>
      </c>
      <c r="E6739" s="12" t="n">
        <f aca="false">Sens!$E$6738/Sens!$E$6718</f>
        <v>0.411861655558416</v>
      </c>
      <c r="F6739" s="12" t="n">
        <f aca="false">(Sens!$O$6738+Sens!$E$6738)/(Sens!$O$6718+Sens!$E$6718)</f>
        <v>0.37480827803158</v>
      </c>
      <c r="G6739" s="12" t="n">
        <f aca="false">Sens!$G$6738/Sens!$G$6718</f>
        <v>0.392434440489471</v>
      </c>
      <c r="H6739" s="12" t="n">
        <f aca="false">Sens!$F$6739</f>
        <v>0.37480827803158</v>
      </c>
      <c r="I6739" s="12" t="n">
        <f aca="false">Sens!$F$6739</f>
        <v>0.37480827803158</v>
      </c>
      <c r="J6739" s="12" t="n">
        <f aca="false">Sens!$F$6739</f>
        <v>0.37480827803158</v>
      </c>
      <c r="K6739" s="12" t="n">
        <f aca="false">Sens!$F$6739</f>
        <v>0.37480827803158</v>
      </c>
      <c r="L6739" s="12" t="n">
        <f aca="false">Sens!$F$6739</f>
        <v>0.37480827803158</v>
      </c>
      <c r="M6739" s="12" t="n">
        <f aca="false">Sens!$F$6739</f>
        <v>0.37480827803158</v>
      </c>
      <c r="N6739" s="12" t="n">
        <f aca="false">Sens!$N$6738/Sens!$N$6718</f>
        <v>0.364039571356823</v>
      </c>
      <c r="O6739" s="12" t="n">
        <f aca="false">Sens!$O$6738/Sens!$O$6718</f>
        <v>0.332819892300086</v>
      </c>
      <c r="P6739" s="8" t="s">
        <v>606</v>
      </c>
    </row>
    <row r="6740" customFormat="false" ht="17.15" hidden="false" customHeight="false" outlineLevel="0" collapsed="false">
      <c r="A6740" s="0" t="s">
        <v>607</v>
      </c>
      <c r="B6740" s="0" t="s">
        <v>52</v>
      </c>
      <c r="D6740" s="12" t="n">
        <f aca="false">(Q!$E$31-ext_sh*Sens!$D$6729)/Sens!$D$6718</f>
        <v>0.154572973163571</v>
      </c>
    </row>
    <row r="6741" customFormat="false" ht="17.15" hidden="false" customHeight="false" outlineLevel="0" collapsed="false">
      <c r="A6741" s="0" t="s">
        <v>608</v>
      </c>
      <c r="B6741" s="0" t="s">
        <v>73</v>
      </c>
      <c r="C6741" s="38" t="n">
        <f aca="false">Q!$D$31</f>
        <v>13.32</v>
      </c>
      <c r="D6741" s="38" t="n">
        <f aca="false">Q!$E$31</f>
        <v>21.45</v>
      </c>
      <c r="E6741" s="38" t="n">
        <f aca="false">Q!$P$31</f>
        <v>15.353</v>
      </c>
      <c r="F6741" s="38" t="n">
        <f aca="false">ext_sh*Sens!$F$6729+Sens!$D$6740*Sens!$F$6718</f>
        <v>17.3614451462707</v>
      </c>
      <c r="G6741" s="38" t="n">
        <f aca="false">Sens!$E$6741+Sens!$F$6741</f>
        <v>32.7144451462707</v>
      </c>
      <c r="H6741" s="38" t="n">
        <f aca="false">ext_sh*Sens!$H$6729+Sens!$D$6740*Sens!$H$6718</f>
        <v>56.1966092719415</v>
      </c>
      <c r="I6741" s="38" t="n">
        <f aca="false">ext_sh*Sens!$I$6729+Sens!$D$6740*Sens!$I$6718</f>
        <v>82.9744039068297</v>
      </c>
      <c r="J6741" s="38" t="n">
        <f aca="false">ext_sh*Sens!$J$6729+Sens!$D$6740*Sens!$J$6718</f>
        <v>109.943252237669</v>
      </c>
      <c r="K6741" s="38" t="n">
        <f aca="false">ext_sh*Sens!$K$6729+Sens!$D$6740*Sens!$K$6718</f>
        <v>136.406703436571</v>
      </c>
      <c r="L6741" s="38" t="n">
        <f aca="false">ext_sh*Sens!$L$6729+Sens!$D$6740*Sens!$L$6718</f>
        <v>161.485870454155</v>
      </c>
      <c r="M6741" s="38" t="n">
        <f aca="false">ext_sh*Sens!$M$6729+Sens!$D$6740*Sens!$M$6718</f>
        <v>187.389846618199</v>
      </c>
      <c r="N6741" s="38" t="n">
        <f aca="false">Q!$N$31</f>
        <v>9.234</v>
      </c>
      <c r="O6741" s="38" t="n">
        <f aca="false">Q!$O$31</f>
        <v>12.216</v>
      </c>
    </row>
    <row r="6742" customFormat="false" ht="17.15" hidden="false" customHeight="false" outlineLevel="0" collapsed="false">
      <c r="A6742" s="1" t="s">
        <v>609</v>
      </c>
    </row>
    <row r="6743" customFormat="false" ht="17.15" hidden="false" customHeight="false" outlineLevel="0" collapsed="false">
      <c r="A6743" s="14" t="s">
        <v>610</v>
      </c>
      <c r="B6743" s="13" t="s">
        <v>52</v>
      </c>
      <c r="C6743" s="13"/>
      <c r="D6743" s="13"/>
      <c r="E6743" s="13"/>
      <c r="F6743" s="13"/>
      <c r="G6743" s="16" t="n">
        <f aca="false">Sens!$G$6733*(1-tax)/(ext_sh*(Sens!$D$6730+Sens!$G$6730)/2)</f>
        <v>0.0492184452944045</v>
      </c>
      <c r="H6743" s="16" t="n">
        <f aca="false">Sens!$H$6733*(1-tax)/(ext_sh*(Sens!$G$6730+Sens!$H$6730)/2)</f>
        <v>0.0619414246858107</v>
      </c>
      <c r="I6743" s="16" t="n">
        <f aca="false">Sens!$I$6733*(1-tax)/(ext_sh*(Sens!$H$6730+Sens!$I$6730)/2)</f>
        <v>0.0656831488051666</v>
      </c>
      <c r="J6743" s="16" t="n">
        <f aca="false">Sens!$J$6733*(1-tax)/(ext_sh*(Sens!$I$6730+Sens!$J$6730)/2)</f>
        <v>0.0690334849962116</v>
      </c>
      <c r="K6743" s="16" t="n">
        <f aca="false">Sens!$K$6733*(1-tax)/(ext_sh*(Sens!$J$6730+Sens!$K$6730)/2)</f>
        <v>0.0728680488295485</v>
      </c>
      <c r="L6743" s="16" t="n">
        <f aca="false">Sens!$L$6733*(1-tax)/(ext_sh*(Sens!$K$6730+Sens!$L$6730)/2)</f>
        <v>0.0785052878122331</v>
      </c>
      <c r="M6743" s="16" t="n">
        <f aca="false">Sens!$M$6733*(1-tax)/(ext_sh*(Sens!$L$6730+Sens!$M$6730)/2)</f>
        <v>0.0804526580722741</v>
      </c>
      <c r="N6743" s="13"/>
      <c r="O6743" s="13"/>
      <c r="P6743" s="8" t="s">
        <v>611</v>
      </c>
    </row>
    <row r="6744" customFormat="false" ht="17.15" hidden="false" customHeight="false" outlineLevel="0" collapsed="false">
      <c r="A6744" s="5" t="s">
        <v>612</v>
      </c>
      <c r="B6744" s="0" t="s">
        <v>57</v>
      </c>
      <c r="H6744" s="36" t="n">
        <f aca="false">Sens!$H$6714*1000/(mw_open*he_open+Sens!$H$6712*Sens!$H$6709)</f>
        <v>0.991949006767191</v>
      </c>
      <c r="I6744" s="36" t="n">
        <f aca="false">Sens!$I$6714*1000/(mw_open*he_open+Sens!$I$6712*Sens!$I$6709)</f>
        <v>0.991949006767191</v>
      </c>
      <c r="J6744" s="36" t="n">
        <f aca="false">Sens!$J$6714*1000/(mw_open*he_open+Sens!$J$6712*Sens!$J$6709)</f>
        <v>0.991949006767191</v>
      </c>
      <c r="K6744" s="36" t="n">
        <f aca="false">Sens!$K$6714*1000/(mw_open*he_open+Sens!$K$6712*Sens!$K$6709)</f>
        <v>0.991949006767191</v>
      </c>
      <c r="L6744" s="36" t="n">
        <f aca="false">Sens!$L$6714*1000/(mw_open*he_open+Sens!$L$6712*Sens!$L$6709)</f>
        <v>0.991949006767191</v>
      </c>
      <c r="M6744" s="36" t="n">
        <f aca="false">Sens!$M$6714*1000/(mw_open*he_open+Sens!$M$6712*Sens!$M$6709)</f>
        <v>0.991949006767192</v>
      </c>
    </row>
    <row r="6745" customFormat="false" ht="17.15" hidden="false" customHeight="false" outlineLevel="0" collapsed="false">
      <c r="A6745" s="5" t="s">
        <v>613</v>
      </c>
      <c r="B6745" s="0" t="s">
        <v>57</v>
      </c>
      <c r="H6745" s="36" t="n">
        <f aca="false">Sens!$H$6744*(Sens!$H$6714+wacc*ext_sh*(Sens!$G$6730+Sens!$H$6730)/2/(1-tax)-Sens!$H$6733)/Sens!$H$6714</f>
        <v>1.3149781212103</v>
      </c>
      <c r="I6745" s="36" t="n">
        <f aca="false">Sens!$I$6744*(Sens!$I$6714+wacc*ext_sh*(Sens!$H$6730+Sens!$I$6730)/2/(1-tax)-Sens!$I$6733)/Sens!$I$6714</f>
        <v>1.25742005569107</v>
      </c>
      <c r="J6745" s="36" t="n">
        <f aca="false">Sens!$J$6744*(Sens!$J$6714+wacc*ext_sh*(Sens!$I$6730+Sens!$J$6730)/2/(1-tax)-Sens!$J$6733)/Sens!$J$6714</f>
        <v>1.21838845868559</v>
      </c>
      <c r="K6745" s="36" t="n">
        <f aca="false">Sens!$K$6744*(Sens!$K$6714+wacc*ext_sh*(Sens!$J$6730+Sens!$K$6730)/2/(1-tax)-Sens!$K$6733)/Sens!$K$6714</f>
        <v>1.18402644209548</v>
      </c>
      <c r="L6745" s="36" t="n">
        <f aca="false">Sens!$L$6744*(Sens!$L$6714+wacc*ext_sh*(Sens!$K$6730+Sens!$L$6730)/2/(1-tax)-Sens!$L$6733)/Sens!$L$6714</f>
        <v>1.15111215322059</v>
      </c>
      <c r="M6745" s="36" t="n">
        <f aca="false">Sens!$M$6744*(Sens!$M$6714+wacc*ext_sh*(Sens!$L$6730+Sens!$M$6730)/2/(1-tax)-Sens!$M$6733)/Sens!$M$6714</f>
        <v>1.1397166845677</v>
      </c>
    </row>
    <row r="6746" customFormat="false" ht="17.15" hidden="false" customHeight="false" outlineLevel="0" collapsed="false">
      <c r="A6746" s="5" t="s">
        <v>614</v>
      </c>
      <c r="B6746" s="0" t="s">
        <v>52</v>
      </c>
      <c r="C6746" s="12" t="n">
        <f aca="false">Sens!$C$6715/tk_pq</f>
        <v>0.195316432429398</v>
      </c>
      <c r="D6746" s="12" t="n">
        <f aca="false">Sens!$D$6715/tk_pq</f>
        <v>0.195316432429398</v>
      </c>
      <c r="E6746" s="12" t="n">
        <f aca="false">Sens!$E$6715/tk_pq</f>
        <v>0.195316432429398</v>
      </c>
      <c r="F6746" s="12" t="n">
        <f aca="false">Sens!$F$6715/tk_pq</f>
        <v>0.202241827274866</v>
      </c>
      <c r="G6746" s="12" t="n">
        <f aca="false">Sens!$G$6715/tk_pq</f>
        <v>0.199675016194063</v>
      </c>
      <c r="H6746" s="12" t="n">
        <f aca="false">Sens!$H$6715/tk_pq</f>
        <v>0.212647947710325</v>
      </c>
      <c r="I6746" s="12" t="n">
        <f aca="false">Sens!$I$6715/tk_pq</f>
        <v>0.219285125475351</v>
      </c>
      <c r="J6746" s="12" t="n">
        <f aca="false">Sens!$J$6715/tk_pq</f>
        <v>0.222492493217189</v>
      </c>
      <c r="K6746" s="12" t="n">
        <f aca="false">Sens!$K$6715/tk_pq</f>
        <v>0.224371415939166</v>
      </c>
      <c r="L6746" s="12" t="n">
        <f aca="false">Sens!$L$6715/tk_pq</f>
        <v>0.225603749825993</v>
      </c>
      <c r="M6746" s="12" t="n">
        <f aca="false">Sens!$M$6715/tk_pq</f>
        <v>0.22647376274628</v>
      </c>
      <c r="N6746" s="12" t="n">
        <f aca="false">Sens!$N$6715/tk_pq</f>
        <v>0.195316432429398</v>
      </c>
      <c r="O6746" s="12" t="n">
        <f aca="false">Sens!$O$6715/tk_pq</f>
        <v>0.195316432429398</v>
      </c>
      <c r="P6746" s="5" t="s">
        <v>615</v>
      </c>
    </row>
    <row r="6749" customFormat="false" ht="17.15" hidden="false" customHeight="false" outlineLevel="0" collapsed="false">
      <c r="A6749" s="1" t="s">
        <v>642</v>
      </c>
    </row>
    <row r="6750" customFormat="false" ht="17.15" hidden="false" customHeight="false" outlineLevel="0" collapsed="false">
      <c r="A6750" s="0" t="s">
        <v>643</v>
      </c>
      <c r="B6750" s="0" t="s">
        <v>73</v>
      </c>
      <c r="C6750" s="38" t="n">
        <f aca="false">Sens!$C$6714</f>
        <v>2.32100535697364</v>
      </c>
      <c r="D6750" s="38" t="n">
        <f aca="false">Sens!$D$6714</f>
        <v>8.70377008865116</v>
      </c>
      <c r="E6750" s="38" t="n">
        <f aca="false">Sens!$E$6714</f>
        <v>8.51035297557002</v>
      </c>
      <c r="F6750" s="38" t="n">
        <f aca="false">Sens!$F$6714</f>
        <v>14.9634336447205</v>
      </c>
      <c r="G6750" s="38" t="n">
        <f aca="false">Sens!$G$6714</f>
        <v>23.4737866202905</v>
      </c>
      <c r="H6750" s="38" t="n">
        <f aca="false">Sens!$H$6714</f>
        <v>60.1658907497746</v>
      </c>
      <c r="I6750" s="38" t="n">
        <f aca="false">Sens!$I$6714</f>
        <v>101.503699136432</v>
      </c>
      <c r="J6750" s="38" t="n">
        <f aca="false">Sens!$J$6714</f>
        <v>143.025407151278</v>
      </c>
      <c r="K6750" s="38" t="n">
        <f aca="false">Sens!$K$6714</f>
        <v>184.608415042187</v>
      </c>
      <c r="L6750" s="38" t="n">
        <f aca="false">Sens!$L$6714</f>
        <v>226.219286513125</v>
      </c>
      <c r="M6750" s="38" t="n">
        <f aca="false">Sens!$M$6714</f>
        <v>267.845161450232</v>
      </c>
      <c r="N6750" s="38" t="n">
        <f aca="false">Sens!$N$6714</f>
        <v>3.04631953102791</v>
      </c>
      <c r="O6750" s="38" t="n">
        <f aca="false">Sens!$O$6714</f>
        <v>5.65745055762326</v>
      </c>
      <c r="P6750" s="8" t="s">
        <v>644</v>
      </c>
    </row>
    <row r="6751" customFormat="false" ht="17.15" hidden="false" customHeight="false" outlineLevel="0" collapsed="false">
      <c r="A6751" s="0" t="s">
        <v>645</v>
      </c>
      <c r="B6751" s="0" t="s">
        <v>73</v>
      </c>
      <c r="C6751" s="38" t="n">
        <f aca="false">Sens!$C$6718</f>
        <v>105.234994643026</v>
      </c>
      <c r="D6751" s="38" t="n">
        <f aca="false">Sens!$D$6718</f>
        <v>120.021229911349</v>
      </c>
      <c r="E6751" s="38" t="n">
        <f aca="false">Sens!$E$6718</f>
        <v>71.30864702443</v>
      </c>
      <c r="F6751" s="38" t="n">
        <f aca="false">Sens!$F$6718</f>
        <v>78.5950104186653</v>
      </c>
      <c r="G6751" s="38" t="n">
        <f aca="false">Sens!$G$6718</f>
        <v>149.903657443095</v>
      </c>
      <c r="H6751" s="38" t="n">
        <f aca="false">Sens!$H$6718</f>
        <v>180.893560768142</v>
      </c>
      <c r="I6751" s="38" t="n">
        <f aca="false">Sens!$I$6718</f>
        <v>210.64839721501</v>
      </c>
      <c r="J6751" s="38" t="n">
        <f aca="false">Sens!$J$6718</f>
        <v>236.398909446495</v>
      </c>
      <c r="K6751" s="38" t="n">
        <f aca="false">Sens!$K$6718</f>
        <v>255.310822202215</v>
      </c>
      <c r="L6751" s="38" t="n">
        <f aca="false">Sens!$L$6718</f>
        <v>275.735687978392</v>
      </c>
      <c r="M6751" s="38" t="n">
        <f aca="false">Sens!$M$6718</f>
        <v>297.794543016663</v>
      </c>
      <c r="N6751" s="38" t="n">
        <f aca="false">Sens!$N$6718</f>
        <v>57.0936804689721</v>
      </c>
      <c r="O6751" s="38" t="n">
        <f aca="false">Sens!$O$6718</f>
        <v>62.9275494423768</v>
      </c>
      <c r="P6751" s="8" t="s">
        <v>644</v>
      </c>
    </row>
    <row r="6752" customFormat="false" ht="17.15" hidden="false" customHeight="false" outlineLevel="0" collapsed="false">
      <c r="A6752" s="1" t="s">
        <v>476</v>
      </c>
      <c r="B6752" s="8" t="s">
        <v>73</v>
      </c>
      <c r="C6752" s="38" t="n">
        <f aca="false">Q!$D$7</f>
        <v>107.556</v>
      </c>
      <c r="D6752" s="38" t="n">
        <f aca="false">Q!$E$7</f>
        <v>128.725</v>
      </c>
      <c r="E6752" s="38" t="n">
        <f aca="false">Q!$P$7</f>
        <v>79.819</v>
      </c>
      <c r="F6752" s="38" t="n">
        <f aca="false">Sens!$F$6750+Sens!$F$6751</f>
        <v>93.5584440633857</v>
      </c>
      <c r="G6752" s="38" t="n">
        <f aca="false">Sens!$G$6750+Sens!$G$6751</f>
        <v>173.377444063386</v>
      </c>
      <c r="H6752" s="38" t="n">
        <f aca="false">Sens!$H$6750+Sens!$H$6751</f>
        <v>241.059451517916</v>
      </c>
      <c r="I6752" s="38" t="n">
        <f aca="false">Sens!$I$6750+Sens!$I$6751</f>
        <v>312.152096351442</v>
      </c>
      <c r="J6752" s="38" t="n">
        <f aca="false">Sens!$J$6750+Sens!$J$6751</f>
        <v>379.424316597773</v>
      </c>
      <c r="K6752" s="38" t="n">
        <f aca="false">Sens!$K$6750+Sens!$K$6751</f>
        <v>439.919237244402</v>
      </c>
      <c r="L6752" s="38" t="n">
        <f aca="false">Sens!$L$6750+Sens!$L$6751</f>
        <v>501.954974491517</v>
      </c>
      <c r="M6752" s="38" t="n">
        <f aca="false">Sens!$M$6750+Sens!$M$6751</f>
        <v>565.639704466895</v>
      </c>
      <c r="N6752" s="38" t="n">
        <f aca="false">Q!$N$7</f>
        <v>60.14</v>
      </c>
      <c r="O6752" s="38" t="n">
        <f aca="false">Q!$O$7</f>
        <v>68.585</v>
      </c>
      <c r="P6752" s="5" t="s">
        <v>646</v>
      </c>
    </row>
    <row r="6753" customFormat="false" ht="15" hidden="false" customHeight="false" outlineLevel="0" collapsed="false">
      <c r="A6753" s="3" t="s">
        <v>647</v>
      </c>
      <c r="B6753" s="8" t="s">
        <v>73</v>
      </c>
      <c r="C6753" s="38" t="n">
        <f aca="false">Q!$D$8</f>
        <v>637.959</v>
      </c>
      <c r="D6753" s="38" t="n">
        <f aca="false">Q!$E$8</f>
        <v>716.924</v>
      </c>
      <c r="E6753" s="38" t="n">
        <f aca="false">Q!$P$8</f>
        <v>382.125</v>
      </c>
      <c r="F6753" s="38" t="n">
        <f aca="false">Sens!$F$6687+Sens!$F$6752</f>
        <v>450.494873271816</v>
      </c>
      <c r="G6753" s="38" t="n">
        <f aca="false">Sens!$G$6687+Sens!$G$6752</f>
        <v>832.619873271816</v>
      </c>
      <c r="H6753" s="38" t="n">
        <f aca="false">Sens!$H$6687+Sens!$H$6752</f>
        <v>970.995189139617</v>
      </c>
      <c r="I6753" s="38" t="n">
        <f aca="false">Sens!$I$6687+Sens!$I$6752</f>
        <v>1110.44766604932</v>
      </c>
      <c r="J6753" s="38" t="n">
        <f aca="false">Sens!$J$6687+Sens!$J$6752</f>
        <v>1241.16113892356</v>
      </c>
      <c r="K6753" s="38" t="n">
        <f aca="false">Sens!$K$6687+Sens!$K$6752</f>
        <v>1357.47672934633</v>
      </c>
      <c r="L6753" s="38" t="n">
        <f aca="false">Sens!$L$6687+Sens!$L$6752</f>
        <v>1479.24006423468</v>
      </c>
      <c r="M6753" s="38" t="n">
        <f aca="false">Sens!$M$6687+Sens!$M$6752</f>
        <v>1606.8537230104</v>
      </c>
      <c r="N6753" s="38" t="n">
        <f aca="false">Q!$N$8</f>
        <v>323.369</v>
      </c>
      <c r="O6753" s="38" t="n">
        <f aca="false">Q!$O$8</f>
        <v>393.555</v>
      </c>
    </row>
    <row r="6754" customFormat="false" ht="17.15" hidden="false" customHeight="false" outlineLevel="0" collapsed="false">
      <c r="A6754" s="24" t="s">
        <v>655</v>
      </c>
      <c r="B6754" s="25" t="s">
        <v>73</v>
      </c>
      <c r="C6754" s="39" t="n">
        <f aca="false">Sens!$C$6687-(Sens!$C$6689+Sens!$C$6690)</f>
        <v>0</v>
      </c>
      <c r="D6754" s="39" t="n">
        <f aca="false">Sens!$D$6687-(Sens!$D$6689+Sens!$D$6690)</f>
        <v>0</v>
      </c>
      <c r="E6754" s="39" t="n">
        <f aca="false">Sens!$E$6687-(Sens!$E$6689+Sens!$E$6690)</f>
        <v>0</v>
      </c>
      <c r="F6754" s="39" t="n">
        <f aca="false">Sens!$F$6687-(Sens!$F$6689+Sens!$F$6690)</f>
        <v>0</v>
      </c>
      <c r="G6754" s="39" t="n">
        <f aca="false">Sens!$G$6687-(Sens!$G$6689+Sens!$G$6690)</f>
        <v>0</v>
      </c>
      <c r="H6754" s="39" t="n">
        <f aca="false">Sens!$H$6687-(Sens!$H$6689+Sens!$H$6690)</f>
        <v>0</v>
      </c>
      <c r="I6754" s="39" t="n">
        <f aca="false">Sens!$I$6687-(Sens!$I$6689+Sens!$I$6690)</f>
        <v>0</v>
      </c>
      <c r="J6754" s="39" t="n">
        <f aca="false">Sens!$J$6687-(Sens!$J$6689+Sens!$J$6690)</f>
        <v>0</v>
      </c>
      <c r="K6754" s="39" t="n">
        <f aca="false">Sens!$K$6687-(Sens!$K$6689+Sens!$K$6690)</f>
        <v>0</v>
      </c>
      <c r="L6754" s="39" t="n">
        <f aca="false">Sens!$L$6687-(Sens!$L$6689+Sens!$L$6690)</f>
        <v>0</v>
      </c>
      <c r="M6754" s="39" t="n">
        <f aca="false">Sens!$M$6687-(Sens!$M$6689+Sens!$M$6690)</f>
        <v>0</v>
      </c>
      <c r="N6754" s="39" t="n">
        <f aca="false">Sens!$N$6687-(Sens!$N$6689+Sens!$N$6690)</f>
        <v>0</v>
      </c>
      <c r="O6754" s="39" t="n">
        <f aca="false">Sens!$O$6687-(Sens!$O$6689+Sens!$O$6690)</f>
        <v>0</v>
      </c>
    </row>
    <row r="6755" customFormat="false" ht="17.15" hidden="false" customHeight="false" outlineLevel="0" collapsed="false">
      <c r="A6755" s="24" t="s">
        <v>656</v>
      </c>
      <c r="B6755" s="25" t="s">
        <v>73</v>
      </c>
      <c r="C6755" s="39" t="n">
        <f aca="false">Sens!$C$6750+Sens!$C$6751-Sens!$C$6752</f>
        <v>0</v>
      </c>
      <c r="D6755" s="39" t="n">
        <f aca="false">Sens!$D$6750+Sens!$D$6751-Sens!$D$6752</f>
        <v>0</v>
      </c>
      <c r="E6755" s="39" t="n">
        <f aca="false">Sens!$E$6750+Sens!$E$6751-Sens!$E$6752</f>
        <v>0</v>
      </c>
      <c r="F6755" s="39" t="n">
        <f aca="false">Sens!$F$6750+Sens!$F$6751-Sens!$F$6752</f>
        <v>0</v>
      </c>
      <c r="G6755" s="39" t="n">
        <f aca="false">Sens!$G$6750+Sens!$G$6751-Sens!$G$6752</f>
        <v>0</v>
      </c>
      <c r="H6755" s="39" t="n">
        <f aca="false">Sens!$H$6750+Sens!$H$6751-Sens!$H$6752</f>
        <v>0</v>
      </c>
      <c r="I6755" s="39" t="n">
        <f aca="false">Sens!$I$6750+Sens!$I$6751-Sens!$I$6752</f>
        <v>0</v>
      </c>
      <c r="J6755" s="39" t="n">
        <f aca="false">Sens!$J$6750+Sens!$J$6751-Sens!$J$6752</f>
        <v>0</v>
      </c>
      <c r="K6755" s="39" t="n">
        <f aca="false">Sens!$K$6750+Sens!$K$6751-Sens!$K$6752</f>
        <v>0</v>
      </c>
      <c r="L6755" s="39" t="n">
        <f aca="false">Sens!$L$6750+Sens!$L$6751-Sens!$L$6752</f>
        <v>0</v>
      </c>
      <c r="M6755" s="39" t="n">
        <f aca="false">Sens!$M$6750+Sens!$M$6751-Sens!$M$6752</f>
        <v>0</v>
      </c>
      <c r="N6755" s="39" t="n">
        <f aca="false">Sens!$N$6750+Sens!$N$6751-Sens!$N$6752</f>
        <v>0</v>
      </c>
      <c r="O6755" s="39" t="n">
        <f aca="false">Sens!$O$6750+Sens!$O$6751-Sens!$O$6752</f>
        <v>0</v>
      </c>
    </row>
    <row r="6756" customFormat="false" ht="17.15" hidden="false" customHeight="false" outlineLevel="0" collapsed="false">
      <c r="A6756" s="24" t="s">
        <v>657</v>
      </c>
      <c r="B6756" s="25" t="s">
        <v>73</v>
      </c>
      <c r="C6756" s="39" t="n">
        <f aca="false">Sens!$C$6689+Sens!$C$6690+Sens!$C$6752-Sens!$C$6753</f>
        <v>0</v>
      </c>
      <c r="D6756" s="39" t="n">
        <f aca="false">Sens!$D$6689+Sens!$D$6690+Sens!$D$6752-Sens!$D$6753</f>
        <v>0</v>
      </c>
      <c r="E6756" s="39" t="n">
        <f aca="false">Sens!$E$6689+Sens!$E$6690+Sens!$E$6752-Sens!$E$6753</f>
        <v>0</v>
      </c>
      <c r="F6756" s="39" t="n">
        <f aca="false">Sens!$F$6689+Sens!$F$6690+Sens!$F$6752-Sens!$F$6753</f>
        <v>0</v>
      </c>
      <c r="G6756" s="39" t="n">
        <f aca="false">Sens!$G$6689+Sens!$G$6690+Sens!$G$6752-Sens!$G$6753</f>
        <v>0</v>
      </c>
      <c r="H6756" s="39" t="n">
        <f aca="false">Sens!$H$6689+Sens!$H$6690+Sens!$H$6752-Sens!$H$6753</f>
        <v>0</v>
      </c>
      <c r="I6756" s="39" t="n">
        <f aca="false">Sens!$I$6689+Sens!$I$6690+Sens!$I$6752-Sens!$I$6753</f>
        <v>0</v>
      </c>
      <c r="J6756" s="39" t="n">
        <f aca="false">Sens!$J$6689+Sens!$J$6690+Sens!$J$6752-Sens!$J$6753</f>
        <v>0</v>
      </c>
      <c r="K6756" s="39" t="n">
        <f aca="false">Sens!$K$6689+Sens!$K$6690+Sens!$K$6752-Sens!$K$6753</f>
        <v>0</v>
      </c>
      <c r="L6756" s="39" t="n">
        <f aca="false">Sens!$L$6689+Sens!$L$6690+Sens!$L$6752-Sens!$L$6753</f>
        <v>0</v>
      </c>
      <c r="M6756" s="39" t="n">
        <f aca="false">Sens!$M$6689+Sens!$M$6690+Sens!$M$6752-Sens!$M$6753</f>
        <v>0</v>
      </c>
      <c r="N6756" s="39" t="n">
        <f aca="false">Sens!$N$6689+Sens!$N$6690+Sens!$N$6752-Sens!$N$6753</f>
        <v>0</v>
      </c>
      <c r="O6756" s="39" t="n">
        <f aca="false">Sens!$O$6689+Sens!$O$6690+Sens!$O$6752-Sens!$O$6753</f>
        <v>0</v>
      </c>
    </row>
    <row r="6757" customFormat="false" ht="15" hidden="false" customHeight="false" outlineLevel="0" collapsed="false">
      <c r="A6757" s="5" t="s">
        <v>651</v>
      </c>
      <c r="B6757" s="0" t="s">
        <v>52</v>
      </c>
      <c r="G6757" s="12" t="n">
        <f aca="false">Sens!$G$6753/Sens!$D$6753-1</f>
        <v>0.161378156222718</v>
      </c>
      <c r="H6757" s="12" t="n">
        <f aca="false">Sens!$H$6753/Sens!$G$6753-1</f>
        <v>0.166192665236357</v>
      </c>
      <c r="I6757" s="12" t="n">
        <f aca="false">Sens!$I$6753/Sens!$H$6753-1</f>
        <v>0.143618092519351</v>
      </c>
      <c r="J6757" s="12" t="n">
        <f aca="false">Sens!$J$6753/Sens!$I$6753-1</f>
        <v>0.117712411733268</v>
      </c>
      <c r="K6757" s="12" t="n">
        <f aca="false">Sens!$K$6753/Sens!$J$6753-1</f>
        <v>0.0937151404237868</v>
      </c>
      <c r="L6757" s="12" t="n">
        <f aca="false">Sens!$L$6753/Sens!$K$6753-1</f>
        <v>0.0896982852494186</v>
      </c>
      <c r="M6757" s="12" t="n">
        <f aca="false">Sens!$M$6753/Sens!$L$6753-1</f>
        <v>0.0862697420528154</v>
      </c>
    </row>
    <row r="6758" customFormat="false" ht="17.15" hidden="false" customHeight="false" outlineLevel="0" collapsed="false">
      <c r="A6758" s="0" t="s">
        <v>652</v>
      </c>
      <c r="B6758" s="0" t="s">
        <v>52</v>
      </c>
      <c r="C6758" s="12" t="n">
        <f aca="false">Sens!$C$6752/Sens!$C$6753</f>
        <v>0.168593906504964</v>
      </c>
      <c r="D6758" s="12" t="n">
        <f aca="false">Sens!$D$6752/Sens!$D$6753</f>
        <v>0.179551807444025</v>
      </c>
      <c r="E6758" s="12" t="n">
        <f aca="false">Sens!$E$6752/Sens!$E$6753</f>
        <v>0.208881910369643</v>
      </c>
      <c r="F6758" s="12" t="n">
        <f aca="false">Sens!$F$6752/Sens!$F$6753</f>
        <v>0.207679264769203</v>
      </c>
      <c r="G6758" s="12" t="n">
        <f aca="false">Sens!$G$6752/Sens!$G$6753</f>
        <v>0.208231210458731</v>
      </c>
      <c r="H6758" s="12" t="n">
        <f aca="false">Sens!$H$6752/Sens!$H$6753</f>
        <v>0.248260191414043</v>
      </c>
      <c r="I6758" s="12" t="n">
        <f aca="false">Sens!$I$6752/Sens!$I$6753</f>
        <v>0.28110473450946</v>
      </c>
      <c r="J6758" s="12" t="n">
        <f aca="false">Sens!$J$6752/Sens!$J$6753</f>
        <v>0.30570109287086</v>
      </c>
      <c r="K6758" s="12" t="n">
        <f aca="false">Sens!$K$6752/Sens!$K$6753</f>
        <v>0.324071291782835</v>
      </c>
      <c r="L6758" s="12" t="n">
        <f aca="false">Sens!$L$6752/Sens!$L$6753</f>
        <v>0.339333003903741</v>
      </c>
      <c r="M6758" s="12" t="n">
        <f aca="false">Sens!$M$6752/Sens!$M$6753</f>
        <v>0.3520169237354</v>
      </c>
      <c r="N6758" s="12" t="n">
        <f aca="false">Sens!$N$6752/Sens!$N$6753</f>
        <v>0.185979484737251</v>
      </c>
      <c r="O6758" s="12" t="n">
        <f aca="false">Sens!$O$6752/Sens!$O$6753</f>
        <v>0.174270432341096</v>
      </c>
    </row>
    <row r="6759" customFormat="false" ht="17.15" hidden="false" customHeight="false" outlineLevel="0" collapsed="false">
      <c r="A6759" s="0" t="s">
        <v>653</v>
      </c>
      <c r="B6759" s="0" t="s">
        <v>52</v>
      </c>
      <c r="C6759" s="12" t="n">
        <f aca="false">Sens!$C$6750/Sens!$C$6752</f>
        <v>0.0215795060896058</v>
      </c>
      <c r="D6759" s="12" t="n">
        <f aca="false">Sens!$D$6750/Sens!$D$6752</f>
        <v>0.0676152269462122</v>
      </c>
      <c r="E6759" s="12" t="n">
        <f aca="false">Sens!$E$6750/Sens!$E$6752</f>
        <v>0.106620641395783</v>
      </c>
      <c r="F6759" s="12" t="n">
        <f aca="false">Sens!$F$6750/Sens!$F$6752</f>
        <v>0.159936751776064</v>
      </c>
      <c r="G6759" s="12" t="n">
        <f aca="false">Sens!$G$6750/Sens!$G$6752</f>
        <v>0.135391237003751</v>
      </c>
      <c r="H6759" s="12" t="n">
        <f aca="false">Sens!$H$6750/Sens!$H$6752</f>
        <v>0.249589428545194</v>
      </c>
      <c r="I6759" s="12" t="n">
        <f aca="false">Sens!$I$6750/Sens!$I$6752</f>
        <v>0.325173850577483</v>
      </c>
      <c r="J6759" s="12" t="n">
        <f aca="false">Sens!$J$6750/Sens!$J$6752</f>
        <v>0.376953718817392</v>
      </c>
      <c r="K6759" s="12" t="n">
        <f aca="false">Sens!$K$6750/Sens!$K$6752</f>
        <v>0.419641605578676</v>
      </c>
      <c r="L6759" s="12" t="n">
        <f aca="false">Sens!$L$6750/Sens!$L$6752</f>
        <v>0.450676451094615</v>
      </c>
      <c r="M6759" s="12" t="n">
        <f aca="false">Sens!$M$6750/Sens!$M$6752</f>
        <v>0.473526096798086</v>
      </c>
      <c r="N6759" s="12" t="n">
        <f aca="false">Sens!$N$6750/Sens!$N$6752</f>
        <v>0.0506537999838362</v>
      </c>
      <c r="O6759" s="12" t="n">
        <f aca="false">Sens!$O$6750/Sens!$O$6752</f>
        <v>0.0824881615167056</v>
      </c>
    </row>
    <row r="6762" customFormat="false" ht="19.4" hidden="false" customHeight="false" outlineLevel="0" collapsed="false">
      <c r="A6762" s="31" t="s">
        <v>1190</v>
      </c>
    </row>
    <row r="6763" customFormat="false" ht="17.15" hidden="false" customHeight="false" outlineLevel="0" collapsed="false">
      <c r="A6763" s="6" t="s">
        <v>16</v>
      </c>
      <c r="B6763" s="6" t="s">
        <v>17</v>
      </c>
      <c r="C6763" s="20" t="s">
        <v>457</v>
      </c>
      <c r="D6763" s="20" t="s">
        <v>458</v>
      </c>
      <c r="E6763" s="20" t="s">
        <v>540</v>
      </c>
      <c r="F6763" s="20" t="s">
        <v>541</v>
      </c>
      <c r="G6763" s="20" t="s">
        <v>542</v>
      </c>
      <c r="H6763" s="20" t="s">
        <v>543</v>
      </c>
      <c r="I6763" s="20" t="s">
        <v>544</v>
      </c>
      <c r="J6763" s="20" t="s">
        <v>545</v>
      </c>
      <c r="K6763" s="20" t="s">
        <v>546</v>
      </c>
      <c r="L6763" s="20" t="s">
        <v>547</v>
      </c>
      <c r="M6763" s="20" t="s">
        <v>548</v>
      </c>
      <c r="N6763" s="20" t="s">
        <v>549</v>
      </c>
      <c r="O6763" s="20" t="s">
        <v>550</v>
      </c>
      <c r="P6763" s="6" t="s">
        <v>23</v>
      </c>
      <c r="R6763" s="20" t="n">
        <v>2023</v>
      </c>
      <c r="S6763" s="20" t="n">
        <v>2024</v>
      </c>
      <c r="T6763" s="20" t="n">
        <v>2025</v>
      </c>
      <c r="U6763" s="20" t="n">
        <v>2026</v>
      </c>
      <c r="V6763" s="20" t="n">
        <v>2027</v>
      </c>
      <c r="W6763" s="20" t="n">
        <v>2028</v>
      </c>
      <c r="X6763" s="20" t="n">
        <v>2029</v>
      </c>
      <c r="Y6763" s="20" t="n">
        <v>2030</v>
      </c>
      <c r="Z6763" s="20" t="n">
        <v>2031</v>
      </c>
      <c r="AA6763" s="20" t="n">
        <v>2032</v>
      </c>
    </row>
    <row r="6764" customFormat="false" ht="17.15" hidden="false" customHeight="false" outlineLevel="0" collapsed="false">
      <c r="A6764" s="1" t="s">
        <v>668</v>
      </c>
    </row>
    <row r="6765" customFormat="false" ht="15" hidden="false" customHeight="false" outlineLevel="0" collapsed="false">
      <c r="A6765" s="0" t="s">
        <v>479</v>
      </c>
      <c r="B6765" s="0" t="s">
        <v>73</v>
      </c>
      <c r="C6765" s="38" t="n">
        <f aca="false">Sens!$C$6675</f>
        <v>247.029</v>
      </c>
      <c r="D6765" s="38" t="n">
        <f aca="false">Sens!$D$6675</f>
        <v>269.287</v>
      </c>
      <c r="E6765" s="38" t="n">
        <f aca="false">Sens!$E$6675</f>
        <v>134.686</v>
      </c>
      <c r="F6765" s="38" t="n">
        <f aca="false">Sens!$F$6675</f>
        <v>160.728085930082</v>
      </c>
      <c r="G6765" s="38" t="n">
        <f aca="false">Sens!$G$6675</f>
        <v>295.414085930082</v>
      </c>
      <c r="H6765" s="38" t="n">
        <f aca="false">Sens!$H$6675</f>
        <v>320.828163943375</v>
      </c>
      <c r="I6765" s="38" t="n">
        <f aca="false">Sens!$I$6675</f>
        <v>344.575578072228</v>
      </c>
      <c r="J6765" s="38" t="n">
        <f aca="false">Sens!$J$6675</f>
        <v>365.942555779681</v>
      </c>
      <c r="K6765" s="38" t="n">
        <f aca="false">Sens!$K$6675</f>
        <v>384.239683568665</v>
      </c>
      <c r="L6765" s="38" t="n">
        <f aca="false">Sens!$L$6675</f>
        <v>403.451667747098</v>
      </c>
      <c r="M6765" s="38" t="n">
        <f aca="false">Sens!$M$6675</f>
        <v>423.624251134453</v>
      </c>
      <c r="N6765" s="38" t="n">
        <f aca="false">Sens!$N$6675</f>
        <v>118.892</v>
      </c>
      <c r="O6765" s="38" t="n">
        <f aca="false">Sens!$O$6675</f>
        <v>150.395</v>
      </c>
    </row>
    <row r="6766" customFormat="false" ht="15" hidden="false" customHeight="false" outlineLevel="0" collapsed="false">
      <c r="A6766" s="0" t="s">
        <v>480</v>
      </c>
      <c r="B6766" s="0" t="s">
        <v>73</v>
      </c>
      <c r="C6766" s="38" t="n">
        <f aca="false">Sens!$C$6677</f>
        <v>21.215</v>
      </c>
      <c r="D6766" s="38" t="n">
        <f aca="false">Sens!$D$6677</f>
        <v>22.561</v>
      </c>
      <c r="E6766" s="38" t="n">
        <f aca="false">Sens!$E$6677</f>
        <v>11.579</v>
      </c>
      <c r="F6766" s="38" t="n">
        <f aca="false">Sens!$F$6677</f>
        <v>12.0952613121125</v>
      </c>
      <c r="G6766" s="38" t="n">
        <f aca="false">Sens!$G$6677</f>
        <v>23.6742613121125</v>
      </c>
      <c r="H6766" s="38" t="n">
        <f aca="false">Sens!$H$6677</f>
        <v>24.8803243963206</v>
      </c>
      <c r="I6766" s="38" t="n">
        <f aca="false">Sens!$I$6677</f>
        <v>25.9741308664154</v>
      </c>
      <c r="J6766" s="38" t="n">
        <f aca="false">Sens!$J$6677</f>
        <v>26.9346894124267</v>
      </c>
      <c r="K6766" s="38" t="n">
        <f aca="false">Sens!$K$6677</f>
        <v>27.7427300947995</v>
      </c>
      <c r="L6766" s="38" t="n">
        <f aca="false">Sens!$L$6677</f>
        <v>28.5750119976435</v>
      </c>
      <c r="M6766" s="38" t="n">
        <f aca="false">Sens!$M$6677</f>
        <v>29.4322623575728</v>
      </c>
      <c r="N6766" s="38" t="n">
        <f aca="false">Sens!$N$6677</f>
        <v>11.128</v>
      </c>
      <c r="O6766" s="38" t="n">
        <f aca="false">Sens!$O$6677</f>
        <v>11.433</v>
      </c>
    </row>
    <row r="6767" customFormat="false" ht="15" hidden="false" customHeight="false" outlineLevel="0" collapsed="false">
      <c r="A6767" s="0" t="s">
        <v>481</v>
      </c>
      <c r="B6767" s="0" t="s">
        <v>73</v>
      </c>
      <c r="C6767" s="38" t="n">
        <f aca="false">Sens!$C$6679</f>
        <v>156.146</v>
      </c>
      <c r="D6767" s="38" t="n">
        <f aca="false">Sens!$D$6679</f>
        <v>172.162</v>
      </c>
      <c r="E6767" s="38" t="n">
        <f aca="false">Sens!$E$6679</f>
        <v>88.358</v>
      </c>
      <c r="F6767" s="38" t="n">
        <f aca="false">Sens!$F$6679</f>
        <v>103.62028337149</v>
      </c>
      <c r="G6767" s="38" t="n">
        <f aca="false">Sens!$G$6679</f>
        <v>191.97828337149</v>
      </c>
      <c r="H6767" s="38" t="n">
        <f aca="false">Sens!$H$6679</f>
        <v>212.128608444755</v>
      </c>
      <c r="I6767" s="38" t="n">
        <f aca="false">Sens!$I$6679</f>
        <v>231.92183134134</v>
      </c>
      <c r="J6767" s="38" t="n">
        <f aca="false">Sens!$J$6679</f>
        <v>250.859136487863</v>
      </c>
      <c r="K6767" s="38" t="n">
        <f aca="false">Sens!$K$6679</f>
        <v>268.419276042014</v>
      </c>
      <c r="L6767" s="38" t="n">
        <f aca="false">Sens!$L$6679</f>
        <v>287.208625364954</v>
      </c>
      <c r="M6767" s="38" t="n">
        <f aca="false">Sens!$M$6679</f>
        <v>307.313229140501</v>
      </c>
      <c r="N6767" s="38" t="n">
        <f aca="false">Sens!$N$6679</f>
        <v>76.86</v>
      </c>
      <c r="O6767" s="38" t="n">
        <f aca="false">Sens!$O$6679</f>
        <v>95.302</v>
      </c>
    </row>
    <row r="6768" customFormat="false" ht="15" hidden="false" customHeight="false" outlineLevel="0" collapsed="false">
      <c r="A6768" s="0" t="s">
        <v>482</v>
      </c>
      <c r="B6768" s="0" t="s">
        <v>73</v>
      </c>
      <c r="C6768" s="38" t="n">
        <f aca="false">Sens!$C$6681</f>
        <v>56.214</v>
      </c>
      <c r="D6768" s="38" t="n">
        <f aca="false">Sens!$D$6681</f>
        <v>68.635</v>
      </c>
      <c r="E6768" s="38" t="n">
        <f aca="false">Sens!$E$6681</f>
        <v>37.052</v>
      </c>
      <c r="F6768" s="38" t="n">
        <f aca="false">Sens!$F$6681</f>
        <v>48.1533381827382</v>
      </c>
      <c r="G6768" s="38" t="n">
        <f aca="false">Sens!$G$6681</f>
        <v>85.2053381827382</v>
      </c>
      <c r="H6768" s="38" t="n">
        <f aca="false">Sens!$H$6681</f>
        <v>102.29336185894</v>
      </c>
      <c r="I6768" s="38" t="n">
        <f aca="false">Sens!$I$6681</f>
        <v>119.379837585241</v>
      </c>
      <c r="J6768" s="38" t="n">
        <f aca="false">Sens!$J$6681</f>
        <v>135.319079048844</v>
      </c>
      <c r="K6768" s="38" t="n">
        <f aca="false">Sens!$K$6681</f>
        <v>148.850986953729</v>
      </c>
      <c r="L6768" s="38" t="n">
        <f aca="false">Sens!$L$6681</f>
        <v>163.736085649102</v>
      </c>
      <c r="M6768" s="38" t="n">
        <f aca="false">Sens!$M$6681</f>
        <v>180.109694214012</v>
      </c>
      <c r="N6768" s="38" t="n">
        <f aca="false">Sens!$N$6681</f>
        <v>29.615</v>
      </c>
      <c r="O6768" s="38" t="n">
        <f aca="false">Sens!$O$6681</f>
        <v>39.02</v>
      </c>
    </row>
    <row r="6769" customFormat="false" ht="15" hidden="false" customHeight="false" outlineLevel="0" collapsed="false">
      <c r="A6769" s="0" t="s">
        <v>483</v>
      </c>
      <c r="B6769" s="0" t="s">
        <v>73</v>
      </c>
      <c r="C6769" s="38" t="n">
        <f aca="false">Sens!$C$6683</f>
        <v>44.374</v>
      </c>
      <c r="D6769" s="38" t="n">
        <f aca="false">Sens!$D$6683</f>
        <v>49.619</v>
      </c>
      <c r="E6769" s="38" t="n">
        <f aca="false">Sens!$E$6683</f>
        <v>27.157</v>
      </c>
      <c r="F6769" s="38" t="n">
        <f aca="false">Sens!$F$6683</f>
        <v>28.9776360923374</v>
      </c>
      <c r="G6769" s="38" t="n">
        <f aca="false">Sens!$G$6683</f>
        <v>56.1346360923374</v>
      </c>
      <c r="H6769" s="38" t="n">
        <f aca="false">Sens!$H$6683</f>
        <v>62.4937078946075</v>
      </c>
      <c r="I6769" s="38" t="n">
        <f aca="false">Sens!$I$6683</f>
        <v>68.6715233062498</v>
      </c>
      <c r="J6769" s="38" t="n">
        <f aca="false">Sens!$J$6683</f>
        <v>74.4692882949818</v>
      </c>
      <c r="K6769" s="38" t="n">
        <f aca="false">Sens!$K$6683</f>
        <v>79.6821384756306</v>
      </c>
      <c r="L6769" s="38" t="n">
        <f aca="false">Sens!$L$6683</f>
        <v>85.2598881689247</v>
      </c>
      <c r="M6769" s="38" t="n">
        <f aca="false">Sens!$M$6683</f>
        <v>91.2280803407494</v>
      </c>
      <c r="N6769" s="38" t="n">
        <f aca="false">Sens!$N$6683</f>
        <v>23.923</v>
      </c>
      <c r="O6769" s="38" t="n">
        <f aca="false">Sens!$O$6683</f>
        <v>25.696</v>
      </c>
    </row>
    <row r="6770" customFormat="false" ht="15" hidden="false" customHeight="false" outlineLevel="0" collapsed="false">
      <c r="A6770" s="0" t="s">
        <v>484</v>
      </c>
      <c r="B6770" s="0" t="s">
        <v>73</v>
      </c>
      <c r="C6770" s="38" t="n">
        <f aca="false">Sens!$C$6685</f>
        <v>5.425</v>
      </c>
      <c r="D6770" s="38" t="n">
        <f aca="false">Sens!$D$6685</f>
        <v>5.935</v>
      </c>
      <c r="E6770" s="38" t="n">
        <f aca="false">Sens!$E$6685</f>
        <v>3.474</v>
      </c>
      <c r="F6770" s="38" t="n">
        <f aca="false">Sens!$F$6685</f>
        <v>3.36182431966931</v>
      </c>
      <c r="G6770" s="38" t="n">
        <f aca="false">Sens!$G$6685</f>
        <v>6.83582431966931</v>
      </c>
      <c r="H6770" s="38" t="n">
        <f aca="false">Sens!$H$6685</f>
        <v>7.31157108370141</v>
      </c>
      <c r="I6770" s="38" t="n">
        <f aca="false">Sens!$I$6685</f>
        <v>7.77266852639815</v>
      </c>
      <c r="J6770" s="38" t="n">
        <f aca="false">Sens!$J$6685</f>
        <v>8.2120733019884</v>
      </c>
      <c r="K6770" s="38" t="n">
        <f aca="false">Sens!$K$6685</f>
        <v>8.62267696708783</v>
      </c>
      <c r="L6770" s="38" t="n">
        <f aca="false">Sens!$L$6685</f>
        <v>9.05381081544222</v>
      </c>
      <c r="M6770" s="38" t="n">
        <f aca="false">Sens!$M$6685</f>
        <v>9.50650135621433</v>
      </c>
      <c r="N6770" s="38" t="n">
        <f aca="false">Sens!$N$6685</f>
        <v>2.811</v>
      </c>
      <c r="O6770" s="38" t="n">
        <f aca="false">Sens!$O$6685</f>
        <v>3.124</v>
      </c>
    </row>
    <row r="6771" customFormat="false" ht="17.15" hidden="false" customHeight="false" outlineLevel="0" collapsed="false">
      <c r="A6771" s="0" t="s">
        <v>669</v>
      </c>
      <c r="B6771" s="0" t="s">
        <v>73</v>
      </c>
      <c r="C6771" s="38" t="n">
        <f aca="false">Sens!$C$6752</f>
        <v>107.556</v>
      </c>
      <c r="D6771" s="38" t="n">
        <f aca="false">Sens!$D$6752</f>
        <v>128.725</v>
      </c>
      <c r="E6771" s="38" t="n">
        <f aca="false">Sens!$E$6752</f>
        <v>79.819</v>
      </c>
      <c r="F6771" s="38" t="n">
        <f aca="false">Sens!$F$6752</f>
        <v>93.5584440633857</v>
      </c>
      <c r="G6771" s="38" t="n">
        <f aca="false">Sens!$G$6752</f>
        <v>173.377444063386</v>
      </c>
      <c r="H6771" s="38" t="n">
        <f aca="false">Sens!$H$6752</f>
        <v>241.059451517916</v>
      </c>
      <c r="I6771" s="38" t="n">
        <f aca="false">Sens!$I$6752</f>
        <v>312.152096351442</v>
      </c>
      <c r="J6771" s="38" t="n">
        <f aca="false">Sens!$J$6752</f>
        <v>379.424316597773</v>
      </c>
      <c r="K6771" s="38" t="n">
        <f aca="false">Sens!$K$6752</f>
        <v>439.919237244402</v>
      </c>
      <c r="L6771" s="38" t="n">
        <f aca="false">Sens!$L$6752</f>
        <v>501.954974491517</v>
      </c>
      <c r="M6771" s="38" t="n">
        <f aca="false">Sens!$M$6752</f>
        <v>565.639704466895</v>
      </c>
      <c r="N6771" s="38" t="n">
        <f aca="false">Sens!$N$6752</f>
        <v>60.14</v>
      </c>
      <c r="O6771" s="38" t="n">
        <f aca="false">Sens!$O$6752</f>
        <v>68.585</v>
      </c>
    </row>
    <row r="6772" customFormat="false" ht="15" hidden="false" customHeight="false" outlineLevel="0" collapsed="false">
      <c r="A6772" s="1" t="s">
        <v>472</v>
      </c>
      <c r="B6772" s="8" t="s">
        <v>73</v>
      </c>
      <c r="C6772" s="38" t="n">
        <f aca="false">Sens!$C$6689</f>
        <v>387.497</v>
      </c>
      <c r="D6772" s="38" t="n">
        <f aca="false">Sens!$D$6689</f>
        <v>426.305</v>
      </c>
      <c r="E6772" s="38" t="n">
        <f aca="false">Sens!$E$6689</f>
        <v>220.32</v>
      </c>
      <c r="F6772" s="38" t="n">
        <f aca="false">Sens!$F$6689</f>
        <v>256.304015003807</v>
      </c>
      <c r="G6772" s="38" t="n">
        <f aca="false">Sens!$G$6689</f>
        <v>476.624015003807</v>
      </c>
      <c r="H6772" s="38" t="n">
        <f aca="false">Sens!$H$6689</f>
        <v>527.734391091543</v>
      </c>
      <c r="I6772" s="38" t="n">
        <f aca="false">Sens!$I$6689</f>
        <v>577.157693029577</v>
      </c>
      <c r="J6772" s="38" t="n">
        <f aca="false">Sens!$J$6689</f>
        <v>623.024923663827</v>
      </c>
      <c r="K6772" s="38" t="n">
        <f aca="false">Sens!$K$6689</f>
        <v>663.382568393781</v>
      </c>
      <c r="L6772" s="38" t="n">
        <f aca="false">Sens!$L$6689</f>
        <v>706.564873010432</v>
      </c>
      <c r="M6772" s="38" t="n">
        <f aca="false">Sens!$M$6689</f>
        <v>752.784687406019</v>
      </c>
      <c r="N6772" s="38" t="n">
        <f aca="false">Sens!$N$6689</f>
        <v>192.955</v>
      </c>
      <c r="O6772" s="38" t="n">
        <f aca="false">Sens!$O$6689</f>
        <v>233.35</v>
      </c>
    </row>
    <row r="6773" customFormat="false" ht="15" hidden="false" customHeight="false" outlineLevel="0" collapsed="false">
      <c r="A6773" s="1" t="s">
        <v>475</v>
      </c>
      <c r="B6773" s="8" t="s">
        <v>73</v>
      </c>
      <c r="C6773" s="38" t="n">
        <f aca="false">Sens!$C$6690</f>
        <v>142.906</v>
      </c>
      <c r="D6773" s="38" t="n">
        <f aca="false">Sens!$D$6690</f>
        <v>161.894</v>
      </c>
      <c r="E6773" s="38" t="n">
        <f aca="false">Sens!$E$6690</f>
        <v>81.986</v>
      </c>
      <c r="F6773" s="38" t="n">
        <f aca="false">Sens!$F$6690</f>
        <v>100.632414204623</v>
      </c>
      <c r="G6773" s="38" t="n">
        <f aca="false">Sens!$G$6690</f>
        <v>182.618414204623</v>
      </c>
      <c r="H6773" s="38" t="n">
        <f aca="false">Sens!$H$6690</f>
        <v>202.201346530158</v>
      </c>
      <c r="I6773" s="38" t="n">
        <f aca="false">Sens!$I$6690</f>
        <v>221.137876668296</v>
      </c>
      <c r="J6773" s="38" t="n">
        <f aca="false">Sens!$J$6690</f>
        <v>238.711898661958</v>
      </c>
      <c r="K6773" s="38" t="n">
        <f aca="false">Sens!$K$6690</f>
        <v>254.174923708144</v>
      </c>
      <c r="L6773" s="38" t="n">
        <f aca="false">Sens!$L$6690</f>
        <v>270.720216732733</v>
      </c>
      <c r="M6773" s="38" t="n">
        <f aca="false">Sens!$M$6690</f>
        <v>288.429331137484</v>
      </c>
      <c r="N6773" s="38" t="n">
        <f aca="false">Sens!$N$6690</f>
        <v>70.274</v>
      </c>
      <c r="O6773" s="38" t="n">
        <f aca="false">Sens!$O$6690</f>
        <v>91.62</v>
      </c>
    </row>
    <row r="6774" customFormat="false" ht="15" hidden="false" customHeight="false" outlineLevel="0" collapsed="false">
      <c r="A6774" s="1" t="s">
        <v>476</v>
      </c>
      <c r="B6774" s="8" t="s">
        <v>73</v>
      </c>
      <c r="C6774" s="38" t="n">
        <f aca="false">Sens!$C$6752</f>
        <v>107.556</v>
      </c>
      <c r="D6774" s="38" t="n">
        <f aca="false">Sens!$D$6752</f>
        <v>128.725</v>
      </c>
      <c r="E6774" s="38" t="n">
        <f aca="false">Sens!$E$6752</f>
        <v>79.819</v>
      </c>
      <c r="F6774" s="38" t="n">
        <f aca="false">Sens!$F$6752</f>
        <v>93.5584440633857</v>
      </c>
      <c r="G6774" s="38" t="n">
        <f aca="false">Sens!$G$6752</f>
        <v>173.377444063386</v>
      </c>
      <c r="H6774" s="38" t="n">
        <f aca="false">Sens!$H$6752</f>
        <v>241.059451517916</v>
      </c>
      <c r="I6774" s="38" t="n">
        <f aca="false">Sens!$I$6752</f>
        <v>312.152096351442</v>
      </c>
      <c r="J6774" s="38" t="n">
        <f aca="false">Sens!$J$6752</f>
        <v>379.424316597773</v>
      </c>
      <c r="K6774" s="38" t="n">
        <f aca="false">Sens!$K$6752</f>
        <v>439.919237244402</v>
      </c>
      <c r="L6774" s="38" t="n">
        <f aca="false">Sens!$L$6752</f>
        <v>501.954974491517</v>
      </c>
      <c r="M6774" s="38" t="n">
        <f aca="false">Sens!$M$6752</f>
        <v>565.639704466895</v>
      </c>
      <c r="N6774" s="38" t="n">
        <f aca="false">Sens!$N$6752</f>
        <v>60.14</v>
      </c>
      <c r="O6774" s="38" t="n">
        <f aca="false">Sens!$O$6752</f>
        <v>68.585</v>
      </c>
    </row>
    <row r="6775" customFormat="false" ht="17.15" hidden="false" customHeight="false" outlineLevel="0" collapsed="false">
      <c r="A6775" s="0" t="s">
        <v>643</v>
      </c>
      <c r="B6775" s="0" t="s">
        <v>73</v>
      </c>
      <c r="C6775" s="38" t="n">
        <f aca="false">Sens!$C$6750</f>
        <v>2.32100535697364</v>
      </c>
      <c r="D6775" s="38" t="n">
        <f aca="false">Sens!$D$6750</f>
        <v>8.70377008865116</v>
      </c>
      <c r="E6775" s="38" t="n">
        <f aca="false">Sens!$E$6750</f>
        <v>8.51035297557002</v>
      </c>
      <c r="F6775" s="38" t="n">
        <f aca="false">Sens!$F$6750</f>
        <v>14.9634336447205</v>
      </c>
      <c r="G6775" s="38" t="n">
        <f aca="false">Sens!$G$6750</f>
        <v>23.4737866202905</v>
      </c>
      <c r="H6775" s="38" t="n">
        <f aca="false">Sens!$H$6750</f>
        <v>60.1658907497746</v>
      </c>
      <c r="I6775" s="38" t="n">
        <f aca="false">Sens!$I$6750</f>
        <v>101.503699136432</v>
      </c>
      <c r="J6775" s="38" t="n">
        <f aca="false">Sens!$J$6750</f>
        <v>143.025407151278</v>
      </c>
      <c r="K6775" s="38" t="n">
        <f aca="false">Sens!$K$6750</f>
        <v>184.608415042187</v>
      </c>
      <c r="L6775" s="38" t="n">
        <f aca="false">Sens!$L$6750</f>
        <v>226.219286513125</v>
      </c>
      <c r="M6775" s="38" t="n">
        <f aca="false">Sens!$M$6750</f>
        <v>267.845161450232</v>
      </c>
      <c r="N6775" s="38" t="n">
        <f aca="false">Sens!$N$6750</f>
        <v>3.04631953102791</v>
      </c>
      <c r="O6775" s="38" t="n">
        <f aca="false">Sens!$O$6750</f>
        <v>5.65745055762326</v>
      </c>
    </row>
    <row r="6776" customFormat="false" ht="17.15" hidden="false" customHeight="false" outlineLevel="0" collapsed="false">
      <c r="A6776" s="0" t="s">
        <v>645</v>
      </c>
      <c r="B6776" s="0" t="s">
        <v>73</v>
      </c>
      <c r="C6776" s="38" t="n">
        <f aca="false">Sens!$C$6751</f>
        <v>105.234994643026</v>
      </c>
      <c r="D6776" s="38" t="n">
        <f aca="false">Sens!$D$6751</f>
        <v>120.021229911349</v>
      </c>
      <c r="E6776" s="38" t="n">
        <f aca="false">Sens!$E$6751</f>
        <v>71.30864702443</v>
      </c>
      <c r="F6776" s="38" t="n">
        <f aca="false">Sens!$F$6751</f>
        <v>78.5950104186653</v>
      </c>
      <c r="G6776" s="38" t="n">
        <f aca="false">Sens!$G$6751</f>
        <v>149.903657443095</v>
      </c>
      <c r="H6776" s="38" t="n">
        <f aca="false">Sens!$H$6751</f>
        <v>180.893560768142</v>
      </c>
      <c r="I6776" s="38" t="n">
        <f aca="false">Sens!$I$6751</f>
        <v>210.64839721501</v>
      </c>
      <c r="J6776" s="38" t="n">
        <f aca="false">Sens!$J$6751</f>
        <v>236.398909446495</v>
      </c>
      <c r="K6776" s="38" t="n">
        <f aca="false">Sens!$K$6751</f>
        <v>255.310822202215</v>
      </c>
      <c r="L6776" s="38" t="n">
        <f aca="false">Sens!$L$6751</f>
        <v>275.735687978392</v>
      </c>
      <c r="M6776" s="38" t="n">
        <f aca="false">Sens!$M$6751</f>
        <v>297.794543016663</v>
      </c>
      <c r="N6776" s="38" t="n">
        <f aca="false">Sens!$N$6751</f>
        <v>57.0936804689721</v>
      </c>
      <c r="O6776" s="38" t="n">
        <f aca="false">Sens!$O$6751</f>
        <v>62.9275494423768</v>
      </c>
    </row>
    <row r="6777" customFormat="false" ht="15" hidden="false" customHeight="false" outlineLevel="0" collapsed="false">
      <c r="A6777" s="3" t="s">
        <v>477</v>
      </c>
      <c r="B6777" s="8" t="s">
        <v>73</v>
      </c>
      <c r="C6777" s="38" t="n">
        <f aca="false">Sens!$C$6753</f>
        <v>637.959</v>
      </c>
      <c r="D6777" s="38" t="n">
        <f aca="false">Sens!$D$6753</f>
        <v>716.924</v>
      </c>
      <c r="E6777" s="38" t="n">
        <f aca="false">Sens!$E$6753</f>
        <v>382.125</v>
      </c>
      <c r="F6777" s="38" t="n">
        <f aca="false">Sens!$F$6753</f>
        <v>450.494873271816</v>
      </c>
      <c r="G6777" s="38" t="n">
        <f aca="false">Sens!$G$6753</f>
        <v>832.619873271816</v>
      </c>
      <c r="H6777" s="38" t="n">
        <f aca="false">Sens!$H$6753</f>
        <v>970.995189139617</v>
      </c>
      <c r="I6777" s="38" t="n">
        <f aca="false">Sens!$I$6753</f>
        <v>1110.44766604932</v>
      </c>
      <c r="J6777" s="38" t="n">
        <f aca="false">Sens!$J$6753</f>
        <v>1241.16113892356</v>
      </c>
      <c r="K6777" s="38" t="n">
        <f aca="false">Sens!$K$6753</f>
        <v>1357.47672934633</v>
      </c>
      <c r="L6777" s="38" t="n">
        <f aca="false">Sens!$L$6753</f>
        <v>1479.24006423468</v>
      </c>
      <c r="M6777" s="38" t="n">
        <f aca="false">Sens!$M$6753</f>
        <v>1606.8537230104</v>
      </c>
      <c r="N6777" s="38" t="n">
        <f aca="false">Sens!$N$6753</f>
        <v>323.369</v>
      </c>
      <c r="O6777" s="38" t="n">
        <f aca="false">Sens!$O$6753</f>
        <v>393.555</v>
      </c>
    </row>
    <row r="6778" customFormat="false" ht="17.15" hidden="false" customHeight="false" outlineLevel="0" collapsed="false">
      <c r="A6778" s="24" t="s">
        <v>655</v>
      </c>
      <c r="B6778" s="25" t="s">
        <v>73</v>
      </c>
      <c r="C6778" s="39" t="n">
        <f aca="false">Sens!$C$6765+Sens!$C$6766+Sens!$C$6767+Sens!$C$6768+Sens!$C$6769+Sens!$C$6770-(Sens!$C$6772+Sens!$C$6773)</f>
        <v>0</v>
      </c>
      <c r="D6778" s="39" t="n">
        <f aca="false">Sens!$D$6765+Sens!$D$6766+Sens!$D$6767+Sens!$D$6768+Sens!$D$6769+Sens!$D$6770-(Sens!$D$6772+Sens!$D$6773)</f>
        <v>0</v>
      </c>
      <c r="E6778" s="39" t="n">
        <f aca="false">Sens!$E$6765+Sens!$E$6766+Sens!$E$6767+Sens!$E$6768+Sens!$E$6769+Sens!$E$6770-(Sens!$E$6772+Sens!$E$6773)</f>
        <v>0</v>
      </c>
      <c r="F6778" s="39" t="n">
        <f aca="false">Sens!$F$6765+Sens!$F$6766+Sens!$F$6767+Sens!$F$6768+Sens!$F$6769+Sens!$F$6770-(Sens!$F$6772+Sens!$F$6773)</f>
        <v>0</v>
      </c>
      <c r="G6778" s="39" t="n">
        <f aca="false">Sens!$G$6765+Sens!$G$6766+Sens!$G$6767+Sens!$G$6768+Sens!$G$6769+Sens!$G$6770-(Sens!$G$6772+Sens!$G$6773)</f>
        <v>0</v>
      </c>
      <c r="H6778" s="39" t="n">
        <f aca="false">Sens!$H$6765+Sens!$H$6766+Sens!$H$6767+Sens!$H$6768+Sens!$H$6769+Sens!$H$6770-(Sens!$H$6772+Sens!$H$6773)</f>
        <v>0</v>
      </c>
      <c r="I6778" s="39" t="n">
        <f aca="false">Sens!$I$6765+Sens!$I$6766+Sens!$I$6767+Sens!$I$6768+Sens!$I$6769+Sens!$I$6770-(Sens!$I$6772+Sens!$I$6773)</f>
        <v>0</v>
      </c>
      <c r="J6778" s="39" t="n">
        <f aca="false">Sens!$J$6765+Sens!$J$6766+Sens!$J$6767+Sens!$J$6768+Sens!$J$6769+Sens!$J$6770-(Sens!$J$6772+Sens!$J$6773)</f>
        <v>0</v>
      </c>
      <c r="K6778" s="39" t="n">
        <f aca="false">Sens!$K$6765+Sens!$K$6766+Sens!$K$6767+Sens!$K$6768+Sens!$K$6769+Sens!$K$6770-(Sens!$K$6772+Sens!$K$6773)</f>
        <v>0</v>
      </c>
      <c r="L6778" s="39" t="n">
        <f aca="false">Sens!$L$6765+Sens!$L$6766+Sens!$L$6767+Sens!$L$6768+Sens!$L$6769+Sens!$L$6770-(Sens!$L$6772+Sens!$L$6773)</f>
        <v>0</v>
      </c>
      <c r="M6778" s="39" t="n">
        <f aca="false">Sens!$M$6765+Sens!$M$6766+Sens!$M$6767+Sens!$M$6768+Sens!$M$6769+Sens!$M$6770-(Sens!$M$6772+Sens!$M$6773)</f>
        <v>0</v>
      </c>
      <c r="N6778" s="39" t="n">
        <f aca="false">Sens!$N$6765+Sens!$N$6766+Sens!$N$6767+Sens!$N$6768+Sens!$N$6769+Sens!$N$6770-(Sens!$N$6772+Sens!$N$6773)</f>
        <v>0</v>
      </c>
      <c r="O6778" s="39" t="n">
        <f aca="false">Sens!$O$6765+Sens!$O$6766+Sens!$O$6767+Sens!$O$6768+Sens!$O$6769+Sens!$O$6770-(Sens!$O$6772+Sens!$O$6773)</f>
        <v>0</v>
      </c>
    </row>
    <row r="6779" customFormat="false" ht="17.15" hidden="false" customHeight="false" outlineLevel="0" collapsed="false">
      <c r="A6779" s="24" t="s">
        <v>656</v>
      </c>
      <c r="B6779" s="25" t="s">
        <v>73</v>
      </c>
      <c r="C6779" s="39" t="n">
        <f aca="false">Sens!$C$6775+Sens!$C$6776-Sens!$C$6774</f>
        <v>0</v>
      </c>
      <c r="D6779" s="39" t="n">
        <f aca="false">Sens!$D$6775+Sens!$D$6776-Sens!$D$6774</f>
        <v>0</v>
      </c>
      <c r="E6779" s="39" t="n">
        <f aca="false">Sens!$E$6775+Sens!$E$6776-Sens!$E$6774</f>
        <v>0</v>
      </c>
      <c r="F6779" s="39" t="n">
        <f aca="false">Sens!$F$6775+Sens!$F$6776-Sens!$F$6774</f>
        <v>0</v>
      </c>
      <c r="G6779" s="39" t="n">
        <f aca="false">Sens!$G$6775+Sens!$G$6776-Sens!$G$6774</f>
        <v>0</v>
      </c>
      <c r="H6779" s="39" t="n">
        <f aca="false">Sens!$H$6775+Sens!$H$6776-Sens!$H$6774</f>
        <v>0</v>
      </c>
      <c r="I6779" s="39" t="n">
        <f aca="false">Sens!$I$6775+Sens!$I$6776-Sens!$I$6774</f>
        <v>0</v>
      </c>
      <c r="J6779" s="39" t="n">
        <f aca="false">Sens!$J$6775+Sens!$J$6776-Sens!$J$6774</f>
        <v>0</v>
      </c>
      <c r="K6779" s="39" t="n">
        <f aca="false">Sens!$K$6775+Sens!$K$6776-Sens!$K$6774</f>
        <v>0</v>
      </c>
      <c r="L6779" s="39" t="n">
        <f aca="false">Sens!$L$6775+Sens!$L$6776-Sens!$L$6774</f>
        <v>0</v>
      </c>
      <c r="M6779" s="39" t="n">
        <f aca="false">Sens!$M$6775+Sens!$M$6776-Sens!$M$6774</f>
        <v>0</v>
      </c>
      <c r="N6779" s="39" t="n">
        <f aca="false">Sens!$N$6775+Sens!$N$6776-Sens!$N$6774</f>
        <v>0</v>
      </c>
      <c r="O6779" s="39" t="n">
        <f aca="false">Sens!$O$6775+Sens!$O$6776-Sens!$O$6774</f>
        <v>0</v>
      </c>
    </row>
    <row r="6780" customFormat="false" ht="17.15" hidden="false" customHeight="false" outlineLevel="0" collapsed="false">
      <c r="A6780" s="24" t="s">
        <v>710</v>
      </c>
      <c r="B6780" s="25" t="s">
        <v>73</v>
      </c>
      <c r="C6780" s="39" t="n">
        <f aca="false">Sens!$C$6765+Sens!$C$6766+Sens!$C$6767+Sens!$C$6768+Sens!$C$6769+Sens!$C$6770+Sens!$C$6771-Sens!$C$6777</f>
        <v>0</v>
      </c>
      <c r="D6780" s="39" t="n">
        <f aca="false">Sens!$D$6765+Sens!$D$6766+Sens!$D$6767+Sens!$D$6768+Sens!$D$6769+Sens!$D$6770+Sens!$D$6771-Sens!$D$6777</f>
        <v>0</v>
      </c>
      <c r="E6780" s="39" t="n">
        <f aca="false">Sens!$E$6765+Sens!$E$6766+Sens!$E$6767+Sens!$E$6768+Sens!$E$6769+Sens!$E$6770+Sens!$E$6771-Sens!$E$6777</f>
        <v>0</v>
      </c>
      <c r="F6780" s="39" t="n">
        <f aca="false">Sens!$F$6765+Sens!$F$6766+Sens!$F$6767+Sens!$F$6768+Sens!$F$6769+Sens!$F$6770+Sens!$F$6771-Sens!$F$6777</f>
        <v>0</v>
      </c>
      <c r="G6780" s="39" t="n">
        <f aca="false">Sens!$G$6765+Sens!$G$6766+Sens!$G$6767+Sens!$G$6768+Sens!$G$6769+Sens!$G$6770+Sens!$G$6771-Sens!$G$6777</f>
        <v>0</v>
      </c>
      <c r="H6780" s="39" t="n">
        <f aca="false">Sens!$H$6765+Sens!$H$6766+Sens!$H$6767+Sens!$H$6768+Sens!$H$6769+Sens!$H$6770+Sens!$H$6771-Sens!$H$6777</f>
        <v>0</v>
      </c>
      <c r="I6780" s="39" t="n">
        <f aca="false">Sens!$I$6765+Sens!$I$6766+Sens!$I$6767+Sens!$I$6768+Sens!$I$6769+Sens!$I$6770+Sens!$I$6771-Sens!$I$6777</f>
        <v>0</v>
      </c>
      <c r="J6780" s="39" t="n">
        <f aca="false">Sens!$J$6765+Sens!$J$6766+Sens!$J$6767+Sens!$J$6768+Sens!$J$6769+Sens!$J$6770+Sens!$J$6771-Sens!$J$6777</f>
        <v>0</v>
      </c>
      <c r="K6780" s="39" t="n">
        <f aca="false">Sens!$K$6765+Sens!$K$6766+Sens!$K$6767+Sens!$K$6768+Sens!$K$6769+Sens!$K$6770+Sens!$K$6771-Sens!$K$6777</f>
        <v>0</v>
      </c>
      <c r="L6780" s="39" t="n">
        <f aca="false">Sens!$L$6765+Sens!$L$6766+Sens!$L$6767+Sens!$L$6768+Sens!$L$6769+Sens!$L$6770+Sens!$L$6771-Sens!$L$6777</f>
        <v>0</v>
      </c>
      <c r="M6780" s="39" t="n">
        <f aca="false">Sens!$M$6765+Sens!$M$6766+Sens!$M$6767+Sens!$M$6768+Sens!$M$6769+Sens!$M$6770+Sens!$M$6771-Sens!$M$6777</f>
        <v>0</v>
      </c>
      <c r="N6780" s="39" t="n">
        <f aca="false">Sens!$N$6765+Sens!$N$6766+Sens!$N$6767+Sens!$N$6768+Sens!$N$6769+Sens!$N$6770+Sens!$N$6771-Sens!$N$6777</f>
        <v>0</v>
      </c>
      <c r="O6780" s="39" t="n">
        <f aca="false">Sens!$O$6765+Sens!$O$6766+Sens!$O$6767+Sens!$O$6768+Sens!$O$6769+Sens!$O$6770+Sens!$O$6771-Sens!$O$6777</f>
        <v>0</v>
      </c>
    </row>
    <row r="6781" customFormat="false" ht="17.15" hidden="false" customHeight="false" outlineLevel="0" collapsed="false">
      <c r="A6781" s="24" t="s">
        <v>657</v>
      </c>
      <c r="B6781" s="25" t="s">
        <v>73</v>
      </c>
      <c r="C6781" s="39" t="n">
        <f aca="false">Sens!$C$6772+Sens!$C$6773+Sens!$C$6774-Sens!$C$6777</f>
        <v>0</v>
      </c>
      <c r="D6781" s="39" t="n">
        <f aca="false">Sens!$D$6772+Sens!$D$6773+Sens!$D$6774-Sens!$D$6777</f>
        <v>0</v>
      </c>
      <c r="E6781" s="39" t="n">
        <f aca="false">Sens!$E$6772+Sens!$E$6773+Sens!$E$6774-Sens!$E$6777</f>
        <v>0</v>
      </c>
      <c r="F6781" s="39" t="n">
        <f aca="false">Sens!$F$6772+Sens!$F$6773+Sens!$F$6774-Sens!$F$6777</f>
        <v>0</v>
      </c>
      <c r="G6781" s="39" t="n">
        <f aca="false">Sens!$G$6772+Sens!$G$6773+Sens!$G$6774-Sens!$G$6777</f>
        <v>0</v>
      </c>
      <c r="H6781" s="39" t="n">
        <f aca="false">Sens!$H$6772+Sens!$H$6773+Sens!$H$6774-Sens!$H$6777</f>
        <v>0</v>
      </c>
      <c r="I6781" s="39" t="n">
        <f aca="false">Sens!$I$6772+Sens!$I$6773+Sens!$I$6774-Sens!$I$6777</f>
        <v>0</v>
      </c>
      <c r="J6781" s="39" t="n">
        <f aca="false">Sens!$J$6772+Sens!$J$6773+Sens!$J$6774-Sens!$J$6777</f>
        <v>0</v>
      </c>
      <c r="K6781" s="39" t="n">
        <f aca="false">Sens!$K$6772+Sens!$K$6773+Sens!$K$6774-Sens!$K$6777</f>
        <v>0</v>
      </c>
      <c r="L6781" s="39" t="n">
        <f aca="false">Sens!$L$6772+Sens!$L$6773+Sens!$L$6774-Sens!$L$6777</f>
        <v>0</v>
      </c>
      <c r="M6781" s="39" t="n">
        <f aca="false">Sens!$M$6772+Sens!$M$6773+Sens!$M$6774-Sens!$M$6777</f>
        <v>0</v>
      </c>
      <c r="N6781" s="39" t="n">
        <f aca="false">Sens!$N$6772+Sens!$N$6773+Sens!$N$6774-Sens!$N$6777</f>
        <v>0</v>
      </c>
      <c r="O6781" s="39" t="n">
        <f aca="false">Sens!$O$6772+Sens!$O$6773+Sens!$O$6774-Sens!$O$6777</f>
        <v>0</v>
      </c>
    </row>
    <row r="6782" customFormat="false" ht="17.15" hidden="false" customHeight="false" outlineLevel="0" collapsed="false">
      <c r="A6782" s="1" t="s">
        <v>671</v>
      </c>
    </row>
    <row r="6783" customFormat="false" ht="17.15" hidden="false" customHeight="false" outlineLevel="0" collapsed="false">
      <c r="A6783" s="0" t="s">
        <v>672</v>
      </c>
      <c r="B6783" s="0" t="s">
        <v>73</v>
      </c>
      <c r="C6783" s="38" t="n">
        <f aca="false">Sens!$C$6691*m_ad</f>
        <v>20.5341564414228</v>
      </c>
      <c r="D6783" s="38" t="n">
        <f aca="false">Sens!$D$6691*m_ad</f>
        <v>24.8720617299587</v>
      </c>
      <c r="E6783" s="38" t="n">
        <f aca="false">Sens!$E$6691*m_ad</f>
        <v>13.5017112462207</v>
      </c>
      <c r="F6783" s="38" t="n">
        <f aca="false">Sens!$F$6691*m_ad</f>
        <v>17.2886442824599</v>
      </c>
      <c r="G6783" s="38" t="n">
        <f aca="false">Sens!$G$6691*m_ad</f>
        <v>30.8011958765886</v>
      </c>
      <c r="H6783" s="38" t="n">
        <f aca="false">Sens!$H$6691*m_ad</f>
        <v>36.978409366026</v>
      </c>
      <c r="I6783" s="38" t="n">
        <f aca="false">Sens!$I$6691*m_ad</f>
        <v>43.155063281273</v>
      </c>
      <c r="J6783" s="38" t="n">
        <f aca="false">Sens!$J$6691*m_ad</f>
        <v>48.9169991988532</v>
      </c>
      <c r="K6783" s="38" t="n">
        <f aca="false">Sens!$K$6691*m_ad</f>
        <v>53.8086991187386</v>
      </c>
      <c r="L6783" s="38" t="n">
        <f aca="false">Sens!$L$6691*m_ad</f>
        <v>59.1895690306124</v>
      </c>
      <c r="M6783" s="38" t="n">
        <f aca="false">Sens!$M$6691*m_ad</f>
        <v>65.1085259336737</v>
      </c>
      <c r="N6783" s="38" t="n">
        <f aca="false">Sens!$N$6691*m_ad</f>
        <v>10.8543555706248</v>
      </c>
      <c r="O6783" s="38" t="n">
        <f aca="false">Sens!$O$6691*m_ad</f>
        <v>14.0094731821399</v>
      </c>
    </row>
    <row r="6784" customFormat="false" ht="17.15" hidden="false" customHeight="false" outlineLevel="0" collapsed="false">
      <c r="A6784" s="0" t="s">
        <v>673</v>
      </c>
      <c r="B6784" s="0" t="s">
        <v>73</v>
      </c>
      <c r="C6784" s="38" t="n">
        <f aca="false">Sens!$C$6689-Sens!$C$6691</f>
        <v>346.428687117154</v>
      </c>
      <c r="D6784" s="38" t="n">
        <f aca="false">Sens!$D$6689-Sens!$D$6691</f>
        <v>376.560876540083</v>
      </c>
      <c r="E6784" s="38" t="n">
        <f aca="false">Sens!$E$6689-Sens!$E$6691</f>
        <v>193.316577507559</v>
      </c>
      <c r="F6784" s="38" t="n">
        <f aca="false">Sens!$F$6689-Sens!$F$6691</f>
        <v>221.726726438887</v>
      </c>
      <c r="G6784" s="38" t="n">
        <f aca="false">Sens!$G$6689-Sens!$G$6691</f>
        <v>415.02162325063</v>
      </c>
      <c r="H6784" s="38" t="n">
        <f aca="false">Sens!$H$6689-Sens!$H$6691</f>
        <v>453.777572359491</v>
      </c>
      <c r="I6784" s="38" t="n">
        <f aca="false">Sens!$I$6689-Sens!$I$6691</f>
        <v>490.847566467031</v>
      </c>
      <c r="J6784" s="38" t="n">
        <f aca="false">Sens!$J$6689-Sens!$J$6691</f>
        <v>525.190925266121</v>
      </c>
      <c r="K6784" s="38" t="n">
        <f aca="false">Sens!$K$6689-Sens!$K$6691</f>
        <v>555.765170156304</v>
      </c>
      <c r="L6784" s="38" t="n">
        <f aca="false">Sens!$L$6689-Sens!$L$6691</f>
        <v>588.185734949207</v>
      </c>
      <c r="M6784" s="38" t="n">
        <f aca="false">Sens!$M$6689-Sens!$M$6691</f>
        <v>622.567635538672</v>
      </c>
      <c r="N6784" s="38" t="n">
        <f aca="false">Sens!$N$6689-Sens!$N$6691</f>
        <v>171.24628885875</v>
      </c>
      <c r="O6784" s="38" t="n">
        <f aca="false">Sens!$O$6689-Sens!$O$6691</f>
        <v>205.33105363572</v>
      </c>
    </row>
    <row r="6785" customFormat="false" ht="17.15" hidden="false" customHeight="false" outlineLevel="0" collapsed="false">
      <c r="A6785" s="0" t="s">
        <v>674</v>
      </c>
      <c r="B6785" s="0" t="s">
        <v>73</v>
      </c>
      <c r="C6785" s="38" t="n">
        <f aca="false">Sens!$C$6736*Sens!$C$6688</f>
        <v>0.123617442257179</v>
      </c>
      <c r="D6785" s="38" t="n">
        <f aca="false">Sens!$D$6736*Sens!$D$6688</f>
        <v>0.874366899302609</v>
      </c>
      <c r="E6785" s="38" t="n">
        <f aca="false">Sens!$E$6736*Sens!$E$6688</f>
        <v>1.29318830502574</v>
      </c>
      <c r="F6785" s="38" t="n">
        <f aca="false">Sens!$F$6736*Sens!$F$6688</f>
        <v>1.51802024162534</v>
      </c>
      <c r="G6785" s="38" t="n">
        <f aca="false">Sens!$G$6736*Sens!$G$6688</f>
        <v>2.81130189308167</v>
      </c>
      <c r="H6785" s="38" t="n">
        <f aca="false">Sens!$H$6736*Sens!$H$6688</f>
        <v>7.38966789318209</v>
      </c>
      <c r="I6785" s="38" t="n">
        <f aca="false">Sens!$I$6736*Sens!$I$6688</f>
        <v>12.8987443661473</v>
      </c>
      <c r="J6785" s="38" t="n">
        <f aca="false">Sens!$J$6736*Sens!$J$6688</f>
        <v>18.5570025453645</v>
      </c>
      <c r="K6785" s="38" t="n">
        <f aca="false">Sens!$K$6736*Sens!$K$6688</f>
        <v>24.3158972773405</v>
      </c>
      <c r="L6785" s="38" t="n">
        <f aca="false">Sens!$L$6736*Sens!$L$6688</f>
        <v>29.7827375558674</v>
      </c>
      <c r="M6785" s="38" t="n">
        <f aca="false">Sens!$M$6736*Sens!$M$6688</f>
        <v>35.3532344973194</v>
      </c>
      <c r="N6785" s="38" t="n">
        <f aca="false">Sens!$N$6736*Sens!$N$6688</f>
        <v>0.389180508437431</v>
      </c>
      <c r="O6785" s="38" t="n">
        <f aca="false">Sens!$O$6736*Sens!$O$6688</f>
        <v>0.485052120082802</v>
      </c>
    </row>
    <row r="6786" customFormat="false" ht="17.15" hidden="false" customHeight="false" outlineLevel="0" collapsed="false">
      <c r="A6786" s="0" t="s">
        <v>675</v>
      </c>
      <c r="B6786" s="0" t="s">
        <v>52</v>
      </c>
      <c r="C6786" s="28" t="n">
        <f aca="false">(Sens!$C$6787-Sens!$C$6783+Sens!$C$6785)/Sens!$C$6784</f>
        <v>0.0131526665379575</v>
      </c>
      <c r="D6786" s="28" t="n">
        <f aca="false">(Sens!$D$6787-Sens!$D$6783+Sens!$D$6785)/Sens!$D$6784</f>
        <v>0.0149280116962589</v>
      </c>
      <c r="E6786" s="28" t="n">
        <f aca="false">(Sens!$E$6787-Sens!$E$6783+Sens!$E$6785)/Sens!$E$6784</f>
        <v>0.0268030663774938</v>
      </c>
      <c r="F6786" s="28" t="n">
        <f aca="false">Sens!$O$6786+(Sens!$E$6786-Sens!$N$6786)</f>
        <v>0.0232379346966962</v>
      </c>
      <c r="G6786" s="28" t="n">
        <f aca="false">(Sens!$G$6787-Sens!$G$6783+Sens!$G$6785)/Sens!$G$6784</f>
        <v>0.0248738876928168</v>
      </c>
      <c r="H6786" s="28" t="n">
        <f aca="false">Sens!$G$6786+step_na</f>
        <v>0.0278738876928168</v>
      </c>
      <c r="I6786" s="28" t="n">
        <f aca="false">Sens!$H$6786+step_na</f>
        <v>0.0308738876928168</v>
      </c>
      <c r="J6786" s="28" t="n">
        <f aca="false">Sens!$I$6786+step_na</f>
        <v>0.0338738876928168</v>
      </c>
      <c r="K6786" s="28" t="n">
        <f aca="false">Sens!$J$6786+step_na</f>
        <v>0.0368738876928168</v>
      </c>
      <c r="L6786" s="28" t="n">
        <f aca="false">Sens!$K$6786</f>
        <v>0.0368738876928168</v>
      </c>
      <c r="M6786" s="28" t="n">
        <f aca="false">Sens!$L$6786</f>
        <v>0.0368738876928168</v>
      </c>
      <c r="N6786" s="28" t="n">
        <f aca="false">(Sens!$N$6787-Sens!$N$6783+Sens!$N$6785)/Sens!$N$6784</f>
        <v>0.0168927744775755</v>
      </c>
      <c r="O6786" s="28" t="n">
        <f aca="false">(Sens!$O$6787-Sens!$O$6783+Sens!$O$6785)/Sens!$O$6784</f>
        <v>0.0133276427967779</v>
      </c>
      <c r="P6786" s="8" t="s">
        <v>676</v>
      </c>
    </row>
    <row r="6787" customFormat="false" ht="17.15" hidden="false" customHeight="false" outlineLevel="0" collapsed="false">
      <c r="A6787" s="1" t="s">
        <v>677</v>
      </c>
      <c r="B6787" s="8" t="s">
        <v>73</v>
      </c>
      <c r="C6787" s="38" t="n">
        <f aca="false">Q!$D$22</f>
        <v>24.967</v>
      </c>
      <c r="D6787" s="38" t="n">
        <f aca="false">Q!$E$22</f>
        <v>29.619</v>
      </c>
      <c r="E6787" s="38" t="n">
        <f aca="false">Q!$P$22</f>
        <v>17.39</v>
      </c>
      <c r="F6787" s="38" t="n">
        <f aca="false">Sens!$F$6783+Sens!$F$6784*Sens!$F$6786-Sens!$F$6785</f>
        <v>20.9230952303336</v>
      </c>
      <c r="G6787" s="38" t="n">
        <f aca="false">Sens!$E$6787+Sens!$F$6787</f>
        <v>38.3130952303336</v>
      </c>
      <c r="H6787" s="38" t="n">
        <f aca="false">Sens!$H$6783+Sens!$H$6784*Sens!$H$6786-Sens!$H$6785</f>
        <v>42.2372865623114</v>
      </c>
      <c r="I6787" s="38" t="n">
        <f aca="false">Sens!$I$6783+Sens!$I$6784*Sens!$I$6786-Sens!$I$6785</f>
        <v>45.4106915565213</v>
      </c>
      <c r="J6787" s="38" t="n">
        <f aca="false">Sens!$J$6783+Sens!$J$6784*Sens!$J$6786-Sens!$J$6785</f>
        <v>48.1502550732398</v>
      </c>
      <c r="K6787" s="38" t="n">
        <f aca="false">Sens!$K$6783+Sens!$K$6784*Sens!$K$6786-Sens!$K$6785</f>
        <v>49.9860243093208</v>
      </c>
      <c r="L6787" s="38" t="n">
        <f aca="false">Sens!$L$6783+Sens!$L$6784*Sens!$L$6786-Sens!$L$6785</f>
        <v>51.095526207779</v>
      </c>
      <c r="M6787" s="38" t="n">
        <f aca="false">Sens!$M$6783+Sens!$M$6784*Sens!$M$6786-Sens!$M$6785</f>
        <v>52.7117805103898</v>
      </c>
      <c r="N6787" s="38" t="n">
        <f aca="false">Q!$N$22</f>
        <v>13.358</v>
      </c>
      <c r="O6787" s="38" t="n">
        <f aca="false">Q!$O$22</f>
        <v>16.261</v>
      </c>
    </row>
    <row r="6788" customFormat="false" ht="17.15" hidden="false" customHeight="false" outlineLevel="0" collapsed="false">
      <c r="A6788" s="0" t="s">
        <v>678</v>
      </c>
      <c r="B6788" s="0" t="s">
        <v>73</v>
      </c>
      <c r="C6788" s="38" t="n">
        <f aca="false">Sens!$C$6692*m_ad</f>
        <v>7.57284355857716</v>
      </c>
      <c r="D6788" s="38" t="n">
        <f aca="false">Sens!$D$6692*m_ad</f>
        <v>9.44543827004127</v>
      </c>
      <c r="E6788" s="38" t="n">
        <f aca="false">Sens!$E$6692*m_ad</f>
        <v>5.02428875377928</v>
      </c>
      <c r="F6788" s="38" t="n">
        <f aca="false">Sens!$F$6692*m_ad</f>
        <v>6.78802480890925</v>
      </c>
      <c r="G6788" s="38" t="n">
        <f aca="false">Sens!$G$6692*m_ad</f>
        <v>11.8014732147805</v>
      </c>
      <c r="H6788" s="38" t="n">
        <f aca="false">Sens!$H$6692*m_ad</f>
        <v>14.1682715634442</v>
      </c>
      <c r="I6788" s="38" t="n">
        <f aca="false">Sens!$I$6692*m_ad</f>
        <v>16.5348555113474</v>
      </c>
      <c r="J6788" s="38" t="n">
        <f aca="false">Sens!$J$6692*m_ad</f>
        <v>18.7425403255689</v>
      </c>
      <c r="K6788" s="38" t="n">
        <f aca="false">Sens!$K$6692*m_ad</f>
        <v>20.6167943581258</v>
      </c>
      <c r="L6788" s="38" t="n">
        <f aca="false">Sens!$L$6692*m_ad</f>
        <v>22.6784737939383</v>
      </c>
      <c r="M6788" s="38" t="n">
        <f aca="false">Sens!$M$6692*m_ad</f>
        <v>24.9463211733322</v>
      </c>
      <c r="N6788" s="38" t="n">
        <f aca="false">Sens!$N$6692*m_ad</f>
        <v>3.95314442937518</v>
      </c>
      <c r="O6788" s="38" t="n">
        <f aca="false">Sens!$O$6692*m_ad</f>
        <v>5.50052681786011</v>
      </c>
    </row>
    <row r="6789" customFormat="false" ht="17.15" hidden="false" customHeight="false" outlineLevel="0" collapsed="false">
      <c r="A6789" s="0" t="s">
        <v>679</v>
      </c>
      <c r="B6789" s="0" t="s">
        <v>73</v>
      </c>
      <c r="C6789" s="38" t="n">
        <f aca="false">Sens!$C$6690-Sens!$C$6692</f>
        <v>127.760312882846</v>
      </c>
      <c r="D6789" s="38" t="n">
        <f aca="false">Sens!$D$6690-Sens!$D$6692</f>
        <v>143.003123459917</v>
      </c>
      <c r="E6789" s="38" t="n">
        <f aca="false">Sens!$E$6690-Sens!$E$6692</f>
        <v>71.9374224924414</v>
      </c>
      <c r="F6789" s="38" t="n">
        <f aca="false">Sens!$F$6690-Sens!$F$6692</f>
        <v>87.0563645868046</v>
      </c>
      <c r="G6789" s="38" t="n">
        <f aca="false">Sens!$G$6690-Sens!$G$6692</f>
        <v>159.015467775062</v>
      </c>
      <c r="H6789" s="38" t="n">
        <f aca="false">Sens!$H$6690-Sens!$H$6692</f>
        <v>173.864803403269</v>
      </c>
      <c r="I6789" s="38" t="n">
        <f aca="false">Sens!$I$6690-Sens!$I$6692</f>
        <v>188.068165645601</v>
      </c>
      <c r="J6789" s="38" t="n">
        <f aca="false">Sens!$J$6690-Sens!$J$6692</f>
        <v>201.22681801082</v>
      </c>
      <c r="K6789" s="38" t="n">
        <f aca="false">Sens!$K$6690-Sens!$K$6692</f>
        <v>212.941334991893</v>
      </c>
      <c r="L6789" s="38" t="n">
        <f aca="false">Sens!$L$6690-Sens!$L$6692</f>
        <v>225.363269144856</v>
      </c>
      <c r="M6789" s="38" t="n">
        <f aca="false">Sens!$M$6690-Sens!$M$6692</f>
        <v>238.536688790819</v>
      </c>
      <c r="N6789" s="38" t="n">
        <f aca="false">Sens!$N$6690-Sens!$N$6692</f>
        <v>62.3677111412496</v>
      </c>
      <c r="O6789" s="38" t="n">
        <f aca="false">Sens!$O$6690-Sens!$O$6692</f>
        <v>80.6189463642798</v>
      </c>
    </row>
    <row r="6790" customFormat="false" ht="17.15" hidden="false" customHeight="false" outlineLevel="0" collapsed="false">
      <c r="A6790" s="0" t="s">
        <v>680</v>
      </c>
      <c r="B6790" s="0" t="s">
        <v>73</v>
      </c>
      <c r="C6790" s="38" t="n">
        <f aca="false">Sens!$C$6736*(1-Sens!$C$6688)</f>
        <v>0.0455891896019953</v>
      </c>
      <c r="D6790" s="38" t="n">
        <f aca="false">Sens!$D$6736*(1-Sens!$D$6688)</f>
        <v>0.332050421167231</v>
      </c>
      <c r="E6790" s="38" t="n">
        <f aca="false">Sens!$E$6736*(1-Sens!$E$6688)</f>
        <v>0.481224293644882</v>
      </c>
      <c r="F6790" s="38" t="n">
        <f aca="false">Sens!$F$6736*(1-Sens!$F$6688)</f>
        <v>0.596018918096053</v>
      </c>
      <c r="G6790" s="38" t="n">
        <f aca="false">Sens!$G$6736*(1-Sens!$G$6688)</f>
        <v>1.07714986531035</v>
      </c>
      <c r="H6790" s="38" t="n">
        <f aca="false">Sens!$H$6736*(1-Sens!$H$6688)</f>
        <v>2.83135005721638</v>
      </c>
      <c r="I6790" s="38" t="n">
        <f aca="false">Sens!$I$6736*(1-Sens!$I$6688)</f>
        <v>4.9421518161602</v>
      </c>
      <c r="J6790" s="38" t="n">
        <f aca="false">Sens!$J$6736*(1-Sens!$J$6688)</f>
        <v>7.11011252170866</v>
      </c>
      <c r="K6790" s="38" t="n">
        <f aca="false">Sens!$K$6736*(1-Sens!$K$6688)</f>
        <v>9.31663210615807</v>
      </c>
      <c r="L6790" s="38" t="n">
        <f aca="false">Sens!$L$6736*(1-Sens!$L$6688)</f>
        <v>11.411251074039</v>
      </c>
      <c r="M6790" s="38" t="n">
        <f aca="false">Sens!$M$6736*(1-Sens!$M$6688)</f>
        <v>13.5455860755423</v>
      </c>
      <c r="N6790" s="38" t="n">
        <f aca="false">Sens!$N$6736*(1-Sens!$N$6688)</f>
        <v>0.141739115596548</v>
      </c>
      <c r="O6790" s="38" t="n">
        <f aca="false">Sens!$O$6736*(1-Sens!$O$6688)</f>
        <v>0.190445576353059</v>
      </c>
    </row>
    <row r="6791" customFormat="false" ht="17.15" hidden="false" customHeight="false" outlineLevel="0" collapsed="false">
      <c r="A6791" s="0" t="s">
        <v>681</v>
      </c>
      <c r="B6791" s="0" t="s">
        <v>52</v>
      </c>
      <c r="C6791" s="28" t="n">
        <f aca="false">(Sens!$C$6792-Sens!$C$6788+Sens!$C$6790)/Sens!$C$6789</f>
        <v>-0.0292364215826579</v>
      </c>
      <c r="D6791" s="28" t="n">
        <f aca="false">(Sens!$D$6792-Sens!$D$6788+Sens!$D$6790)/Sens!$D$6789</f>
        <v>-0.0305125352740778</v>
      </c>
      <c r="E6791" s="28" t="n">
        <f aca="false">(Sens!$E$6792-Sens!$E$6788+Sens!$E$6790)/Sens!$E$6789</f>
        <v>-0.019490056934994</v>
      </c>
      <c r="F6791" s="28" t="n">
        <f aca="false">Sens!$O$6791+(Sens!$E$6791-Sens!$N$6791)</f>
        <v>-0.0367332293992226</v>
      </c>
      <c r="G6791" s="28" t="n">
        <f aca="false">(Sens!$G$6792-Sens!$G$6788+Sens!$G$6790)/Sens!$G$6789</f>
        <v>-0.0288599526442178</v>
      </c>
      <c r="H6791" s="28" t="n">
        <f aca="false">Sens!$G$6791+step_in</f>
        <v>-0.0288599526442178</v>
      </c>
      <c r="I6791" s="28" t="n">
        <f aca="false">Sens!$H$6791+step_in</f>
        <v>-0.0288599526442178</v>
      </c>
      <c r="J6791" s="28" t="n">
        <f aca="false">Sens!$I$6791+step_in</f>
        <v>-0.0288599526442178</v>
      </c>
      <c r="K6791" s="28" t="n">
        <f aca="false">Sens!$J$6791+step_in</f>
        <v>-0.0288599526442178</v>
      </c>
      <c r="L6791" s="28" t="n">
        <f aca="false">Sens!$K$6791</f>
        <v>-0.0288599526442178</v>
      </c>
      <c r="M6791" s="28" t="n">
        <f aca="false">Sens!$L$6791</f>
        <v>-0.0288599526442178</v>
      </c>
      <c r="N6791" s="28" t="n">
        <f aca="false">(Sens!$N$6792-Sens!$N$6788+Sens!$N$6790)/Sens!$N$6789</f>
        <v>-0.02085061789158</v>
      </c>
      <c r="O6791" s="28" t="n">
        <f aca="false">(Sens!$O$6792-Sens!$O$6788+Sens!$O$6790)/Sens!$O$6789</f>
        <v>-0.0380937903558086</v>
      </c>
      <c r="P6791" s="8" t="s">
        <v>676</v>
      </c>
    </row>
    <row r="6792" customFormat="false" ht="17.15" hidden="false" customHeight="false" outlineLevel="0" collapsed="false">
      <c r="A6792" s="1" t="s">
        <v>682</v>
      </c>
      <c r="B6792" s="8" t="s">
        <v>73</v>
      </c>
      <c r="C6792" s="38" t="n">
        <f aca="false">Q!$D$23</f>
        <v>3.792</v>
      </c>
      <c r="D6792" s="38" t="n">
        <f aca="false">Q!$E$23</f>
        <v>4.75</v>
      </c>
      <c r="E6792" s="38" t="n">
        <f aca="false">Q!$P$23</f>
        <v>3.141</v>
      </c>
      <c r="F6792" s="38" t="n">
        <f aca="false">Sens!$F$6788+Sens!$F$6789*Sens!$F$6791-Sens!$F$6790</f>
        <v>2.99414447978375</v>
      </c>
      <c r="G6792" s="38" t="n">
        <f aca="false">Sens!$E$6792+Sens!$F$6792</f>
        <v>6.13514447978375</v>
      </c>
      <c r="H6792" s="38" t="n">
        <f aca="false">Sens!$H$6788+Sens!$H$6789*Sens!$H$6791-Sens!$H$6790</f>
        <v>6.31919151351322</v>
      </c>
      <c r="I6792" s="38" t="n">
        <f aca="false">Sens!$I$6788+Sens!$I$6789*Sens!$I$6791-Sens!$I$6790</f>
        <v>6.16506534077027</v>
      </c>
      <c r="J6792" s="38" t="n">
        <f aca="false">Sens!$J$6788+Sens!$J$6789*Sens!$J$6791-Sens!$J$6790</f>
        <v>5.8250313653213</v>
      </c>
      <c r="K6792" s="38" t="n">
        <f aca="false">Sens!$K$6788+Sens!$K$6789*Sens!$K$6791-Sens!$K$6790</f>
        <v>5.15468540810514</v>
      </c>
      <c r="L6792" s="38" t="n">
        <f aca="false">Sens!$L$6788+Sens!$L$6789*Sens!$L$6791-Sens!$L$6790</f>
        <v>4.76324944463266</v>
      </c>
      <c r="M6792" s="38" t="n">
        <f aca="false">Sens!$M$6788+Sens!$M$6789*Sens!$M$6791-Sens!$M$6790</f>
        <v>4.51657755537829</v>
      </c>
      <c r="N6792" s="38" t="n">
        <f aca="false">Q!$N$23</f>
        <v>2.511</v>
      </c>
      <c r="O6792" s="38" t="n">
        <f aca="false">Q!$O$23</f>
        <v>2.239</v>
      </c>
    </row>
    <row r="6793" customFormat="false" ht="17.15" hidden="false" customHeight="false" outlineLevel="0" collapsed="false">
      <c r="A6793" s="0" t="s">
        <v>683</v>
      </c>
      <c r="B6793" s="0" t="s">
        <v>73</v>
      </c>
      <c r="C6793" s="38" t="n">
        <f aca="false">Sens!$C$6733</f>
        <v>1.64417882953695</v>
      </c>
      <c r="D6793" s="38" t="n">
        <f aca="false">Sens!$D$6733</f>
        <v>3.8781008067718</v>
      </c>
      <c r="E6793" s="38" t="n">
        <f aca="false">Sens!$E$6733</f>
        <v>1.41270258088753</v>
      </c>
      <c r="F6793" s="38" t="n">
        <f aca="false">Sens!$F$6733</f>
        <v>6.50727700583486</v>
      </c>
      <c r="G6793" s="38" t="n">
        <f aca="false">Sens!$G$6733</f>
        <v>7.9199795867224</v>
      </c>
      <c r="H6793" s="38" t="n">
        <f aca="false">Sens!$H$6733</f>
        <v>19.2818189481807</v>
      </c>
      <c r="I6793" s="38" t="n">
        <f aca="false">Sens!$I$6733</f>
        <v>30.140114407202</v>
      </c>
      <c r="J6793" s="38" t="n">
        <f aca="false">Sens!$J$6733</f>
        <v>40.3569468829854</v>
      </c>
      <c r="K6793" s="38" t="n">
        <f aca="false">Sens!$K$6733</f>
        <v>50.0782975081929</v>
      </c>
      <c r="L6793" s="38" t="n">
        <f aca="false">Sens!$L$6733</f>
        <v>61.443331993499</v>
      </c>
      <c r="M6793" s="38" t="n">
        <f aca="false">Sens!$M$6733</f>
        <v>72.2498791587849</v>
      </c>
      <c r="N6793" s="38" t="n">
        <f aca="false">Sens!$N$6733</f>
        <v>0.92264103489199</v>
      </c>
      <c r="O6793" s="38" t="n">
        <f aca="false">Sens!$O$6733</f>
        <v>2.95545977187981</v>
      </c>
    </row>
    <row r="6794" customFormat="false" ht="17.15" hidden="false" customHeight="false" outlineLevel="0" collapsed="false">
      <c r="A6794" s="0" t="s">
        <v>603</v>
      </c>
      <c r="B6794" s="0" t="s">
        <v>73</v>
      </c>
      <c r="C6794" s="38" t="n">
        <f aca="false">Sens!$C$6738</f>
        <v>38.1898211704631</v>
      </c>
      <c r="D6794" s="38" t="n">
        <f aca="false">Sens!$D$6738</f>
        <v>41.7278991932282</v>
      </c>
      <c r="E6794" s="38" t="n">
        <f aca="false">Sens!$E$6738</f>
        <v>29.3692974191125</v>
      </c>
      <c r="F6794" s="38" t="n">
        <f aca="false">Sens!$F$6738</f>
        <v>29.458060516894</v>
      </c>
      <c r="G6794" s="38" t="n">
        <f aca="false">Sens!$G$6738</f>
        <v>58.8273579360065</v>
      </c>
      <c r="H6794" s="38" t="n">
        <f aca="false">Sens!$H$6738</f>
        <v>67.8004040185081</v>
      </c>
      <c r="I6794" s="38" t="n">
        <f aca="false">Sens!$I$6738</f>
        <v>78.9527630302702</v>
      </c>
      <c r="J6794" s="38" t="n">
        <f aca="false">Sens!$J$6738</f>
        <v>88.6042681781841</v>
      </c>
      <c r="K6794" s="38" t="n">
        <f aca="false">Sens!$K$6738</f>
        <v>95.6926096324389</v>
      </c>
      <c r="L6794" s="38" t="n">
        <f aca="false">Sens!$L$6738</f>
        <v>103.348018403034</v>
      </c>
      <c r="M6794" s="38" t="n">
        <f aca="false">Sens!$M$6738</f>
        <v>111.615859875277</v>
      </c>
      <c r="N6794" s="38" t="n">
        <f aca="false">Sens!$N$6738</f>
        <v>20.784358965108</v>
      </c>
      <c r="O6794" s="38" t="n">
        <f aca="false">Sens!$O$6738</f>
        <v>20.9435402281202</v>
      </c>
    </row>
    <row r="6795" customFormat="false" ht="17.15" hidden="false" customHeight="false" outlineLevel="0" collapsed="false">
      <c r="A6795" s="1" t="s">
        <v>684</v>
      </c>
      <c r="B6795" s="8" t="s">
        <v>73</v>
      </c>
      <c r="C6795" s="38" t="n">
        <f aca="false">Q!$D$24</f>
        <v>39.834</v>
      </c>
      <c r="D6795" s="38" t="n">
        <f aca="false">Q!$E$24</f>
        <v>45.606</v>
      </c>
      <c r="E6795" s="38" t="n">
        <f aca="false">Q!$P$24</f>
        <v>30.782</v>
      </c>
      <c r="F6795" s="38" t="n">
        <f aca="false">Sens!$F$6793+Sens!$F$6794</f>
        <v>35.9653375227289</v>
      </c>
      <c r="G6795" s="38" t="n">
        <f aca="false">Sens!$G$6793+Sens!$G$6794</f>
        <v>66.7473375227289</v>
      </c>
      <c r="H6795" s="38" t="n">
        <f aca="false">Sens!$H$6793+Sens!$H$6794</f>
        <v>87.0822229666888</v>
      </c>
      <c r="I6795" s="38" t="n">
        <f aca="false">Sens!$I$6793+Sens!$I$6794</f>
        <v>109.092877437472</v>
      </c>
      <c r="J6795" s="38" t="n">
        <f aca="false">Sens!$J$6793+Sens!$J$6794</f>
        <v>128.96121506117</v>
      </c>
      <c r="K6795" s="38" t="n">
        <f aca="false">Sens!$K$6793+Sens!$K$6794</f>
        <v>145.770907140632</v>
      </c>
      <c r="L6795" s="38" t="n">
        <f aca="false">Sens!$L$6793+Sens!$L$6794</f>
        <v>164.791350396533</v>
      </c>
      <c r="M6795" s="38" t="n">
        <f aca="false">Sens!$M$6793+Sens!$M$6794</f>
        <v>183.865739034062</v>
      </c>
      <c r="N6795" s="38" t="n">
        <f aca="false">Q!$N$24</f>
        <v>21.707</v>
      </c>
      <c r="O6795" s="38" t="n">
        <f aca="false">Q!$O$24</f>
        <v>23.899</v>
      </c>
    </row>
    <row r="6796" customFormat="false" ht="17.15" hidden="false" customHeight="false" outlineLevel="0" collapsed="false">
      <c r="A6796" s="5" t="s">
        <v>685</v>
      </c>
      <c r="B6796" s="0" t="s">
        <v>73</v>
      </c>
      <c r="C6796" s="38" t="n">
        <f aca="false">Q!$D$26</f>
        <v>0</v>
      </c>
      <c r="D6796" s="38" t="n">
        <f aca="false">Q!$E$26</f>
        <v>0</v>
      </c>
      <c r="E6796" s="38" t="n">
        <f aca="false">Q!$P$26</f>
        <v>0</v>
      </c>
      <c r="F6796" s="41" t="n">
        <v>0</v>
      </c>
      <c r="G6796" s="38" t="n">
        <f aca="false">Sens!$E$6796+Sens!$F$6796</f>
        <v>0</v>
      </c>
      <c r="H6796" s="41" t="n">
        <v>0</v>
      </c>
      <c r="I6796" s="41" t="n">
        <v>0</v>
      </c>
      <c r="J6796" s="41" t="n">
        <v>0</v>
      </c>
      <c r="K6796" s="41" t="n">
        <v>0</v>
      </c>
      <c r="L6796" s="41" t="n">
        <v>0</v>
      </c>
      <c r="M6796" s="41" t="n">
        <v>0</v>
      </c>
      <c r="N6796" s="38" t="n">
        <f aca="false">Q!$N$26</f>
        <v>0</v>
      </c>
      <c r="O6796" s="38" t="n">
        <f aca="false">Q!$O$26</f>
        <v>0</v>
      </c>
    </row>
    <row r="6797" customFormat="false" ht="15" hidden="false" customHeight="false" outlineLevel="0" collapsed="false">
      <c r="A6797" s="3" t="s">
        <v>494</v>
      </c>
      <c r="B6797" s="8" t="s">
        <v>73</v>
      </c>
      <c r="C6797" s="38" t="n">
        <f aca="false">Q!$D$25</f>
        <v>68.593</v>
      </c>
      <c r="D6797" s="38" t="n">
        <f aca="false">Q!$E$25</f>
        <v>79.975</v>
      </c>
      <c r="E6797" s="38" t="n">
        <f aca="false">Q!$P$25</f>
        <v>51.313</v>
      </c>
      <c r="F6797" s="38" t="n">
        <f aca="false">Sens!$F$6787+Sens!$F$6792+Sens!$F$6795+Sens!$F$6796</f>
        <v>59.8825772328462</v>
      </c>
      <c r="G6797" s="38" t="n">
        <f aca="false">Sens!$G$6787+Sens!$G$6792+Sens!$G$6795+Sens!$G$6796</f>
        <v>111.195577232846</v>
      </c>
      <c r="H6797" s="38" t="n">
        <f aca="false">Sens!$H$6787+Sens!$H$6792+Sens!$H$6795+Sens!$H$6796</f>
        <v>135.638701042513</v>
      </c>
      <c r="I6797" s="38" t="n">
        <f aca="false">Sens!$I$6787+Sens!$I$6792+Sens!$I$6795+Sens!$I$6796</f>
        <v>160.668634334764</v>
      </c>
      <c r="J6797" s="38" t="n">
        <f aca="false">Sens!$J$6787+Sens!$J$6792+Sens!$J$6795+Sens!$J$6796</f>
        <v>182.936501499731</v>
      </c>
      <c r="K6797" s="38" t="n">
        <f aca="false">Sens!$K$6787+Sens!$K$6792+Sens!$K$6795+Sens!$K$6796</f>
        <v>200.911616858058</v>
      </c>
      <c r="L6797" s="38" t="n">
        <f aca="false">Sens!$L$6787+Sens!$L$6792+Sens!$L$6795+Sens!$L$6796</f>
        <v>220.650126048945</v>
      </c>
      <c r="M6797" s="38" t="n">
        <f aca="false">Sens!$M$6787+Sens!$M$6792+Sens!$M$6795+Sens!$M$6796</f>
        <v>241.09409709983</v>
      </c>
      <c r="N6797" s="38" t="n">
        <f aca="false">Q!$N$25</f>
        <v>37.576</v>
      </c>
      <c r="O6797" s="38" t="n">
        <f aca="false">Q!$O$25</f>
        <v>42.399</v>
      </c>
    </row>
    <row r="6798" customFormat="false" ht="17.15" hidden="false" customHeight="false" outlineLevel="0" collapsed="false">
      <c r="A6798" s="24" t="s">
        <v>711</v>
      </c>
      <c r="B6798" s="25" t="s">
        <v>73</v>
      </c>
      <c r="C6798" s="39" t="n">
        <f aca="false">Sens!$C$6787+Sens!$C$6792+Sens!$C$6795+Sens!$C$6796-Sens!$C$6797</f>
        <v>0</v>
      </c>
      <c r="D6798" s="39" t="n">
        <f aca="false">Sens!$D$6787+Sens!$D$6792+Sens!$D$6795+Sens!$D$6796-Sens!$D$6797</f>
        <v>0</v>
      </c>
      <c r="E6798" s="39" t="n">
        <f aca="false">Sens!$E$6787+Sens!$E$6792+Sens!$E$6795+Sens!$E$6796-Sens!$E$6797</f>
        <v>0</v>
      </c>
      <c r="F6798" s="39" t="n">
        <f aca="false">Sens!$F$6787+Sens!$F$6792+Sens!$F$6795+Sens!$F$6796-Sens!$F$6797</f>
        <v>0</v>
      </c>
      <c r="G6798" s="39" t="n">
        <f aca="false">Sens!$G$6787+Sens!$G$6792+Sens!$G$6795+Sens!$G$6796-Sens!$G$6797</f>
        <v>0</v>
      </c>
      <c r="H6798" s="39" t="n">
        <f aca="false">Sens!$H$6787+Sens!$H$6792+Sens!$H$6795+Sens!$H$6796-Sens!$H$6797</f>
        <v>0</v>
      </c>
      <c r="I6798" s="39" t="n">
        <f aca="false">Sens!$I$6787+Sens!$I$6792+Sens!$I$6795+Sens!$I$6796-Sens!$I$6797</f>
        <v>0</v>
      </c>
      <c r="J6798" s="39" t="n">
        <f aca="false">Sens!$J$6787+Sens!$J$6792+Sens!$J$6795+Sens!$J$6796-Sens!$J$6797</f>
        <v>0</v>
      </c>
      <c r="K6798" s="39" t="n">
        <f aca="false">Sens!$K$6787+Sens!$K$6792+Sens!$K$6795+Sens!$K$6796-Sens!$K$6797</f>
        <v>0</v>
      </c>
      <c r="L6798" s="39" t="n">
        <f aca="false">Sens!$L$6787+Sens!$L$6792+Sens!$L$6795+Sens!$L$6796-Sens!$L$6797</f>
        <v>0</v>
      </c>
      <c r="M6798" s="39" t="n">
        <f aca="false">Sens!$M$6787+Sens!$M$6792+Sens!$M$6795+Sens!$M$6796-Sens!$M$6797</f>
        <v>0</v>
      </c>
      <c r="N6798" s="39" t="n">
        <f aca="false">Sens!$N$6787+Sens!$N$6792+Sens!$N$6795+Sens!$N$6796-Sens!$N$6797</f>
        <v>0</v>
      </c>
      <c r="O6798" s="39" t="n">
        <f aca="false">Sens!$O$6787+Sens!$O$6792+Sens!$O$6795+Sens!$O$6796-Sens!$O$6797</f>
        <v>0</v>
      </c>
    </row>
    <row r="6799" customFormat="false" ht="17.15" hidden="false" customHeight="false" outlineLevel="0" collapsed="false">
      <c r="A6799" s="0" t="s">
        <v>687</v>
      </c>
      <c r="B6799" s="0" t="s">
        <v>52</v>
      </c>
      <c r="C6799" s="12" t="n">
        <f aca="false">Sens!$C$6787/Sens!$C$6772</f>
        <v>0.0644314665661928</v>
      </c>
      <c r="D6799" s="12" t="n">
        <f aca="false">Sens!$D$6787/Sens!$D$6772</f>
        <v>0.0694784250712518</v>
      </c>
      <c r="E6799" s="12" t="n">
        <f aca="false">Sens!$E$6787/Sens!$E$6772</f>
        <v>0.0789306463326071</v>
      </c>
      <c r="F6799" s="12" t="n">
        <f aca="false">Sens!$F$6787/Sens!$F$6772</f>
        <v>0.0816338957078875</v>
      </c>
      <c r="G6799" s="12" t="n">
        <f aca="false">Sens!$G$6787/Sens!$G$6772</f>
        <v>0.080384315570057</v>
      </c>
      <c r="H6799" s="12" t="n">
        <f aca="false">Sens!$H$6787/Sens!$H$6772</f>
        <v>0.080035122355679</v>
      </c>
      <c r="I6799" s="12" t="n">
        <f aca="false">Sens!$I$6787/Sens!$I$6772</f>
        <v>0.0786798687862144</v>
      </c>
      <c r="J6799" s="12" t="n">
        <f aca="false">Sens!$J$6787/Sens!$J$6772</f>
        <v>0.0772846370095153</v>
      </c>
      <c r="K6799" s="12" t="n">
        <f aca="false">Sens!$K$6787/Sens!$K$6772</f>
        <v>0.0753502227686655</v>
      </c>
      <c r="L6799" s="12" t="n">
        <f aca="false">Sens!$L$6787/Sens!$L$6772</f>
        <v>0.0723154067793922</v>
      </c>
      <c r="M6799" s="12" t="n">
        <f aca="false">Sens!$M$6787/Sens!$M$6772</f>
        <v>0.070022386735876</v>
      </c>
      <c r="N6799" s="12" t="n">
        <f aca="false">Sens!$N$6787/Sens!$N$6772</f>
        <v>0.069228576611127</v>
      </c>
      <c r="O6799" s="12" t="n">
        <f aca="false">Sens!$O$6787/Sens!$O$6772</f>
        <v>0.069685022498393</v>
      </c>
    </row>
    <row r="6800" customFormat="false" ht="17.15" hidden="false" customHeight="false" outlineLevel="0" collapsed="false">
      <c r="A6800" s="0" t="s">
        <v>688</v>
      </c>
      <c r="B6800" s="0" t="s">
        <v>52</v>
      </c>
      <c r="C6800" s="12" t="n">
        <f aca="false">Sens!$C$6792/Sens!$C$6773</f>
        <v>0.026534925055631</v>
      </c>
      <c r="D6800" s="12" t="n">
        <f aca="false">Sens!$D$6792/Sens!$D$6773</f>
        <v>0.0293401855535103</v>
      </c>
      <c r="E6800" s="12" t="n">
        <f aca="false">Sens!$E$6792/Sens!$E$6773</f>
        <v>0.03831141902276</v>
      </c>
      <c r="F6800" s="12" t="n">
        <f aca="false">Sens!$F$6792/Sens!$F$6773</f>
        <v>0.0297532808235678</v>
      </c>
      <c r="G6800" s="12" t="n">
        <f aca="false">Sens!$G$6792/Sens!$G$6773</f>
        <v>0.0335954317997163</v>
      </c>
      <c r="H6800" s="12" t="n">
        <f aca="false">Sens!$H$6792/Sens!$H$6773</f>
        <v>0.0312519754292078</v>
      </c>
      <c r="I6800" s="12" t="n">
        <f aca="false">Sens!$I$6792/Sens!$I$6773</f>
        <v>0.0278788303191397</v>
      </c>
      <c r="J6800" s="12" t="n">
        <f aca="false">Sens!$J$6792/Sens!$J$6773</f>
        <v>0.0244019313573061</v>
      </c>
      <c r="K6800" s="12" t="n">
        <f aca="false">Sens!$K$6792/Sens!$K$6773</f>
        <v>0.020280070641524</v>
      </c>
      <c r="L6800" s="12" t="n">
        <f aca="false">Sens!$L$6792/Sens!$L$6773</f>
        <v>0.0175947312030086</v>
      </c>
      <c r="M6800" s="12" t="n">
        <f aca="false">Sens!$M$6792/Sens!$M$6773</f>
        <v>0.0156592172424565</v>
      </c>
      <c r="N6800" s="12" t="n">
        <f aca="false">Sens!$N$6792/Sens!$N$6773</f>
        <v>0.0357315650169337</v>
      </c>
      <c r="O6800" s="12" t="n">
        <f aca="false">Sens!$O$6792/Sens!$O$6773</f>
        <v>0.0244378956559703</v>
      </c>
    </row>
    <row r="6801" customFormat="false" ht="17.15" hidden="false" customHeight="false" outlineLevel="0" collapsed="false">
      <c r="A6801" s="13" t="s">
        <v>689</v>
      </c>
      <c r="B6801" s="13" t="s">
        <v>52</v>
      </c>
      <c r="C6801" s="16" t="n">
        <f aca="false">Sens!$C$6795/Sens!$C$6774</f>
        <v>0.370355907620217</v>
      </c>
      <c r="D6801" s="16" t="n">
        <f aca="false">Sens!$D$6795/Sens!$D$6774</f>
        <v>0.35429015342785</v>
      </c>
      <c r="E6801" s="16" t="n">
        <f aca="false">Sens!$E$6795/Sens!$E$6774</f>
        <v>0.385647527531039</v>
      </c>
      <c r="F6801" s="16" t="n">
        <f aca="false">Sens!$F$6795/Sens!$F$6774</f>
        <v>0.384415729470259</v>
      </c>
      <c r="G6801" s="16" t="n">
        <f aca="false">Sens!$G$6795/Sens!$G$6774</f>
        <v>0.38498282105443</v>
      </c>
      <c r="H6801" s="16" t="n">
        <f aca="false">Sens!$H$6795/Sens!$H$6774</f>
        <v>0.361247909668527</v>
      </c>
      <c r="I6801" s="16" t="n">
        <f aca="false">Sens!$I$6795/Sens!$I$6774</f>
        <v>0.349486287974975</v>
      </c>
      <c r="J6801" s="16" t="n">
        <f aca="false">Sens!$J$6795/Sens!$J$6774</f>
        <v>0.339886531832068</v>
      </c>
      <c r="K6801" s="16" t="n">
        <f aca="false">Sens!$K$6795/Sens!$K$6774</f>
        <v>0.33135833762061</v>
      </c>
      <c r="L6801" s="16" t="n">
        <f aca="false">Sens!$L$6795/Sens!$L$6774</f>
        <v>0.328299068185284</v>
      </c>
      <c r="M6801" s="16" t="n">
        <f aca="false">Sens!$M$6795/Sens!$M$6774</f>
        <v>0.325058049465166</v>
      </c>
      <c r="N6801" s="16" t="n">
        <f aca="false">Sens!$N$6795/Sens!$N$6774</f>
        <v>0.360941137346192</v>
      </c>
      <c r="O6801" s="16" t="n">
        <f aca="false">Sens!$O$6795/Sens!$O$6774</f>
        <v>0.348458117664212</v>
      </c>
    </row>
    <row r="6802" customFormat="false" ht="17.15" hidden="false" customHeight="false" outlineLevel="0" collapsed="false">
      <c r="A6802" s="0" t="s">
        <v>690</v>
      </c>
      <c r="B6802" s="0" t="s">
        <v>52</v>
      </c>
      <c r="C6802" s="12" t="n">
        <f aca="false">Sens!$C$6793/Sens!$C$6775</f>
        <v>0.708390794789371</v>
      </c>
      <c r="D6802" s="12" t="n">
        <f aca="false">Sens!$D$6793/Sens!$D$6775</f>
        <v>0.445565630441968</v>
      </c>
      <c r="E6802" s="12" t="n">
        <f aca="false">Sens!$E$6793/Sens!$E$6775</f>
        <v>0.165998118402711</v>
      </c>
      <c r="F6802" s="12" t="n">
        <f aca="false">Sens!$F$6793/Sens!$F$6775</f>
        <v>0.434878595403858</v>
      </c>
      <c r="G6802" s="12" t="n">
        <f aca="false">Sens!$G$6793/Sens!$G$6775</f>
        <v>0.3373967615381</v>
      </c>
      <c r="H6802" s="12" t="n">
        <f aca="false">Sens!$H$6793/Sens!$H$6775</f>
        <v>0.320477578041224</v>
      </c>
      <c r="I6802" s="12" t="n">
        <f aca="false">Sens!$I$6793/Sens!$I$6775</f>
        <v>0.296936118226494</v>
      </c>
      <c r="J6802" s="12" t="n">
        <f aca="false">Sens!$J$6793/Sens!$J$6775</f>
        <v>0.282166278613001</v>
      </c>
      <c r="K6802" s="12" t="n">
        <f aca="false">Sens!$K$6793/Sens!$K$6775</f>
        <v>0.271267685694333</v>
      </c>
      <c r="L6802" s="12" t="n">
        <f aca="false">Sens!$L$6793/Sens!$L$6775</f>
        <v>0.27160960915653</v>
      </c>
      <c r="M6802" s="12" t="n">
        <f aca="false">Sens!$M$6793/Sens!$M$6775</f>
        <v>0.26974494804234</v>
      </c>
      <c r="N6802" s="12" t="n">
        <f aca="false">Sens!$N$6793/Sens!$N$6775</f>
        <v>0.302870734830849</v>
      </c>
      <c r="O6802" s="12" t="n">
        <f aca="false">Sens!$O$6793/Sens!$O$6775</f>
        <v>0.52240134346334</v>
      </c>
    </row>
    <row r="6803" customFormat="false" ht="15" hidden="false" customHeight="false" outlineLevel="0" collapsed="false">
      <c r="A6803" s="5" t="s">
        <v>691</v>
      </c>
      <c r="B6803" s="0" t="s">
        <v>52</v>
      </c>
      <c r="C6803" s="12" t="n">
        <f aca="false">Sens!$C$6797/Sens!$C$6777</f>
        <v>0.107519448742004</v>
      </c>
      <c r="D6803" s="12" t="n">
        <f aca="false">Sens!$D$6797/Sens!$D$6777</f>
        <v>0.111552967957552</v>
      </c>
      <c r="E6803" s="12" t="n">
        <f aca="false">Sens!$E$6797/Sens!$E$6777</f>
        <v>0.13428328426562</v>
      </c>
      <c r="F6803" s="12" t="n">
        <f aca="false">Sens!$F$6797/Sens!$F$6777</f>
        <v>0.132926212451512</v>
      </c>
      <c r="G6803" s="12" t="n">
        <f aca="false">Sens!$G$6797/Sens!$G$6777</f>
        <v>0.133549030959228</v>
      </c>
      <c r="H6803" s="12" t="n">
        <f aca="false">Sens!$H$6797/Sens!$H$6777</f>
        <v>0.139690394514416</v>
      </c>
      <c r="I6803" s="12" t="n">
        <f aca="false">Sens!$I$6797/Sens!$I$6777</f>
        <v>0.144688164284573</v>
      </c>
      <c r="J6803" s="12" t="n">
        <f aca="false">Sens!$J$6797/Sens!$J$6777</f>
        <v>0.147391419021054</v>
      </c>
      <c r="K6803" s="12" t="n">
        <f aca="false">Sens!$K$6797/Sens!$K$6777</f>
        <v>0.148003728177944</v>
      </c>
      <c r="L6803" s="12" t="n">
        <f aca="false">Sens!$L$6797/Sens!$L$6777</f>
        <v>0.149164514525979</v>
      </c>
      <c r="M6803" s="12" t="n">
        <f aca="false">Sens!$M$6797/Sens!$M$6777</f>
        <v>0.150041098108262</v>
      </c>
      <c r="N6803" s="12" t="n">
        <f aca="false">Sens!$N$6797/Sens!$N$6777</f>
        <v>0.116201614873411</v>
      </c>
      <c r="O6803" s="12" t="n">
        <f aca="false">Sens!$O$6797/Sens!$O$6777</f>
        <v>0.107733353660861</v>
      </c>
    </row>
    <row r="6804" customFormat="false" ht="17.15" hidden="false" customHeight="false" outlineLevel="0" collapsed="false">
      <c r="A6804" s="1" t="s">
        <v>692</v>
      </c>
    </row>
    <row r="6805" customFormat="false" ht="17.15" hidden="false" customHeight="false" outlineLevel="0" collapsed="false">
      <c r="A6805" s="5" t="s">
        <v>693</v>
      </c>
      <c r="B6805" s="0" t="s">
        <v>52</v>
      </c>
      <c r="D6805" s="28" t="n">
        <f aca="false">(Q!$E$29+Q!$E$30-(1-ext_sh)*Sens!$D$6729)/Sens!$D$6687</f>
        <v>0.0334674312393194</v>
      </c>
    </row>
    <row r="6806" customFormat="false" ht="17.15" hidden="false" customHeight="false" outlineLevel="0" collapsed="false">
      <c r="A6806" s="0" t="s">
        <v>498</v>
      </c>
      <c r="B6806" s="0" t="s">
        <v>73</v>
      </c>
      <c r="C6806" s="38" t="n">
        <f aca="false">Q!$D$29</f>
        <v>14.285</v>
      </c>
      <c r="D6806" s="38" t="n">
        <f aca="false">Q!$E$29</f>
        <v>15.503</v>
      </c>
      <c r="E6806" s="38" t="n">
        <f aca="false">Q!$P$29</f>
        <v>8.78</v>
      </c>
      <c r="F6806" s="38" t="n">
        <f aca="false">(Sens!$D$6805*Sens!$F$6687+(1-ext_sh)*Sens!$F$6729)*Sens!$F$6688</f>
        <v>9.51361751569285</v>
      </c>
      <c r="G6806" s="38" t="n">
        <f aca="false">Sens!$E$6806+Sens!$F$6806</f>
        <v>18.2936175156929</v>
      </c>
      <c r="H6806" s="38" t="n">
        <f aca="false">(Sens!$D$6805*Sens!$H$6687+(1-ext_sh)*Sens!$H$6729)*Sens!$H$6688</f>
        <v>22.7653661801943</v>
      </c>
      <c r="I6806" s="38" t="n">
        <f aca="false">(Sens!$D$6805*Sens!$I$6687+(1-ext_sh)*Sens!$I$6729)*Sens!$I$6688</f>
        <v>28.4281317305062</v>
      </c>
      <c r="J6806" s="38" t="n">
        <f aca="false">(Sens!$D$6805*Sens!$J$6687+(1-ext_sh)*Sens!$J$6729)*Sens!$J$6688</f>
        <v>34.1182922009732</v>
      </c>
      <c r="K6806" s="38" t="n">
        <f aca="false">(Sens!$D$6805*Sens!$K$6687+(1-ext_sh)*Sens!$K$6729)*Sens!$K$6688</f>
        <v>39.7237727987046</v>
      </c>
      <c r="L6806" s="38" t="n">
        <f aca="false">(Sens!$D$6805*Sens!$L$6687+(1-ext_sh)*Sens!$L$6729)*Sens!$L$6688</f>
        <v>45.1313127180263</v>
      </c>
      <c r="M6806" s="38" t="n">
        <f aca="false">(Sens!$D$6805*Sens!$M$6687+(1-ext_sh)*Sens!$M$6729)*Sens!$M$6688</f>
        <v>50.743940615442</v>
      </c>
      <c r="N6806" s="38" t="n">
        <f aca="false">Q!$N$29</f>
        <v>7.272</v>
      </c>
      <c r="O6806" s="38" t="n">
        <f aca="false">Q!$O$29</f>
        <v>8.231</v>
      </c>
    </row>
    <row r="6807" customFormat="false" ht="17.15" hidden="false" customHeight="false" outlineLevel="0" collapsed="false">
      <c r="A6807" s="0" t="s">
        <v>500</v>
      </c>
      <c r="B6807" s="0" t="s">
        <v>73</v>
      </c>
      <c r="C6807" s="38" t="n">
        <f aca="false">Q!$D$30</f>
        <v>4.462</v>
      </c>
      <c r="D6807" s="38" t="n">
        <f aca="false">Q!$E$30</f>
        <v>4.907</v>
      </c>
      <c r="E6807" s="38" t="n">
        <f aca="false">Q!$P$30</f>
        <v>2.57</v>
      </c>
      <c r="F6807" s="38" t="n">
        <f aca="false">(Sens!$D$6805*Sens!$F$6687+(1-ext_sh)*Sens!$F$6729)*(1-Sens!$F$6688)</f>
        <v>3.7353230631574</v>
      </c>
      <c r="G6807" s="38" t="n">
        <f aca="false">Sens!$E$6807+Sens!$F$6807</f>
        <v>6.3053230631574</v>
      </c>
      <c r="H6807" s="38" t="n">
        <f aca="false">(Sens!$D$6805*Sens!$H$6687+(1-ext_sh)*Sens!$H$6729)*(1-Sens!$H$6688)</f>
        <v>8.72254636724805</v>
      </c>
      <c r="I6807" s="38" t="n">
        <f aca="false">(Sens!$D$6805*Sens!$I$6687+(1-ext_sh)*Sens!$I$6729)*(1-Sens!$I$6688)</f>
        <v>10.8922340713019</v>
      </c>
      <c r="J6807" s="38" t="n">
        <f aca="false">(Sens!$D$6805*Sens!$J$6687+(1-ext_sh)*Sens!$J$6729)*(1-Sens!$J$6688)</f>
        <v>13.0724181345791</v>
      </c>
      <c r="K6807" s="38" t="n">
        <f aca="false">(Sens!$D$6805*Sens!$K$6687+(1-ext_sh)*Sens!$K$6729)*(1-Sens!$K$6688)</f>
        <v>15.2201571183236</v>
      </c>
      <c r="L6807" s="38" t="n">
        <f aca="false">(Sens!$D$6805*Sens!$L$6687+(1-ext_sh)*Sens!$L$6729)*(1-Sens!$L$6688)</f>
        <v>17.2920551631732</v>
      </c>
      <c r="M6807" s="38" t="n">
        <f aca="false">(Sens!$D$6805*Sens!$M$6687+(1-ext_sh)*Sens!$M$6729)*(1-Sens!$M$6688)</f>
        <v>19.4425326336348</v>
      </c>
      <c r="N6807" s="38" t="n">
        <f aca="false">Q!$N$30</f>
        <v>2.316</v>
      </c>
      <c r="O6807" s="38" t="n">
        <f aca="false">Q!$O$30</f>
        <v>2.591</v>
      </c>
    </row>
    <row r="6808" customFormat="false" ht="17.15" hidden="false" customHeight="false" outlineLevel="0" collapsed="false">
      <c r="A6808" s="0" t="s">
        <v>501</v>
      </c>
      <c r="B6808" s="0" t="s">
        <v>73</v>
      </c>
      <c r="C6808" s="38" t="n">
        <f aca="false">Sens!$C$6741</f>
        <v>13.32</v>
      </c>
      <c r="D6808" s="38" t="n">
        <f aca="false">Sens!$D$6741</f>
        <v>21.45</v>
      </c>
      <c r="E6808" s="38" t="n">
        <f aca="false">Sens!$E$6741</f>
        <v>15.353</v>
      </c>
      <c r="F6808" s="38" t="n">
        <f aca="false">Sens!$F$6741</f>
        <v>17.3614451462707</v>
      </c>
      <c r="G6808" s="38" t="n">
        <f aca="false">Sens!$G$6741</f>
        <v>32.7144451462707</v>
      </c>
      <c r="H6808" s="38" t="n">
        <f aca="false">Sens!$H$6741</f>
        <v>56.1966092719415</v>
      </c>
      <c r="I6808" s="38" t="n">
        <f aca="false">Sens!$I$6741</f>
        <v>82.9744039068297</v>
      </c>
      <c r="J6808" s="38" t="n">
        <f aca="false">Sens!$J$6741</f>
        <v>109.943252237669</v>
      </c>
      <c r="K6808" s="38" t="n">
        <f aca="false">Sens!$K$6741</f>
        <v>136.406703436571</v>
      </c>
      <c r="L6808" s="38" t="n">
        <f aca="false">Sens!$L$6741</f>
        <v>161.485870454155</v>
      </c>
      <c r="M6808" s="38" t="n">
        <f aca="false">Sens!$M$6741</f>
        <v>187.389846618199</v>
      </c>
      <c r="N6808" s="38" t="n">
        <f aca="false">Sens!$N$6741</f>
        <v>9.234</v>
      </c>
      <c r="O6808" s="38" t="n">
        <f aca="false">Sens!$O$6741</f>
        <v>12.216</v>
      </c>
    </row>
    <row r="6809" customFormat="false" ht="17.15" hidden="false" customHeight="false" outlineLevel="0" collapsed="false">
      <c r="A6809" s="5" t="s">
        <v>694</v>
      </c>
      <c r="B6809" s="0" t="s">
        <v>73</v>
      </c>
      <c r="C6809" s="38" t="n">
        <f aca="false">Sens!$C$6806+Sens!$C$6807+Sens!$C$6808</f>
        <v>32.067</v>
      </c>
      <c r="D6809" s="38" t="n">
        <f aca="false">Sens!$D$6806+Sens!$D$6807+Sens!$D$6808</f>
        <v>41.86</v>
      </c>
      <c r="E6809" s="38" t="n">
        <f aca="false">Sens!$E$6806+Sens!$E$6807+Sens!$E$6808</f>
        <v>26.703</v>
      </c>
      <c r="F6809" s="38" t="n">
        <f aca="false">Sens!$F$6806+Sens!$F$6807+Sens!$F$6808</f>
        <v>30.6103857251209</v>
      </c>
      <c r="G6809" s="38" t="n">
        <f aca="false">Sens!$G$6806+Sens!$G$6807+Sens!$G$6808</f>
        <v>57.3133857251209</v>
      </c>
      <c r="H6809" s="38" t="n">
        <f aca="false">Sens!$H$6806+Sens!$H$6807+Sens!$H$6808</f>
        <v>87.6845218193838</v>
      </c>
      <c r="I6809" s="38" t="n">
        <f aca="false">Sens!$I$6806+Sens!$I$6807+Sens!$I$6808</f>
        <v>122.294769708638</v>
      </c>
      <c r="J6809" s="38" t="n">
        <f aca="false">Sens!$J$6806+Sens!$J$6807+Sens!$J$6808</f>
        <v>157.133962573221</v>
      </c>
      <c r="K6809" s="38" t="n">
        <f aca="false">Sens!$K$6806+Sens!$K$6807+Sens!$K$6808</f>
        <v>191.350633353599</v>
      </c>
      <c r="L6809" s="38" t="n">
        <f aca="false">Sens!$L$6806+Sens!$L$6807+Sens!$L$6808</f>
        <v>223.909238335354</v>
      </c>
      <c r="M6809" s="38" t="n">
        <f aca="false">Sens!$M$6806+Sens!$M$6807+Sens!$M$6808</f>
        <v>257.576319867276</v>
      </c>
      <c r="N6809" s="38" t="n">
        <f aca="false">Sens!$N$6806+Sens!$N$6807+Sens!$N$6808</f>
        <v>18.822</v>
      </c>
      <c r="O6809" s="38" t="n">
        <f aca="false">Sens!$O$6806+Sens!$O$6807+Sens!$O$6808</f>
        <v>23.038</v>
      </c>
    </row>
    <row r="6810" customFormat="false" ht="17.15" hidden="false" customHeight="false" outlineLevel="0" collapsed="false">
      <c r="A6810" s="0" t="s">
        <v>695</v>
      </c>
      <c r="B6810" s="0" t="s">
        <v>73</v>
      </c>
      <c r="C6810" s="38" t="n">
        <f aca="false">Sens!$C$6783+Sens!$C$6788</f>
        <v>28.107</v>
      </c>
      <c r="D6810" s="38" t="n">
        <f aca="false">Sens!$D$6783+Sens!$D$6788</f>
        <v>34.3175</v>
      </c>
      <c r="E6810" s="38" t="n">
        <f aca="false">Sens!$E$6783+Sens!$E$6788</f>
        <v>18.526</v>
      </c>
      <c r="F6810" s="38" t="n">
        <f aca="false">Sens!$F$6783+Sens!$F$6788</f>
        <v>24.0766690913691</v>
      </c>
      <c r="G6810" s="38" t="n">
        <f aca="false">Sens!$G$6783+Sens!$G$6788</f>
        <v>42.6026690913691</v>
      </c>
      <c r="H6810" s="38" t="n">
        <f aca="false">Sens!$H$6783+Sens!$H$6788</f>
        <v>51.1466809294702</v>
      </c>
      <c r="I6810" s="38" t="n">
        <f aca="false">Sens!$I$6783+Sens!$I$6788</f>
        <v>59.6899187926205</v>
      </c>
      <c r="J6810" s="38" t="n">
        <f aca="false">Sens!$J$6783+Sens!$J$6788</f>
        <v>67.6595395244221</v>
      </c>
      <c r="K6810" s="38" t="n">
        <f aca="false">Sens!$K$6783+Sens!$K$6788</f>
        <v>74.4254934768643</v>
      </c>
      <c r="L6810" s="38" t="n">
        <f aca="false">Sens!$L$6783+Sens!$L$6788</f>
        <v>81.8680428245508</v>
      </c>
      <c r="M6810" s="38" t="n">
        <f aca="false">Sens!$M$6783+Sens!$M$6788</f>
        <v>90.0548471070059</v>
      </c>
      <c r="N6810" s="38" t="n">
        <f aca="false">Sens!$N$6783+Sens!$N$6788</f>
        <v>14.8075</v>
      </c>
      <c r="O6810" s="38" t="n">
        <f aca="false">Sens!$O$6783+Sens!$O$6788</f>
        <v>19.51</v>
      </c>
    </row>
    <row r="6811" customFormat="false" ht="17.15" hidden="false" customHeight="false" outlineLevel="0" collapsed="false">
      <c r="A6811" s="0" t="s">
        <v>696</v>
      </c>
      <c r="B6811" s="0" t="s">
        <v>73</v>
      </c>
      <c r="C6811" s="38" t="n">
        <f aca="false">Sens!$C$6787+Sens!$C$6792+Sens!$C$6806+Sens!$C$6807-Sens!$C$6810</f>
        <v>19.399</v>
      </c>
      <c r="D6811" s="38" t="n">
        <f aca="false">Sens!$D$6787+Sens!$D$6792+Sens!$D$6806+Sens!$D$6807-Sens!$D$6810</f>
        <v>20.4615</v>
      </c>
      <c r="E6811" s="38" t="n">
        <f aca="false">Sens!$E$6787+Sens!$E$6792+Sens!$E$6806+Sens!$E$6807-Sens!$E$6810</f>
        <v>13.355</v>
      </c>
      <c r="F6811" s="38" t="n">
        <f aca="false">Sens!$F$6787+Sens!$F$6792+Sens!$F$6806+Sens!$F$6807-Sens!$F$6810</f>
        <v>13.0895111975985</v>
      </c>
      <c r="G6811" s="38" t="n">
        <f aca="false">Sens!$G$6787+Sens!$G$6792+Sens!$G$6806+Sens!$G$6807-Sens!$G$6810</f>
        <v>26.4445111975985</v>
      </c>
      <c r="H6811" s="38" t="n">
        <f aca="false">Sens!$H$6787+Sens!$H$6792+Sens!$H$6806+Sens!$H$6807-Sens!$H$6810</f>
        <v>28.8977096937968</v>
      </c>
      <c r="I6811" s="38" t="n">
        <f aca="false">Sens!$I$6787+Sens!$I$6792+Sens!$I$6806+Sens!$I$6807-Sens!$I$6810</f>
        <v>31.2062039064791</v>
      </c>
      <c r="J6811" s="38" t="n">
        <f aca="false">Sens!$J$6787+Sens!$J$6792+Sens!$J$6806+Sens!$J$6807-Sens!$J$6810</f>
        <v>33.5064572496913</v>
      </c>
      <c r="K6811" s="38" t="n">
        <f aca="false">Sens!$K$6787+Sens!$K$6792+Sens!$K$6806+Sens!$K$6807-Sens!$K$6810</f>
        <v>35.6591461575899</v>
      </c>
      <c r="L6811" s="38" t="n">
        <f aca="false">Sens!$L$6787+Sens!$L$6792+Sens!$L$6806+Sens!$L$6807-Sens!$L$6810</f>
        <v>36.4141007090604</v>
      </c>
      <c r="M6811" s="38" t="n">
        <f aca="false">Sens!$M$6787+Sens!$M$6792+Sens!$M$6806+Sens!$M$6807-Sens!$M$6810</f>
        <v>37.359984207839</v>
      </c>
      <c r="N6811" s="38" t="n">
        <f aca="false">Sens!$N$6787+Sens!$N$6792+Sens!$N$6806+Sens!$N$6807-Sens!$N$6810</f>
        <v>10.6495</v>
      </c>
      <c r="O6811" s="38" t="n">
        <f aca="false">Sens!$O$6787+Sens!$O$6792+Sens!$O$6806+Sens!$O$6807-Sens!$O$6810</f>
        <v>9.81200000000001</v>
      </c>
    </row>
    <row r="6812" customFormat="false" ht="17.15" hidden="false" customHeight="false" outlineLevel="0" collapsed="false">
      <c r="A6812" s="0" t="s">
        <v>697</v>
      </c>
      <c r="B6812" s="0" t="s">
        <v>73</v>
      </c>
      <c r="C6812" s="38" t="n">
        <f aca="false">Sens!$C$6794+Sens!$C$6808-ext_sh*Sens!$C$6729</f>
        <v>51.3470500115664</v>
      </c>
      <c r="D6812" s="38" t="n">
        <f aca="false">Sens!$D$6794+Sens!$D$6808-ext_sh*Sens!$D$6729</f>
        <v>60.2799375433739</v>
      </c>
      <c r="E6812" s="38" t="n">
        <f aca="false">Sens!$E$6794+Sens!$E$6808-ext_sh*Sens!$E$6729</f>
        <v>39.5095167090767</v>
      </c>
      <c r="F6812" s="38" t="n">
        <f aca="false">Sens!$F$6794+Sens!$F$6808-ext_sh*Sens!$F$6729</f>
        <v>41.606724953129</v>
      </c>
      <c r="G6812" s="38" t="n">
        <f aca="false">Sens!$G$6794+Sens!$G$6808-ext_sh*Sens!$G$6729</f>
        <v>81.1162416622057</v>
      </c>
      <c r="H6812" s="38" t="n">
        <f aca="false">Sens!$H$6794+Sens!$H$6808-ext_sh*Sens!$H$6729</f>
        <v>95.7616595325849</v>
      </c>
      <c r="I6812" s="38" t="n">
        <f aca="false">Sens!$I$6794+Sens!$I$6808-ext_sh*Sens!$I$6729</f>
        <v>111.513312079935</v>
      </c>
      <c r="J6812" s="38" t="n">
        <f aca="false">Sens!$J$6794+Sens!$J$6808-ext_sh*Sens!$J$6729</f>
        <v>125.145150463955</v>
      </c>
      <c r="K6812" s="38" t="n">
        <f aca="false">Sens!$K$6794+Sens!$K$6808-ext_sh*Sens!$K$6729</f>
        <v>135.156762501071</v>
      </c>
      <c r="L6812" s="38" t="n">
        <f aca="false">Sens!$L$6794+Sens!$L$6808-ext_sh*Sens!$L$6729</f>
        <v>145.969303501157</v>
      </c>
      <c r="M6812" s="38" t="n">
        <f aca="false">Sens!$M$6794+Sens!$M$6808-ext_sh*Sens!$M$6729</f>
        <v>157.646847781249</v>
      </c>
      <c r="N6812" s="38" t="n">
        <f aca="false">Sens!$N$6794+Sens!$N$6808-ext_sh*Sens!$N$6729</f>
        <v>28.5693781401809</v>
      </c>
      <c r="O6812" s="38" t="n">
        <f aca="false">Sens!$O$6794+Sens!$O$6808-ext_sh*Sens!$O$6729</f>
        <v>31.7105594031931</v>
      </c>
    </row>
    <row r="6813" customFormat="false" ht="17.15" hidden="false" customHeight="false" outlineLevel="0" collapsed="false">
      <c r="A6813" s="0" t="s">
        <v>698</v>
      </c>
      <c r="B6813" s="0" t="s">
        <v>73</v>
      </c>
      <c r="C6813" s="38" t="n">
        <f aca="false">Sens!$C$6732</f>
        <v>1.80694998843362</v>
      </c>
      <c r="D6813" s="38" t="n">
        <f aca="false">Sens!$D$6732</f>
        <v>6.77606245662607</v>
      </c>
      <c r="E6813" s="38" t="n">
        <f aca="false">Sens!$E$6732</f>
        <v>6.62548329092326</v>
      </c>
      <c r="F6813" s="38" t="n">
        <f aca="false">Sens!$F$6732</f>
        <v>11.7200577158706</v>
      </c>
      <c r="G6813" s="38" t="n">
        <f aca="false">Sens!$G$6732</f>
        <v>18.3455410067939</v>
      </c>
      <c r="H6813" s="38" t="n">
        <f aca="false">Sens!$H$6732</f>
        <v>47.5171727060453</v>
      </c>
      <c r="I6813" s="38" t="n">
        <f aca="false">Sens!$I$6732</f>
        <v>80.5539692643667</v>
      </c>
      <c r="J6813" s="38" t="n">
        <f aca="false">Sens!$J$6732</f>
        <v>113.759316834883</v>
      </c>
      <c r="K6813" s="38" t="n">
        <f aca="false">Sens!$K$6732</f>
        <v>147.020848076132</v>
      </c>
      <c r="L6813" s="38" t="n">
        <f aca="false">Sens!$L$6732</f>
        <v>180.307917349531</v>
      </c>
      <c r="M6813" s="38" t="n">
        <f aca="false">Sens!$M$6732</f>
        <v>213.608737871012</v>
      </c>
      <c r="N6813" s="38" t="n">
        <f aca="false">Sens!$N$6732</f>
        <v>2.37162185981912</v>
      </c>
      <c r="O6813" s="38" t="n">
        <f aca="false">Sens!$O$6732</f>
        <v>4.40444059680694</v>
      </c>
    </row>
    <row r="6814" customFormat="false" ht="17.15" hidden="false" customHeight="false" outlineLevel="0" collapsed="false">
      <c r="A6814" s="0" t="s">
        <v>699</v>
      </c>
      <c r="B6814" s="0" t="s">
        <v>73</v>
      </c>
      <c r="C6814" s="38" t="n">
        <f aca="false">Sens!$C$6797+Sens!$C$6809</f>
        <v>100.66</v>
      </c>
      <c r="D6814" s="38" t="n">
        <f aca="false">Sens!$D$6797+Sens!$D$6809</f>
        <v>121.835</v>
      </c>
      <c r="E6814" s="38" t="n">
        <f aca="false">Sens!$E$6797+Sens!$E$6809</f>
        <v>78.016</v>
      </c>
      <c r="F6814" s="38" t="n">
        <f aca="false">Sens!$F$6797+Sens!$F$6809</f>
        <v>90.4929629579672</v>
      </c>
      <c r="G6814" s="38" t="n">
        <f aca="false">Sens!$G$6797+Sens!$G$6809</f>
        <v>168.508962957967</v>
      </c>
      <c r="H6814" s="38" t="n">
        <f aca="false">Sens!$H$6797+Sens!$H$6809</f>
        <v>223.323222861897</v>
      </c>
      <c r="I6814" s="38" t="n">
        <f aca="false">Sens!$I$6797+Sens!$I$6809</f>
        <v>282.963404043402</v>
      </c>
      <c r="J6814" s="38" t="n">
        <f aca="false">Sens!$J$6797+Sens!$J$6809</f>
        <v>340.070464072952</v>
      </c>
      <c r="K6814" s="38" t="n">
        <f aca="false">Sens!$K$6797+Sens!$K$6809</f>
        <v>392.262250211657</v>
      </c>
      <c r="L6814" s="38" t="n">
        <f aca="false">Sens!$L$6797+Sens!$L$6809</f>
        <v>444.559364384299</v>
      </c>
      <c r="M6814" s="38" t="n">
        <f aca="false">Sens!$M$6797+Sens!$M$6809</f>
        <v>498.670416967106</v>
      </c>
      <c r="N6814" s="38" t="n">
        <f aca="false">Sens!$N$6797+Sens!$N$6809</f>
        <v>56.398</v>
      </c>
      <c r="O6814" s="38" t="n">
        <f aca="false">Sens!$O$6797+Sens!$O$6809</f>
        <v>65.437</v>
      </c>
    </row>
    <row r="6815" customFormat="false" ht="17.15" hidden="false" customHeight="false" outlineLevel="0" collapsed="false">
      <c r="A6815" s="1" t="s">
        <v>700</v>
      </c>
    </row>
    <row r="6816" customFormat="false" ht="15" hidden="false" customHeight="false" outlineLevel="0" collapsed="false">
      <c r="A6816" s="5" t="s">
        <v>504</v>
      </c>
      <c r="B6816" s="0" t="s">
        <v>73</v>
      </c>
      <c r="C6816" s="38" t="n">
        <f aca="false">Q!$D$34</f>
        <v>2.406</v>
      </c>
      <c r="D6816" s="38" t="n">
        <f aca="false">Q!$E$34</f>
        <v>2.274</v>
      </c>
      <c r="E6816" s="38" t="n">
        <f aca="false">Q!$P$34</f>
        <v>2.114</v>
      </c>
      <c r="F6816" s="38" t="n">
        <f aca="false">Sens!$F$6852</f>
        <v>3.24888964316061</v>
      </c>
      <c r="G6816" s="38" t="n">
        <f aca="false">Sens!$E$6816+Sens!$F$6816</f>
        <v>5.36288964316061</v>
      </c>
      <c r="H6816" s="38" t="n">
        <f aca="false">Sens!$H$6852</f>
        <v>7.42354178632123</v>
      </c>
      <c r="I6816" s="38" t="n">
        <f aca="false">Sens!$I$6852</f>
        <v>7.51827597635917</v>
      </c>
      <c r="J6816" s="38" t="n">
        <f aca="false">Sens!$J$6852</f>
        <v>7.76994062068418</v>
      </c>
      <c r="K6816" s="38" t="n">
        <f aca="false">Sens!$K$6852</f>
        <v>7.76994062068418</v>
      </c>
      <c r="L6816" s="38" t="n">
        <f aca="false">Sens!$L$6852</f>
        <v>7.76994062068418</v>
      </c>
      <c r="M6816" s="38" t="n">
        <f aca="false">Sens!$M$6852</f>
        <v>7.76994062068418</v>
      </c>
      <c r="N6816" s="38" t="n">
        <f aca="false">Q!$N$34</f>
        <v>1.057</v>
      </c>
      <c r="O6816" s="38" t="n">
        <f aca="false">Q!$O$34</f>
        <v>1.217</v>
      </c>
    </row>
    <row r="6817" customFormat="false" ht="15" hidden="false" customHeight="false" outlineLevel="0" collapsed="false">
      <c r="A6817" s="5" t="s">
        <v>701</v>
      </c>
      <c r="B6817" s="0" t="s">
        <v>73</v>
      </c>
      <c r="F6817" s="38" t="n">
        <f aca="false">Sens!$F$6853</f>
        <v>2.59</v>
      </c>
      <c r="H6817" s="38" t="n">
        <f aca="false">Sens!$H$6853</f>
        <v>4.00971603121774</v>
      </c>
      <c r="I6817" s="38" t="n">
        <f aca="false">Sens!$I$6853</f>
        <v>2.10589651022864</v>
      </c>
      <c r="J6817" s="38" t="n">
        <f aca="false">Sens!$J$6853</f>
        <v>2.10589651022864</v>
      </c>
      <c r="K6817" s="38" t="n">
        <f aca="false">Sens!$K$6853</f>
        <v>3.77985822695893</v>
      </c>
      <c r="L6817" s="38" t="n">
        <f aca="false">Sens!$L$6853</f>
        <v>7.24081936505971</v>
      </c>
      <c r="M6817" s="38" t="n">
        <f aca="false">Sens!$M$6853</f>
        <v>11.205150593419</v>
      </c>
    </row>
    <row r="6818" customFormat="false" ht="17.15" hidden="false" customHeight="false" outlineLevel="0" collapsed="false">
      <c r="A6818" s="5" t="s">
        <v>702</v>
      </c>
      <c r="B6818" s="0" t="s">
        <v>73</v>
      </c>
      <c r="C6818" s="38" t="n">
        <f aca="false">Q!$D$39</f>
        <v>2.427</v>
      </c>
      <c r="D6818" s="38" t="n">
        <f aca="false">Q!$E$39</f>
        <v>19.61</v>
      </c>
      <c r="E6818" s="38" t="n">
        <f aca="false">Q!$P$39</f>
        <v>71.492</v>
      </c>
      <c r="F6818" s="41" t="n">
        <v>0</v>
      </c>
      <c r="G6818" s="38" t="n">
        <f aca="false">Sens!$E$6818+Sens!$F$6818</f>
        <v>71.492</v>
      </c>
      <c r="H6818" s="41" t="n">
        <v>0</v>
      </c>
      <c r="I6818" s="41" t="n">
        <v>0</v>
      </c>
      <c r="J6818" s="41" t="n">
        <v>0</v>
      </c>
      <c r="K6818" s="41" t="n">
        <v>0</v>
      </c>
      <c r="L6818" s="41" t="n">
        <v>0</v>
      </c>
      <c r="M6818" s="41" t="n">
        <v>0</v>
      </c>
      <c r="N6818" s="38" t="n">
        <f aca="false">Q!$N$39</f>
        <v>6.017</v>
      </c>
      <c r="O6818" s="38" t="n">
        <f aca="false">Q!$O$39</f>
        <v>13.593</v>
      </c>
      <c r="P6818" s="5" t="s">
        <v>703</v>
      </c>
    </row>
    <row r="6819" customFormat="false" ht="15" hidden="false" customHeight="false" outlineLevel="0" collapsed="false">
      <c r="A6819" s="5" t="s">
        <v>507</v>
      </c>
      <c r="B6819" s="0" t="s">
        <v>73</v>
      </c>
      <c r="C6819" s="38" t="n">
        <f aca="false">Q!$D$36</f>
        <v>68.614</v>
      </c>
      <c r="D6819" s="38" t="n">
        <f aca="false">Q!$E$36</f>
        <v>97.311</v>
      </c>
      <c r="E6819" s="38" t="n">
        <f aca="false">Q!$P$36</f>
        <v>120.691</v>
      </c>
      <c r="F6819" s="38" t="n">
        <f aca="false">Sens!$F$6797-Sens!$F$6816+Sens!$F$6817+Sens!$F$6818</f>
        <v>59.2236875896856</v>
      </c>
      <c r="G6819" s="38" t="n">
        <f aca="false">Sens!$E$6819+Sens!$F$6819</f>
        <v>179.914687589686</v>
      </c>
      <c r="H6819" s="38" t="n">
        <f aca="false">Sens!$H$6797-Sens!$H$6816+Sens!$H$6817+Sens!$H$6818</f>
        <v>132.22487528741</v>
      </c>
      <c r="I6819" s="38" t="n">
        <f aca="false">Sens!$I$6797-Sens!$I$6816+Sens!$I$6817+Sens!$I$6818</f>
        <v>155.256254868633</v>
      </c>
      <c r="J6819" s="38" t="n">
        <f aca="false">Sens!$J$6797-Sens!$J$6816+Sens!$J$6817+Sens!$J$6818</f>
        <v>177.272457389275</v>
      </c>
      <c r="K6819" s="38" t="n">
        <f aca="false">Sens!$K$6797-Sens!$K$6816+Sens!$K$6817+Sens!$K$6818</f>
        <v>196.921534464333</v>
      </c>
      <c r="L6819" s="38" t="n">
        <f aca="false">Sens!$L$6797-Sens!$L$6816+Sens!$L$6817+Sens!$L$6818</f>
        <v>220.12100479332</v>
      </c>
      <c r="M6819" s="38" t="n">
        <f aca="false">Sens!$M$6797-Sens!$M$6816+Sens!$M$6817+Sens!$M$6818</f>
        <v>244.529307072564</v>
      </c>
      <c r="N6819" s="38" t="n">
        <f aca="false">Q!$N$36</f>
        <v>42.536</v>
      </c>
      <c r="O6819" s="38" t="n">
        <f aca="false">Q!$O$36</f>
        <v>54.775</v>
      </c>
    </row>
    <row r="6820" customFormat="false" ht="15" hidden="false" customHeight="false" outlineLevel="0" collapsed="false">
      <c r="A6820" s="5" t="s">
        <v>508</v>
      </c>
      <c r="B6820" s="0" t="s">
        <v>73</v>
      </c>
      <c r="C6820" s="38" t="n">
        <f aca="false">Q!$D$37</f>
        <v>9.265</v>
      </c>
      <c r="D6820" s="38" t="n">
        <f aca="false">Q!$E$37</f>
        <v>19.087</v>
      </c>
      <c r="E6820" s="38" t="n">
        <f aca="false">Q!$P$37</f>
        <v>27.759</v>
      </c>
      <c r="F6820" s="38" t="n">
        <f aca="false">Sens!$F$6819*tax</f>
        <v>10.2803157750071</v>
      </c>
      <c r="G6820" s="38" t="n">
        <f aca="false">Sens!$E$6820+Sens!$F$6820</f>
        <v>38.0393157750071</v>
      </c>
      <c r="H6820" s="38" t="n">
        <f aca="false">Sens!$H$6819*tax</f>
        <v>22.9521923842892</v>
      </c>
      <c r="I6820" s="38" t="n">
        <f aca="false">Sens!$I$6819*tax</f>
        <v>26.9500835063251</v>
      </c>
      <c r="J6820" s="38" t="n">
        <f aca="false">Sens!$J$6819*tax</f>
        <v>30.7717555988633</v>
      </c>
      <c r="K6820" s="38" t="n">
        <f aca="false">Sens!$K$6819*tax</f>
        <v>34.1825313414772</v>
      </c>
      <c r="L6820" s="38" t="n">
        <f aca="false">Sens!$L$6819*tax</f>
        <v>38.209600416393</v>
      </c>
      <c r="M6820" s="38" t="n">
        <f aca="false">Sens!$M$6819*tax</f>
        <v>42.4465040131586</v>
      </c>
      <c r="N6820" s="38" t="n">
        <f aca="false">Q!$N$37</f>
        <v>7.231</v>
      </c>
      <c r="O6820" s="38" t="n">
        <f aca="false">Q!$O$37</f>
        <v>11.856</v>
      </c>
    </row>
    <row r="6821" customFormat="false" ht="15" hidden="false" customHeight="false" outlineLevel="0" collapsed="false">
      <c r="A6821" s="3" t="s">
        <v>509</v>
      </c>
      <c r="B6821" s="8" t="s">
        <v>73</v>
      </c>
      <c r="C6821" s="38" t="n">
        <f aca="false">Q!$D$38</f>
        <v>59.248</v>
      </c>
      <c r="D6821" s="38" t="n">
        <f aca="false">Q!$E$38</f>
        <v>77.67</v>
      </c>
      <c r="E6821" s="38" t="n">
        <f aca="false">Q!$P$38</f>
        <v>92.902</v>
      </c>
      <c r="F6821" s="38" t="n">
        <f aca="false">Sens!$F$6819-Sens!$F$6820</f>
        <v>48.9433718146785</v>
      </c>
      <c r="G6821" s="38" t="n">
        <f aca="false">Sens!$E$6821+Sens!$F$6821</f>
        <v>141.845371814679</v>
      </c>
      <c r="H6821" s="38" t="n">
        <f aca="false">Sens!$H$6819-Sens!$H$6820</f>
        <v>109.272682903121</v>
      </c>
      <c r="I6821" s="38" t="n">
        <f aca="false">Sens!$I$6819-Sens!$I$6820</f>
        <v>128.306171362308</v>
      </c>
      <c r="J6821" s="38" t="n">
        <f aca="false">Sens!$J$6819-Sens!$J$6820</f>
        <v>146.500701790412</v>
      </c>
      <c r="K6821" s="38" t="n">
        <f aca="false">Sens!$K$6819-Sens!$K$6820</f>
        <v>162.739003122855</v>
      </c>
      <c r="L6821" s="38" t="n">
        <f aca="false">Sens!$L$6819-Sens!$L$6820</f>
        <v>181.911404376927</v>
      </c>
      <c r="M6821" s="38" t="n">
        <f aca="false">Sens!$M$6819-Sens!$M$6820</f>
        <v>202.082803059406</v>
      </c>
      <c r="N6821" s="38" t="n">
        <f aca="false">Q!$N$38</f>
        <v>35.291</v>
      </c>
      <c r="O6821" s="38" t="n">
        <f aca="false">Q!$O$38</f>
        <v>42.379</v>
      </c>
    </row>
    <row r="6822" customFormat="false" ht="17.15" hidden="false" customHeight="false" outlineLevel="0" collapsed="false">
      <c r="A6822" s="5" t="s">
        <v>512</v>
      </c>
      <c r="B6822" s="5" t="s">
        <v>33</v>
      </c>
      <c r="C6822" s="22" t="n">
        <f aca="false">Q!$D$41</f>
        <v>10.721</v>
      </c>
      <c r="D6822" s="22" t="n">
        <f aca="false">Q!$E$41</f>
        <v>10.827</v>
      </c>
      <c r="E6822" s="22" t="n">
        <f aca="false">(Q!$L$41+Q!$M$41)/2</f>
        <v>10.8885</v>
      </c>
      <c r="F6822" s="22" t="n">
        <f aca="false">Sens!$G$6822</f>
        <v>10.924806</v>
      </c>
      <c r="G6822" s="22" t="n">
        <f aca="false">Q!$M$41*(1+sh_g*0.25)</f>
        <v>10.924806</v>
      </c>
      <c r="H6822" s="22" t="n">
        <f aca="false">Sens!$G$6822*(1+sh_g)</f>
        <v>11.012204448</v>
      </c>
      <c r="I6822" s="22" t="n">
        <f aca="false">Sens!$H$6822*(1+sh_g)</f>
        <v>11.100302083584</v>
      </c>
      <c r="J6822" s="22" t="n">
        <f aca="false">Sens!$I$6822*(1+sh_g)</f>
        <v>11.1891045002527</v>
      </c>
      <c r="K6822" s="22" t="n">
        <f aca="false">Sens!$J$6822*(1+sh_g)</f>
        <v>11.2786173362547</v>
      </c>
      <c r="L6822" s="22" t="n">
        <f aca="false">Sens!$K$6822*(1+sh_g)</f>
        <v>11.3688462749447</v>
      </c>
      <c r="M6822" s="22" t="n">
        <f aca="false">Sens!$L$6822*(1+sh_g)</f>
        <v>11.4597970451443</v>
      </c>
      <c r="P6822" s="5" t="s">
        <v>704</v>
      </c>
    </row>
    <row r="6823" customFormat="false" ht="17.15" hidden="false" customHeight="false" outlineLevel="0" collapsed="false">
      <c r="A6823" s="42" t="s">
        <v>705</v>
      </c>
      <c r="B6823" s="13" t="s">
        <v>27</v>
      </c>
      <c r="C6823" s="43" t="n">
        <f aca="false">Sens!$C$6821/Sens!$C$6822</f>
        <v>5.52635015390355</v>
      </c>
      <c r="D6823" s="43" t="n">
        <f aca="false">Sens!$D$6821/Sens!$D$6822</f>
        <v>7.1737323358271</v>
      </c>
      <c r="E6823" s="43" t="n">
        <f aca="false">Sens!$E$6821/Sens!$E$6822</f>
        <v>8.53212104513937</v>
      </c>
      <c r="F6823" s="13"/>
      <c r="G6823" s="43" t="n">
        <f aca="false">Sens!$G$6821/Sens!$G$6822</f>
        <v>12.9837886196495</v>
      </c>
      <c r="H6823" s="43" t="n">
        <f aca="false">Sens!$H$6821/Sens!$H$6822</f>
        <v>9.92287088558062</v>
      </c>
      <c r="I6823" s="43" t="n">
        <f aca="false">Sens!$I$6821/Sens!$I$6822</f>
        <v>11.5587999674403</v>
      </c>
      <c r="J6823" s="43" t="n">
        <f aca="false">Sens!$J$6821/Sens!$J$6822</f>
        <v>13.0931569892035</v>
      </c>
      <c r="K6823" s="43" t="n">
        <f aca="false">Sens!$K$6821/Sens!$K$6822</f>
        <v>14.4289852444711</v>
      </c>
      <c r="L6823" s="43" t="n">
        <f aca="false">Sens!$L$6821/Sens!$L$6822</f>
        <v>16.0008676322621</v>
      </c>
      <c r="M6823" s="43" t="n">
        <f aca="false">Sens!$M$6821/Sens!$M$6822</f>
        <v>17.6340647450673</v>
      </c>
      <c r="N6823" s="13"/>
      <c r="O6823" s="13"/>
    </row>
    <row r="6824" customFormat="false" ht="17.15" hidden="false" customHeight="false" outlineLevel="0" collapsed="false">
      <c r="A6824" s="0" t="s">
        <v>706</v>
      </c>
      <c r="B6824" s="0" t="s">
        <v>27</v>
      </c>
      <c r="C6824" s="30" t="n">
        <f aca="false">(Sens!$C$6821-Sens!$C$6818*(1-tax))/Sens!$C$6822</f>
        <v>5.33926775917445</v>
      </c>
      <c r="D6824" s="30" t="n">
        <f aca="false">(Sens!$D$6821-Sens!$D$6818*(1-tax))/Sens!$D$6822</f>
        <v>5.67691812755503</v>
      </c>
      <c r="E6824" s="30" t="n">
        <f aca="false">(Sens!$E$6821-Sens!$E$6818*(1-tax))/Sens!$E$6822</f>
        <v>3.10602057006846</v>
      </c>
      <c r="G6824" s="30" t="n">
        <f aca="false">(Sens!$G$6821-Sens!$G$6818*(1-tax))/Sens!$G$6822</f>
        <v>7.57572050175252</v>
      </c>
      <c r="H6824" s="30" t="n">
        <f aca="false">(Sens!$H$6821-Sens!$H$6818*(1-tax))/Sens!$H$6822</f>
        <v>9.92287088558062</v>
      </c>
      <c r="I6824" s="30" t="n">
        <f aca="false">(Sens!$I$6821-Sens!$I$6818*(1-tax))/Sens!$I$6822</f>
        <v>11.5587999674403</v>
      </c>
      <c r="J6824" s="30" t="n">
        <f aca="false">(Sens!$J$6821-Sens!$J$6818*(1-tax))/Sens!$J$6822</f>
        <v>13.0931569892035</v>
      </c>
      <c r="K6824" s="30" t="n">
        <f aca="false">(Sens!$K$6821-Sens!$K$6818*(1-tax))/Sens!$K$6822</f>
        <v>14.4289852444711</v>
      </c>
      <c r="L6824" s="30" t="n">
        <f aca="false">(Sens!$L$6821-Sens!$L$6818*(1-tax))/Sens!$L$6822</f>
        <v>16.0008676322621</v>
      </c>
      <c r="M6824" s="30" t="n">
        <f aca="false">(Sens!$M$6821-Sens!$M$6818*(1-tax))/Sens!$M$6822</f>
        <v>17.6340647450673</v>
      </c>
      <c r="P6824" s="5" t="s">
        <v>707</v>
      </c>
    </row>
    <row r="6825" customFormat="false" ht="17.15" hidden="false" customHeight="false" outlineLevel="0" collapsed="false">
      <c r="A6825" s="0" t="s">
        <v>708</v>
      </c>
      <c r="B6825" s="0" t="s">
        <v>52</v>
      </c>
      <c r="H6825" s="12" t="n">
        <f aca="false">Sens!$H$6823/Sens!$G$6823-1</f>
        <v>-0.23574919645846</v>
      </c>
      <c r="I6825" s="12" t="n">
        <f aca="false">Sens!$I$6823/Sens!$H$6823-1</f>
        <v>0.164864493423664</v>
      </c>
      <c r="J6825" s="12" t="n">
        <f aca="false">Sens!$J$6823/Sens!$I$6823-1</f>
        <v>0.132743626162345</v>
      </c>
      <c r="K6825" s="12" t="n">
        <f aca="false">Sens!$K$6823/Sens!$J$6823-1</f>
        <v>0.102024917013454</v>
      </c>
      <c r="L6825" s="12" t="n">
        <f aca="false">Sens!$L$6823/Sens!$K$6823-1</f>
        <v>0.108939219297719</v>
      </c>
      <c r="M6825" s="12" t="n">
        <f aca="false">Sens!$M$6823/Sens!$L$6823-1</f>
        <v>0.102069284637555</v>
      </c>
    </row>
    <row r="6828" customFormat="false" ht="19.4" hidden="false" customHeight="false" outlineLevel="0" collapsed="false">
      <c r="A6828" s="31" t="s">
        <v>1191</v>
      </c>
    </row>
    <row r="6829" customFormat="false" ht="17.15" hidden="false" customHeight="false" outlineLevel="0" collapsed="false">
      <c r="A6829" s="6" t="s">
        <v>16</v>
      </c>
      <c r="B6829" s="6" t="s">
        <v>17</v>
      </c>
      <c r="C6829" s="20" t="s">
        <v>457</v>
      </c>
      <c r="D6829" s="20" t="s">
        <v>458</v>
      </c>
      <c r="E6829" s="20" t="s">
        <v>540</v>
      </c>
      <c r="F6829" s="20" t="s">
        <v>541</v>
      </c>
      <c r="G6829" s="20" t="s">
        <v>542</v>
      </c>
      <c r="H6829" s="20" t="s">
        <v>543</v>
      </c>
      <c r="I6829" s="20" t="s">
        <v>544</v>
      </c>
      <c r="J6829" s="20" t="s">
        <v>545</v>
      </c>
      <c r="K6829" s="20" t="s">
        <v>546</v>
      </c>
      <c r="L6829" s="20" t="s">
        <v>547</v>
      </c>
      <c r="M6829" s="20" t="s">
        <v>548</v>
      </c>
      <c r="N6829" s="20" t="s">
        <v>549</v>
      </c>
      <c r="O6829" s="20" t="s">
        <v>550</v>
      </c>
      <c r="P6829" s="6" t="s">
        <v>23</v>
      </c>
      <c r="R6829" s="20" t="n">
        <v>2023</v>
      </c>
      <c r="S6829" s="20" t="n">
        <v>2024</v>
      </c>
      <c r="T6829" s="20" t="n">
        <v>2025</v>
      </c>
      <c r="U6829" s="20" t="n">
        <v>2026</v>
      </c>
      <c r="V6829" s="20" t="n">
        <v>2027</v>
      </c>
      <c r="W6829" s="20" t="n">
        <v>2028</v>
      </c>
      <c r="X6829" s="20" t="n">
        <v>2029</v>
      </c>
      <c r="Y6829" s="20" t="n">
        <v>2030</v>
      </c>
      <c r="Z6829" s="20" t="n">
        <v>2031</v>
      </c>
      <c r="AA6829" s="20" t="n">
        <v>2032</v>
      </c>
    </row>
    <row r="6830" customFormat="false" ht="15" hidden="false" customHeight="false" outlineLevel="0" collapsed="false">
      <c r="A6830" s="5" t="s">
        <v>509</v>
      </c>
      <c r="B6830" s="0" t="s">
        <v>73</v>
      </c>
      <c r="C6830" s="38" t="n">
        <f aca="false">Sens!$C$6821</f>
        <v>59.248</v>
      </c>
      <c r="D6830" s="38" t="n">
        <f aca="false">Sens!$D$6821</f>
        <v>77.67</v>
      </c>
      <c r="E6830" s="38" t="n">
        <f aca="false">Sens!$E$6821</f>
        <v>92.902</v>
      </c>
      <c r="F6830" s="38" t="n">
        <f aca="false">Sens!$F$6821</f>
        <v>48.9433718146785</v>
      </c>
      <c r="G6830" s="38" t="n">
        <f aca="false">Sens!$G$6821</f>
        <v>141.845371814679</v>
      </c>
      <c r="H6830" s="38" t="n">
        <f aca="false">Sens!$H$6821</f>
        <v>109.272682903121</v>
      </c>
      <c r="I6830" s="38" t="n">
        <f aca="false">Sens!$I$6821</f>
        <v>128.306171362308</v>
      </c>
      <c r="J6830" s="38" t="n">
        <f aca="false">Sens!$J$6821</f>
        <v>146.500701790412</v>
      </c>
      <c r="K6830" s="38" t="n">
        <f aca="false">Sens!$K$6821</f>
        <v>162.739003122855</v>
      </c>
      <c r="L6830" s="38" t="n">
        <f aca="false">Sens!$L$6821</f>
        <v>181.911404376927</v>
      </c>
      <c r="M6830" s="38" t="n">
        <f aca="false">Sens!$M$6821</f>
        <v>202.082803059406</v>
      </c>
    </row>
    <row r="6831" customFormat="false" ht="17.15" hidden="false" customHeight="false" outlineLevel="0" collapsed="false">
      <c r="A6831" s="5" t="s">
        <v>730</v>
      </c>
      <c r="B6831" s="0" t="s">
        <v>73</v>
      </c>
      <c r="C6831" s="38" t="n">
        <f aca="false">Sens!$C$6809</f>
        <v>32.067</v>
      </c>
      <c r="D6831" s="38" t="n">
        <f aca="false">Sens!$D$6809</f>
        <v>41.86</v>
      </c>
      <c r="E6831" s="38" t="n">
        <f aca="false">Sens!$E$6809</f>
        <v>26.703</v>
      </c>
      <c r="F6831" s="38" t="n">
        <f aca="false">Sens!$F$6809</f>
        <v>30.6103857251209</v>
      </c>
      <c r="G6831" s="38" t="n">
        <f aca="false">Sens!$G$6809</f>
        <v>57.3133857251209</v>
      </c>
      <c r="H6831" s="38" t="n">
        <f aca="false">Sens!$H$6809</f>
        <v>87.6845218193838</v>
      </c>
      <c r="I6831" s="38" t="n">
        <f aca="false">Sens!$I$6809</f>
        <v>122.294769708638</v>
      </c>
      <c r="J6831" s="38" t="n">
        <f aca="false">Sens!$J$6809</f>
        <v>157.133962573221</v>
      </c>
      <c r="K6831" s="38" t="n">
        <f aca="false">Sens!$K$6809</f>
        <v>191.350633353599</v>
      </c>
      <c r="L6831" s="38" t="n">
        <f aca="false">Sens!$L$6809</f>
        <v>223.909238335354</v>
      </c>
      <c r="M6831" s="38" t="n">
        <f aca="false">Sens!$M$6809</f>
        <v>257.576319867276</v>
      </c>
    </row>
    <row r="6832" customFormat="false" ht="15" hidden="false" customHeight="false" outlineLevel="0" collapsed="false">
      <c r="A6832" s="5" t="s">
        <v>731</v>
      </c>
      <c r="B6832" s="0" t="s">
        <v>73</v>
      </c>
      <c r="C6832" s="38" t="n">
        <f aca="false">Q!$D$48</f>
        <v>22.011</v>
      </c>
      <c r="D6832" s="38" t="n">
        <f aca="false">Q!$E$48</f>
        <v>19.467</v>
      </c>
      <c r="E6832" s="38" t="n">
        <f aca="false">Q!$P$48</f>
        <v>10.07</v>
      </c>
      <c r="F6832" s="38" t="n">
        <f aca="false">sbc_r*Sens!$F$6753</f>
        <v>11.2170714500462</v>
      </c>
      <c r="G6832" s="38" t="n">
        <f aca="false">Sens!$E$6832+Sens!$F$6832</f>
        <v>21.2870714500462</v>
      </c>
      <c r="H6832" s="38" t="n">
        <f aca="false">sbc_r*Sens!$H$6753</f>
        <v>24.1772394325528</v>
      </c>
      <c r="I6832" s="38" t="n">
        <f aca="false">sbc_r*Sens!$I$6753</f>
        <v>27.6495284422397</v>
      </c>
      <c r="J6832" s="38" t="n">
        <f aca="false">sbc_r*Sens!$J$6753</f>
        <v>30.9042211184633</v>
      </c>
      <c r="K6832" s="38" t="n">
        <f aca="false">sbc_r*Sens!$K$6753</f>
        <v>33.8004145402678</v>
      </c>
      <c r="L6832" s="38" t="n">
        <f aca="false">sbc_r*Sens!$L$6753</f>
        <v>36.8322537652494</v>
      </c>
      <c r="M6832" s="38" t="n">
        <f aca="false">sbc_r*Sens!$M$6753</f>
        <v>40.0097627968013</v>
      </c>
    </row>
    <row r="6833" customFormat="false" ht="17.15" hidden="false" customHeight="false" outlineLevel="0" collapsed="false">
      <c r="A6833" s="5" t="s">
        <v>732</v>
      </c>
      <c r="B6833" s="0" t="s">
        <v>73</v>
      </c>
      <c r="C6833" s="38" t="n">
        <f aca="false">Q!$D$44-Sens!$C$6830-Sens!$C$6831-Sens!$C$6832</f>
        <v>2.551</v>
      </c>
      <c r="D6833" s="38" t="n">
        <f aca="false">Q!$E$44-Sens!$D$6830-Sens!$D$6831-Sens!$D$6832</f>
        <v>0.51700000000001</v>
      </c>
      <c r="E6833" s="38" t="n">
        <f aca="false">Q!$P$44-Sens!$E$6830-Sens!$E$6831-Sens!$E$6832</f>
        <v>-58.256</v>
      </c>
      <c r="F6833" s="38" t="n">
        <f aca="false">wc_2h26+oth_r*Sens!$F$6753</f>
        <v>7.34599241893378</v>
      </c>
      <c r="G6833" s="38" t="n">
        <f aca="false">Sens!$E$6833+Sens!$F$6833</f>
        <v>-50.9100075810662</v>
      </c>
      <c r="H6833" s="38" t="n">
        <f aca="false">oth_r*Sens!$H$6753</f>
        <v>11.6369707537667</v>
      </c>
      <c r="I6833" s="38" t="n">
        <f aca="false">oth_r*Sens!$I$6753</f>
        <v>13.3082502961262</v>
      </c>
      <c r="J6833" s="38" t="n">
        <f aca="false">oth_r*Sens!$J$6753</f>
        <v>14.8747965344332</v>
      </c>
      <c r="K6833" s="38" t="n">
        <f aca="false">oth_r*Sens!$K$6753</f>
        <v>16.2687901804328</v>
      </c>
      <c r="L6833" s="38" t="n">
        <f aca="false">oth_r*Sens!$L$6753</f>
        <v>17.7280727627002</v>
      </c>
      <c r="M6833" s="38" t="n">
        <f aca="false">oth_r*Sens!$M$6753</f>
        <v>19.2574690270319</v>
      </c>
      <c r="P6833" s="8" t="s">
        <v>733</v>
      </c>
    </row>
    <row r="6834" customFormat="false" ht="15" hidden="false" customHeight="false" outlineLevel="0" collapsed="false">
      <c r="A6834" s="3" t="s">
        <v>515</v>
      </c>
      <c r="B6834" s="8" t="s">
        <v>73</v>
      </c>
      <c r="C6834" s="38" t="n">
        <f aca="false">Q!$D$44</f>
        <v>115.877</v>
      </c>
      <c r="D6834" s="38" t="n">
        <f aca="false">Q!$E$44</f>
        <v>139.514</v>
      </c>
      <c r="E6834" s="38" t="n">
        <f aca="false">Q!$P$44</f>
        <v>71.419</v>
      </c>
      <c r="F6834" s="38" t="n">
        <f aca="false">Sens!$F$6830+Sens!$F$6831+Sens!$F$6832+Sens!$F$6833</f>
        <v>98.1168214087795</v>
      </c>
      <c r="G6834" s="38" t="n">
        <f aca="false">Sens!$E$6834+Sens!$F$6834</f>
        <v>169.535821408779</v>
      </c>
      <c r="H6834" s="38" t="n">
        <f aca="false">Sens!$H$6830+Sens!$H$6831+Sens!$H$6832+Sens!$H$6833</f>
        <v>232.771414908824</v>
      </c>
      <c r="I6834" s="38" t="n">
        <f aca="false">Sens!$I$6830+Sens!$I$6831+Sens!$I$6832+Sens!$I$6833</f>
        <v>291.558719809312</v>
      </c>
      <c r="J6834" s="38" t="n">
        <f aca="false">Sens!$J$6830+Sens!$J$6831+Sens!$J$6832+Sens!$J$6833</f>
        <v>349.413682016529</v>
      </c>
      <c r="K6834" s="38" t="n">
        <f aca="false">Sens!$K$6830+Sens!$K$6831+Sens!$K$6832+Sens!$K$6833</f>
        <v>404.158841197156</v>
      </c>
      <c r="L6834" s="38" t="n">
        <f aca="false">Sens!$L$6830+Sens!$L$6831+Sens!$L$6832+Sens!$L$6833</f>
        <v>460.380969240231</v>
      </c>
      <c r="M6834" s="38" t="n">
        <f aca="false">Sens!$M$6830+Sens!$M$6831+Sens!$M$6832+Sens!$M$6833</f>
        <v>518.926354750515</v>
      </c>
    </row>
    <row r="6835" customFormat="false" ht="17.15" hidden="false" customHeight="false" outlineLevel="0" collapsed="false">
      <c r="A6835" s="5" t="s">
        <v>734</v>
      </c>
      <c r="B6835" s="0" t="s">
        <v>73</v>
      </c>
      <c r="C6835" s="38" t="n">
        <f aca="false">Sens!$C$6723</f>
        <v>25.2781053077374</v>
      </c>
      <c r="D6835" s="38" t="n">
        <f aca="false">Sens!$D$6723</f>
        <v>69.5686316310026</v>
      </c>
      <c r="E6835" s="38" t="n">
        <f aca="false">Sens!$E$6723</f>
        <v>64.1899206485108</v>
      </c>
      <c r="F6835" s="38" t="n">
        <f aca="false">Sens!$F$6723</f>
        <v>96.2481299895</v>
      </c>
      <c r="G6835" s="38" t="n">
        <f aca="false">Sens!$G$6723</f>
        <v>160.438050638011</v>
      </c>
      <c r="H6835" s="38" t="n">
        <f aca="false">Sens!$H$6723</f>
        <v>198.57136494475</v>
      </c>
      <c r="I6835" s="38" t="n">
        <f aca="false">Sens!$I$6723</f>
        <v>204.6464699105</v>
      </c>
      <c r="J6835" s="38" t="n">
        <f aca="false">Sens!$J$6723</f>
        <v>209.8832381105</v>
      </c>
      <c r="K6835" s="38" t="n">
        <f aca="false">Sens!$K$6723</f>
        <v>215.1200063105</v>
      </c>
      <c r="L6835" s="38" t="n">
        <f aca="false">Sens!$L$6723</f>
        <v>251.7773837105</v>
      </c>
      <c r="M6835" s="38" t="n">
        <f aca="false">Sens!$M$6723</f>
        <v>311.87584476575</v>
      </c>
    </row>
    <row r="6836" customFormat="false" ht="17.15" hidden="false" customHeight="false" outlineLevel="0" collapsed="false">
      <c r="A6836" s="5" t="s">
        <v>735</v>
      </c>
      <c r="B6836" s="0" t="s">
        <v>73</v>
      </c>
      <c r="C6836" s="38" t="n">
        <f aca="false">cx_awso*Sens!$C$6751</f>
        <v>21.0469989286053</v>
      </c>
      <c r="D6836" s="38" t="n">
        <f aca="false">cx_awso*Sens!$D$6751</f>
        <v>24.0042459822698</v>
      </c>
      <c r="E6836" s="38" t="n">
        <f aca="false">cx_awso*Sens!$E$6751</f>
        <v>14.261729404886</v>
      </c>
      <c r="F6836" s="38" t="n">
        <f aca="false">cx_awso*Sens!$F$6751</f>
        <v>15.7190020837331</v>
      </c>
      <c r="G6836" s="38" t="n">
        <f aca="false">Sens!$E$6836+Sens!$F$6836</f>
        <v>29.9807314886191</v>
      </c>
      <c r="H6836" s="38" t="n">
        <f aca="false">cx_awso*Sens!$H$6751</f>
        <v>36.1787121536283</v>
      </c>
      <c r="I6836" s="38" t="n">
        <f aca="false">cx_awso*Sens!$I$6751</f>
        <v>42.1296794430021</v>
      </c>
      <c r="J6836" s="38" t="n">
        <f aca="false">cx_awso*Sens!$J$6751</f>
        <v>47.279781889299</v>
      </c>
      <c r="K6836" s="38" t="n">
        <f aca="false">cx_awso*Sens!$K$6751</f>
        <v>51.0621644404429</v>
      </c>
      <c r="L6836" s="38" t="n">
        <f aca="false">cx_awso*Sens!$L$6751</f>
        <v>55.1471375956783</v>
      </c>
      <c r="M6836" s="38" t="n">
        <f aca="false">cx_awso*Sens!$M$6751</f>
        <v>59.5589086033326</v>
      </c>
    </row>
    <row r="6837" customFormat="false" ht="17.15" hidden="false" customHeight="false" outlineLevel="0" collapsed="false">
      <c r="A6837" s="5" t="s">
        <v>736</v>
      </c>
      <c r="B6837" s="0" t="s">
        <v>73</v>
      </c>
      <c r="C6837" s="38" t="n">
        <f aca="false">Q!$D$46-Sens!$C$6835-Sens!$C$6836</f>
        <v>31.3328957636573</v>
      </c>
      <c r="D6837" s="38" t="n">
        <f aca="false">Q!$E$46-Sens!$D$6835-Sens!$D$6836</f>
        <v>34.7471223867276</v>
      </c>
      <c r="E6837" s="38" t="n">
        <f aca="false">Q!$P$46-Sens!$E$6835-Sens!$E$6836</f>
        <v>17.8583499466032</v>
      </c>
      <c r="F6837" s="38" t="n">
        <f aca="false">cx_rt*Sens!$F$6687</f>
        <v>21.0855744229195</v>
      </c>
      <c r="G6837" s="38" t="n">
        <f aca="false">Sens!$E$6837+Sens!$F$6837</f>
        <v>38.9439243695228</v>
      </c>
      <c r="H6837" s="38" t="n">
        <f aca="false">cx_rt*Sens!$H$6687</f>
        <v>43.1200434029767</v>
      </c>
      <c r="I6837" s="38" t="n">
        <f aca="false">cx_rt*Sens!$I$6687</f>
        <v>47.1583152318763</v>
      </c>
      <c r="J6837" s="38" t="n">
        <f aca="false">cx_rt*Sens!$J$6687</f>
        <v>50.9060281137911</v>
      </c>
      <c r="K6837" s="38" t="n">
        <f aca="false">cx_rt*Sens!$K$6687</f>
        <v>54.2035645673053</v>
      </c>
      <c r="L6837" s="38" t="n">
        <f aca="false">cx_rt*Sens!$L$6687</f>
        <v>57.7318979121519</v>
      </c>
      <c r="M6837" s="38" t="n">
        <f aca="false">cx_rt*Sens!$M$6687</f>
        <v>61.5084196557756</v>
      </c>
    </row>
    <row r="6838" customFormat="false" ht="15" hidden="false" customHeight="false" outlineLevel="0" collapsed="false">
      <c r="A6838" s="3" t="s">
        <v>737</v>
      </c>
      <c r="B6838" s="8" t="s">
        <v>73</v>
      </c>
      <c r="C6838" s="38" t="n">
        <f aca="false">Q!$D$46</f>
        <v>77.658</v>
      </c>
      <c r="D6838" s="38" t="n">
        <f aca="false">Q!$E$46</f>
        <v>128.32</v>
      </c>
      <c r="E6838" s="38" t="n">
        <f aca="false">Q!$P$46</f>
        <v>96.31</v>
      </c>
      <c r="F6838" s="38" t="n">
        <f aca="false">Sens!$F$6835+Sens!$F$6836+Sens!$F$6837</f>
        <v>133.052706496153</v>
      </c>
      <c r="G6838" s="38" t="n">
        <f aca="false">Sens!$E$6838+Sens!$F$6838</f>
        <v>229.362706496153</v>
      </c>
      <c r="H6838" s="38" t="n">
        <f aca="false">Sens!$H$6835+Sens!$H$6836+Sens!$H$6837</f>
        <v>277.870120501355</v>
      </c>
      <c r="I6838" s="38" t="n">
        <f aca="false">Sens!$I$6835+Sens!$I$6836+Sens!$I$6837</f>
        <v>293.934464585378</v>
      </c>
      <c r="J6838" s="38" t="n">
        <f aca="false">Sens!$J$6835+Sens!$J$6836+Sens!$J$6837</f>
        <v>308.06904811359</v>
      </c>
      <c r="K6838" s="38" t="n">
        <f aca="false">Sens!$K$6835+Sens!$K$6836+Sens!$K$6837</f>
        <v>320.385735318248</v>
      </c>
      <c r="L6838" s="38" t="n">
        <f aca="false">Sens!$L$6835+Sens!$L$6836+Sens!$L$6837</f>
        <v>364.65641921833</v>
      </c>
      <c r="M6838" s="38" t="n">
        <f aca="false">Sens!$M$6835+Sens!$M$6836+Sens!$M$6837</f>
        <v>432.943173024858</v>
      </c>
    </row>
    <row r="6839" customFormat="false" ht="17.15" hidden="false" customHeight="false" outlineLevel="0" collapsed="false">
      <c r="A6839" s="5" t="s">
        <v>523</v>
      </c>
      <c r="B6839" s="0" t="s">
        <v>73</v>
      </c>
      <c r="C6839" s="38" t="n">
        <f aca="false">Q!$D$50</f>
        <v>2.043</v>
      </c>
      <c r="D6839" s="38" t="n">
        <f aca="false">Q!$E$50</f>
        <v>1.557</v>
      </c>
      <c r="E6839" s="38" t="n">
        <f aca="false">lease_pr/2</f>
        <v>0.8</v>
      </c>
      <c r="F6839" s="38" t="n">
        <f aca="false">lease_pr/2</f>
        <v>0.8</v>
      </c>
      <c r="G6839" s="38" t="n">
        <f aca="false">Sens!$E$6839+Sens!$F$6839</f>
        <v>1.6</v>
      </c>
      <c r="H6839" s="38" t="n">
        <f aca="false">lease_pr</f>
        <v>1.6</v>
      </c>
      <c r="I6839" s="38" t="n">
        <f aca="false">lease_pr</f>
        <v>1.6</v>
      </c>
      <c r="J6839" s="38" t="n">
        <f aca="false">lease_pr</f>
        <v>1.6</v>
      </c>
      <c r="K6839" s="38" t="n">
        <f aca="false">lease_pr</f>
        <v>1.6</v>
      </c>
      <c r="L6839" s="38" t="n">
        <f aca="false">lease_pr</f>
        <v>1.6</v>
      </c>
      <c r="M6839" s="38" t="n">
        <f aca="false">lease_pr</f>
        <v>1.6</v>
      </c>
      <c r="P6839" s="8" t="s">
        <v>738</v>
      </c>
    </row>
    <row r="6840" customFormat="false" ht="15" hidden="false" customHeight="false" outlineLevel="0" collapsed="false">
      <c r="A6840" s="46" t="s">
        <v>739</v>
      </c>
      <c r="B6840" s="13" t="s">
        <v>73</v>
      </c>
      <c r="C6840" s="47" t="n">
        <f aca="false">Sens!$C$6834-Sens!$C$6838-Sens!$C$6839</f>
        <v>36.176</v>
      </c>
      <c r="D6840" s="47" t="n">
        <f aca="false">Sens!$D$6834-Sens!$D$6838-Sens!$D$6839</f>
        <v>9.63700000000002</v>
      </c>
      <c r="E6840" s="47" t="n">
        <f aca="false">Sens!$E$6834-Sens!$E$6838-Sens!$E$6839</f>
        <v>-25.691</v>
      </c>
      <c r="F6840" s="47" t="n">
        <f aca="false">Sens!$F$6834-Sens!$F$6838-Sens!$F$6839</f>
        <v>-35.7358850873731</v>
      </c>
      <c r="G6840" s="47" t="n">
        <f aca="false">Sens!$G$6834-Sens!$G$6838-Sens!$G$6839</f>
        <v>-61.4268850873731</v>
      </c>
      <c r="H6840" s="47" t="n">
        <f aca="false">Sens!$H$6834-Sens!$H$6838-Sens!$H$6839</f>
        <v>-46.6987055925312</v>
      </c>
      <c r="I6840" s="47" t="n">
        <f aca="false">Sens!$I$6834-Sens!$I$6838-Sens!$I$6839</f>
        <v>-3.97574477606648</v>
      </c>
      <c r="J6840" s="47" t="n">
        <f aca="false">Sens!$J$6834-Sens!$J$6838-Sens!$J$6839</f>
        <v>39.7446339029391</v>
      </c>
      <c r="K6840" s="47" t="n">
        <f aca="false">Sens!$K$6834-Sens!$K$6838-Sens!$K$6839</f>
        <v>82.1731058789073</v>
      </c>
      <c r="L6840" s="47" t="n">
        <f aca="false">Sens!$L$6834-Sens!$L$6838-Sens!$L$6839</f>
        <v>94.1245500219009</v>
      </c>
      <c r="M6840" s="47" t="n">
        <f aca="false">Sens!$M$6834-Sens!$M$6838-Sens!$M$6839</f>
        <v>84.3831817256571</v>
      </c>
      <c r="N6840" s="13"/>
      <c r="O6840" s="13"/>
    </row>
    <row r="6841" customFormat="false" ht="17.15" hidden="false" customHeight="false" outlineLevel="0" collapsed="false">
      <c r="A6841" s="5" t="s">
        <v>740</v>
      </c>
      <c r="B6841" s="0" t="s">
        <v>73</v>
      </c>
      <c r="C6841" s="38" t="n">
        <f aca="false">dps*Sens!$C$6822</f>
        <v>0</v>
      </c>
      <c r="D6841" s="38" t="n">
        <f aca="false">dps*Sens!$D$6822</f>
        <v>0</v>
      </c>
      <c r="E6841" s="38" t="n">
        <f aca="false">dps*Sens!$E$6822</f>
        <v>0</v>
      </c>
      <c r="F6841" s="38" t="n">
        <f aca="false">0</f>
        <v>0</v>
      </c>
      <c r="G6841" s="38" t="n">
        <f aca="false">dps*Sens!$G$6822</f>
        <v>0</v>
      </c>
      <c r="H6841" s="38" t="n">
        <f aca="false">dps*Sens!$H$6822</f>
        <v>0</v>
      </c>
      <c r="I6841" s="38" t="n">
        <f aca="false">dps*Sens!$I$6822</f>
        <v>0</v>
      </c>
      <c r="J6841" s="38" t="n">
        <f aca="false">dps*Sens!$J$6822</f>
        <v>0</v>
      </c>
      <c r="K6841" s="38" t="n">
        <f aca="false">dps*Sens!$K$6822</f>
        <v>0</v>
      </c>
      <c r="L6841" s="38" t="n">
        <f aca="false">dps*Sens!$L$6822</f>
        <v>0</v>
      </c>
      <c r="M6841" s="38" t="n">
        <f aca="false">dps*Sens!$M$6822</f>
        <v>0</v>
      </c>
      <c r="P6841" s="8" t="s">
        <v>741</v>
      </c>
    </row>
    <row r="6842" customFormat="false" ht="17.15" hidden="false" customHeight="false" outlineLevel="0" collapsed="false">
      <c r="A6842" s="5" t="s">
        <v>742</v>
      </c>
      <c r="B6842" s="0" t="s">
        <v>73</v>
      </c>
      <c r="C6842" s="38" t="n">
        <f aca="false">0</f>
        <v>0</v>
      </c>
      <c r="D6842" s="38" t="n">
        <f aca="false">0</f>
        <v>0</v>
      </c>
      <c r="E6842" s="38" t="n">
        <f aca="false">0</f>
        <v>0</v>
      </c>
      <c r="F6842" s="38" t="n">
        <f aca="false">0</f>
        <v>0</v>
      </c>
      <c r="G6842" s="38" t="n">
        <f aca="false">0</f>
        <v>0</v>
      </c>
      <c r="H6842" s="38" t="n">
        <f aca="false">0</f>
        <v>0</v>
      </c>
      <c r="I6842" s="38" t="n">
        <f aca="false">0</f>
        <v>0</v>
      </c>
      <c r="J6842" s="38" t="n">
        <f aca="false">0</f>
        <v>0</v>
      </c>
      <c r="K6842" s="38" t="n">
        <f aca="false">0</f>
        <v>0</v>
      </c>
      <c r="L6842" s="38" t="n">
        <f aca="false">0</f>
        <v>0</v>
      </c>
      <c r="M6842" s="38" t="n">
        <f aca="false">0</f>
        <v>0</v>
      </c>
      <c r="P6842" s="8" t="s">
        <v>743</v>
      </c>
    </row>
    <row r="6843" customFormat="false" ht="15" hidden="false" customHeight="false" outlineLevel="0" collapsed="false">
      <c r="A6843" s="3" t="s">
        <v>744</v>
      </c>
      <c r="B6843" s="8" t="s">
        <v>73</v>
      </c>
      <c r="C6843" s="38" t="n">
        <f aca="false">Sens!$C$6840-Sens!$C$6841</f>
        <v>36.176</v>
      </c>
      <c r="D6843" s="38" t="n">
        <f aca="false">Sens!$D$6840-Sens!$D$6841</f>
        <v>9.63700000000002</v>
      </c>
      <c r="E6843" s="38" t="n">
        <f aca="false">Sens!$E$6840-Sens!$E$6841</f>
        <v>-25.691</v>
      </c>
      <c r="F6843" s="38" t="n">
        <f aca="false">Sens!$F$6840-Sens!$F$6841</f>
        <v>-35.7358850873731</v>
      </c>
      <c r="G6843" s="38" t="n">
        <f aca="false">Sens!$G$6840-Sens!$G$6841</f>
        <v>-61.4268850873731</v>
      </c>
      <c r="H6843" s="38" t="n">
        <f aca="false">Sens!$H$6840-Sens!$H$6841</f>
        <v>-46.6987055925312</v>
      </c>
      <c r="I6843" s="38" t="n">
        <f aca="false">Sens!$I$6840-Sens!$I$6841</f>
        <v>-3.97574477606648</v>
      </c>
      <c r="J6843" s="38" t="n">
        <f aca="false">Sens!$J$6840-Sens!$J$6841</f>
        <v>39.7446339029391</v>
      </c>
      <c r="K6843" s="38" t="n">
        <f aca="false">Sens!$K$6840-Sens!$K$6841</f>
        <v>82.1731058789073</v>
      </c>
      <c r="L6843" s="38" t="n">
        <f aca="false">Sens!$L$6840-Sens!$L$6841</f>
        <v>94.1245500219009</v>
      </c>
      <c r="M6843" s="38" t="n">
        <f aca="false">Sens!$M$6840-Sens!$M$6841</f>
        <v>84.3831817256571</v>
      </c>
    </row>
    <row r="6844" customFormat="false" ht="17.15" hidden="false" customHeight="false" outlineLevel="0" collapsed="false">
      <c r="A6844" s="5" t="s">
        <v>745</v>
      </c>
      <c r="B6844" s="0" t="s">
        <v>73</v>
      </c>
      <c r="E6844" s="38" t="n">
        <f aca="false">Q!$P$53</f>
        <v>39.767</v>
      </c>
      <c r="F6844" s="38" t="n">
        <f aca="false">inv_2h26</f>
        <v>21.3</v>
      </c>
      <c r="G6844" s="38" t="n">
        <f aca="false">Sens!$E$6844+Sens!$F$6844</f>
        <v>61.067</v>
      </c>
      <c r="H6844" s="41" t="n">
        <v>0</v>
      </c>
      <c r="I6844" s="41" t="n">
        <v>0</v>
      </c>
      <c r="J6844" s="41" t="n">
        <v>0</v>
      </c>
      <c r="K6844" s="41" t="n">
        <v>0</v>
      </c>
      <c r="L6844" s="41" t="n">
        <v>0</v>
      </c>
      <c r="M6844" s="41" t="n">
        <v>0</v>
      </c>
    </row>
    <row r="6845" customFormat="false" ht="17.15" hidden="false" customHeight="false" outlineLevel="0" collapsed="false">
      <c r="A6845" s="5" t="s">
        <v>746</v>
      </c>
      <c r="B6845" s="0" t="s">
        <v>73</v>
      </c>
      <c r="F6845" s="38" t="n">
        <f aca="false">iss_2h26</f>
        <v>29.25</v>
      </c>
      <c r="G6845" s="38" t="n">
        <f aca="false">Sens!$F$6845</f>
        <v>29.25</v>
      </c>
      <c r="H6845" s="41" t="n">
        <v>0</v>
      </c>
      <c r="I6845" s="41" t="n">
        <v>0</v>
      </c>
      <c r="J6845" s="41" t="n">
        <v>0</v>
      </c>
      <c r="K6845" s="41" t="n">
        <v>0</v>
      </c>
      <c r="L6845" s="41" t="n">
        <v>0</v>
      </c>
      <c r="M6845" s="41" t="n">
        <v>0</v>
      </c>
    </row>
    <row r="6846" customFormat="false" ht="17.15" hidden="false" customHeight="false" outlineLevel="0" collapsed="false">
      <c r="A6846" s="5" t="s">
        <v>747</v>
      </c>
      <c r="B6846" s="0" t="s">
        <v>73</v>
      </c>
      <c r="F6846" s="38" t="n">
        <f aca="false">cash_q2</f>
        <v>122.988</v>
      </c>
      <c r="G6846" s="38" t="n">
        <f aca="false">cash_q2</f>
        <v>122.988</v>
      </c>
      <c r="H6846" s="38" t="n">
        <f aca="false">Sens!$G$6849</f>
        <v>95.2021149126269</v>
      </c>
      <c r="I6846" s="38" t="n">
        <f aca="false">Sens!$H$6849</f>
        <v>50</v>
      </c>
      <c r="J6846" s="38" t="n">
        <f aca="false">Sens!$I$6849</f>
        <v>50</v>
      </c>
      <c r="K6846" s="38" t="n">
        <f aca="false">Sens!$J$6849</f>
        <v>89.7446339029391</v>
      </c>
      <c r="L6846" s="38" t="n">
        <f aca="false">Sens!$K$6849</f>
        <v>171.917739781846</v>
      </c>
      <c r="M6846" s="38" t="n">
        <f aca="false">Sens!$L$6849</f>
        <v>266.042289803747</v>
      </c>
    </row>
    <row r="6847" customFormat="false" ht="15" hidden="false" customHeight="false" outlineLevel="0" collapsed="false">
      <c r="A6847" s="5" t="s">
        <v>748</v>
      </c>
      <c r="B6847" s="0" t="s">
        <v>73</v>
      </c>
      <c r="F6847" s="38" t="n">
        <f aca="false">Sens!$F$6846+Sens!$F$6843-Sens!$F$6842-Sens!$F$6844+Sens!$F$6845</f>
        <v>95.2021149126269</v>
      </c>
      <c r="H6847" s="38" t="n">
        <f aca="false">Sens!$H$6846+Sens!$H$6843-Sens!$H$6842-Sens!$H$6844+Sens!$H$6845</f>
        <v>48.5034093200957</v>
      </c>
      <c r="I6847" s="38" t="n">
        <f aca="false">Sens!$I$6846+Sens!$I$6843-Sens!$I$6842-Sens!$I$6844+Sens!$I$6845</f>
        <v>46.0242552239335</v>
      </c>
      <c r="J6847" s="38" t="n">
        <f aca="false">Sens!$J$6846+Sens!$J$6843-Sens!$J$6842-Sens!$J$6844+Sens!$J$6845</f>
        <v>89.7446339029391</v>
      </c>
      <c r="K6847" s="38" t="n">
        <f aca="false">Sens!$K$6846+Sens!$K$6843-Sens!$K$6842-Sens!$K$6844+Sens!$K$6845</f>
        <v>171.917739781846</v>
      </c>
      <c r="L6847" s="38" t="n">
        <f aca="false">Sens!$L$6846+Sens!$L$6843-Sens!$L$6842-Sens!$L$6844+Sens!$L$6845</f>
        <v>266.042289803747</v>
      </c>
      <c r="M6847" s="38" t="n">
        <f aca="false">Sens!$M$6846+Sens!$M$6843-Sens!$M$6842-Sens!$M$6844+Sens!$M$6845</f>
        <v>350.425471529404</v>
      </c>
    </row>
    <row r="6848" customFormat="false" ht="17.15" hidden="false" customHeight="false" outlineLevel="0" collapsed="false">
      <c r="A6848" s="5" t="s">
        <v>749</v>
      </c>
      <c r="B6848" s="0" t="s">
        <v>73</v>
      </c>
      <c r="F6848" s="38" t="n">
        <f aca="false">MAX(0,min_cash-Sens!$F$6847)</f>
        <v>0</v>
      </c>
      <c r="G6848" s="38" t="n">
        <f aca="false">Sens!$F$6848</f>
        <v>0</v>
      </c>
      <c r="H6848" s="38" t="n">
        <f aca="false">MAX(0,min_cash-Sens!$H$6847)</f>
        <v>1.49659067990431</v>
      </c>
      <c r="I6848" s="38" t="n">
        <f aca="false">MAX(0,min_cash-Sens!$I$6847)</f>
        <v>3.97574477606648</v>
      </c>
      <c r="J6848" s="38" t="n">
        <f aca="false">MAX(0,min_cash-Sens!$J$6847)</f>
        <v>0</v>
      </c>
      <c r="K6848" s="38" t="n">
        <f aca="false">MAX(0,min_cash-Sens!$K$6847)</f>
        <v>0</v>
      </c>
      <c r="L6848" s="38" t="n">
        <f aca="false">MAX(0,min_cash-Sens!$L$6847)</f>
        <v>0</v>
      </c>
      <c r="M6848" s="38" t="n">
        <f aca="false">MAX(0,min_cash-Sens!$M$6847)</f>
        <v>0</v>
      </c>
      <c r="P6848" s="5" t="s">
        <v>750</v>
      </c>
    </row>
    <row r="6849" customFormat="false" ht="15" hidden="false" customHeight="false" outlineLevel="0" collapsed="false">
      <c r="A6849" s="5" t="s">
        <v>751</v>
      </c>
      <c r="B6849" s="0" t="s">
        <v>73</v>
      </c>
      <c r="D6849" s="38" t="n">
        <f aca="false">Q!$E$61</f>
        <v>123.029</v>
      </c>
      <c r="E6849" s="38" t="n">
        <f aca="false">Q!$M$61</f>
        <v>122.988</v>
      </c>
      <c r="F6849" s="38" t="n">
        <f aca="false">Sens!$F$6847+Sens!$F$6848</f>
        <v>95.2021149126269</v>
      </c>
      <c r="G6849" s="38" t="n">
        <f aca="false">Sens!$F$6849</f>
        <v>95.2021149126269</v>
      </c>
      <c r="H6849" s="38" t="n">
        <f aca="false">Sens!$H$6847+Sens!$H$6848</f>
        <v>50</v>
      </c>
      <c r="I6849" s="38" t="n">
        <f aca="false">Sens!$I$6847+Sens!$I$6848</f>
        <v>50</v>
      </c>
      <c r="J6849" s="38" t="n">
        <f aca="false">Sens!$J$6847+Sens!$J$6848</f>
        <v>89.7446339029391</v>
      </c>
      <c r="K6849" s="38" t="n">
        <f aca="false">Sens!$K$6847+Sens!$K$6848</f>
        <v>171.917739781846</v>
      </c>
      <c r="L6849" s="38" t="n">
        <f aca="false">Sens!$L$6847+Sens!$L$6848</f>
        <v>266.042289803747</v>
      </c>
      <c r="M6849" s="38" t="n">
        <f aca="false">Sens!$M$6847+Sens!$M$6848</f>
        <v>350.425471529404</v>
      </c>
    </row>
    <row r="6850" customFormat="false" ht="15" hidden="false" customHeight="false" outlineLevel="0" collapsed="false">
      <c r="A6850" s="5" t="s">
        <v>752</v>
      </c>
      <c r="B6850" s="0" t="s">
        <v>73</v>
      </c>
      <c r="D6850" s="38" t="n">
        <f aca="false">Q!$E$62</f>
        <v>68.836</v>
      </c>
      <c r="E6850" s="38" t="n">
        <f aca="false">Q!$M$62</f>
        <v>132.995</v>
      </c>
      <c r="F6850" s="38" t="n">
        <f aca="false">debt_q2+Sens!$F$6845+Sens!$F$6848</f>
        <v>162.245</v>
      </c>
      <c r="G6850" s="38" t="n">
        <f aca="false">Sens!$F$6850</f>
        <v>162.245</v>
      </c>
      <c r="H6850" s="38" t="n">
        <f aca="false">Sens!$G$6850+Sens!$H$6848</f>
        <v>163.741590679904</v>
      </c>
      <c r="I6850" s="38" t="n">
        <f aca="false">Sens!$H$6850+Sens!$I$6848</f>
        <v>167.717335455971</v>
      </c>
      <c r="J6850" s="38" t="n">
        <f aca="false">Sens!$I$6850+Sens!$J$6848</f>
        <v>167.717335455971</v>
      </c>
      <c r="K6850" s="38" t="n">
        <f aca="false">Sens!$J$6850+Sens!$K$6848</f>
        <v>167.717335455971</v>
      </c>
      <c r="L6850" s="38" t="n">
        <f aca="false">Sens!$K$6850+Sens!$L$6848</f>
        <v>167.717335455971</v>
      </c>
      <c r="M6850" s="38" t="n">
        <f aca="false">Sens!$L$6850+Sens!$M$6848</f>
        <v>167.717335455971</v>
      </c>
    </row>
    <row r="6851" customFormat="false" ht="15" hidden="false" customHeight="false" outlineLevel="0" collapsed="false">
      <c r="A6851" s="5" t="s">
        <v>753</v>
      </c>
      <c r="B6851" s="0" t="s">
        <v>73</v>
      </c>
      <c r="D6851" s="38" t="n">
        <f aca="false">Sens!$D$6850-Sens!$D$6849</f>
        <v>-54.193</v>
      </c>
      <c r="E6851" s="38" t="n">
        <f aca="false">Sens!$E$6850-Sens!$E$6849</f>
        <v>10.007</v>
      </c>
      <c r="F6851" s="38" t="n">
        <f aca="false">Sens!$F$6850-Sens!$F$6849</f>
        <v>67.0428850873731</v>
      </c>
      <c r="G6851" s="38" t="n">
        <f aca="false">Sens!$G$6850-Sens!$G$6849</f>
        <v>67.0428850873731</v>
      </c>
      <c r="H6851" s="38" t="n">
        <f aca="false">Sens!$H$6850-Sens!$H$6849</f>
        <v>113.741590679904</v>
      </c>
      <c r="I6851" s="38" t="n">
        <f aca="false">Sens!$I$6850-Sens!$I$6849</f>
        <v>117.717335455971</v>
      </c>
      <c r="J6851" s="38" t="n">
        <f aca="false">Sens!$J$6850-Sens!$J$6849</f>
        <v>77.9727015530317</v>
      </c>
      <c r="K6851" s="38" t="n">
        <f aca="false">Sens!$K$6850-Sens!$K$6849</f>
        <v>-4.20040432587558</v>
      </c>
      <c r="L6851" s="38" t="n">
        <f aca="false">Sens!$L$6850-Sens!$L$6849</f>
        <v>-98.3249543477765</v>
      </c>
      <c r="M6851" s="38" t="n">
        <f aca="false">Sens!$M$6850-Sens!$M$6849</f>
        <v>-182.708136073434</v>
      </c>
    </row>
    <row r="6852" customFormat="false" ht="17.15" hidden="false" customHeight="false" outlineLevel="0" collapsed="false">
      <c r="A6852" s="5" t="s">
        <v>754</v>
      </c>
      <c r="B6852" s="0" t="s">
        <v>73</v>
      </c>
      <c r="F6852" s="38" t="n">
        <f aca="false">debt_q2*kd_book*0.5+iss_2h26*kd_new*0.25</f>
        <v>3.24888964316061</v>
      </c>
      <c r="H6852" s="38" t="n">
        <f aca="false">debt_q2*kd_book+(Sens!$G$6850-debt_q2)*kd_new</f>
        <v>7.42354178632123</v>
      </c>
      <c r="I6852" s="38" t="n">
        <f aca="false">debt_q2*kd_book+(Sens!$H$6850-debt_q2)*kd_new</f>
        <v>7.51827597635917</v>
      </c>
      <c r="J6852" s="38" t="n">
        <f aca="false">debt_q2*kd_book+(Sens!$I$6850-debt_q2)*kd_new</f>
        <v>7.76994062068418</v>
      </c>
      <c r="K6852" s="38" t="n">
        <f aca="false">debt_q2*kd_book+(Sens!$J$6850-debt_q2)*kd_new</f>
        <v>7.76994062068418</v>
      </c>
      <c r="L6852" s="38" t="n">
        <f aca="false">debt_q2*kd_book+(Sens!$K$6850-debt_q2)*kd_new</f>
        <v>7.76994062068418</v>
      </c>
      <c r="M6852" s="38" t="n">
        <f aca="false">debt_q2*kd_book+(Sens!$L$6850-debt_q2)*kd_new</f>
        <v>7.76994062068418</v>
      </c>
    </row>
    <row r="6853" customFormat="false" ht="17.15" hidden="false" customHeight="false" outlineLevel="0" collapsed="false">
      <c r="A6853" s="5" t="s">
        <v>755</v>
      </c>
      <c r="B6853" s="0" t="s">
        <v>73</v>
      </c>
      <c r="F6853" s="38" t="n">
        <f aca="false">cash_q2*y_cash*0.5</f>
        <v>2.59</v>
      </c>
      <c r="H6853" s="38" t="n">
        <f aca="false">Sens!$G$6849*y_cash</f>
        <v>4.00971603121774</v>
      </c>
      <c r="I6853" s="38" t="n">
        <f aca="false">Sens!$H$6849*y_cash</f>
        <v>2.10589651022864</v>
      </c>
      <c r="J6853" s="38" t="n">
        <f aca="false">Sens!$I$6849*y_cash</f>
        <v>2.10589651022864</v>
      </c>
      <c r="K6853" s="38" t="n">
        <f aca="false">Sens!$J$6849*y_cash</f>
        <v>3.77985822695893</v>
      </c>
      <c r="L6853" s="38" t="n">
        <f aca="false">Sens!$K$6849*y_cash</f>
        <v>7.24081936505971</v>
      </c>
      <c r="M6853" s="38" t="n">
        <f aca="false">Sens!$L$6849*y_cash</f>
        <v>11.205150593419</v>
      </c>
    </row>
    <row r="6854" customFormat="false" ht="17.15" hidden="false" customHeight="false" outlineLevel="0" collapsed="false">
      <c r="A6854" s="46" t="s">
        <v>756</v>
      </c>
      <c r="B6854" s="13" t="s">
        <v>73</v>
      </c>
      <c r="C6854" s="13"/>
      <c r="D6854" s="13"/>
      <c r="E6854" s="13"/>
      <c r="F6854" s="13"/>
      <c r="G6854" s="47" t="n">
        <f aca="false">SUM(Sens!$G$6843:$K$6843)</f>
        <v>9.81640432587554</v>
      </c>
      <c r="H6854" s="13"/>
      <c r="I6854" s="13"/>
      <c r="J6854" s="13"/>
      <c r="K6854" s="13"/>
      <c r="L6854" s="13"/>
      <c r="M6854" s="13"/>
      <c r="N6854" s="13"/>
      <c r="O6854" s="13"/>
    </row>
    <row r="6855" customFormat="false" ht="17.15" hidden="false" customHeight="false" outlineLevel="0" collapsed="false">
      <c r="A6855" s="0" t="s">
        <v>723</v>
      </c>
      <c r="B6855" s="0" t="s">
        <v>73</v>
      </c>
      <c r="G6855" s="38" t="n">
        <f aca="false">SUM(Sens!$G$6848:$K$6848)</f>
        <v>5.47233545597079</v>
      </c>
    </row>
    <row r="6858" customFormat="false" ht="19.4" hidden="false" customHeight="false" outlineLevel="0" collapsed="false">
      <c r="A6858" s="31" t="s">
        <v>1192</v>
      </c>
    </row>
    <row r="6859" customFormat="false" ht="17.15" hidden="false" customHeight="false" outlineLevel="0" collapsed="false">
      <c r="A6859" s="6" t="s">
        <v>16</v>
      </c>
      <c r="B6859" s="6" t="s">
        <v>17</v>
      </c>
      <c r="C6859" s="20" t="s">
        <v>457</v>
      </c>
      <c r="D6859" s="20" t="s">
        <v>458</v>
      </c>
      <c r="E6859" s="20" t="s">
        <v>540</v>
      </c>
      <c r="F6859" s="20" t="s">
        <v>541</v>
      </c>
      <c r="G6859" s="20" t="s">
        <v>542</v>
      </c>
      <c r="H6859" s="20" t="s">
        <v>543</v>
      </c>
      <c r="I6859" s="20" t="s">
        <v>544</v>
      </c>
      <c r="J6859" s="20" t="s">
        <v>545</v>
      </c>
      <c r="K6859" s="20" t="s">
        <v>546</v>
      </c>
      <c r="L6859" s="20" t="s">
        <v>547</v>
      </c>
      <c r="M6859" s="20" t="s">
        <v>548</v>
      </c>
      <c r="N6859" s="20" t="s">
        <v>549</v>
      </c>
      <c r="O6859" s="20" t="s">
        <v>550</v>
      </c>
      <c r="P6859" s="6" t="s">
        <v>23</v>
      </c>
      <c r="R6859" s="20" t="n">
        <v>2023</v>
      </c>
      <c r="S6859" s="20" t="n">
        <v>2024</v>
      </c>
      <c r="T6859" s="20" t="n">
        <v>2025</v>
      </c>
      <c r="U6859" s="20" t="n">
        <v>2026</v>
      </c>
      <c r="V6859" s="20" t="n">
        <v>2027</v>
      </c>
      <c r="W6859" s="20" t="n">
        <v>2028</v>
      </c>
      <c r="X6859" s="20" t="n">
        <v>2029</v>
      </c>
      <c r="Y6859" s="20" t="n">
        <v>2030</v>
      </c>
      <c r="Z6859" s="20" t="n">
        <v>2031</v>
      </c>
      <c r="AA6859" s="20" t="n">
        <v>2032</v>
      </c>
    </row>
    <row r="6860" customFormat="false" ht="17.15" hidden="false" customHeight="false" outlineLevel="0" collapsed="false">
      <c r="A6860" s="1" t="s">
        <v>851</v>
      </c>
    </row>
    <row r="6861" customFormat="false" ht="17.15" hidden="false" customHeight="false" outlineLevel="0" collapsed="false">
      <c r="A6861" s="0" t="s">
        <v>852</v>
      </c>
      <c r="B6861" s="0" t="s">
        <v>73</v>
      </c>
      <c r="H6861" s="38" t="n">
        <f aca="false">Sens!$H$6797*(1-tax)</f>
        <v>112.093921330558</v>
      </c>
      <c r="I6861" s="38" t="n">
        <f aca="false">Sens!$I$6797*(1-tax)</f>
        <v>132.779045500917</v>
      </c>
      <c r="J6861" s="38" t="n">
        <f aca="false">Sens!$J$6797*(1-tax)</f>
        <v>151.181555485193</v>
      </c>
      <c r="K6861" s="38" t="n">
        <f aca="false">Sens!$K$6797*(1-tax)</f>
        <v>166.036468953087</v>
      </c>
      <c r="L6861" s="38" t="n">
        <f aca="false">Sens!$L$6797*(1-tax)</f>
        <v>182.348678369869</v>
      </c>
      <c r="M6861" s="38" t="n">
        <f aca="false">Sens!$M$6797*(1-tax)</f>
        <v>199.243892383632</v>
      </c>
    </row>
    <row r="6862" customFormat="false" ht="15" hidden="false" customHeight="false" outlineLevel="0" collapsed="false">
      <c r="A6862" s="5" t="s">
        <v>853</v>
      </c>
      <c r="B6862" s="0" t="s">
        <v>73</v>
      </c>
      <c r="H6862" s="38" t="n">
        <f aca="false">Sens!$H$6809</f>
        <v>87.6845218193838</v>
      </c>
      <c r="I6862" s="38" t="n">
        <f aca="false">Sens!$I$6809</f>
        <v>122.294769708638</v>
      </c>
      <c r="J6862" s="38" t="n">
        <f aca="false">Sens!$J$6809</f>
        <v>157.133962573221</v>
      </c>
      <c r="K6862" s="38" t="n">
        <f aca="false">Sens!$K$6809</f>
        <v>191.350633353599</v>
      </c>
      <c r="L6862" s="38" t="n">
        <f aca="false">Sens!$L$6809</f>
        <v>223.909238335354</v>
      </c>
      <c r="M6862" s="38" t="n">
        <f aca="false">Sens!$M$6809</f>
        <v>257.576319867276</v>
      </c>
    </row>
    <row r="6863" customFormat="false" ht="15" hidden="false" customHeight="false" outlineLevel="0" collapsed="false">
      <c r="A6863" s="5" t="s">
        <v>854</v>
      </c>
      <c r="B6863" s="0" t="s">
        <v>73</v>
      </c>
      <c r="H6863" s="38" t="n">
        <f aca="false">Sens!$H$6838</f>
        <v>277.870120501355</v>
      </c>
      <c r="I6863" s="38" t="n">
        <f aca="false">Sens!$I$6838</f>
        <v>293.934464585378</v>
      </c>
      <c r="J6863" s="38" t="n">
        <f aca="false">Sens!$J$6838</f>
        <v>308.06904811359</v>
      </c>
      <c r="K6863" s="38" t="n">
        <f aca="false">Sens!$K$6838</f>
        <v>320.385735318248</v>
      </c>
      <c r="L6863" s="38" t="n">
        <f aca="false">Sens!$L$6838</f>
        <v>364.65641921833</v>
      </c>
      <c r="M6863" s="38" t="n">
        <f aca="false">Sens!$M$6838</f>
        <v>432.943173024858</v>
      </c>
    </row>
    <row r="6864" customFormat="false" ht="15" hidden="false" customHeight="false" outlineLevel="0" collapsed="false">
      <c r="A6864" s="5" t="s">
        <v>855</v>
      </c>
      <c r="B6864" s="0" t="s">
        <v>73</v>
      </c>
      <c r="H6864" s="38" t="n">
        <f aca="false">Sens!$H$6839</f>
        <v>1.6</v>
      </c>
      <c r="I6864" s="38" t="n">
        <f aca="false">Sens!$I$6839</f>
        <v>1.6</v>
      </c>
      <c r="J6864" s="38" t="n">
        <f aca="false">Sens!$J$6839</f>
        <v>1.6</v>
      </c>
      <c r="K6864" s="38" t="n">
        <f aca="false">Sens!$K$6839</f>
        <v>1.6</v>
      </c>
      <c r="L6864" s="38" t="n">
        <f aca="false">Sens!$L$6839</f>
        <v>1.6</v>
      </c>
      <c r="M6864" s="38" t="n">
        <f aca="false">Sens!$M$6839</f>
        <v>1.6</v>
      </c>
    </row>
    <row r="6865" customFormat="false" ht="15" hidden="false" customHeight="false" outlineLevel="0" collapsed="false">
      <c r="A6865" s="5" t="s">
        <v>856</v>
      </c>
      <c r="B6865" s="0" t="s">
        <v>73</v>
      </c>
      <c r="H6865" s="38" t="n">
        <f aca="false">Sens!$H$6833</f>
        <v>11.6369707537667</v>
      </c>
      <c r="I6865" s="38" t="n">
        <f aca="false">Sens!$I$6833</f>
        <v>13.3082502961262</v>
      </c>
      <c r="J6865" s="38" t="n">
        <f aca="false">Sens!$J$6833</f>
        <v>14.8747965344332</v>
      </c>
      <c r="K6865" s="38" t="n">
        <f aca="false">Sens!$K$6833</f>
        <v>16.2687901804328</v>
      </c>
      <c r="L6865" s="38" t="n">
        <f aca="false">Sens!$L$6833</f>
        <v>17.7280727627002</v>
      </c>
      <c r="M6865" s="38" t="n">
        <f aca="false">Sens!$M$6833</f>
        <v>19.2574690270319</v>
      </c>
    </row>
    <row r="6866" customFormat="false" ht="17.15" hidden="false" customHeight="false" outlineLevel="0" collapsed="false">
      <c r="A6866" s="1" t="s">
        <v>857</v>
      </c>
      <c r="B6866" s="8" t="s">
        <v>73</v>
      </c>
      <c r="H6866" s="38" t="n">
        <f aca="false">Sens!$H$6861+Sens!$H$6862-Sens!$H$6863-Sens!$H$6864+Sens!$H$6865</f>
        <v>-68.0547065976468</v>
      </c>
      <c r="I6866" s="38" t="n">
        <f aca="false">Sens!$I$6861+Sens!$I$6862-Sens!$I$6863-Sens!$I$6864+Sens!$I$6865</f>
        <v>-27.1523990796972</v>
      </c>
      <c r="J6866" s="38" t="n">
        <f aca="false">Sens!$J$6861+Sens!$J$6862-Sens!$J$6863-Sens!$J$6864+Sens!$J$6865</f>
        <v>13.5212664792573</v>
      </c>
      <c r="K6866" s="38" t="n">
        <f aca="false">Sens!$K$6861+Sens!$K$6862-Sens!$K$6863-Sens!$K$6864+Sens!$K$6865</f>
        <v>51.6701571688709</v>
      </c>
      <c r="L6866" s="38" t="n">
        <f aca="false">Sens!$L$6861+Sens!$L$6862-Sens!$L$6863-Sens!$L$6864+Sens!$L$6865</f>
        <v>57.7295702495933</v>
      </c>
      <c r="M6866" s="38" t="n">
        <f aca="false">Sens!$M$6861+Sens!$M$6862-Sens!$M$6863-Sens!$M$6864+Sens!$M$6865</f>
        <v>41.534508253082</v>
      </c>
    </row>
    <row r="6867" customFormat="false" ht="15" hidden="false" customHeight="false" outlineLevel="0" collapsed="false">
      <c r="A6867" s="5" t="s">
        <v>858</v>
      </c>
      <c r="B6867" s="0" t="s">
        <v>57</v>
      </c>
      <c r="H6867" s="51" t="n">
        <f aca="false">1/(1+wacc)^(2027-2026-0.5)</f>
        <v>0.942858177653364</v>
      </c>
      <c r="I6867" s="51" t="n">
        <f aca="false">1/(1+wacc)^(2028-2026-0.5)</f>
        <v>0.838183517758688</v>
      </c>
      <c r="J6867" s="51" t="n">
        <f aca="false">1/(1+wacc)^(2029-2026-0.5)</f>
        <v>0.745129677074952</v>
      </c>
      <c r="K6867" s="51" t="n">
        <f aca="false">1/(1+wacc)^(2030-2026-0.5)</f>
        <v>0.662406530186232</v>
      </c>
      <c r="L6867" s="51" t="n">
        <f aca="false">1/(1+wacc)^(2031-2026-0.5)</f>
        <v>0.588867179409399</v>
      </c>
      <c r="M6867" s="51" t="n">
        <f aca="false">1/(1+wacc)^(2032-2026-0.5)</f>
        <v>0.52349205387225</v>
      </c>
    </row>
    <row r="6868" customFormat="false" ht="15" hidden="false" customHeight="false" outlineLevel="0" collapsed="false">
      <c r="A6868" s="5" t="s">
        <v>859</v>
      </c>
      <c r="B6868" s="0" t="s">
        <v>73</v>
      </c>
      <c r="H6868" s="38" t="n">
        <f aca="false">Sens!$H$6866*Sens!$H$6867</f>
        <v>-64.1659366433916</v>
      </c>
      <c r="I6868" s="38" t="n">
        <f aca="false">Sens!$I$6866*Sens!$I$6867</f>
        <v>-22.7586933762084</v>
      </c>
      <c r="J6868" s="38" t="n">
        <f aca="false">Sens!$J$6866*Sens!$J$6867</f>
        <v>10.0750969253334</v>
      </c>
      <c r="K6868" s="38" t="n">
        <f aca="false">Sens!$K$6866*Sens!$K$6867</f>
        <v>34.226649524409</v>
      </c>
      <c r="L6868" s="38" t="n">
        <f aca="false">Sens!$L$6866*Sens!$L$6867</f>
        <v>33.9950492013948</v>
      </c>
      <c r="M6868" s="38" t="n">
        <f aca="false">Sens!$M$6866*Sens!$M$6867</f>
        <v>21.7429850319798</v>
      </c>
    </row>
    <row r="6869" customFormat="false" ht="15" hidden="false" customHeight="false" outlineLevel="0" collapsed="false">
      <c r="A6869" s="5" t="s">
        <v>860</v>
      </c>
      <c r="B6869" s="0" t="s">
        <v>73</v>
      </c>
      <c r="C6869" s="38" t="n">
        <f aca="false">SUM(Sens!$H$6868:$M$6868)</f>
        <v>13.115150663517</v>
      </c>
    </row>
    <row r="6870" customFormat="false" ht="17.15" hidden="false" customHeight="false" outlineLevel="0" collapsed="false">
      <c r="A6870" s="5" t="s">
        <v>861</v>
      </c>
      <c r="B6870" s="0" t="s">
        <v>73</v>
      </c>
      <c r="C6870" s="38" t="n">
        <f aca="false">Sens!$M$6861*(1+tg)*(1-tg/ronic)/(wacc-tg)</f>
        <v>1643.3111431308</v>
      </c>
    </row>
    <row r="6871" customFormat="false" ht="15" hidden="false" customHeight="false" outlineLevel="0" collapsed="false">
      <c r="A6871" s="5" t="s">
        <v>862</v>
      </c>
      <c r="B6871" s="0" t="s">
        <v>73</v>
      </c>
      <c r="C6871" s="38" t="n">
        <f aca="false">Sens!$C$6870/(1+wacc)^6</f>
        <v>811.103482778908</v>
      </c>
    </row>
    <row r="6872" customFormat="false" ht="17.15" hidden="false" customHeight="false" outlineLevel="0" collapsed="false">
      <c r="A6872" s="5" t="s">
        <v>863</v>
      </c>
      <c r="B6872" s="0" t="s">
        <v>73</v>
      </c>
      <c r="C6872" s="38" t="n">
        <f aca="false">Sens!$C$6869+Sens!$C$6871</f>
        <v>824.218633442425</v>
      </c>
    </row>
    <row r="6873" customFormat="false" ht="17.15" hidden="false" customHeight="false" outlineLevel="0" collapsed="false">
      <c r="A6873" s="5" t="s">
        <v>864</v>
      </c>
      <c r="B6873" s="0" t="s">
        <v>52</v>
      </c>
      <c r="C6873" s="12" t="n">
        <f aca="false">Sens!$C$6871/Sens!$C$6872</f>
        <v>0.984087777039521</v>
      </c>
    </row>
    <row r="6874" customFormat="false" ht="17.15" hidden="false" customHeight="false" outlineLevel="0" collapsed="false">
      <c r="A6874" s="5" t="s">
        <v>865</v>
      </c>
      <c r="B6874" s="0" t="s">
        <v>73</v>
      </c>
      <c r="C6874" s="38" t="n">
        <f aca="false">Sens!$G$6851</f>
        <v>67.0428850873731</v>
      </c>
    </row>
    <row r="6875" customFormat="false" ht="17.15" hidden="false" customHeight="false" outlineLevel="0" collapsed="false">
      <c r="A6875" s="5" t="s">
        <v>866</v>
      </c>
      <c r="B6875" s="0" t="s">
        <v>73</v>
      </c>
      <c r="C6875" s="38" t="n">
        <f aca="false">(ant_val*ant_sh+oai_val*oai_sh)*(1-liq_disc)</f>
        <v>178.944</v>
      </c>
    </row>
    <row r="6876" customFormat="false" ht="15" hidden="false" customHeight="false" outlineLevel="0" collapsed="false">
      <c r="A6876" s="5" t="s">
        <v>867</v>
      </c>
      <c r="B6876" s="0" t="s">
        <v>73</v>
      </c>
      <c r="C6876" s="38" t="n">
        <f aca="false">Sens!$C$6872-Sens!$C$6874+Sens!$C$6875</f>
        <v>936.119748355051</v>
      </c>
    </row>
    <row r="6877" customFormat="false" ht="17.15" hidden="false" customHeight="false" outlineLevel="0" collapsed="false">
      <c r="A6877" s="5" t="s">
        <v>868</v>
      </c>
      <c r="B6877" s="0" t="s">
        <v>27</v>
      </c>
      <c r="C6877" s="30" t="n">
        <f aca="false">Sens!$C$6876/sh_val</f>
        <v>84.8679147624493</v>
      </c>
    </row>
    <row r="6878" customFormat="false" ht="17.15" hidden="false" customHeight="false" outlineLevel="0" collapsed="false">
      <c r="A6878" s="1" t="s">
        <v>869</v>
      </c>
      <c r="B6878" s="8" t="s">
        <v>27</v>
      </c>
      <c r="C6878" s="30" t="n">
        <f aca="false">Sens!$C$6877*(1+ke)^tp_yf</f>
        <v>93.7319373662158</v>
      </c>
    </row>
    <row r="6879" customFormat="false" ht="17.15" hidden="false" customHeight="false" outlineLevel="0" collapsed="false">
      <c r="A6879" s="3" t="s">
        <v>870</v>
      </c>
    </row>
    <row r="6880" customFormat="false" ht="17.15" hidden="false" customHeight="false" outlineLevel="0" collapsed="false">
      <c r="A6880" s="5" t="s">
        <v>871</v>
      </c>
      <c r="B6880" s="0" t="s">
        <v>73</v>
      </c>
      <c r="C6880" s="38" t="n">
        <f aca="false">0.25*Sens!$H$6810+0.75*Sens!$I$6810</f>
        <v>57.5541093268329</v>
      </c>
    </row>
    <row r="6881" customFormat="false" ht="15" hidden="false" customHeight="false" outlineLevel="0" collapsed="false">
      <c r="A6881" s="5" t="s">
        <v>872</v>
      </c>
      <c r="B6881" s="0" t="s">
        <v>57</v>
      </c>
      <c r="C6881" s="30" t="n">
        <f aca="false">m_ads*m_x</f>
        <v>9.11</v>
      </c>
    </row>
    <row r="6882" customFormat="false" ht="17.15" hidden="false" customHeight="false" outlineLevel="0" collapsed="false">
      <c r="A6882" s="5" t="s">
        <v>873</v>
      </c>
      <c r="B6882" s="0" t="s">
        <v>73</v>
      </c>
      <c r="C6882" s="38" t="n">
        <f aca="false">Sens!$C$6880*Sens!$C$6881</f>
        <v>524.317935967448</v>
      </c>
    </row>
    <row r="6883" customFormat="false" ht="17.15" hidden="false" customHeight="false" outlineLevel="0" collapsed="false">
      <c r="A6883" s="5" t="s">
        <v>874</v>
      </c>
      <c r="B6883" s="0" t="s">
        <v>73</v>
      </c>
      <c r="C6883" s="38" t="n">
        <f aca="false">0.25*Sens!$H$6811+0.75*Sens!$I$6811</f>
        <v>30.6290803533085</v>
      </c>
    </row>
    <row r="6884" customFormat="false" ht="15" hidden="false" customHeight="false" outlineLevel="0" collapsed="false">
      <c r="A6884" s="5" t="s">
        <v>875</v>
      </c>
      <c r="B6884" s="0" t="s">
        <v>57</v>
      </c>
      <c r="C6884" s="30" t="n">
        <f aca="false">m_retail*m_x</f>
        <v>17.72</v>
      </c>
    </row>
    <row r="6885" customFormat="false" ht="17.15" hidden="false" customHeight="false" outlineLevel="0" collapsed="false">
      <c r="A6885" s="5" t="s">
        <v>876</v>
      </c>
      <c r="B6885" s="0" t="s">
        <v>73</v>
      </c>
      <c r="C6885" s="38" t="n">
        <f aca="false">Sens!$C$6883*Sens!$C$6884</f>
        <v>542.747303860627</v>
      </c>
    </row>
    <row r="6886" customFormat="false" ht="17.15" hidden="false" customHeight="false" outlineLevel="0" collapsed="false">
      <c r="A6886" s="0" t="s">
        <v>877</v>
      </c>
      <c r="B6886" s="0" t="s">
        <v>73</v>
      </c>
      <c r="C6886" s="38" t="n">
        <f aca="false">0.25*Sens!$H$6812+0.75*Sens!$I$6812</f>
        <v>107.575398943098</v>
      </c>
    </row>
    <row r="6887" customFormat="false" ht="17.15" hidden="false" customHeight="false" outlineLevel="0" collapsed="false">
      <c r="A6887" s="0" t="s">
        <v>878</v>
      </c>
      <c r="B6887" s="0" t="s">
        <v>57</v>
      </c>
      <c r="C6887" s="30" t="n">
        <f aca="false">m_cloud*m_x</f>
        <v>13.82</v>
      </c>
    </row>
    <row r="6888" customFormat="false" ht="17.15" hidden="false" customHeight="false" outlineLevel="0" collapsed="false">
      <c r="A6888" s="0" t="s">
        <v>879</v>
      </c>
      <c r="B6888" s="0" t="s">
        <v>73</v>
      </c>
      <c r="C6888" s="38" t="n">
        <f aca="false">Sens!$C$6886*Sens!$C$6887</f>
        <v>1486.69201339361</v>
      </c>
    </row>
    <row r="6889" customFormat="false" ht="17.15" hidden="false" customHeight="false" outlineLevel="0" collapsed="false">
      <c r="A6889" s="0" t="s">
        <v>880</v>
      </c>
      <c r="B6889" s="0" t="s">
        <v>73</v>
      </c>
      <c r="C6889" s="38" t="n">
        <f aca="false">0.25*Sens!$H$6813+0.75*Sens!$I$6813</f>
        <v>72.2947701247864</v>
      </c>
    </row>
    <row r="6890" customFormat="false" ht="17.15" hidden="false" customHeight="false" outlineLevel="0" collapsed="false">
      <c r="A6890" s="0" t="s">
        <v>881</v>
      </c>
      <c r="B6890" s="0" t="s">
        <v>57</v>
      </c>
      <c r="C6890" s="30" t="n">
        <f aca="false">m_ai</f>
        <v>6</v>
      </c>
    </row>
    <row r="6891" customFormat="false" ht="17.15" hidden="false" customHeight="false" outlineLevel="0" collapsed="false">
      <c r="A6891" s="0" t="s">
        <v>882</v>
      </c>
      <c r="B6891" s="0" t="s">
        <v>73</v>
      </c>
      <c r="C6891" s="38" t="n">
        <f aca="false">Sens!$C$6889*Sens!$C$6890</f>
        <v>433.768620748718</v>
      </c>
    </row>
    <row r="6892" customFormat="false" ht="17.15" hidden="false" customHeight="false" outlineLevel="0" collapsed="false">
      <c r="A6892" s="5" t="s">
        <v>883</v>
      </c>
      <c r="B6892" s="0" t="s">
        <v>73</v>
      </c>
      <c r="C6892" s="38" t="n">
        <f aca="false">Sens!$C$6882+Sens!$C$6885+Sens!$C$6888+Sens!$C$6891</f>
        <v>2987.5258739704</v>
      </c>
    </row>
    <row r="6893" customFormat="false" ht="17.15" hidden="false" customHeight="false" outlineLevel="0" collapsed="false">
      <c r="A6893" s="5" t="s">
        <v>884</v>
      </c>
      <c r="B6893" s="0" t="s">
        <v>73</v>
      </c>
      <c r="C6893" s="38" t="n">
        <f aca="false">Sens!$H$6851</f>
        <v>113.741590679904</v>
      </c>
    </row>
    <row r="6894" customFormat="false" ht="15" hidden="false" customHeight="false" outlineLevel="0" collapsed="false">
      <c r="A6894" s="5" t="s">
        <v>885</v>
      </c>
      <c r="B6894" s="0" t="s">
        <v>73</v>
      </c>
      <c r="C6894" s="38" t="n">
        <f aca="false">Sens!$C$6892-Sens!$C$6893+Sens!$C$6875</f>
        <v>3052.7282832905</v>
      </c>
    </row>
    <row r="6895" customFormat="false" ht="15" hidden="false" customHeight="false" outlineLevel="0" collapsed="false">
      <c r="A6895" s="3" t="s">
        <v>886</v>
      </c>
      <c r="B6895" s="8" t="s">
        <v>27</v>
      </c>
      <c r="C6895" s="30" t="n">
        <f aca="false">Sens!$C$6894/sh_val</f>
        <v>276.758058137828</v>
      </c>
    </row>
    <row r="6896" customFormat="false" ht="17.15" hidden="false" customHeight="false" outlineLevel="0" collapsed="false">
      <c r="A6896" s="46" t="s">
        <v>887</v>
      </c>
      <c r="B6896" s="13" t="s">
        <v>27</v>
      </c>
      <c r="C6896" s="43" t="n">
        <f aca="false">0.3*Sens!$C$6878+(1-0.3)*Sens!$C$6895</f>
        <v>221.850221906344</v>
      </c>
      <c r="D6896" s="13"/>
      <c r="E6896" s="13"/>
      <c r="F6896" s="13"/>
      <c r="G6896" s="13"/>
      <c r="H6896" s="13"/>
      <c r="I6896" s="13"/>
      <c r="J6896" s="13"/>
      <c r="K6896" s="13"/>
      <c r="L6896" s="13"/>
      <c r="M6896" s="13"/>
      <c r="N6896" s="13"/>
      <c r="O6896" s="13"/>
    </row>
    <row r="6897" customFormat="false" ht="17.15" hidden="false" customHeight="false" outlineLevel="0" collapsed="false">
      <c r="A6897" s="5" t="s">
        <v>888</v>
      </c>
      <c r="B6897" s="0" t="s">
        <v>27</v>
      </c>
      <c r="C6897" s="30" t="n">
        <f aca="false">0.45*Sens!$C$6878+0.55*Sens!$C$6895</f>
        <v>194.396303790603</v>
      </c>
    </row>
    <row r="6900" customFormat="false" ht="19.4" hidden="false" customHeight="false" outlineLevel="0" collapsed="false">
      <c r="A6900" s="31" t="s">
        <v>1193</v>
      </c>
    </row>
    <row r="6901" customFormat="false" ht="17.15" hidden="false" customHeight="false" outlineLevel="0" collapsed="false">
      <c r="A6901" s="6" t="s">
        <v>16</v>
      </c>
      <c r="B6901" s="6" t="s">
        <v>17</v>
      </c>
      <c r="C6901" s="20" t="s">
        <v>457</v>
      </c>
      <c r="D6901" s="20" t="s">
        <v>458</v>
      </c>
      <c r="E6901" s="20" t="s">
        <v>540</v>
      </c>
      <c r="F6901" s="20" t="s">
        <v>541</v>
      </c>
      <c r="G6901" s="20" t="s">
        <v>542</v>
      </c>
      <c r="H6901" s="20" t="s">
        <v>543</v>
      </c>
      <c r="I6901" s="20" t="s">
        <v>544</v>
      </c>
      <c r="J6901" s="20" t="s">
        <v>545</v>
      </c>
      <c r="K6901" s="20" t="s">
        <v>546</v>
      </c>
      <c r="L6901" s="20" t="s">
        <v>547</v>
      </c>
      <c r="M6901" s="20" t="s">
        <v>548</v>
      </c>
      <c r="N6901" s="20" t="s">
        <v>549</v>
      </c>
      <c r="O6901" s="20" t="s">
        <v>550</v>
      </c>
      <c r="P6901" s="6" t="s">
        <v>23</v>
      </c>
      <c r="R6901" s="20" t="n">
        <v>2023</v>
      </c>
      <c r="S6901" s="20" t="n">
        <v>2024</v>
      </c>
      <c r="T6901" s="20" t="n">
        <v>2025</v>
      </c>
      <c r="U6901" s="20" t="n">
        <v>2026</v>
      </c>
      <c r="V6901" s="20" t="n">
        <v>2027</v>
      </c>
      <c r="W6901" s="20" t="n">
        <v>2028</v>
      </c>
      <c r="X6901" s="20" t="n">
        <v>2029</v>
      </c>
      <c r="Y6901" s="20" t="n">
        <v>2030</v>
      </c>
      <c r="Z6901" s="20" t="n">
        <v>2031</v>
      </c>
      <c r="AA6901" s="20" t="n">
        <v>2032</v>
      </c>
    </row>
    <row r="6902" customFormat="false" ht="17.15" hidden="false" customHeight="false" outlineLevel="0" collapsed="false">
      <c r="A6902" s="1" t="s">
        <v>620</v>
      </c>
    </row>
    <row r="6903" customFormat="false" ht="17.15" hidden="false" customHeight="false" outlineLevel="0" collapsed="false">
      <c r="A6903" s="0" t="s">
        <v>479</v>
      </c>
      <c r="B6903" s="0" t="s">
        <v>73</v>
      </c>
      <c r="C6903" s="38" t="n">
        <f aca="false">Q!$D$10</f>
        <v>247.029</v>
      </c>
      <c r="D6903" s="38" t="n">
        <f aca="false">Q!$E$10</f>
        <v>269.287</v>
      </c>
      <c r="E6903" s="38" t="n">
        <f aca="false">Q!$P$10</f>
        <v>134.686</v>
      </c>
      <c r="F6903" s="38" t="n">
        <f aca="false">Sens!$O$6903*(1+Sens!$F$6904)-pd_amt*Q!$O$10/(Q!$O$10+Q!$O$12)</f>
        <v>160.728085930082</v>
      </c>
      <c r="G6903" s="38" t="n">
        <f aca="false">Sens!$E$6903+Sens!$F$6903</f>
        <v>295.414085930082</v>
      </c>
      <c r="H6903" s="38" t="n">
        <f aca="false">Sens!$G$6903*(1+Sens!$H$6904)</f>
        <v>320.828163943375</v>
      </c>
      <c r="I6903" s="38" t="n">
        <f aca="false">Sens!$H$6903*(1+Sens!$I$6904)</f>
        <v>344.575578072228</v>
      </c>
      <c r="J6903" s="38" t="n">
        <f aca="false">Sens!$I$6903*(1+Sens!$J$6904)</f>
        <v>365.942555779681</v>
      </c>
      <c r="K6903" s="38" t="n">
        <f aca="false">Sens!$J$6903*(1+Sens!$K$6904)</f>
        <v>384.239683568665</v>
      </c>
      <c r="L6903" s="38" t="n">
        <f aca="false">Sens!$K$6903*(1+Sens!$L$6904)</f>
        <v>403.451667747098</v>
      </c>
      <c r="M6903" s="38" t="n">
        <f aca="false">Sens!$L$6903*(1+Sens!$M$6904)</f>
        <v>423.624251134453</v>
      </c>
      <c r="N6903" s="38" t="n">
        <f aca="false">Q!$N$10</f>
        <v>118.892</v>
      </c>
      <c r="O6903" s="38" t="n">
        <f aca="false">Q!$O$10</f>
        <v>150.395</v>
      </c>
      <c r="P6903" s="8" t="s">
        <v>621</v>
      </c>
    </row>
    <row r="6904" customFormat="false" ht="17.15" hidden="false" customHeight="false" outlineLevel="0" collapsed="false">
      <c r="A6904" s="0" t="s">
        <v>622</v>
      </c>
      <c r="B6904" s="0" t="s">
        <v>52</v>
      </c>
      <c r="E6904" s="12" t="n">
        <f aca="false">Sens!$E$6903/Sens!$N$6903-1</f>
        <v>0.132843252699929</v>
      </c>
      <c r="F6904" s="12" t="n">
        <f aca="false">Sens!$O$6903/(Q!$F$10+Q!$G$10)-1</f>
        <v>0.0980382135842941</v>
      </c>
      <c r="G6904" s="12" t="n">
        <f aca="false">Sens!$G$6903/Sens!$D$6903-1</f>
        <v>0.0970231980380869</v>
      </c>
      <c r="H6904" s="12" t="n">
        <f aca="false">Sens!$F$6904+(g_os-Sens!$F$6904)*1/4</f>
        <v>0.0860286601882206</v>
      </c>
      <c r="I6904" s="12" t="n">
        <f aca="false">Sens!$F$6904+(g_os-Sens!$F$6904)*2/4</f>
        <v>0.074019106792147</v>
      </c>
      <c r="J6904" s="12" t="n">
        <f aca="false">Sens!$F$6904+(g_os-Sens!$F$6904)*3/4</f>
        <v>0.0620095533960735</v>
      </c>
      <c r="K6904" s="12" t="n">
        <f aca="false">Sens!$F$6904+(g_os-Sens!$F$6904)*4/4</f>
        <v>0.05</v>
      </c>
      <c r="L6904" s="12" t="n">
        <f aca="false">g_os</f>
        <v>0.05</v>
      </c>
      <c r="M6904" s="12" t="n">
        <f aca="false">g_os</f>
        <v>0.05</v>
      </c>
      <c r="P6904" s="8" t="s">
        <v>623</v>
      </c>
    </row>
    <row r="6905" customFormat="false" ht="17.15" hidden="false" customHeight="false" outlineLevel="0" collapsed="false">
      <c r="A6905" s="0" t="s">
        <v>480</v>
      </c>
      <c r="B6905" s="0" t="s">
        <v>73</v>
      </c>
      <c r="C6905" s="38" t="n">
        <f aca="false">Q!$D$11</f>
        <v>21.215</v>
      </c>
      <c r="D6905" s="38" t="n">
        <f aca="false">Q!$E$11</f>
        <v>22.561</v>
      </c>
      <c r="E6905" s="38" t="n">
        <f aca="false">Q!$P$11</f>
        <v>11.579</v>
      </c>
      <c r="F6905" s="38" t="n">
        <f aca="false">Sens!$O$6905*(1+Sens!$F$6906)</f>
        <v>12.0952613121125</v>
      </c>
      <c r="G6905" s="38" t="n">
        <f aca="false">Sens!$E$6905+Sens!$F$6905</f>
        <v>23.6742613121125</v>
      </c>
      <c r="H6905" s="38" t="n">
        <f aca="false">Sens!$G$6905*(1+Sens!$H$6906)</f>
        <v>24.8803243963206</v>
      </c>
      <c r="I6905" s="38" t="n">
        <f aca="false">Sens!$H$6905*(1+Sens!$I$6906)</f>
        <v>25.9741308664154</v>
      </c>
      <c r="J6905" s="38" t="n">
        <f aca="false">Sens!$I$6905*(1+Sens!$J$6906)</f>
        <v>26.9346894124267</v>
      </c>
      <c r="K6905" s="38" t="n">
        <f aca="false">Sens!$J$6905*(1+Sens!$K$6906)</f>
        <v>27.7427300947995</v>
      </c>
      <c r="L6905" s="38" t="n">
        <f aca="false">Sens!$K$6905*(1+Sens!$L$6906)</f>
        <v>28.5750119976435</v>
      </c>
      <c r="M6905" s="38" t="n">
        <f aca="false">Sens!$L$6905*(1+Sens!$M$6906)</f>
        <v>29.4322623575728</v>
      </c>
      <c r="N6905" s="38" t="n">
        <f aca="false">Q!$N$11</f>
        <v>11.128</v>
      </c>
      <c r="O6905" s="38" t="n">
        <f aca="false">Q!$O$11</f>
        <v>11.433</v>
      </c>
      <c r="P6905" s="8" t="s">
        <v>621</v>
      </c>
    </row>
    <row r="6906" customFormat="false" ht="17.15" hidden="false" customHeight="false" outlineLevel="0" collapsed="false">
      <c r="A6906" s="0" t="s">
        <v>624</v>
      </c>
      <c r="B6906" s="0" t="s">
        <v>52</v>
      </c>
      <c r="E6906" s="12" t="n">
        <f aca="false">Sens!$E$6905/Sens!$N$6905-1</f>
        <v>0.0405283968368082</v>
      </c>
      <c r="F6906" s="12" t="n">
        <f aca="false">Sens!$O$6905/(Q!$F$11+Q!$G$11)-1</f>
        <v>0.0579254187100955</v>
      </c>
      <c r="G6906" s="12" t="n">
        <f aca="false">Sens!$G$6905/Sens!$D$6905-1</f>
        <v>0.0493445021103904</v>
      </c>
      <c r="H6906" s="12" t="n">
        <f aca="false">Sens!$F$6906+(g_ps-Sens!$F$6906)*1/4</f>
        <v>0.0509440640325716</v>
      </c>
      <c r="I6906" s="12" t="n">
        <f aca="false">Sens!$F$6906+(g_ps-Sens!$F$6906)*2/4</f>
        <v>0.0439627093550477</v>
      </c>
      <c r="J6906" s="12" t="n">
        <f aca="false">Sens!$F$6906+(g_ps-Sens!$F$6906)*3/4</f>
        <v>0.0369813546775239</v>
      </c>
      <c r="K6906" s="12" t="n">
        <f aca="false">Sens!$F$6906+(g_ps-Sens!$F$6906)*4/4</f>
        <v>0.03</v>
      </c>
      <c r="L6906" s="12" t="n">
        <f aca="false">g_ps</f>
        <v>0.03</v>
      </c>
      <c r="M6906" s="12" t="n">
        <f aca="false">g_ps</f>
        <v>0.03</v>
      </c>
      <c r="P6906" s="8" t="s">
        <v>625</v>
      </c>
    </row>
    <row r="6907" customFormat="false" ht="17.15" hidden="false" customHeight="false" outlineLevel="0" collapsed="false">
      <c r="A6907" s="0" t="s">
        <v>481</v>
      </c>
      <c r="B6907" s="0" t="s">
        <v>73</v>
      </c>
      <c r="C6907" s="38" t="n">
        <f aca="false">Q!$D$12</f>
        <v>156.146</v>
      </c>
      <c r="D6907" s="38" t="n">
        <f aca="false">Q!$E$12</f>
        <v>172.162</v>
      </c>
      <c r="E6907" s="38" t="n">
        <f aca="false">Q!$P$12</f>
        <v>88.358</v>
      </c>
      <c r="F6907" s="38" t="n">
        <f aca="false">Sens!$O$6907*(1+Sens!$F$6908)-pd_amt*Q!$O$12/(Q!$O$10+Q!$O$12)</f>
        <v>103.62028337149</v>
      </c>
      <c r="G6907" s="38" t="n">
        <f aca="false">Sens!$E$6907+Sens!$F$6907</f>
        <v>191.97828337149</v>
      </c>
      <c r="H6907" s="38" t="n">
        <f aca="false">Sens!$G$6907*(1+Sens!$H$6908)</f>
        <v>212.128608444755</v>
      </c>
      <c r="I6907" s="38" t="n">
        <f aca="false">Sens!$H$6907*(1+Sens!$I$6908)</f>
        <v>231.92183134134</v>
      </c>
      <c r="J6907" s="38" t="n">
        <f aca="false">Sens!$I$6907*(1+Sens!$J$6908)</f>
        <v>250.859136487863</v>
      </c>
      <c r="K6907" s="38" t="n">
        <f aca="false">Sens!$J$6907*(1+Sens!$K$6908)</f>
        <v>268.419276042014</v>
      </c>
      <c r="L6907" s="38" t="n">
        <f aca="false">Sens!$K$6907*(1+Sens!$L$6908)</f>
        <v>287.208625364954</v>
      </c>
      <c r="M6907" s="38" t="n">
        <f aca="false">Sens!$L$6907*(1+Sens!$M$6908)</f>
        <v>307.313229140501</v>
      </c>
      <c r="N6907" s="38" t="n">
        <f aca="false">Q!$N$12</f>
        <v>76.86</v>
      </c>
      <c r="O6907" s="38" t="n">
        <f aca="false">Q!$O$12</f>
        <v>95.302</v>
      </c>
      <c r="P6907" s="8" t="s">
        <v>621</v>
      </c>
    </row>
    <row r="6908" customFormat="false" ht="17.15" hidden="false" customHeight="false" outlineLevel="0" collapsed="false">
      <c r="A6908" s="0" t="s">
        <v>626</v>
      </c>
      <c r="B6908" s="0" t="s">
        <v>52</v>
      </c>
      <c r="E6908" s="12" t="n">
        <f aca="false">Sens!$E$6907/Sens!$N$6907-1</f>
        <v>0.1495966692688</v>
      </c>
      <c r="F6908" s="12" t="n">
        <f aca="false">Sens!$O$6907/(Q!$F$12+Q!$G$12)-1</f>
        <v>0.11661530890813</v>
      </c>
      <c r="G6908" s="12" t="n">
        <f aca="false">Sens!$G$6907/Sens!$D$6907-1</f>
        <v>0.115102539303041</v>
      </c>
      <c r="H6908" s="12" t="n">
        <f aca="false">Sens!$F$6908+(g_sp-Sens!$F$6908)*1/4</f>
        <v>0.104961481681098</v>
      </c>
      <c r="I6908" s="12" t="n">
        <f aca="false">Sens!$F$6908+(g_sp-Sens!$F$6908)*2/4</f>
        <v>0.0933076544540651</v>
      </c>
      <c r="J6908" s="12" t="n">
        <f aca="false">Sens!$F$6908+(g_sp-Sens!$F$6908)*3/4</f>
        <v>0.0816538272270325</v>
      </c>
      <c r="K6908" s="12" t="n">
        <f aca="false">Sens!$F$6908+(g_sp-Sens!$F$6908)*4/4</f>
        <v>0.07</v>
      </c>
      <c r="L6908" s="12" t="n">
        <f aca="false">g_sp</f>
        <v>0.07</v>
      </c>
      <c r="M6908" s="12" t="n">
        <f aca="false">g_sp</f>
        <v>0.07</v>
      </c>
      <c r="P6908" s="8" t="s">
        <v>627</v>
      </c>
    </row>
    <row r="6909" customFormat="false" ht="17.15" hidden="false" customHeight="false" outlineLevel="0" collapsed="false">
      <c r="A6909" s="0" t="s">
        <v>482</v>
      </c>
      <c r="B6909" s="0" t="s">
        <v>73</v>
      </c>
      <c r="C6909" s="38" t="n">
        <f aca="false">Q!$D$13</f>
        <v>56.214</v>
      </c>
      <c r="D6909" s="38" t="n">
        <f aca="false">Q!$E$13</f>
        <v>68.635</v>
      </c>
      <c r="E6909" s="38" t="n">
        <f aca="false">Q!$P$13</f>
        <v>37.052</v>
      </c>
      <c r="F6909" s="38" t="n">
        <f aca="false">Sens!$O$6909*(1+Sens!$F$6910)</f>
        <v>48.1533381827382</v>
      </c>
      <c r="G6909" s="38" t="n">
        <f aca="false">Sens!$E$6909+Sens!$F$6909</f>
        <v>85.2053381827382</v>
      </c>
      <c r="H6909" s="38" t="n">
        <f aca="false">Sens!$G$6909*(1+Sens!$H$6910)</f>
        <v>102.29336185894</v>
      </c>
      <c r="I6909" s="38" t="n">
        <f aca="false">Sens!$H$6909*(1+Sens!$I$6910)</f>
        <v>119.379837585241</v>
      </c>
      <c r="J6909" s="38" t="n">
        <f aca="false">Sens!$I$6909*(1+Sens!$J$6910)</f>
        <v>135.319079048844</v>
      </c>
      <c r="K6909" s="38" t="n">
        <f aca="false">Sens!$J$6909*(1+Sens!$K$6910)</f>
        <v>148.850986953729</v>
      </c>
      <c r="L6909" s="38" t="n">
        <f aca="false">Sens!$K$6909*(1+Sens!$L$6910)</f>
        <v>163.736085649102</v>
      </c>
      <c r="M6909" s="38" t="n">
        <f aca="false">Sens!$L$6909*(1+Sens!$M$6910)</f>
        <v>180.109694214012</v>
      </c>
      <c r="N6909" s="38" t="n">
        <f aca="false">Q!$N$13</f>
        <v>29.615</v>
      </c>
      <c r="O6909" s="38" t="n">
        <f aca="false">Q!$O$13</f>
        <v>39.02</v>
      </c>
      <c r="P6909" s="8" t="s">
        <v>621</v>
      </c>
    </row>
    <row r="6910" customFormat="false" ht="17.15" hidden="false" customHeight="false" outlineLevel="0" collapsed="false">
      <c r="A6910" s="0" t="s">
        <v>628</v>
      </c>
      <c r="B6910" s="0" t="s">
        <v>52</v>
      </c>
      <c r="E6910" s="12" t="n">
        <f aca="false">Sens!$E$6909/Sens!$N$6909-1</f>
        <v>0.25112274185379</v>
      </c>
      <c r="F6910" s="12" t="n">
        <f aca="false">Sens!$O$6909/(Q!$F$13+Q!$G$13)-1</f>
        <v>0.234068123596572</v>
      </c>
      <c r="G6910" s="12" t="n">
        <f aca="false">Sens!$G$6909/Sens!$D$6909-1</f>
        <v>0.241426942270536</v>
      </c>
      <c r="H6910" s="12" t="n">
        <f aca="false">Sens!$F$6910+(g_ad-Sens!$F$6910)*1/4</f>
        <v>0.200551092697429</v>
      </c>
      <c r="I6910" s="12" t="n">
        <f aca="false">Sens!$F$6910+(g_ad-Sens!$F$6910)*2/4</f>
        <v>0.167034061798286</v>
      </c>
      <c r="J6910" s="12" t="n">
        <f aca="false">Sens!$F$6910+(g_ad-Sens!$F$6910)*3/4</f>
        <v>0.133517030899143</v>
      </c>
      <c r="K6910" s="12" t="n">
        <f aca="false">Sens!$F$6910+(g_ad-Sens!$F$6910)*4/4</f>
        <v>0.1</v>
      </c>
      <c r="L6910" s="12" t="n">
        <f aca="false">g_ad</f>
        <v>0.1</v>
      </c>
      <c r="M6910" s="12" t="n">
        <f aca="false">g_ad</f>
        <v>0.1</v>
      </c>
      <c r="P6910" s="8" t="s">
        <v>629</v>
      </c>
    </row>
    <row r="6911" customFormat="false" ht="17.15" hidden="false" customHeight="false" outlineLevel="0" collapsed="false">
      <c r="A6911" s="0" t="s">
        <v>483</v>
      </c>
      <c r="B6911" s="0" t="s">
        <v>73</v>
      </c>
      <c r="C6911" s="38" t="n">
        <f aca="false">Q!$D$14</f>
        <v>44.374</v>
      </c>
      <c r="D6911" s="38" t="n">
        <f aca="false">Q!$E$14</f>
        <v>49.619</v>
      </c>
      <c r="E6911" s="38" t="n">
        <f aca="false">Q!$P$14</f>
        <v>27.157</v>
      </c>
      <c r="F6911" s="38" t="n">
        <f aca="false">Sens!$O$6911*(1+Sens!$F$6912)</f>
        <v>28.9776360923374</v>
      </c>
      <c r="G6911" s="38" t="n">
        <f aca="false">Sens!$E$6911+Sens!$F$6911</f>
        <v>56.1346360923374</v>
      </c>
      <c r="H6911" s="38" t="n">
        <f aca="false">Sens!$G$6911*(1+Sens!$H$6912)</f>
        <v>62.4937078946075</v>
      </c>
      <c r="I6911" s="38" t="n">
        <f aca="false">Sens!$H$6911*(1+Sens!$I$6912)</f>
        <v>68.6715233062498</v>
      </c>
      <c r="J6911" s="38" t="n">
        <f aca="false">Sens!$I$6911*(1+Sens!$J$6912)</f>
        <v>74.4692882949818</v>
      </c>
      <c r="K6911" s="38" t="n">
        <f aca="false">Sens!$J$6911*(1+Sens!$K$6912)</f>
        <v>79.6821384756306</v>
      </c>
      <c r="L6911" s="38" t="n">
        <f aca="false">Sens!$K$6911*(1+Sens!$L$6912)</f>
        <v>85.2598881689247</v>
      </c>
      <c r="M6911" s="38" t="n">
        <f aca="false">Sens!$L$6911*(1+Sens!$M$6912)</f>
        <v>91.2280803407494</v>
      </c>
      <c r="N6911" s="38" t="n">
        <f aca="false">Q!$N$14</f>
        <v>23.923</v>
      </c>
      <c r="O6911" s="38" t="n">
        <f aca="false">Q!$O$14</f>
        <v>25.696</v>
      </c>
      <c r="P6911" s="8" t="s">
        <v>621</v>
      </c>
    </row>
    <row r="6912" customFormat="false" ht="17.15" hidden="false" customHeight="false" outlineLevel="0" collapsed="false">
      <c r="A6912" s="0" t="s">
        <v>630</v>
      </c>
      <c r="B6912" s="0" t="s">
        <v>52</v>
      </c>
      <c r="E6912" s="12" t="n">
        <f aca="false">Sens!$E$6911/Sens!$N$6911-1</f>
        <v>0.135183714417088</v>
      </c>
      <c r="F6912" s="12" t="n">
        <f aca="false">Sens!$O$6911/(Q!$F$14+Q!$G$14)-1</f>
        <v>0.127709997366804</v>
      </c>
      <c r="G6912" s="12" t="n">
        <f aca="false">Sens!$G$6911/Sens!$D$6911-1</f>
        <v>0.131313329416905</v>
      </c>
      <c r="H6912" s="12" t="n">
        <f aca="false">Sens!$F$6912+(g_sub-Sens!$F$6912)*1/4</f>
        <v>0.113282498025103</v>
      </c>
      <c r="I6912" s="12" t="n">
        <f aca="false">Sens!$F$6912+(g_sub-Sens!$F$6912)*2/4</f>
        <v>0.0988549986834021</v>
      </c>
      <c r="J6912" s="12" t="n">
        <f aca="false">Sens!$F$6912+(g_sub-Sens!$F$6912)*3/4</f>
        <v>0.084427499341701</v>
      </c>
      <c r="K6912" s="12" t="n">
        <f aca="false">Sens!$F$6912+(g_sub-Sens!$F$6912)*4/4</f>
        <v>0.07</v>
      </c>
      <c r="L6912" s="12" t="n">
        <f aca="false">g_sub</f>
        <v>0.07</v>
      </c>
      <c r="M6912" s="12" t="n">
        <f aca="false">g_sub</f>
        <v>0.07</v>
      </c>
      <c r="P6912" s="8" t="s">
        <v>631</v>
      </c>
    </row>
    <row r="6913" customFormat="false" ht="17.15" hidden="false" customHeight="false" outlineLevel="0" collapsed="false">
      <c r="A6913" s="0" t="s">
        <v>484</v>
      </c>
      <c r="B6913" s="0" t="s">
        <v>73</v>
      </c>
      <c r="C6913" s="38" t="n">
        <f aca="false">Q!$D$15</f>
        <v>5.425</v>
      </c>
      <c r="D6913" s="38" t="n">
        <f aca="false">Q!$E$15</f>
        <v>5.935</v>
      </c>
      <c r="E6913" s="38" t="n">
        <f aca="false">Q!$P$15</f>
        <v>3.474</v>
      </c>
      <c r="F6913" s="38" t="n">
        <f aca="false">Sens!$O$6913*(1+Sens!$F$6914)</f>
        <v>3.36182431966931</v>
      </c>
      <c r="G6913" s="38" t="n">
        <f aca="false">Sens!$E$6913+Sens!$F$6913</f>
        <v>6.83582431966931</v>
      </c>
      <c r="H6913" s="38" t="n">
        <f aca="false">Sens!$G$6913*(1+Sens!$H$6914)</f>
        <v>7.31157108370141</v>
      </c>
      <c r="I6913" s="38" t="n">
        <f aca="false">Sens!$H$6913*(1+Sens!$I$6914)</f>
        <v>7.77266852639815</v>
      </c>
      <c r="J6913" s="38" t="n">
        <f aca="false">Sens!$I$6913*(1+Sens!$J$6914)</f>
        <v>8.2120733019884</v>
      </c>
      <c r="K6913" s="38" t="n">
        <f aca="false">Sens!$J$6913*(1+Sens!$K$6914)</f>
        <v>8.62267696708783</v>
      </c>
      <c r="L6913" s="38" t="n">
        <f aca="false">Sens!$K$6913*(1+Sens!$L$6914)</f>
        <v>9.05381081544222</v>
      </c>
      <c r="M6913" s="38" t="n">
        <f aca="false">Sens!$L$6913*(1+Sens!$M$6914)</f>
        <v>9.50650135621433</v>
      </c>
      <c r="N6913" s="38" t="n">
        <f aca="false">Q!$N$15</f>
        <v>2.811</v>
      </c>
      <c r="O6913" s="38" t="n">
        <f aca="false">Q!$O$15</f>
        <v>3.124</v>
      </c>
      <c r="P6913" s="8" t="s">
        <v>621</v>
      </c>
    </row>
    <row r="6914" customFormat="false" ht="17.15" hidden="false" customHeight="false" outlineLevel="0" collapsed="false">
      <c r="A6914" s="0" t="s">
        <v>632</v>
      </c>
      <c r="B6914" s="0" t="s">
        <v>52</v>
      </c>
      <c r="E6914" s="12" t="n">
        <f aca="false">Sens!$E$6913/Sens!$N$6913-1</f>
        <v>0.235859124866596</v>
      </c>
      <c r="F6914" s="12" t="n">
        <f aca="false">Sens!$O$6913/(Q!$F$15+Q!$G$15)-1</f>
        <v>0.0761281433000345</v>
      </c>
      <c r="G6914" s="12" t="n">
        <f aca="false">Sens!$G$6913/Sens!$D$6913-1</f>
        <v>0.151781688234087</v>
      </c>
      <c r="H6914" s="12" t="n">
        <f aca="false">Sens!$F$6914+(g_ot-Sens!$F$6914)*1/4</f>
        <v>0.0695961074750259</v>
      </c>
      <c r="I6914" s="12" t="n">
        <f aca="false">Sens!$F$6914+(g_ot-Sens!$F$6914)*2/4</f>
        <v>0.0630640716500172</v>
      </c>
      <c r="J6914" s="12" t="n">
        <f aca="false">Sens!$F$6914+(g_ot-Sens!$F$6914)*3/4</f>
        <v>0.0565320358250086</v>
      </c>
      <c r="K6914" s="12" t="n">
        <f aca="false">Sens!$F$6914+(g_ot-Sens!$F$6914)*4/4</f>
        <v>0.05</v>
      </c>
      <c r="L6914" s="12" t="n">
        <f aca="false">g_ot</f>
        <v>0.05</v>
      </c>
      <c r="M6914" s="12" t="n">
        <f aca="false">g_ot</f>
        <v>0.05</v>
      </c>
      <c r="P6914" s="8" t="s">
        <v>633</v>
      </c>
    </row>
    <row r="6915" customFormat="false" ht="17.15" hidden="false" customHeight="false" outlineLevel="0" collapsed="false">
      <c r="A6915" s="3" t="s">
        <v>634</v>
      </c>
      <c r="B6915" s="8" t="s">
        <v>73</v>
      </c>
      <c r="C6915" s="38" t="n">
        <f aca="false">Sens!$C$6903+Sens!$C$6905+Sens!$C$6907+Sens!$C$6909+Sens!$C$6911+Sens!$C$6913</f>
        <v>530.403</v>
      </c>
      <c r="D6915" s="38" t="n">
        <f aca="false">Sens!$D$6903+Sens!$D$6905+Sens!$D$6907+Sens!$D$6909+Sens!$D$6911+Sens!$D$6913</f>
        <v>588.199</v>
      </c>
      <c r="E6915" s="38" t="n">
        <f aca="false">Sens!$E$6903+Sens!$E$6905+Sens!$E$6907+Sens!$E$6909+Sens!$E$6911+Sens!$E$6913</f>
        <v>302.306</v>
      </c>
      <c r="F6915" s="38" t="n">
        <f aca="false">Sens!$F$6903+Sens!$F$6905+Sens!$F$6907+Sens!$F$6909+Sens!$F$6911+Sens!$F$6913</f>
        <v>356.93642920843</v>
      </c>
      <c r="G6915" s="38" t="n">
        <f aca="false">Sens!$G$6903+Sens!$G$6905+Sens!$G$6907+Sens!$G$6909+Sens!$G$6911+Sens!$G$6913</f>
        <v>659.24242920843</v>
      </c>
      <c r="H6915" s="38" t="n">
        <f aca="false">Sens!$H$6903+Sens!$H$6905+Sens!$H$6907+Sens!$H$6909+Sens!$H$6911+Sens!$H$6913</f>
        <v>729.935737621701</v>
      </c>
      <c r="I6915" s="38" t="n">
        <f aca="false">Sens!$I$6903+Sens!$I$6905+Sens!$I$6907+Sens!$I$6909+Sens!$I$6911+Sens!$I$6913</f>
        <v>798.295569697873</v>
      </c>
      <c r="J6915" s="38" t="n">
        <f aca="false">Sens!$J$6903+Sens!$J$6905+Sens!$J$6907+Sens!$J$6909+Sens!$J$6911+Sens!$J$6913</f>
        <v>861.736822325785</v>
      </c>
      <c r="K6915" s="38" t="n">
        <f aca="false">Sens!$K$6903+Sens!$K$6905+Sens!$K$6907+Sens!$K$6909+Sens!$K$6911+Sens!$K$6913</f>
        <v>917.557492101925</v>
      </c>
      <c r="L6915" s="38" t="n">
        <f aca="false">Sens!$L$6903+Sens!$L$6905+Sens!$L$6907+Sens!$L$6909+Sens!$L$6911+Sens!$L$6913</f>
        <v>977.285089743165</v>
      </c>
      <c r="M6915" s="38" t="n">
        <f aca="false">Sens!$M$6903+Sens!$M$6905+Sens!$M$6907+Sens!$M$6909+Sens!$M$6911+Sens!$M$6913</f>
        <v>1041.2140185435</v>
      </c>
      <c r="N6915" s="38" t="n">
        <f aca="false">Sens!$N$6903+Sens!$N$6905+Sens!$N$6907+Sens!$N$6909+Sens!$N$6911+Sens!$N$6913</f>
        <v>263.229</v>
      </c>
      <c r="O6915" s="38" t="n">
        <f aca="false">Sens!$O$6903+Sens!$O$6905+Sens!$O$6907+Sens!$O$6909+Sens!$O$6911+Sens!$O$6913</f>
        <v>324.97</v>
      </c>
    </row>
    <row r="6916" customFormat="false" ht="17.15" hidden="false" customHeight="false" outlineLevel="0" collapsed="false">
      <c r="A6916" s="5" t="s">
        <v>635</v>
      </c>
      <c r="B6916" s="0" t="s">
        <v>52</v>
      </c>
      <c r="C6916" s="12" t="n">
        <f aca="false">Q!$D$5/(Q!$D$5+Q!$D$6)</f>
        <v>0.730570905519011</v>
      </c>
      <c r="D6916" s="12" t="n">
        <f aca="false">Q!$E$5/(Q!$E$5+Q!$E$6)</f>
        <v>0.724763217890544</v>
      </c>
      <c r="E6916" s="12" t="n">
        <f aca="false">Q!$P$5/(Q!$P$5+Q!$P$6)</f>
        <v>0.728797972914861</v>
      </c>
      <c r="F6916" s="12" t="n">
        <f aca="false">Sens!$O$6916</f>
        <v>0.718066283041511</v>
      </c>
      <c r="G6916" s="12" t="n">
        <f aca="false">Sens!$G$6917/Sens!$G$6915</f>
        <v>0.722987468473627</v>
      </c>
      <c r="H6916" s="12" t="n">
        <f aca="false">Sens!$G$6916</f>
        <v>0.722987468473627</v>
      </c>
      <c r="I6916" s="12" t="n">
        <f aca="false">Sens!$G$6916</f>
        <v>0.722987468473627</v>
      </c>
      <c r="J6916" s="12" t="n">
        <f aca="false">Sens!$G$6916</f>
        <v>0.722987468473627</v>
      </c>
      <c r="K6916" s="12" t="n">
        <f aca="false">Sens!$G$6916</f>
        <v>0.722987468473627</v>
      </c>
      <c r="L6916" s="12" t="n">
        <f aca="false">Sens!$G$6916</f>
        <v>0.722987468473627</v>
      </c>
      <c r="M6916" s="12" t="n">
        <f aca="false">Sens!$G$6916</f>
        <v>0.722987468473627</v>
      </c>
      <c r="N6916" s="12" t="n">
        <f aca="false">Q!$N$5/(Q!$N$5+Q!$N$6)</f>
        <v>0.733030935041352</v>
      </c>
      <c r="O6916" s="12" t="n">
        <f aca="false">Q!$O$5/(Q!$O$5+Q!$O$6)</f>
        <v>0.718066283041511</v>
      </c>
      <c r="P6916" s="8" t="s">
        <v>636</v>
      </c>
    </row>
    <row r="6917" customFormat="false" ht="17.15" hidden="false" customHeight="false" outlineLevel="0" collapsed="false">
      <c r="A6917" s="1" t="s">
        <v>472</v>
      </c>
      <c r="B6917" s="8" t="s">
        <v>73</v>
      </c>
      <c r="C6917" s="38" t="n">
        <f aca="false">Q!$D$5</f>
        <v>387.497</v>
      </c>
      <c r="D6917" s="38" t="n">
        <f aca="false">Q!$E$5</f>
        <v>426.305</v>
      </c>
      <c r="E6917" s="38" t="n">
        <f aca="false">Q!$P$5</f>
        <v>220.32</v>
      </c>
      <c r="F6917" s="38" t="n">
        <f aca="false">Sens!$F$6915*Sens!$F$6916</f>
        <v>256.304015003807</v>
      </c>
      <c r="G6917" s="38" t="n">
        <f aca="false">Sens!$E$6917+Sens!$F$6917</f>
        <v>476.624015003807</v>
      </c>
      <c r="H6917" s="38" t="n">
        <f aca="false">Sens!$H$6915*Sens!$H$6916</f>
        <v>527.734391091543</v>
      </c>
      <c r="I6917" s="38" t="n">
        <f aca="false">Sens!$I$6915*Sens!$I$6916</f>
        <v>577.157693029577</v>
      </c>
      <c r="J6917" s="38" t="n">
        <f aca="false">Sens!$J$6915*Sens!$J$6916</f>
        <v>623.024923663827</v>
      </c>
      <c r="K6917" s="38" t="n">
        <f aca="false">Sens!$K$6915*Sens!$K$6916</f>
        <v>663.382568393781</v>
      </c>
      <c r="L6917" s="38" t="n">
        <f aca="false">Sens!$L$6915*Sens!$L$6916</f>
        <v>706.564873010432</v>
      </c>
      <c r="M6917" s="38" t="n">
        <f aca="false">Sens!$M$6915*Sens!$M$6916</f>
        <v>752.784687406019</v>
      </c>
      <c r="N6917" s="38" t="n">
        <f aca="false">Q!$N$5</f>
        <v>192.955</v>
      </c>
      <c r="O6917" s="38" t="n">
        <f aca="false">Q!$O$5</f>
        <v>233.35</v>
      </c>
      <c r="P6917" s="5" t="s">
        <v>637</v>
      </c>
    </row>
    <row r="6918" customFormat="false" ht="17.15" hidden="false" customHeight="false" outlineLevel="0" collapsed="false">
      <c r="A6918" s="1" t="s">
        <v>475</v>
      </c>
      <c r="B6918" s="8" t="s">
        <v>73</v>
      </c>
      <c r="C6918" s="38" t="n">
        <f aca="false">Q!$D$6</f>
        <v>142.906</v>
      </c>
      <c r="D6918" s="38" t="n">
        <f aca="false">Q!$E$6</f>
        <v>161.894</v>
      </c>
      <c r="E6918" s="38" t="n">
        <f aca="false">Q!$P$6</f>
        <v>81.986</v>
      </c>
      <c r="F6918" s="38" t="n">
        <f aca="false">Sens!$F$6915*(1-Sens!$F$6916)</f>
        <v>100.632414204623</v>
      </c>
      <c r="G6918" s="38" t="n">
        <f aca="false">Sens!$E$6918+Sens!$F$6918</f>
        <v>182.618414204623</v>
      </c>
      <c r="H6918" s="38" t="n">
        <f aca="false">Sens!$H$6915*(1-Sens!$H$6916)</f>
        <v>202.201346530158</v>
      </c>
      <c r="I6918" s="38" t="n">
        <f aca="false">Sens!$I$6915*(1-Sens!$I$6916)</f>
        <v>221.137876668296</v>
      </c>
      <c r="J6918" s="38" t="n">
        <f aca="false">Sens!$J$6915*(1-Sens!$J$6916)</f>
        <v>238.711898661958</v>
      </c>
      <c r="K6918" s="38" t="n">
        <f aca="false">Sens!$K$6915*(1-Sens!$K$6916)</f>
        <v>254.174923708144</v>
      </c>
      <c r="L6918" s="38" t="n">
        <f aca="false">Sens!$L$6915*(1-Sens!$L$6916)</f>
        <v>270.720216732733</v>
      </c>
      <c r="M6918" s="38" t="n">
        <f aca="false">Sens!$M$6915*(1-Sens!$M$6916)</f>
        <v>288.429331137484</v>
      </c>
      <c r="N6918" s="38" t="n">
        <f aca="false">Q!$N$6</f>
        <v>70.274</v>
      </c>
      <c r="O6918" s="38" t="n">
        <f aca="false">Q!$O$6</f>
        <v>91.62</v>
      </c>
      <c r="P6918" s="5" t="s">
        <v>638</v>
      </c>
    </row>
    <row r="6919" customFormat="false" ht="17.15" hidden="false" customHeight="false" outlineLevel="0" collapsed="false">
      <c r="A6919" s="5" t="s">
        <v>639</v>
      </c>
      <c r="B6919" s="0" t="s">
        <v>73</v>
      </c>
      <c r="C6919" s="38" t="n">
        <f aca="false">Sens!$C$6909*Sens!$C$6916</f>
        <v>41.0683128828457</v>
      </c>
      <c r="D6919" s="38" t="n">
        <f aca="false">Sens!$D$6909*Sens!$D$6916</f>
        <v>49.7441234599175</v>
      </c>
      <c r="E6919" s="38" t="n">
        <f aca="false">Sens!$E$6909*Sens!$E$6916</f>
        <v>27.0034224924414</v>
      </c>
      <c r="F6919" s="38" t="n">
        <f aca="false">Sens!$F$6909*Sens!$F$6916</f>
        <v>34.5772885649197</v>
      </c>
      <c r="G6919" s="38" t="n">
        <f aca="false">Sens!$G$6909*Sens!$G$6916</f>
        <v>61.6023917531772</v>
      </c>
      <c r="H6919" s="38" t="n">
        <f aca="false">Sens!$H$6909*Sens!$H$6916</f>
        <v>73.9568187320519</v>
      </c>
      <c r="I6919" s="38" t="n">
        <f aca="false">Sens!$I$6909*Sens!$I$6916</f>
        <v>86.3101265625461</v>
      </c>
      <c r="J6919" s="38" t="n">
        <f aca="false">Sens!$J$6909*Sens!$J$6916</f>
        <v>97.8339983977065</v>
      </c>
      <c r="K6919" s="38" t="n">
        <f aca="false">Sens!$K$6909*Sens!$K$6916</f>
        <v>107.617398237477</v>
      </c>
      <c r="L6919" s="38" t="n">
        <f aca="false">Sens!$L$6909*Sens!$L$6916</f>
        <v>118.379138061225</v>
      </c>
      <c r="M6919" s="38" t="n">
        <f aca="false">Sens!$M$6909*Sens!$M$6916</f>
        <v>130.217051867347</v>
      </c>
      <c r="N6919" s="38" t="n">
        <f aca="false">Sens!$N$6909*Sens!$N$6916</f>
        <v>21.7087111412496</v>
      </c>
      <c r="O6919" s="38" t="n">
        <f aca="false">Sens!$O$6909*Sens!$O$6916</f>
        <v>28.0189463642798</v>
      </c>
      <c r="P6919" s="5" t="s">
        <v>640</v>
      </c>
    </row>
    <row r="6920" customFormat="false" ht="15" hidden="false" customHeight="false" outlineLevel="0" collapsed="false">
      <c r="A6920" s="5" t="s">
        <v>641</v>
      </c>
      <c r="B6920" s="0" t="s">
        <v>73</v>
      </c>
      <c r="C6920" s="38" t="n">
        <f aca="false">Sens!$C$6909-Sens!$C$6919</f>
        <v>15.1456871171543</v>
      </c>
      <c r="D6920" s="38" t="n">
        <f aca="false">Sens!$D$6909-Sens!$D$6919</f>
        <v>18.8908765400825</v>
      </c>
      <c r="E6920" s="38" t="n">
        <f aca="false">Sens!$E$6909-Sens!$E$6919</f>
        <v>10.0485775075586</v>
      </c>
      <c r="F6920" s="38" t="n">
        <f aca="false">Sens!$F$6909-Sens!$F$6919</f>
        <v>13.5760496178185</v>
      </c>
      <c r="G6920" s="38" t="n">
        <f aca="false">Sens!$G$6909-Sens!$G$6919</f>
        <v>23.6029464295611</v>
      </c>
      <c r="H6920" s="38" t="n">
        <f aca="false">Sens!$H$6909-Sens!$H$6919</f>
        <v>28.3365431268884</v>
      </c>
      <c r="I6920" s="38" t="n">
        <f aca="false">Sens!$I$6909-Sens!$I$6919</f>
        <v>33.0697110226949</v>
      </c>
      <c r="J6920" s="38" t="n">
        <f aca="false">Sens!$J$6909-Sens!$J$6919</f>
        <v>37.4850806511378</v>
      </c>
      <c r="K6920" s="38" t="n">
        <f aca="false">Sens!$K$6909-Sens!$K$6919</f>
        <v>41.2335887162515</v>
      </c>
      <c r="L6920" s="38" t="n">
        <f aca="false">Sens!$L$6909-Sens!$L$6919</f>
        <v>45.3569475878767</v>
      </c>
      <c r="M6920" s="38" t="n">
        <f aca="false">Sens!$M$6909-Sens!$M$6919</f>
        <v>49.8926423466644</v>
      </c>
      <c r="N6920" s="38" t="n">
        <f aca="false">Sens!$N$6909-Sens!$N$6919</f>
        <v>7.90628885875037</v>
      </c>
      <c r="O6920" s="38" t="n">
        <f aca="false">Sens!$O$6909-Sens!$O$6919</f>
        <v>11.0010536357202</v>
      </c>
    </row>
    <row r="6921" customFormat="false" ht="19.4" hidden="false" customHeight="false" outlineLevel="0" collapsed="false">
      <c r="A6921" s="31" t="s">
        <v>1194</v>
      </c>
    </row>
    <row r="6922" customFormat="false" ht="17.15" hidden="false" customHeight="false" outlineLevel="0" collapsed="false">
      <c r="A6922" s="6" t="s">
        <v>16</v>
      </c>
      <c r="B6922" s="6" t="s">
        <v>17</v>
      </c>
      <c r="C6922" s="20" t="s">
        <v>457</v>
      </c>
      <c r="D6922" s="20" t="s">
        <v>458</v>
      </c>
      <c r="E6922" s="20" t="s">
        <v>540</v>
      </c>
      <c r="F6922" s="20" t="s">
        <v>541</v>
      </c>
      <c r="G6922" s="20" t="s">
        <v>542</v>
      </c>
      <c r="H6922" s="20" t="s">
        <v>543</v>
      </c>
      <c r="I6922" s="20" t="s">
        <v>544</v>
      </c>
      <c r="J6922" s="20" t="s">
        <v>545</v>
      </c>
      <c r="K6922" s="20" t="s">
        <v>546</v>
      </c>
      <c r="L6922" s="20" t="s">
        <v>547</v>
      </c>
      <c r="M6922" s="20" t="s">
        <v>548</v>
      </c>
      <c r="N6922" s="20" t="s">
        <v>549</v>
      </c>
      <c r="O6922" s="20" t="s">
        <v>550</v>
      </c>
      <c r="P6922" s="6" t="s">
        <v>23</v>
      </c>
      <c r="R6922" s="20" t="n">
        <v>2023</v>
      </c>
      <c r="S6922" s="20" t="n">
        <v>2024</v>
      </c>
      <c r="T6922" s="20" t="n">
        <v>2025</v>
      </c>
      <c r="U6922" s="20" t="n">
        <v>2026</v>
      </c>
      <c r="V6922" s="20" t="n">
        <v>2027</v>
      </c>
      <c r="W6922" s="20" t="n">
        <v>2028</v>
      </c>
      <c r="X6922" s="20" t="n">
        <v>2029</v>
      </c>
      <c r="Y6922" s="20" t="n">
        <v>2030</v>
      </c>
      <c r="Z6922" s="20" t="n">
        <v>2031</v>
      </c>
      <c r="AA6922" s="20" t="n">
        <v>2032</v>
      </c>
    </row>
    <row r="6923" customFormat="false" ht="17.15" hidden="false" customHeight="false" outlineLevel="0" collapsed="false">
      <c r="A6923" s="1" t="s">
        <v>551</v>
      </c>
    </row>
    <row r="6924" customFormat="false" ht="17.15" hidden="false" customHeight="false" outlineLevel="0" collapsed="false">
      <c r="A6924" s="14" t="s">
        <v>552</v>
      </c>
      <c r="B6924" s="13" t="s">
        <v>108</v>
      </c>
      <c r="C6924" s="32" t="n">
        <f aca="false">mw_ye24</f>
        <v>360</v>
      </c>
      <c r="D6924" s="32" t="n">
        <f aca="false">mw_ye25</f>
        <v>1440</v>
      </c>
      <c r="E6924" s="32" t="n">
        <f aca="false">mw_open</f>
        <v>2080</v>
      </c>
      <c r="F6924" s="32" t="n">
        <f aca="false">Sens!$E$6924+pace_B*0.5</f>
        <v>3897.15</v>
      </c>
      <c r="G6924" s="32" t="n">
        <f aca="false">Sens!$F$6924</f>
        <v>3897.15</v>
      </c>
      <c r="H6924" s="32" t="n">
        <f aca="false">Sens!$G$6924+pace_B</f>
        <v>7531.45</v>
      </c>
      <c r="I6924" s="32" t="n">
        <f aca="false">Sens!$H$6924+pace_B</f>
        <v>11165.75</v>
      </c>
      <c r="J6924" s="32" t="n">
        <f aca="false">Sens!$I$6924+pace_B</f>
        <v>14800.05</v>
      </c>
      <c r="K6924" s="32" t="n">
        <f aca="false">Sens!$J$6924+pace_B</f>
        <v>18434.35</v>
      </c>
      <c r="L6924" s="32" t="n">
        <f aca="false">Sens!$K$6924+pace_B</f>
        <v>22068.65</v>
      </c>
      <c r="M6924" s="32" t="n">
        <f aca="false">Sens!$L$6924+pace_B</f>
        <v>25702.95</v>
      </c>
      <c r="N6924" s="32" t="n">
        <f aca="false">(mw_ye24+mw_ye25)/2</f>
        <v>900</v>
      </c>
      <c r="O6924" s="32" t="n">
        <f aca="false">mw_ye25</f>
        <v>1440</v>
      </c>
      <c r="P6924" s="5" t="s">
        <v>553</v>
      </c>
    </row>
    <row r="6925" customFormat="false" ht="17.15" hidden="false" customHeight="false" outlineLevel="0" collapsed="false">
      <c r="A6925" s="5" t="s">
        <v>554</v>
      </c>
      <c r="B6925" s="0" t="s">
        <v>108</v>
      </c>
      <c r="C6925" s="33" t="n">
        <f aca="false">(mw_ye23+mw_ye24)/2</f>
        <v>240</v>
      </c>
      <c r="D6925" s="33" t="n">
        <f aca="false">(Sens!$C$6924+Sens!$D$6924)/2</f>
        <v>900</v>
      </c>
      <c r="E6925" s="33" t="n">
        <f aca="false">(Sens!$D$6924+Sens!$E$6924)/2</f>
        <v>1760</v>
      </c>
      <c r="F6925" s="33" t="n">
        <f aca="false">(Sens!$E$6924+Sens!$F$6924)/2</f>
        <v>2988.575</v>
      </c>
      <c r="G6925" s="33" t="n">
        <f aca="false">(Sens!$E$6925+Sens!$F$6925)/2</f>
        <v>2374.2875</v>
      </c>
      <c r="H6925" s="33" t="n">
        <f aca="false">(Sens!$G$6924+Sens!$H$6924)/2</f>
        <v>5714.3</v>
      </c>
      <c r="I6925" s="33" t="n">
        <f aca="false">(Sens!$H$6924+Sens!$I$6924)/2</f>
        <v>9348.6</v>
      </c>
      <c r="J6925" s="33" t="n">
        <f aca="false">(Sens!$I$6924+Sens!$J$6924)/2</f>
        <v>12982.9</v>
      </c>
      <c r="K6925" s="33" t="n">
        <f aca="false">(Sens!$J$6924+Sens!$K$6924)/2</f>
        <v>16617.2</v>
      </c>
      <c r="L6925" s="33" t="n">
        <f aca="false">(Sens!$K$6924+Sens!$L$6924)/2</f>
        <v>20251.5</v>
      </c>
      <c r="M6925" s="33" t="n">
        <f aca="false">(Sens!$L$6924+Sens!$M$6924)/2</f>
        <v>23885.8</v>
      </c>
      <c r="N6925" s="33" t="n">
        <f aca="false">(Sens!$C$6924+Sens!$N$6924)/2</f>
        <v>630</v>
      </c>
      <c r="O6925" s="33" t="n">
        <f aca="false">(Sens!$N$6924+Sens!$O$6924)/2</f>
        <v>1170</v>
      </c>
    </row>
    <row r="6926" customFormat="false" ht="15" hidden="false" customHeight="false" outlineLevel="0" collapsed="false">
      <c r="A6926" s="5" t="s">
        <v>555</v>
      </c>
      <c r="B6926" s="5" t="s">
        <v>102</v>
      </c>
      <c r="C6926" s="34" t="n">
        <v>1</v>
      </c>
      <c r="D6926" s="34" t="n">
        <v>1</v>
      </c>
      <c r="E6926" s="34" t="n">
        <v>0.5</v>
      </c>
      <c r="F6926" s="34" t="n">
        <v>0.5</v>
      </c>
      <c r="G6926" s="34" t="n">
        <v>1</v>
      </c>
      <c r="H6926" s="34" t="n">
        <v>1</v>
      </c>
      <c r="I6926" s="34" t="n">
        <v>1</v>
      </c>
      <c r="J6926" s="34" t="n">
        <v>1</v>
      </c>
      <c r="K6926" s="34" t="n">
        <v>1</v>
      </c>
      <c r="L6926" s="34" t="n">
        <v>1</v>
      </c>
      <c r="M6926" s="34" t="n">
        <v>1</v>
      </c>
      <c r="N6926" s="34" t="n">
        <v>0.5</v>
      </c>
      <c r="O6926" s="34" t="n">
        <v>0.5</v>
      </c>
    </row>
    <row r="6927" customFormat="false" ht="17.15" hidden="false" customHeight="false" outlineLevel="0" collapsed="false">
      <c r="A6927" s="5" t="s">
        <v>556</v>
      </c>
      <c r="B6927" s="0" t="s">
        <v>108</v>
      </c>
      <c r="C6927" s="33" t="n">
        <f aca="false">Sens!$C$6924-mw_ye23</f>
        <v>240</v>
      </c>
      <c r="D6927" s="33" t="n">
        <f aca="false">Sens!$D$6924-Sens!$C$6924</f>
        <v>1080</v>
      </c>
      <c r="E6927" s="33" t="n">
        <f aca="false">Sens!$E$6924-Sens!$D$6924</f>
        <v>640</v>
      </c>
      <c r="F6927" s="33" t="n">
        <f aca="false">Sens!$F$6924-Sens!$E$6924</f>
        <v>1817.15</v>
      </c>
      <c r="G6927" s="33" t="n">
        <f aca="false">Sens!$E$6927+Sens!$F$6927</f>
        <v>2457.15</v>
      </c>
      <c r="H6927" s="33" t="n">
        <f aca="false">Sens!$H$6924-Sens!$G$6924</f>
        <v>3634.3</v>
      </c>
      <c r="I6927" s="33" t="n">
        <f aca="false">Sens!$I$6924-Sens!$H$6924</f>
        <v>3634.3</v>
      </c>
      <c r="J6927" s="33" t="n">
        <f aca="false">Sens!$J$6924-Sens!$I$6924</f>
        <v>3634.3</v>
      </c>
      <c r="K6927" s="33" t="n">
        <f aca="false">Sens!$K$6924-Sens!$J$6924</f>
        <v>3634.3</v>
      </c>
      <c r="L6927" s="33" t="n">
        <f aca="false">Sens!$L$6924-Sens!$K$6924</f>
        <v>3634.3</v>
      </c>
      <c r="M6927" s="33" t="n">
        <f aca="false">Sens!$M$6924-Sens!$L$6924</f>
        <v>3634.3</v>
      </c>
      <c r="N6927" s="33" t="n">
        <f aca="false">Sens!$N$6924-Sens!$C$6924</f>
        <v>540</v>
      </c>
      <c r="O6927" s="33" t="n">
        <f aca="false">Sens!$O$6924-Sens!$N$6924</f>
        <v>540</v>
      </c>
    </row>
    <row r="6928" customFormat="false" ht="17.15" hidden="false" customHeight="false" outlineLevel="0" collapsed="false">
      <c r="A6928" s="5" t="s">
        <v>557</v>
      </c>
      <c r="B6928" s="0" t="s">
        <v>108</v>
      </c>
      <c r="C6928" s="33" t="n">
        <f aca="false">Sens!$C$6927/ext_sh</f>
        <v>300</v>
      </c>
      <c r="D6928" s="33" t="n">
        <f aca="false">Sens!$D$6927/ext_sh</f>
        <v>1350</v>
      </c>
      <c r="E6928" s="33" t="n">
        <f aca="false">Sens!$E$6927/ext_sh</f>
        <v>800</v>
      </c>
      <c r="F6928" s="33" t="n">
        <f aca="false">Sens!$F$6927/ext_sh</f>
        <v>2271.4375</v>
      </c>
      <c r="G6928" s="33" t="n">
        <f aca="false">Sens!$G$6927/ext_sh</f>
        <v>3071.4375</v>
      </c>
      <c r="H6928" s="33" t="n">
        <f aca="false">Sens!$H$6927/ext_sh</f>
        <v>4542.875</v>
      </c>
      <c r="I6928" s="33" t="n">
        <f aca="false">Sens!$I$6927/ext_sh</f>
        <v>4542.875</v>
      </c>
      <c r="J6928" s="33" t="n">
        <f aca="false">Sens!$J$6927/ext_sh</f>
        <v>4542.875</v>
      </c>
      <c r="K6928" s="33" t="n">
        <f aca="false">Sens!$K$6927/ext_sh</f>
        <v>4542.875</v>
      </c>
      <c r="L6928" s="33" t="n">
        <f aca="false">Sens!$L$6927/ext_sh</f>
        <v>4542.875</v>
      </c>
      <c r="M6928" s="33" t="n">
        <f aca="false">Sens!$M$6927/ext_sh</f>
        <v>4542.875</v>
      </c>
      <c r="N6928" s="33" t="n">
        <f aca="false">Sens!$N$6927/ext_sh</f>
        <v>675</v>
      </c>
      <c r="O6928" s="33" t="n">
        <f aca="false">Sens!$O$6927/ext_sh</f>
        <v>675</v>
      </c>
      <c r="P6928" s="8" t="s">
        <v>558</v>
      </c>
      <c r="R6928" s="33" t="n">
        <f aca="false">mw_ye23/ext_sh</f>
        <v>150</v>
      </c>
      <c r="S6928" s="33" t="n">
        <f aca="false">Sens!$C$6928</f>
        <v>300</v>
      </c>
      <c r="T6928" s="33" t="n">
        <f aca="false">Sens!$D$6928</f>
        <v>1350</v>
      </c>
      <c r="U6928" s="33" t="n">
        <f aca="false">Sens!$G$6928</f>
        <v>3071.4375</v>
      </c>
      <c r="V6928" s="33" t="n">
        <f aca="false">Sens!$H$6928</f>
        <v>4542.875</v>
      </c>
      <c r="W6928" s="33" t="n">
        <f aca="false">Sens!$I$6928</f>
        <v>4542.875</v>
      </c>
      <c r="X6928" s="33" t="n">
        <f aca="false">Sens!$J$6928</f>
        <v>4542.875</v>
      </c>
      <c r="Y6928" s="33" t="n">
        <f aca="false">Sens!$K$6928</f>
        <v>4542.875</v>
      </c>
      <c r="Z6928" s="33" t="n">
        <f aca="false">Sens!$L$6928</f>
        <v>4542.875</v>
      </c>
      <c r="AA6928" s="33" t="n">
        <f aca="false">Sens!$M$6928</f>
        <v>4542.875</v>
      </c>
    </row>
    <row r="6929" customFormat="false" ht="17.15" hidden="false" customHeight="false" outlineLevel="0" collapsed="false">
      <c r="A6929" s="1" t="s">
        <v>559</v>
      </c>
    </row>
    <row r="6930" customFormat="false" ht="17.15" hidden="false" customHeight="false" outlineLevel="0" collapsed="false">
      <c r="A6930" s="0" t="s">
        <v>560</v>
      </c>
      <c r="B6930" s="0" t="s">
        <v>52</v>
      </c>
      <c r="F6930" s="35" t="n">
        <f aca="false">na_vr26</f>
        <v>0</v>
      </c>
      <c r="G6930" s="35" t="n">
        <f aca="false">na_vr26</f>
        <v>0</v>
      </c>
      <c r="H6930" s="35" t="n">
        <f aca="false">na_vr27</f>
        <v>0.5</v>
      </c>
      <c r="I6930" s="35" t="n">
        <f aca="false">na_vr28</f>
        <v>1</v>
      </c>
      <c r="J6930" s="35" t="n">
        <f aca="false">na_vr28</f>
        <v>1</v>
      </c>
      <c r="K6930" s="35" t="n">
        <f aca="false">na_vr28</f>
        <v>1</v>
      </c>
      <c r="L6930" s="35" t="n">
        <f aca="false">na_vr28</f>
        <v>1</v>
      </c>
      <c r="M6930" s="35" t="n">
        <f aca="false">na_vr28</f>
        <v>1</v>
      </c>
    </row>
    <row r="6931" customFormat="false" ht="17.15" hidden="false" customHeight="false" outlineLevel="0" collapsed="false">
      <c r="A6931" s="5" t="s">
        <v>561</v>
      </c>
      <c r="B6931" s="0" t="s">
        <v>151</v>
      </c>
      <c r="F6931" s="36" t="n">
        <f aca="false">cust_sh*tk_he_gb300*cf_chip+(1-cust_sh)*((1-Sens!$F$6930)*tk_he_gb300+Sens!$F$6930*tk_he_vr200)</f>
        <v>10.8864110021101</v>
      </c>
      <c r="G6931" s="36" t="n">
        <f aca="false">cust_sh*tk_he_gb300*cf_chip+(1-cust_sh)*((1-Sens!$G$6930)*tk_he_gb300+Sens!$G$6930*tk_he_vr200)</f>
        <v>10.8864110021101</v>
      </c>
      <c r="H6931" s="36" t="n">
        <f aca="false">cust_sh*tk_he_gb300*cf_chip+(1-cust_sh)*((1-Sens!$H$6930)*tk_he_gb300+Sens!$H$6930*tk_he_vr200)</f>
        <v>11.2211760027286</v>
      </c>
      <c r="I6931" s="36" t="n">
        <f aca="false">cust_sh*tk_he_gb300*cf_chip+(1-cust_sh)*((1-Sens!$I$6930)*tk_he_gb300+Sens!$I$6930*tk_he_vr200)</f>
        <v>11.5559410033471</v>
      </c>
      <c r="J6931" s="36" t="n">
        <f aca="false">cust_sh*tk_he_gb300*cf_chip+(1-cust_sh)*((1-Sens!$J$6930)*tk_he_gb300+Sens!$J$6930*tk_he_vr200)</f>
        <v>11.5559410033471</v>
      </c>
      <c r="K6931" s="36" t="n">
        <f aca="false">cust_sh*tk_he_gb300*cf_chip+(1-cust_sh)*((1-Sens!$K$6930)*tk_he_gb300+Sens!$K$6930*tk_he_vr200)</f>
        <v>11.5559410033471</v>
      </c>
      <c r="L6931" s="36" t="n">
        <f aca="false">cust_sh*tk_he_gb300*cf_chip+(1-cust_sh)*((1-Sens!$L$6930)*tk_he_gb300+Sens!$L$6930*tk_he_vr200)</f>
        <v>11.5559410033471</v>
      </c>
      <c r="M6931" s="36" t="n">
        <f aca="false">cust_sh*tk_he_gb300*cf_chip+(1-cust_sh)*((1-Sens!$M$6930)*tk_he_gb300+Sens!$M$6930*tk_he_vr200)</f>
        <v>11.5559410033471</v>
      </c>
    </row>
    <row r="6932" customFormat="false" ht="17.15" hidden="false" customHeight="false" outlineLevel="0" collapsed="false">
      <c r="A6932" s="5" t="s">
        <v>562</v>
      </c>
      <c r="B6932" s="0" t="s">
        <v>151</v>
      </c>
      <c r="F6932" s="36" t="n">
        <f aca="false">cust_sh*tk_ox_gb300+(1-cust_sh)*((1-Sens!$F$6930)*tk_ox_gb300+Sens!$F$6930*tk_ox_vr200)</f>
        <v>1.98263481314457</v>
      </c>
      <c r="G6932" s="36" t="n">
        <f aca="false">cust_sh*tk_ox_gb300+(1-cust_sh)*((1-Sens!$G$6930)*tk_ox_gb300+Sens!$G$6930*tk_ox_vr200)</f>
        <v>1.98263481314457</v>
      </c>
      <c r="H6932" s="36" t="n">
        <f aca="false">cust_sh*tk_ox_gb300+(1-cust_sh)*((1-Sens!$H$6930)*tk_ox_gb300+Sens!$H$6930*tk_ox_vr200)</f>
        <v>2.01034999693694</v>
      </c>
      <c r="I6932" s="36" t="n">
        <f aca="false">cust_sh*tk_ox_gb300+(1-cust_sh)*((1-Sens!$I$6930)*tk_ox_gb300+Sens!$I$6930*tk_ox_vr200)</f>
        <v>2.0380651807293</v>
      </c>
      <c r="J6932" s="36" t="n">
        <f aca="false">cust_sh*tk_ox_gb300+(1-cust_sh)*((1-Sens!$J$6930)*tk_ox_gb300+Sens!$J$6930*tk_ox_vr200)</f>
        <v>2.0380651807293</v>
      </c>
      <c r="K6932" s="36" t="n">
        <f aca="false">cust_sh*tk_ox_gb300+(1-cust_sh)*((1-Sens!$K$6930)*tk_ox_gb300+Sens!$K$6930*tk_ox_vr200)</f>
        <v>2.0380651807293</v>
      </c>
      <c r="L6932" s="36" t="n">
        <f aca="false">cust_sh*tk_ox_gb300+(1-cust_sh)*((1-Sens!$L$6930)*tk_ox_gb300+Sens!$L$6930*tk_ox_vr200)</f>
        <v>2.0380651807293</v>
      </c>
      <c r="M6932" s="36" t="n">
        <f aca="false">cust_sh*tk_ox_gb300+(1-cust_sh)*((1-Sens!$M$6930)*tk_ox_gb300+Sens!$M$6930*tk_ox_vr200)</f>
        <v>2.0380651807293</v>
      </c>
    </row>
    <row r="6933" customFormat="false" ht="17.15" hidden="false" customHeight="false" outlineLevel="0" collapsed="false">
      <c r="A6933" s="5" t="s">
        <v>563</v>
      </c>
      <c r="B6933" s="0" t="s">
        <v>170</v>
      </c>
      <c r="F6933" s="36" t="n">
        <f aca="false">cust_sh*tk_cx_gb300*cf_cx+(1-cust_sh)*((1-Sens!$F$6930)*tk_cx_gb300+Sens!$F$6930*tk_cx_vr200)</f>
        <v>32.237224</v>
      </c>
      <c r="G6933" s="36" t="n">
        <f aca="false">cust_sh*tk_cx_gb300*cf_cx+(1-cust_sh)*((1-Sens!$G$6930)*tk_cx_gb300+Sens!$G$6930*tk_cx_vr200)</f>
        <v>32.237224</v>
      </c>
      <c r="H6933" s="36" t="n">
        <f aca="false">cust_sh*tk_cx_gb300*cf_cx+(1-cust_sh)*((1-Sens!$H$6930)*tk_cx_gb300+Sens!$H$6930*tk_cx_vr200)</f>
        <v>33.574506</v>
      </c>
      <c r="I6933" s="36" t="n">
        <f aca="false">cust_sh*tk_cx_gb300*cf_cx+(1-cust_sh)*((1-Sens!$I$6930)*tk_cx_gb300+Sens!$I$6930*tk_cx_vr200)</f>
        <v>34.911788</v>
      </c>
      <c r="J6933" s="36" t="n">
        <f aca="false">cust_sh*tk_cx_gb300*cf_cx+(1-cust_sh)*((1-Sens!$J$6930)*tk_cx_gb300+Sens!$J$6930*tk_cx_vr200)</f>
        <v>34.911788</v>
      </c>
      <c r="K6933" s="36" t="n">
        <f aca="false">cust_sh*tk_cx_gb300*cf_cx+(1-cust_sh)*((1-Sens!$K$6930)*tk_cx_gb300+Sens!$K$6930*tk_cx_vr200)</f>
        <v>34.911788</v>
      </c>
      <c r="L6933" s="36" t="n">
        <f aca="false">cust_sh*tk_cx_gb300*cf_cx+(1-cust_sh)*((1-Sens!$L$6930)*tk_cx_gb300+Sens!$L$6930*tk_cx_vr200)</f>
        <v>34.911788</v>
      </c>
      <c r="M6933" s="36" t="n">
        <f aca="false">cust_sh*tk_cx_gb300*cf_cx+(1-cust_sh)*((1-Sens!$M$6930)*tk_cx_gb300+Sens!$M$6930*tk_cx_vr200)</f>
        <v>34.911788</v>
      </c>
    </row>
    <row r="6934" customFormat="false" ht="17.15" hidden="false" customHeight="false" outlineLevel="0" collapsed="false">
      <c r="A6934" s="5" t="s">
        <v>564</v>
      </c>
      <c r="B6934" s="0" t="s">
        <v>108</v>
      </c>
      <c r="F6934" s="33" t="n">
        <f aca="false">Sens!$F$6924-mw_open</f>
        <v>1817.15</v>
      </c>
      <c r="G6934" s="33" t="n">
        <f aca="false">Sens!$F$6934</f>
        <v>1817.15</v>
      </c>
      <c r="H6934" s="33" t="n">
        <f aca="false">Sens!$H$6924-mw_open</f>
        <v>5451.45</v>
      </c>
      <c r="I6934" s="33" t="n">
        <f aca="false">Sens!$I$6924-mw_open</f>
        <v>9085.75</v>
      </c>
      <c r="J6934" s="33" t="n">
        <f aca="false">Sens!$J$6924-mw_open</f>
        <v>12720.05</v>
      </c>
      <c r="K6934" s="33" t="n">
        <f aca="false">Sens!$K$6924-mw_open</f>
        <v>16354.35</v>
      </c>
      <c r="L6934" s="33" t="n">
        <f aca="false">Sens!$L$6924-mw_open</f>
        <v>19988.65</v>
      </c>
      <c r="M6934" s="33" t="n">
        <f aca="false">Sens!$M$6924-mw_open</f>
        <v>23622.95</v>
      </c>
    </row>
    <row r="6935" customFormat="false" ht="17.15" hidden="false" customHeight="false" outlineLevel="0" collapsed="false">
      <c r="A6935" s="0" t="s">
        <v>565</v>
      </c>
      <c r="B6935" s="0" t="s">
        <v>566</v>
      </c>
      <c r="F6935" s="33" t="n">
        <f aca="false">Sens!$F$6927*Sens!$F$6931</f>
        <v>19782.2417524844</v>
      </c>
      <c r="G6935" s="33" t="n">
        <f aca="false">Sens!$F$6935</f>
        <v>19782.2417524844</v>
      </c>
      <c r="H6935" s="33" t="n">
        <f aca="false">Sens!$G$6935+Sens!$H$6927*Sens!$H$6931</f>
        <v>60563.3616992009</v>
      </c>
      <c r="I6935" s="33" t="n">
        <f aca="false">Sens!$H$6935+Sens!$I$6927*Sens!$I$6931</f>
        <v>102561.118087665</v>
      </c>
      <c r="J6935" s="33" t="n">
        <f aca="false">Sens!$I$6935+Sens!$J$6927*Sens!$J$6931</f>
        <v>144558.87447613</v>
      </c>
      <c r="K6935" s="33" t="n">
        <f aca="false">Sens!$J$6935+Sens!$K$6927*Sens!$K$6931</f>
        <v>186556.630864594</v>
      </c>
      <c r="L6935" s="33" t="n">
        <f aca="false">Sens!$K$6935+Sens!$L$6927*Sens!$L$6931</f>
        <v>228554.387253058</v>
      </c>
      <c r="M6935" s="33" t="n">
        <f aca="false">Sens!$L$6935+Sens!$M$6927*Sens!$M$6931</f>
        <v>270552.143641523</v>
      </c>
    </row>
    <row r="6936" customFormat="false" ht="17.15" hidden="false" customHeight="false" outlineLevel="0" collapsed="false">
      <c r="A6936" s="0" t="s">
        <v>567</v>
      </c>
      <c r="B6936" s="0" t="s">
        <v>566</v>
      </c>
      <c r="F6936" s="33" t="n">
        <f aca="false">Sens!$F$6927*Sens!$F$6932</f>
        <v>3602.74485070566</v>
      </c>
      <c r="G6936" s="33" t="n">
        <f aca="false">Sens!$F$6936</f>
        <v>3602.74485070566</v>
      </c>
      <c r="H6936" s="33" t="n">
        <f aca="false">Sens!$G$6936+Sens!$H$6927*Sens!$H$6932</f>
        <v>10908.9598445736</v>
      </c>
      <c r="I6936" s="33" t="n">
        <f aca="false">Sens!$H$6936+Sens!$I$6927*Sens!$I$6932</f>
        <v>18315.9001308981</v>
      </c>
      <c r="J6936" s="33" t="n">
        <f aca="false">Sens!$I$6936+Sens!$J$6927*Sens!$J$6932</f>
        <v>25722.8404172225</v>
      </c>
      <c r="K6936" s="33" t="n">
        <f aca="false">Sens!$J$6936+Sens!$K$6927*Sens!$K$6932</f>
        <v>33129.780703547</v>
      </c>
      <c r="L6936" s="33" t="n">
        <f aca="false">Sens!$K$6936+Sens!$L$6927*Sens!$L$6932</f>
        <v>40536.7209898715</v>
      </c>
      <c r="M6936" s="33" t="n">
        <f aca="false">Sens!$L$6936+Sens!$M$6927*Sens!$M$6932</f>
        <v>47943.661276196</v>
      </c>
    </row>
    <row r="6937" customFormat="false" ht="17.15" hidden="false" customHeight="false" outlineLevel="0" collapsed="false">
      <c r="A6937" s="5" t="s">
        <v>568</v>
      </c>
      <c r="B6937" s="0" t="s">
        <v>151</v>
      </c>
      <c r="F6937" s="36" t="n">
        <f aca="false">IF(Sens!$F$6934&gt;0,Sens!$F$6935/Sens!$F$6934,Sens!$F$6931)</f>
        <v>10.8864110021101</v>
      </c>
      <c r="G6937" s="36" t="n">
        <f aca="false">IF(Sens!$G$6934&gt;0,Sens!$G$6935/Sens!$G$6934,Sens!$G$6931)</f>
        <v>10.8864110021101</v>
      </c>
      <c r="H6937" s="36" t="n">
        <f aca="false">IF(Sens!$H$6934&gt;0,Sens!$H$6935/Sens!$H$6934,Sens!$H$6931)</f>
        <v>11.1095876691891</v>
      </c>
      <c r="I6937" s="36" t="n">
        <f aca="false">IF(Sens!$I$6934&gt;0,Sens!$I$6935/Sens!$I$6934,Sens!$I$6931)</f>
        <v>11.2881290028523</v>
      </c>
      <c r="J6937" s="36" t="n">
        <f aca="false">IF(Sens!$J$6934&gt;0,Sens!$J$6935/Sens!$J$6934,Sens!$J$6931)</f>
        <v>11.3646467172794</v>
      </c>
      <c r="K6937" s="36" t="n">
        <f aca="false">IF(Sens!$K$6934&gt;0,Sens!$K$6935/Sens!$K$6934,Sens!$K$6931)</f>
        <v>11.4071565586278</v>
      </c>
      <c r="L6937" s="36" t="n">
        <f aca="false">IF(Sens!$L$6934&gt;0,Sens!$L$6935/Sens!$L$6934,Sens!$L$6931)</f>
        <v>11.4342082758495</v>
      </c>
      <c r="M6937" s="36" t="n">
        <f aca="false">IF(Sens!$M$6934&gt;0,Sens!$M$6935/Sens!$M$6934,Sens!$M$6931)</f>
        <v>11.4529363877722</v>
      </c>
    </row>
    <row r="6938" customFormat="false" ht="17.15" hidden="false" customHeight="false" outlineLevel="0" collapsed="false">
      <c r="A6938" s="5" t="s">
        <v>569</v>
      </c>
      <c r="B6938" s="0" t="s">
        <v>151</v>
      </c>
      <c r="F6938" s="36" t="n">
        <f aca="false">IF(Sens!$F$6934&gt;0,Sens!$F$6936/Sens!$F$6934,Sens!$F$6932)</f>
        <v>1.98263481314457</v>
      </c>
      <c r="G6938" s="36" t="n">
        <f aca="false">IF(Sens!$G$6934&gt;0,Sens!$G$6936/Sens!$G$6934,Sens!$G$6932)</f>
        <v>1.98263481314457</v>
      </c>
      <c r="H6938" s="36" t="n">
        <f aca="false">IF(Sens!$H$6934&gt;0,Sens!$H$6936/Sens!$H$6934,Sens!$H$6932)</f>
        <v>2.00111160233948</v>
      </c>
      <c r="I6938" s="36" t="n">
        <f aca="false">IF(Sens!$I$6934&gt;0,Sens!$I$6936/Sens!$I$6934,Sens!$I$6932)</f>
        <v>2.01589303369541</v>
      </c>
      <c r="J6938" s="36" t="n">
        <f aca="false">IF(Sens!$J$6934&gt;0,Sens!$J$6936/Sens!$J$6934,Sens!$J$6932)</f>
        <v>2.02222793284795</v>
      </c>
      <c r="K6938" s="36" t="n">
        <f aca="false">IF(Sens!$K$6934&gt;0,Sens!$K$6936/Sens!$K$6934,Sens!$K$6932)</f>
        <v>2.02574732126603</v>
      </c>
      <c r="L6938" s="36" t="n">
        <f aca="false">IF(Sens!$L$6934&gt;0,Sens!$L$6936/Sens!$L$6934,Sens!$L$6932)</f>
        <v>2.02798693207753</v>
      </c>
      <c r="M6938" s="36" t="n">
        <f aca="false">IF(Sens!$M$6934&gt;0,Sens!$M$6936/Sens!$M$6934,Sens!$M$6932)</f>
        <v>2.02953743187011</v>
      </c>
    </row>
    <row r="6939" customFormat="false" ht="17.15" hidden="false" customHeight="false" outlineLevel="0" collapsed="false">
      <c r="A6939" s="14" t="s">
        <v>570</v>
      </c>
      <c r="B6939" s="13" t="s">
        <v>151</v>
      </c>
      <c r="C6939" s="13"/>
      <c r="D6939" s="13"/>
      <c r="E6939" s="13"/>
      <c r="F6939" s="37" t="n">
        <f aca="false">Sens!$F$6937*k_B</f>
        <v>10.7987645808025</v>
      </c>
      <c r="G6939" s="37" t="n">
        <f aca="false">Sens!$G$6937*k_B</f>
        <v>10.7987645808025</v>
      </c>
      <c r="H6939" s="37" t="n">
        <f aca="false">Sens!$H$6937*k_B</f>
        <v>11.0201444540452</v>
      </c>
      <c r="I6939" s="37" t="n">
        <f aca="false">Sens!$I$6937*k_B</f>
        <v>11.1972483526393</v>
      </c>
      <c r="J6939" s="37" t="n">
        <f aca="false">Sens!$J$6937*k_B</f>
        <v>11.2731500234653</v>
      </c>
      <c r="K6939" s="37" t="n">
        <f aca="false">Sens!$K$6937*k_B</f>
        <v>11.3153176183687</v>
      </c>
      <c r="L6939" s="37" t="n">
        <f aca="false">Sens!$L$6937*k_B</f>
        <v>11.3421515423981</v>
      </c>
      <c r="M6939" s="37" t="n">
        <f aca="false">Sens!$M$6937*k_B</f>
        <v>11.3607288744184</v>
      </c>
      <c r="N6939" s="13"/>
      <c r="O6939" s="13"/>
      <c r="P6939" s="5" t="s">
        <v>571</v>
      </c>
    </row>
    <row r="6940" customFormat="false" ht="17.15" hidden="false" customHeight="false" outlineLevel="0" collapsed="false">
      <c r="A6940" s="5" t="s">
        <v>572</v>
      </c>
      <c r="B6940" s="0" t="s">
        <v>108</v>
      </c>
      <c r="F6940" s="33" t="n">
        <f aca="false">Sens!$F$6934/2</f>
        <v>908.575</v>
      </c>
      <c r="H6940" s="33" t="n">
        <f aca="false">(Sens!$G$6934+Sens!$H$6934)/2</f>
        <v>3634.3</v>
      </c>
      <c r="I6940" s="33" t="n">
        <f aca="false">(Sens!$H$6934+Sens!$I$6934)/2</f>
        <v>7268.6</v>
      </c>
      <c r="J6940" s="33" t="n">
        <f aca="false">(Sens!$I$6934+Sens!$J$6934)/2</f>
        <v>10902.9</v>
      </c>
      <c r="K6940" s="33" t="n">
        <f aca="false">(Sens!$J$6934+Sens!$K$6934)/2</f>
        <v>14537.2</v>
      </c>
      <c r="L6940" s="33" t="n">
        <f aca="false">(Sens!$K$6934+Sens!$L$6934)/2</f>
        <v>18171.5</v>
      </c>
      <c r="M6940" s="33" t="n">
        <f aca="false">(Sens!$L$6934+Sens!$M$6934)/2</f>
        <v>21805.8</v>
      </c>
    </row>
    <row r="6941" customFormat="false" ht="17.15" hidden="false" customHeight="false" outlineLevel="0" collapsed="false">
      <c r="A6941" s="1" t="s">
        <v>573</v>
      </c>
    </row>
    <row r="6942" customFormat="false" ht="17.15" hidden="false" customHeight="false" outlineLevel="0" collapsed="false">
      <c r="A6942" s="1" t="s">
        <v>574</v>
      </c>
      <c r="B6942" s="8" t="s">
        <v>73</v>
      </c>
      <c r="C6942" s="38" t="n">
        <f aca="false">Sens!$C$6925*rpm_open*Sens!$C$6926/1000</f>
        <v>2.32100535697364</v>
      </c>
      <c r="D6942" s="38" t="n">
        <f aca="false">Sens!$D$6925*rpm_open*Sens!$D$6926/1000</f>
        <v>8.70377008865116</v>
      </c>
      <c r="E6942" s="38" t="n">
        <f aca="false">Sens!$E$6925*rpm_open*Sens!$E$6926/1000</f>
        <v>8.51035297557002</v>
      </c>
      <c r="F6942" s="38" t="n">
        <f aca="false">(mw_open*rpm_open+Sens!$F$6940*Sens!$F$6939)*Sens!$F$6926/1000</f>
        <v>14.9634336447205</v>
      </c>
      <c r="G6942" s="38" t="n">
        <f aca="false">Sens!$E$6942+Sens!$F$6942</f>
        <v>23.4737866202905</v>
      </c>
      <c r="H6942" s="38" t="n">
        <f aca="false">(mw_open*rpm_open+Sens!$H$6940*Sens!$H$6939)/1000</f>
        <v>60.1658907497746</v>
      </c>
      <c r="I6942" s="38" t="n">
        <f aca="false">(mw_open*rpm_open+Sens!$I$6940*Sens!$I$6939)/1000</f>
        <v>101.503699136432</v>
      </c>
      <c r="J6942" s="38" t="n">
        <f aca="false">(mw_open*rpm_open+Sens!$J$6940*Sens!$J$6939)/1000</f>
        <v>143.025407151278</v>
      </c>
      <c r="K6942" s="38" t="n">
        <f aca="false">(mw_open*rpm_open+Sens!$K$6940*Sens!$K$6939)/1000</f>
        <v>184.608415042187</v>
      </c>
      <c r="L6942" s="38" t="n">
        <f aca="false">(mw_open*rpm_open+Sens!$L$6940*Sens!$L$6939)/1000</f>
        <v>226.219286513125</v>
      </c>
      <c r="M6942" s="38" t="n">
        <f aca="false">(mw_open*rpm_open+Sens!$M$6940*Sens!$M$6939)/1000</f>
        <v>267.845161450232</v>
      </c>
      <c r="N6942" s="38" t="n">
        <f aca="false">Sens!$N$6925*rpm_open*Sens!$N$6926/1000</f>
        <v>3.04631953102791</v>
      </c>
      <c r="O6942" s="38" t="n">
        <f aca="false">Sens!$O$6925*rpm_open*Sens!$O$6926/1000</f>
        <v>5.65745055762326</v>
      </c>
      <c r="P6942" s="5" t="s">
        <v>575</v>
      </c>
    </row>
    <row r="6943" customFormat="false" ht="17.15" hidden="false" customHeight="false" outlineLevel="0" collapsed="false">
      <c r="A6943" s="5" t="s">
        <v>576</v>
      </c>
      <c r="B6943" s="0" t="s">
        <v>151</v>
      </c>
      <c r="C6943" s="36" t="n">
        <f aca="false">Sens!$C$6942*1000/(Sens!$C$6925*Sens!$C$6926)</f>
        <v>9.67085565405685</v>
      </c>
      <c r="D6943" s="36" t="n">
        <f aca="false">Sens!$D$6942*1000/(Sens!$D$6925*Sens!$D$6926)</f>
        <v>9.67085565405685</v>
      </c>
      <c r="E6943" s="36" t="n">
        <f aca="false">Sens!$E$6942*1000/(Sens!$E$6925*Sens!$E$6926)</f>
        <v>9.67085565405685</v>
      </c>
      <c r="F6943" s="36" t="n">
        <f aca="false">Sens!$F$6942*1000/(Sens!$F$6925*Sens!$F$6926)</f>
        <v>10.0137581588017</v>
      </c>
      <c r="G6943" s="36" t="n">
        <f aca="false">Sens!$G$6942*1000/(Sens!$G$6925*Sens!$G$6926)</f>
        <v>9.88666562928478</v>
      </c>
      <c r="H6943" s="36" t="n">
        <f aca="false">Sens!$H$6942*1000/(Sens!$H$6925*Sens!$H$6926)</f>
        <v>10.5290045586992</v>
      </c>
      <c r="I6943" s="36" t="n">
        <f aca="false">Sens!$I$6942*1000/(Sens!$I$6925*Sens!$I$6926)</f>
        <v>10.8576363451674</v>
      </c>
      <c r="J6943" s="36" t="n">
        <f aca="false">Sens!$J$6942*1000/(Sens!$J$6925*Sens!$J$6926)</f>
        <v>11.0164452588619</v>
      </c>
      <c r="K6943" s="36" t="n">
        <f aca="false">Sens!$K$6942*1000/(Sens!$K$6925*Sens!$K$6926)</f>
        <v>11.1094778327388</v>
      </c>
      <c r="L6943" s="36" t="n">
        <f aca="false">Sens!$L$6942*1000/(Sens!$L$6925*Sens!$L$6926)</f>
        <v>11.1704953466718</v>
      </c>
      <c r="M6943" s="36" t="n">
        <f aca="false">Sens!$M$6942*1000/(Sens!$M$6925*Sens!$M$6926)</f>
        <v>11.2135729785158</v>
      </c>
      <c r="N6943" s="36" t="n">
        <f aca="false">Sens!$N$6942*1000/(Sens!$N$6925*Sens!$N$6926)</f>
        <v>9.67085565405685</v>
      </c>
      <c r="O6943" s="36" t="n">
        <f aca="false">Sens!$O$6942*1000/(Sens!$O$6925*Sens!$O$6926)</f>
        <v>9.67085565405685</v>
      </c>
    </row>
    <row r="6944" customFormat="false" ht="17.15" hidden="false" customHeight="false" outlineLevel="0" collapsed="false">
      <c r="A6944" s="0" t="s">
        <v>577</v>
      </c>
      <c r="B6944" s="0" t="s">
        <v>73</v>
      </c>
      <c r="C6944" s="38" t="n">
        <f aca="false">Sens!$C$6925/ext_sh*(ox_open+rent_mw)*Sens!$C$6926/1000</f>
        <v>0.642569210675032</v>
      </c>
      <c r="D6944" s="38" t="n">
        <f aca="false">Sens!$D$6925/ext_sh*(ox_open+rent_mw)*Sens!$D$6926/1000</f>
        <v>2.40963454003137</v>
      </c>
      <c r="E6944" s="38" t="n">
        <f aca="false">Sens!$E$6925/ext_sh*(ox_open+rent_mw)*Sens!$E$6926/1000</f>
        <v>2.35608710580845</v>
      </c>
      <c r="F6944" s="38" t="n">
        <f aca="false">((mw_open*ox_open+Sens!$F$6940*Sens!$F$6938)/ext_sh+Sens!$F$6925/ext_sh*rent_mw)*Sens!$F$6926/1000</f>
        <v>4.05421991106232</v>
      </c>
      <c r="G6944" s="38" t="n">
        <f aca="false">Sens!$E$6944+Sens!$F$6944</f>
        <v>6.41030701687077</v>
      </c>
      <c r="H6944" s="38" t="n">
        <f aca="false">((mw_open*ox_open+Sens!$H$6940*Sens!$H$6938)/ext_sh+Sens!$H$6925/ext_sh*rent_mw)*Sens!$H$6926/1000</f>
        <v>15.8108975546616</v>
      </c>
      <c r="I6944" s="38" t="n">
        <f aca="false">((mw_open*ox_open+Sens!$I$6940*Sens!$I$6938)/ext_sh+Sens!$I$6925/ext_sh*rent_mw)*Sens!$I$6926/1000</f>
        <v>26.1871623400817</v>
      </c>
      <c r="J6944" s="38" t="n">
        <f aca="false">((mw_open*ox_open+Sens!$J$6940*Sens!$J$6938)/ext_sh+Sens!$J$6925/ext_sh*rent_mw)*Sens!$J$6926/1000</f>
        <v>36.5826128954935</v>
      </c>
      <c r="K6944" s="38" t="n">
        <f aca="false">((mw_open*ox_open+Sens!$K$6940*Sens!$K$6938)/ext_sh+Sens!$K$6925/ext_sh*rent_mw)*Sens!$K$6926/1000</f>
        <v>46.9844587075692</v>
      </c>
      <c r="L6944" s="38" t="n">
        <f aca="false">((mw_open*ox_open+Sens!$L$6940*Sens!$L$6938)/ext_sh+Sens!$L$6925/ext_sh*rent_mw)*Sens!$L$6926/1000</f>
        <v>57.3892114544922</v>
      </c>
      <c r="M6944" s="38" t="n">
        <f aca="false">((mw_open*ox_open+Sens!$M$6940*Sens!$M$6938)/ext_sh+Sens!$M$6925/ext_sh*rent_mw)*Sens!$M$6926/1000</f>
        <v>67.7955294740252</v>
      </c>
      <c r="N6944" s="38" t="n">
        <f aca="false">Sens!$N$6925/ext_sh*(ox_open+rent_mw)*Sens!$N$6926/1000</f>
        <v>0.84337208901098</v>
      </c>
      <c r="O6944" s="38" t="n">
        <f aca="false">Sens!$O$6925/ext_sh*(ox_open+rent_mw)*Sens!$O$6926/1000</f>
        <v>1.56626245102039</v>
      </c>
    </row>
    <row r="6945" customFormat="false" ht="17.15" hidden="false" customHeight="false" outlineLevel="0" collapsed="false">
      <c r="A6945" s="0" t="s">
        <v>578</v>
      </c>
      <c r="B6945" s="0" t="s">
        <v>73</v>
      </c>
      <c r="C6945" s="38" t="n">
        <f aca="false">Q!$D$7</f>
        <v>107.556</v>
      </c>
      <c r="D6945" s="38" t="n">
        <f aca="false">Q!$E$7</f>
        <v>128.725</v>
      </c>
      <c r="E6945" s="38" t="n">
        <f aca="false">Q!$P$7</f>
        <v>79.819</v>
      </c>
      <c r="N6945" s="38" t="n">
        <f aca="false">Q!$N$7</f>
        <v>60.14</v>
      </c>
      <c r="O6945" s="38" t="n">
        <f aca="false">Q!$O$7</f>
        <v>68.585</v>
      </c>
    </row>
    <row r="6946" customFormat="false" ht="17.15" hidden="false" customHeight="false" outlineLevel="0" collapsed="false">
      <c r="A6946" s="1" t="s">
        <v>579</v>
      </c>
      <c r="B6946" s="8" t="s">
        <v>73</v>
      </c>
      <c r="C6946" s="38" t="n">
        <f aca="false">Sens!$C$6945-Sens!$C$6942</f>
        <v>105.234994643026</v>
      </c>
      <c r="D6946" s="38" t="n">
        <f aca="false">Sens!$D$6945-Sens!$D$6942</f>
        <v>120.021229911349</v>
      </c>
      <c r="E6946" s="38" t="n">
        <f aca="false">Sens!$E$6945-Sens!$E$6942</f>
        <v>71.30864702443</v>
      </c>
      <c r="F6946" s="38" t="n">
        <f aca="false">Sens!$O$6946*(1+Sens!$F$6947)</f>
        <v>78.5950104186653</v>
      </c>
      <c r="G6946" s="38" t="n">
        <f aca="false">Sens!$E$6946+Sens!$F$6946</f>
        <v>149.903657443095</v>
      </c>
      <c r="H6946" s="38" t="n">
        <f aca="false">Sens!$G$6946*(1+Sens!$H$6947)</f>
        <v>180.893560768142</v>
      </c>
      <c r="I6946" s="38" t="n">
        <f aca="false">Sens!$H$6946*(1+Sens!$I$6947)</f>
        <v>210.64839721501</v>
      </c>
      <c r="J6946" s="38" t="n">
        <f aca="false">Sens!$I$6946*(1+Sens!$J$6947)</f>
        <v>236.398909446495</v>
      </c>
      <c r="K6946" s="38" t="n">
        <f aca="false">Sens!$J$6946*(1+Sens!$K$6947)</f>
        <v>255.310822202215</v>
      </c>
      <c r="L6946" s="38" t="n">
        <f aca="false">Sens!$K$6946*(1+Sens!$L$6947)</f>
        <v>275.735687978392</v>
      </c>
      <c r="M6946" s="38" t="n">
        <f aca="false">Sens!$L$6946*(1+Sens!$M$6947)</f>
        <v>297.794543016663</v>
      </c>
      <c r="N6946" s="38" t="n">
        <f aca="false">Sens!$N$6945-Sens!$N$6942</f>
        <v>57.0936804689721</v>
      </c>
      <c r="O6946" s="38" t="n">
        <f aca="false">Sens!$O$6945-Sens!$O$6942</f>
        <v>62.9275494423768</v>
      </c>
      <c r="P6946" s="5" t="s">
        <v>580</v>
      </c>
    </row>
    <row r="6947" customFormat="false" ht="17.15" hidden="false" customHeight="false" outlineLevel="0" collapsed="false">
      <c r="A6947" s="0" t="s">
        <v>581</v>
      </c>
      <c r="B6947" s="0" t="s">
        <v>52</v>
      </c>
      <c r="E6947" s="12" t="n">
        <f aca="false">Sens!$E$6946/Sens!$N$6946-1</f>
        <v>0.248976181579029</v>
      </c>
      <c r="F6947" s="12" t="n">
        <f aca="false">Sens!$E$6947</f>
        <v>0.248976181579029</v>
      </c>
      <c r="G6947" s="12" t="n">
        <f aca="false">Sens!$G$6946/Sens!$D$6946-1</f>
        <v>0.248976181579029</v>
      </c>
      <c r="H6947" s="12" t="n">
        <f aca="false">Sens!$E$6947+(g_awso_lt-Sens!$E$6947)*1/4</f>
        <v>0.206732136184272</v>
      </c>
      <c r="I6947" s="12" t="n">
        <f aca="false">Sens!$E$6947+(g_awso_lt-Sens!$E$6947)*2/4</f>
        <v>0.164488090789515</v>
      </c>
      <c r="J6947" s="12" t="n">
        <f aca="false">Sens!$E$6947+(g_awso_lt-Sens!$E$6947)*3/4</f>
        <v>0.122244045394757</v>
      </c>
      <c r="K6947" s="12" t="n">
        <f aca="false">Sens!$E$6947+(g_awso_lt-Sens!$E$6947)*4/4</f>
        <v>0.08</v>
      </c>
      <c r="L6947" s="12" t="n">
        <f aca="false">g_awso_lt</f>
        <v>0.08</v>
      </c>
      <c r="M6947" s="12" t="n">
        <f aca="false">g_awso_lt</f>
        <v>0.08</v>
      </c>
      <c r="P6947" s="8" t="s">
        <v>582</v>
      </c>
    </row>
    <row r="6948" customFormat="false" ht="17.15" hidden="false" customHeight="false" outlineLevel="0" collapsed="false">
      <c r="A6948" s="1" t="s">
        <v>583</v>
      </c>
    </row>
    <row r="6949" customFormat="false" ht="17.15" hidden="false" customHeight="false" outlineLevel="0" collapsed="false">
      <c r="A6949" s="0" t="s">
        <v>584</v>
      </c>
      <c r="B6949" s="0" t="s">
        <v>73</v>
      </c>
      <c r="F6949" s="38" t="n">
        <f aca="false">cx_rt*Sens!$F$6915+cx_awso*Sens!$F$6946</f>
        <v>36.8045765066526</v>
      </c>
    </row>
    <row r="6950" customFormat="false" ht="17.15" hidden="false" customHeight="false" outlineLevel="0" collapsed="false">
      <c r="A6950" s="0" t="s">
        <v>585</v>
      </c>
      <c r="B6950" s="0" t="s">
        <v>52</v>
      </c>
      <c r="C6950" s="12" t="n">
        <f aca="false">tk_cx_h100/(tk_cx_h100+tk_fac*(1-colo_sh))</f>
        <v>0.730756458006641</v>
      </c>
      <c r="D6950" s="12" t="n">
        <f aca="false">tk_cx_h100/(tk_cx_h100+tk_fac*(1-colo_sh))</f>
        <v>0.730756458006641</v>
      </c>
      <c r="E6950" s="12" t="n">
        <f aca="false">Sens!$F$6950</f>
        <v>0.760792334328868</v>
      </c>
      <c r="F6950" s="12" t="n">
        <f aca="false">Sens!$F$6933/(Sens!$F$6933+tk_fac*(1-colo_sh))</f>
        <v>0.760792334328868</v>
      </c>
      <c r="G6950" s="12" t="n">
        <f aca="false">Sens!$G$6933/(Sens!$G$6933+tk_fac*(1-colo_sh))</f>
        <v>0.760792334328868</v>
      </c>
      <c r="H6950" s="12" t="n">
        <f aca="false">Sens!$H$6933/(Sens!$H$6933+tk_fac*(1-colo_sh))</f>
        <v>0.768110668862996</v>
      </c>
      <c r="I6950" s="12" t="n">
        <f aca="false">Sens!$I$6933/(Sens!$I$6933+tk_fac*(1-colo_sh))</f>
        <v>0.77499450139483</v>
      </c>
      <c r="J6950" s="12" t="n">
        <f aca="false">Sens!$J$6933/(Sens!$J$6933+tk_fac*(1-colo_sh))</f>
        <v>0.77499450139483</v>
      </c>
      <c r="K6950" s="12" t="n">
        <f aca="false">Sens!$K$6933/(Sens!$K$6933+tk_fac*(1-colo_sh))</f>
        <v>0.77499450139483</v>
      </c>
      <c r="L6950" s="12" t="n">
        <f aca="false">Sens!$L$6933/(Sens!$L$6933+tk_fac*(1-colo_sh))</f>
        <v>0.77499450139483</v>
      </c>
      <c r="M6950" s="12" t="n">
        <f aca="false">Sens!$M$6933/(Sens!$M$6933+tk_fac*(1-colo_sh))</f>
        <v>0.77499450139483</v>
      </c>
    </row>
    <row r="6951" customFormat="false" ht="17.15" hidden="false" customHeight="false" outlineLevel="0" collapsed="false">
      <c r="A6951" s="1" t="s">
        <v>586</v>
      </c>
      <c r="B6951" s="8" t="s">
        <v>73</v>
      </c>
      <c r="C6951" s="38" t="n">
        <f aca="false">Q!$D$46-cx_rt*Q!$D$16-cx_awso*Sens!$C$6946</f>
        <v>25.2781053077374</v>
      </c>
      <c r="D6951" s="38" t="n">
        <f aca="false">Q!$E$46-cx_rt*Q!$E$16-cx_awso*Sens!$D$6946</f>
        <v>69.5686316310026</v>
      </c>
      <c r="E6951" s="38" t="n">
        <f aca="false">Q!$P$46-cx_rt*Q!$P$16-cx_awso*Sens!$E$6946</f>
        <v>64.1899206485108</v>
      </c>
      <c r="F6951" s="38" t="n">
        <f aca="false">MAX(Sens!$F$6928*(Sens!$F$6933+tk_fac*(1-colo_sh))/1000,capex_g26-Q!$P$46-Sens!$F$6949)</f>
        <v>96.2481299895</v>
      </c>
      <c r="G6951" s="38" t="n">
        <f aca="false">Sens!$E$6951+Sens!$F$6951</f>
        <v>160.438050638011</v>
      </c>
      <c r="H6951" s="38" t="n">
        <f aca="false">Sens!$H$6928*(Sens!$H$6933+tk_fac*(1-colo_sh))/1000+Sens!$H$6952</f>
        <v>198.57136494475</v>
      </c>
      <c r="I6951" s="38" t="n">
        <f aca="false">Sens!$I$6928*(Sens!$I$6933+tk_fac*(1-colo_sh))/1000+Sens!$I$6952</f>
        <v>204.6464699105</v>
      </c>
      <c r="J6951" s="38" t="n">
        <f aca="false">Sens!$J$6928*(Sens!$J$6933+tk_fac*(1-colo_sh))/1000+Sens!$J$6952</f>
        <v>209.8832381105</v>
      </c>
      <c r="K6951" s="38" t="n">
        <f aca="false">Sens!$K$6928*(Sens!$K$6933+tk_fac*(1-colo_sh))/1000+Sens!$K$6952</f>
        <v>215.1200063105</v>
      </c>
      <c r="L6951" s="38" t="n">
        <f aca="false">Sens!$L$6928*(Sens!$L$6933+tk_fac*(1-colo_sh))/1000+Sens!$L$6952</f>
        <v>251.7773837105</v>
      </c>
      <c r="M6951" s="38" t="n">
        <f aca="false">Sens!$M$6928*(Sens!$M$6933+tk_fac*(1-colo_sh))/1000+Sens!$M$6952</f>
        <v>311.87584476575</v>
      </c>
      <c r="P6951" s="5" t="s">
        <v>587</v>
      </c>
      <c r="R6951" s="38" t="n">
        <f aca="false">Q!$C$46-cx_rt*Q!$C$16-cx_awso*(Q!$C$7-mw_ye23/2*rpm_open/1000)</f>
        <v>1.50429979529945</v>
      </c>
      <c r="S6951" s="38" t="n">
        <f aca="false">Sens!$C$6951</f>
        <v>25.2781053077374</v>
      </c>
      <c r="T6951" s="38" t="n">
        <f aca="false">Sens!$D$6951</f>
        <v>69.5686316310026</v>
      </c>
      <c r="U6951" s="38" t="n">
        <f aca="false">Sens!$G$6951</f>
        <v>160.438050638011</v>
      </c>
      <c r="V6951" s="38" t="n">
        <f aca="false">Sens!$H$6951</f>
        <v>198.57136494475</v>
      </c>
      <c r="W6951" s="38" t="n">
        <f aca="false">Sens!$I$6951</f>
        <v>204.6464699105</v>
      </c>
      <c r="X6951" s="38" t="n">
        <f aca="false">Sens!$J$6951</f>
        <v>209.8832381105</v>
      </c>
      <c r="Y6951" s="38" t="n">
        <f aca="false">Sens!$K$6951</f>
        <v>215.1200063105</v>
      </c>
      <c r="Z6951" s="38" t="n">
        <f aca="false">Sens!$L$6951</f>
        <v>251.7773837105</v>
      </c>
      <c r="AA6951" s="38" t="n">
        <f aca="false">Sens!$M$6951</f>
        <v>311.87584476575</v>
      </c>
    </row>
    <row r="6952" customFormat="false" ht="17.15" hidden="false" customHeight="false" outlineLevel="0" collapsed="false">
      <c r="A6952" s="0" t="s">
        <v>588</v>
      </c>
      <c r="B6952" s="0" t="s">
        <v>73</v>
      </c>
      <c r="H6952" s="38" t="n">
        <f aca="false">SUMPRODUCT(--(Sens!$R$6922:$AA$6922=2027-tk_life),Sens!$R$6928:$AA$6928)*Sens!$H$6933/1000</f>
        <v>0</v>
      </c>
      <c r="I6952" s="38" t="n">
        <f aca="false">SUMPRODUCT(--(Sens!$R$6922:$AA$6922=2028-tk_life),Sens!$R$6928:$AA$6928)*Sens!$I$6933/1000</f>
        <v>0</v>
      </c>
      <c r="J6952" s="38" t="n">
        <f aca="false">SUMPRODUCT(--(Sens!$R$6922:$AA$6922=2029-tk_life),Sens!$R$6928:$AA$6928)*Sens!$J$6933/1000</f>
        <v>5.2367682</v>
      </c>
      <c r="K6952" s="38" t="n">
        <f aca="false">SUMPRODUCT(--(Sens!$R$6922:$AA$6922=2030-tk_life),Sens!$R$6928:$AA$6928)*Sens!$K$6933/1000</f>
        <v>10.4735364</v>
      </c>
      <c r="L6952" s="38" t="n">
        <f aca="false">SUMPRODUCT(--(Sens!$R$6922:$AA$6922=2031-tk_life),Sens!$R$6928:$AA$6928)*Sens!$L$6933/1000</f>
        <v>47.1309138</v>
      </c>
      <c r="M6952" s="38" t="n">
        <f aca="false">SUMPRODUCT(--(Sens!$R$6922:$AA$6922=2032-tk_life),Sens!$R$6928:$AA$6928)*Sens!$M$6933/1000</f>
        <v>107.22937485525</v>
      </c>
    </row>
    <row r="6953" customFormat="false" ht="17.15" hidden="false" customHeight="false" outlineLevel="0" collapsed="false">
      <c r="A6953" s="5" t="s">
        <v>589</v>
      </c>
      <c r="B6953" s="0" t="s">
        <v>73</v>
      </c>
      <c r="C6953" s="38" t="n">
        <f aca="false">Sens!$C$6951*Sens!$C$6950</f>
        <v>18.472138699801</v>
      </c>
      <c r="D6953" s="38" t="n">
        <f aca="false">Sens!$D$6951*Sens!$D$6950</f>
        <v>50.8377268390402</v>
      </c>
      <c r="E6953" s="38" t="n">
        <f aca="false">Sens!$E$6951*Sens!$E$6950</f>
        <v>48.8351995705653</v>
      </c>
      <c r="F6953" s="38" t="n">
        <f aca="false">Sens!$F$6951*Sens!$F$6950</f>
        <v>73.2248394895</v>
      </c>
      <c r="G6953" s="38" t="n">
        <f aca="false">Sens!$E$6953+Sens!$F$6953</f>
        <v>122.060039060065</v>
      </c>
      <c r="H6953" s="38" t="n">
        <f aca="false">(Sens!$H$6951-Sens!$H$6952)*Sens!$H$6950+Sens!$H$6952</f>
        <v>152.52478394475</v>
      </c>
      <c r="I6953" s="38" t="n">
        <f aca="false">(Sens!$I$6951-Sens!$I$6952)*Sens!$I$6950+Sens!$I$6952</f>
        <v>158.5998889105</v>
      </c>
      <c r="J6953" s="38" t="n">
        <f aca="false">(Sens!$J$6951-Sens!$J$6952)*Sens!$J$6950+Sens!$J$6952</f>
        <v>163.8366571105</v>
      </c>
      <c r="K6953" s="38" t="n">
        <f aca="false">(Sens!$K$6951-Sens!$K$6952)*Sens!$K$6950+Sens!$K$6952</f>
        <v>169.0734253105</v>
      </c>
      <c r="L6953" s="38" t="n">
        <f aca="false">(Sens!$L$6951-Sens!$L$6952)*Sens!$L$6950+Sens!$L$6952</f>
        <v>205.7308027105</v>
      </c>
      <c r="M6953" s="38" t="n">
        <f aca="false">(Sens!$M$6951-Sens!$M$6952)*Sens!$M$6950+Sens!$M$6952</f>
        <v>265.82926376575</v>
      </c>
      <c r="R6953" s="38" t="n">
        <f aca="false">Sens!$R$6951*Sens!$C$6950</f>
        <v>1.09927679019314</v>
      </c>
      <c r="S6953" s="38" t="n">
        <f aca="false">Sens!$C$6953</f>
        <v>18.472138699801</v>
      </c>
      <c r="T6953" s="38" t="n">
        <f aca="false">Sens!$D$6953</f>
        <v>50.8377268390402</v>
      </c>
      <c r="U6953" s="38" t="n">
        <f aca="false">Sens!$G$6953</f>
        <v>122.060039060065</v>
      </c>
      <c r="V6953" s="38" t="n">
        <f aca="false">Sens!$H$6953</f>
        <v>152.52478394475</v>
      </c>
      <c r="W6953" s="38" t="n">
        <f aca="false">Sens!$I$6953</f>
        <v>158.5998889105</v>
      </c>
      <c r="X6953" s="38" t="n">
        <f aca="false">Sens!$J$6953</f>
        <v>163.8366571105</v>
      </c>
      <c r="Y6953" s="38" t="n">
        <f aca="false">Sens!$K$6953</f>
        <v>169.0734253105</v>
      </c>
      <c r="Z6953" s="38" t="n">
        <f aca="false">Sens!$L$6953</f>
        <v>205.7308027105</v>
      </c>
      <c r="AA6953" s="38" t="n">
        <f aca="false">Sens!$M$6953</f>
        <v>265.82926376575</v>
      </c>
    </row>
    <row r="6954" customFormat="false" ht="15" hidden="false" customHeight="false" outlineLevel="0" collapsed="false">
      <c r="A6954" s="5" t="s">
        <v>590</v>
      </c>
      <c r="B6954" s="0" t="s">
        <v>73</v>
      </c>
      <c r="R6954" s="38" t="n">
        <f aca="false">Sens!$R$6951-Sens!$R$6953</f>
        <v>0.405023005106309</v>
      </c>
      <c r="S6954" s="38" t="n">
        <f aca="false">Sens!$S$6951-Sens!$S$6953</f>
        <v>6.80596660793636</v>
      </c>
      <c r="T6954" s="38" t="n">
        <f aca="false">Sens!$T$6951-Sens!$T$6953</f>
        <v>18.7309047919624</v>
      </c>
      <c r="U6954" s="38" t="n">
        <f aca="false">Sens!$U$6951-Sens!$U$6953</f>
        <v>38.3780115779455</v>
      </c>
      <c r="V6954" s="38" t="n">
        <f aca="false">Sens!$V$6951-Sens!$V$6953</f>
        <v>46.046581</v>
      </c>
      <c r="W6954" s="38" t="n">
        <f aca="false">Sens!$W$6951-Sens!$W$6953</f>
        <v>46.046581</v>
      </c>
      <c r="X6954" s="38" t="n">
        <f aca="false">Sens!$X$6951-Sens!$X$6953</f>
        <v>46.046581</v>
      </c>
      <c r="Y6954" s="38" t="n">
        <f aca="false">Sens!$Y$6951-Sens!$Y$6953</f>
        <v>46.046581</v>
      </c>
      <c r="Z6954" s="38" t="n">
        <f aca="false">Sens!$Z$6951-Sens!$Z$6953</f>
        <v>46.046581</v>
      </c>
      <c r="AA6954" s="38" t="n">
        <f aca="false">Sens!$AA$6951-Sens!$AA$6953</f>
        <v>46.046581</v>
      </c>
    </row>
    <row r="6955" customFormat="false" ht="17.15" hidden="false" customHeight="false" outlineLevel="0" collapsed="false">
      <c r="A6955" s="0" t="s">
        <v>591</v>
      </c>
      <c r="B6955" s="0" t="s">
        <v>73</v>
      </c>
      <c r="C6955" s="38" t="n">
        <f aca="false">Sens!$S$6955</f>
        <v>0.183212798365523</v>
      </c>
      <c r="D6955" s="38" t="n">
        <f aca="false">Sens!$T$6955</f>
        <v>3.2619025816657</v>
      </c>
      <c r="E6955" s="38" t="n">
        <f aca="false">Sens!$G$6955/2</f>
        <v>5.86742852741953</v>
      </c>
      <c r="F6955" s="38" t="n">
        <f aca="false">Sens!$G$6955/2</f>
        <v>5.86742852741953</v>
      </c>
      <c r="G6955" s="38" t="n">
        <f aca="false">Sens!$U$6955</f>
        <v>11.7348570548391</v>
      </c>
      <c r="H6955" s="38" t="n">
        <f aca="false">Sens!$V$6955</f>
        <v>32.0781968981833</v>
      </c>
      <c r="I6955" s="38" t="n">
        <f aca="false">Sens!$W$6955</f>
        <v>57.4989942223083</v>
      </c>
      <c r="J6955" s="38" t="n">
        <f aca="false">Sens!$X$6955</f>
        <v>83.932309040725</v>
      </c>
      <c r="K6955" s="38" t="n">
        <f aca="false">Sens!$Y$6955</f>
        <v>111.055205760776</v>
      </c>
      <c r="L6955" s="38" t="n">
        <f aca="false">Sens!$Z$6955</f>
        <v>136.155420195893</v>
      </c>
      <c r="M6955" s="38" t="n">
        <f aca="false">Sens!$AA$6955</f>
        <v>161.970932841136</v>
      </c>
      <c r="N6955" s="38" t="n">
        <f aca="false">Sens!$D$6955/2</f>
        <v>1.63095129083285</v>
      </c>
      <c r="O6955" s="38" t="n">
        <f aca="false">Sens!$D$6955/2</f>
        <v>1.63095129083285</v>
      </c>
      <c r="R6955" s="38" t="n">
        <f aca="false">SUMPRODUCT(--(Sens!$R$6922:$AA$6922&lt;Sens!R$6922),--(Sens!$R$6922:$AA$6922&gt;=Sens!R$6922-tk_life),Sens!$R$6953:$AA$6953)/tk_life</f>
        <v>0</v>
      </c>
      <c r="S6955" s="38" t="n">
        <f aca="false">SUMPRODUCT(--(Sens!$R$6922:$AA$6922&lt;Sens!S$6922),--(Sens!$R$6922:$AA$6922&gt;=Sens!S$6922-tk_life),Sens!$R$6953:$AA$6953)/tk_life</f>
        <v>0.183212798365523</v>
      </c>
      <c r="T6955" s="38" t="n">
        <f aca="false">SUMPRODUCT(--(Sens!$R$6922:$AA$6922&lt;Sens!T$6922),--(Sens!$R$6922:$AA$6922&gt;=Sens!T$6922-tk_life),Sens!$R$6953:$AA$6953)/tk_life</f>
        <v>3.2619025816657</v>
      </c>
      <c r="U6955" s="38" t="n">
        <f aca="false">SUMPRODUCT(--(Sens!$R$6922:$AA$6922&lt;Sens!U$6922),--(Sens!$R$6922:$AA$6922&gt;=Sens!U$6922-tk_life),Sens!$R$6953:$AA$6953)/tk_life</f>
        <v>11.7348570548391</v>
      </c>
      <c r="V6955" s="38" t="n">
        <f aca="false">SUMPRODUCT(--(Sens!$R$6922:$AA$6922&lt;Sens!V$6922),--(Sens!$R$6922:$AA$6922&gt;=Sens!V$6922-tk_life),Sens!$R$6953:$AA$6953)/tk_life</f>
        <v>32.0781968981833</v>
      </c>
      <c r="W6955" s="38" t="n">
        <f aca="false">SUMPRODUCT(--(Sens!$R$6922:$AA$6922&lt;Sens!W$6922),--(Sens!$R$6922:$AA$6922&gt;=Sens!W$6922-tk_life),Sens!$R$6953:$AA$6953)/tk_life</f>
        <v>57.4989942223083</v>
      </c>
      <c r="X6955" s="38" t="n">
        <f aca="false">SUMPRODUCT(--(Sens!$R$6922:$AA$6922&lt;Sens!X$6922),--(Sens!$R$6922:$AA$6922&gt;=Sens!X$6922-tk_life),Sens!$R$6953:$AA$6953)/tk_life</f>
        <v>83.932309040725</v>
      </c>
      <c r="Y6955" s="38" t="n">
        <f aca="false">SUMPRODUCT(--(Sens!$R$6922:$AA$6922&lt;Sens!Y$6922),--(Sens!$R$6922:$AA$6922&gt;=Sens!Y$6922-tk_life),Sens!$R$6953:$AA$6953)/tk_life</f>
        <v>111.055205760776</v>
      </c>
      <c r="Z6955" s="38" t="n">
        <f aca="false">SUMPRODUCT(--(Sens!$R$6922:$AA$6922&lt;Sens!Z$6922),--(Sens!$R$6922:$AA$6922&gt;=Sens!Z$6922-tk_life),Sens!$R$6953:$AA$6953)/tk_life</f>
        <v>136.155420195893</v>
      </c>
      <c r="AA6955" s="38" t="n">
        <f aca="false">SUMPRODUCT(--(Sens!$R$6922:$AA$6922&lt;Sens!AA$6922),--(Sens!$R$6922:$AA$6922&gt;=Sens!AA$6922-tk_life),Sens!$R$6953:$AA$6953)/tk_life</f>
        <v>161.970932841136</v>
      </c>
    </row>
    <row r="6956" customFormat="false" ht="17.15" hidden="false" customHeight="false" outlineLevel="0" collapsed="false">
      <c r="A6956" s="0" t="s">
        <v>592</v>
      </c>
      <c r="B6956" s="0" t="s">
        <v>73</v>
      </c>
      <c r="C6956" s="38" t="n">
        <f aca="false">Sens!$S$6956</f>
        <v>0.0202511502553155</v>
      </c>
      <c r="D6956" s="38" t="n">
        <f aca="false">Sens!$T$6956</f>
        <v>0.360549480652134</v>
      </c>
      <c r="E6956" s="38" t="n">
        <f aca="false">Sens!$G$6956/2</f>
        <v>0.648547360125127</v>
      </c>
      <c r="F6956" s="38" t="n">
        <f aca="false">Sens!$G$6956/2</f>
        <v>0.648547360125127</v>
      </c>
      <c r="G6956" s="38" t="n">
        <f aca="false">Sens!$U$6956</f>
        <v>1.29709472025025</v>
      </c>
      <c r="H6956" s="38" t="n">
        <f aca="false">Sens!$V$6956</f>
        <v>3.21599529914753</v>
      </c>
      <c r="I6956" s="38" t="n">
        <f aca="false">Sens!$W$6956</f>
        <v>5.51832434914753</v>
      </c>
      <c r="J6956" s="38" t="n">
        <f aca="false">Sens!$X$6956</f>
        <v>7.82065339914753</v>
      </c>
      <c r="K6956" s="38" t="n">
        <f aca="false">Sens!$Y$6956</f>
        <v>10.1229824491475</v>
      </c>
      <c r="L6956" s="38" t="n">
        <f aca="false">Sens!$Z$6956</f>
        <v>12.4253114991475</v>
      </c>
      <c r="M6956" s="38" t="n">
        <f aca="false">Sens!$AA$6956</f>
        <v>14.7276405491475</v>
      </c>
      <c r="N6956" s="38" t="n">
        <f aca="false">Sens!$D$6956/2</f>
        <v>0.180274740326067</v>
      </c>
      <c r="O6956" s="38" t="n">
        <f aca="false">Sens!$D$6956/2</f>
        <v>0.180274740326067</v>
      </c>
      <c r="R6956" s="38" t="n">
        <f aca="false">SUMPRODUCT(--(Sens!$R$6922:$AA$6922&lt;Sens!R$6922),Sens!$R$6954:$AA$6954)/fac_life</f>
        <v>0</v>
      </c>
      <c r="S6956" s="38" t="n">
        <f aca="false">SUMPRODUCT(--(Sens!$R$6922:$AA$6922&lt;Sens!S$6922),Sens!$R$6954:$AA$6954)/fac_life</f>
        <v>0.0202511502553155</v>
      </c>
      <c r="T6956" s="38" t="n">
        <f aca="false">SUMPRODUCT(--(Sens!$R$6922:$AA$6922&lt;Sens!T$6922),Sens!$R$6954:$AA$6954)/fac_life</f>
        <v>0.360549480652134</v>
      </c>
      <c r="U6956" s="38" t="n">
        <f aca="false">SUMPRODUCT(--(Sens!$R$6922:$AA$6922&lt;Sens!U$6922),Sens!$R$6954:$AA$6954)/fac_life</f>
        <v>1.29709472025025</v>
      </c>
      <c r="V6956" s="38" t="n">
        <f aca="false">SUMPRODUCT(--(Sens!$R$6922:$AA$6922&lt;Sens!V$6922),Sens!$R$6954:$AA$6954)/fac_life</f>
        <v>3.21599529914753</v>
      </c>
      <c r="W6956" s="38" t="n">
        <f aca="false">SUMPRODUCT(--(Sens!$R$6922:$AA$6922&lt;Sens!W$6922),Sens!$R$6954:$AA$6954)/fac_life</f>
        <v>5.51832434914753</v>
      </c>
      <c r="X6956" s="38" t="n">
        <f aca="false">SUMPRODUCT(--(Sens!$R$6922:$AA$6922&lt;Sens!X$6922),Sens!$R$6954:$AA$6954)/fac_life</f>
        <v>7.82065339914753</v>
      </c>
      <c r="Y6956" s="38" t="n">
        <f aca="false">SUMPRODUCT(--(Sens!$R$6922:$AA$6922&lt;Sens!Y$6922),Sens!$R$6954:$AA$6954)/fac_life</f>
        <v>10.1229824491475</v>
      </c>
      <c r="Z6956" s="38" t="n">
        <f aca="false">SUMPRODUCT(--(Sens!$R$6922:$AA$6922&lt;Sens!Z$6922),Sens!$R$6954:$AA$6954)/fac_life</f>
        <v>12.4253114991475</v>
      </c>
      <c r="AA6956" s="38" t="n">
        <f aca="false">SUMPRODUCT(--(Sens!$R$6922:$AA$6922&lt;Sens!AA$6922),Sens!$R$6954:$AA$6954)/fac_life</f>
        <v>14.7276405491475</v>
      </c>
    </row>
    <row r="6957" customFormat="false" ht="17.15" hidden="false" customHeight="false" outlineLevel="0" collapsed="false">
      <c r="A6957" s="1" t="s">
        <v>593</v>
      </c>
      <c r="B6957" s="8" t="s">
        <v>73</v>
      </c>
      <c r="C6957" s="38" t="n">
        <f aca="false">Sens!$C$6955+Sens!$C$6956</f>
        <v>0.203463948620839</v>
      </c>
      <c r="D6957" s="38" t="n">
        <f aca="false">Sens!$D$6955+Sens!$D$6956</f>
        <v>3.62245206231783</v>
      </c>
      <c r="E6957" s="38" t="n">
        <f aca="false">Sens!$E$6955+Sens!$E$6956</f>
        <v>6.51597588754466</v>
      </c>
      <c r="F6957" s="38" t="n">
        <f aca="false">Sens!$F$6955+Sens!$F$6956</f>
        <v>6.51597588754466</v>
      </c>
      <c r="G6957" s="38" t="n">
        <f aca="false">Sens!$G$6955+Sens!$G$6956</f>
        <v>13.0319517750893</v>
      </c>
      <c r="H6957" s="38" t="n">
        <f aca="false">Sens!$H$6955+Sens!$H$6956</f>
        <v>35.2941921973308</v>
      </c>
      <c r="I6957" s="38" t="n">
        <f aca="false">Sens!$I$6955+Sens!$I$6956</f>
        <v>63.0173185714558</v>
      </c>
      <c r="J6957" s="38" t="n">
        <f aca="false">Sens!$J$6955+Sens!$J$6956</f>
        <v>91.7529624398725</v>
      </c>
      <c r="K6957" s="38" t="n">
        <f aca="false">Sens!$K$6955+Sens!$K$6956</f>
        <v>121.178188209924</v>
      </c>
      <c r="L6957" s="38" t="n">
        <f aca="false">Sens!$L$6955+Sens!$L$6956</f>
        <v>148.58073169504</v>
      </c>
      <c r="M6957" s="38" t="n">
        <f aca="false">Sens!$M$6955+Sens!$M$6956</f>
        <v>176.698573390283</v>
      </c>
      <c r="N6957" s="38" t="n">
        <f aca="false">Sens!$N$6955+Sens!$N$6956</f>
        <v>1.81122603115892</v>
      </c>
      <c r="O6957" s="38" t="n">
        <f aca="false">Sens!$O$6955+Sens!$O$6956</f>
        <v>1.81122603115892</v>
      </c>
      <c r="R6957" s="38" t="n">
        <f aca="false">Sens!$R$6955+Sens!$R$6956</f>
        <v>0</v>
      </c>
      <c r="S6957" s="38" t="n">
        <f aca="false">Sens!$S$6955+Sens!$S$6956</f>
        <v>0.203463948620839</v>
      </c>
      <c r="T6957" s="38" t="n">
        <f aca="false">Sens!$T$6955+Sens!$T$6956</f>
        <v>3.62245206231783</v>
      </c>
      <c r="U6957" s="38" t="n">
        <f aca="false">Sens!$U$6955+Sens!$U$6956</f>
        <v>13.0319517750893</v>
      </c>
      <c r="V6957" s="38" t="n">
        <f aca="false">Sens!$V$6955+Sens!$V$6956</f>
        <v>35.2941921973308</v>
      </c>
      <c r="W6957" s="38" t="n">
        <f aca="false">Sens!$W$6955+Sens!$W$6956</f>
        <v>63.0173185714558</v>
      </c>
      <c r="X6957" s="38" t="n">
        <f aca="false">Sens!$X$6955+Sens!$X$6956</f>
        <v>91.7529624398725</v>
      </c>
      <c r="Y6957" s="38" t="n">
        <f aca="false">Sens!$Y$6955+Sens!$Y$6956</f>
        <v>121.178188209924</v>
      </c>
      <c r="Z6957" s="38" t="n">
        <f aca="false">Sens!$Z$6955+Sens!$Z$6956</f>
        <v>148.58073169504</v>
      </c>
      <c r="AA6957" s="38" t="n">
        <f aca="false">Sens!$AA$6955+Sens!$AA$6956</f>
        <v>176.698573390283</v>
      </c>
    </row>
    <row r="6958" customFormat="false" ht="17.15" hidden="false" customHeight="false" outlineLevel="0" collapsed="false">
      <c r="A6958" s="0" t="s">
        <v>594</v>
      </c>
      <c r="B6958" s="0" t="s">
        <v>73</v>
      </c>
      <c r="C6958" s="38" t="n">
        <f aca="false">Sens!$S$6958</f>
        <v>26.578941154416</v>
      </c>
      <c r="D6958" s="38" t="n">
        <f aca="false">Sens!$T$6958</f>
        <v>92.5251207231008</v>
      </c>
      <c r="G6958" s="38" t="n">
        <f aca="false">Sens!$U$6958</f>
        <v>239.931219586022</v>
      </c>
      <c r="H6958" s="38" t="n">
        <f aca="false">Sens!$V$6958</f>
        <v>403.208392333442</v>
      </c>
      <c r="I6958" s="38" t="n">
        <f aca="false">Sens!$W$6958</f>
        <v>544.837543672486</v>
      </c>
      <c r="J6958" s="38" t="n">
        <f aca="false">Sens!$X$6958</f>
        <v>662.967819343113</v>
      </c>
      <c r="K6958" s="38" t="n">
        <f aca="false">Sens!$Y$6958</f>
        <v>756.90963744369</v>
      </c>
      <c r="L6958" s="38" t="n">
        <f aca="false">Sens!$Z$6958</f>
        <v>860.10628945915</v>
      </c>
      <c r="M6958" s="38" t="n">
        <f aca="false">Sens!$AA$6958</f>
        <v>995.283560834616</v>
      </c>
      <c r="R6958" s="38" t="n">
        <f aca="false">SUM(Sens!$R$6951:$R$6951)-SUM(Sens!$R$6957:$R$6957)</f>
        <v>1.50429979529945</v>
      </c>
      <c r="S6958" s="38" t="n">
        <f aca="false">SUM(Sens!$R$6951:$S$6951)-SUM(Sens!$R$6957:$S$6957)</f>
        <v>26.578941154416</v>
      </c>
      <c r="T6958" s="38" t="n">
        <f aca="false">SUM(Sens!$R$6951:$T$6951)-SUM(Sens!$R$6957:$T$6957)</f>
        <v>92.5251207231008</v>
      </c>
      <c r="U6958" s="38" t="n">
        <f aca="false">SUM(Sens!$R$6951:$U$6951)-SUM(Sens!$R$6957:$U$6957)</f>
        <v>239.931219586022</v>
      </c>
      <c r="V6958" s="38" t="n">
        <f aca="false">SUM(Sens!$R$6951:$V$6951)-SUM(Sens!$R$6957:$V$6957)</f>
        <v>403.208392333442</v>
      </c>
      <c r="W6958" s="38" t="n">
        <f aca="false">SUM(Sens!$R$6951:$W$6951)-SUM(Sens!$R$6957:$W$6957)</f>
        <v>544.837543672486</v>
      </c>
      <c r="X6958" s="38" t="n">
        <f aca="false">SUM(Sens!$R$6951:$X$6951)-SUM(Sens!$R$6957:$X$6957)</f>
        <v>662.967819343113</v>
      </c>
      <c r="Y6958" s="38" t="n">
        <f aca="false">SUM(Sens!$R$6951:$Y$6951)-SUM(Sens!$R$6957:$Y$6957)</f>
        <v>756.90963744369</v>
      </c>
      <c r="Z6958" s="38" t="n">
        <f aca="false">SUM(Sens!$R$6951:$Z$6951)-SUM(Sens!$R$6957:$Z$6957)</f>
        <v>860.10628945915</v>
      </c>
      <c r="AA6958" s="38" t="n">
        <f aca="false">SUM(Sens!$R$6951:$AA$6951)-SUM(Sens!$R$6957:$AA$6957)</f>
        <v>995.283560834616</v>
      </c>
    </row>
    <row r="6959" customFormat="false" ht="17.15" hidden="false" customHeight="false" outlineLevel="0" collapsed="false">
      <c r="A6959" s="1" t="s">
        <v>595</v>
      </c>
    </row>
    <row r="6960" customFormat="false" ht="17.15" hidden="false" customHeight="false" outlineLevel="0" collapsed="false">
      <c r="A6960" s="0" t="s">
        <v>596</v>
      </c>
      <c r="B6960" s="0" t="s">
        <v>73</v>
      </c>
      <c r="C6960" s="38" t="n">
        <f aca="false">Sens!$C$6942-ext_sh*Sens!$C$6944</f>
        <v>1.80694998843362</v>
      </c>
      <c r="D6960" s="38" t="n">
        <f aca="false">Sens!$D$6942-ext_sh*Sens!$D$6944</f>
        <v>6.77606245662607</v>
      </c>
      <c r="E6960" s="38" t="n">
        <f aca="false">Sens!$E$6942-ext_sh*Sens!$E$6944</f>
        <v>6.62548329092326</v>
      </c>
      <c r="F6960" s="38" t="n">
        <f aca="false">Sens!$F$6942-ext_sh*Sens!$F$6944</f>
        <v>11.7200577158706</v>
      </c>
      <c r="G6960" s="38" t="n">
        <f aca="false">Sens!$G$6942-ext_sh*Sens!$G$6944</f>
        <v>18.3455410067939</v>
      </c>
      <c r="H6960" s="38" t="n">
        <f aca="false">Sens!$H$6942-ext_sh*Sens!$H$6944</f>
        <v>47.5171727060453</v>
      </c>
      <c r="I6960" s="38" t="n">
        <f aca="false">Sens!$I$6942-ext_sh*Sens!$I$6944</f>
        <v>80.5539692643667</v>
      </c>
      <c r="J6960" s="38" t="n">
        <f aca="false">Sens!$J$6942-ext_sh*Sens!$J$6944</f>
        <v>113.759316834883</v>
      </c>
      <c r="K6960" s="38" t="n">
        <f aca="false">Sens!$K$6942-ext_sh*Sens!$K$6944</f>
        <v>147.020848076132</v>
      </c>
      <c r="L6960" s="38" t="n">
        <f aca="false">Sens!$L$6942-ext_sh*Sens!$L$6944</f>
        <v>180.307917349531</v>
      </c>
      <c r="M6960" s="38" t="n">
        <f aca="false">Sens!$M$6942-ext_sh*Sens!$M$6944</f>
        <v>213.608737871012</v>
      </c>
      <c r="N6960" s="38" t="n">
        <f aca="false">Sens!$N$6942-ext_sh*Sens!$N$6944</f>
        <v>2.37162185981912</v>
      </c>
      <c r="O6960" s="38" t="n">
        <f aca="false">Sens!$O$6942-ext_sh*Sens!$O$6944</f>
        <v>4.40444059680694</v>
      </c>
    </row>
    <row r="6961" customFormat="false" ht="17.15" hidden="false" customHeight="false" outlineLevel="0" collapsed="false">
      <c r="A6961" s="1" t="s">
        <v>597</v>
      </c>
      <c r="B6961" s="8" t="s">
        <v>73</v>
      </c>
      <c r="C6961" s="38" t="n">
        <f aca="false">Sens!$C$6960-ext_sh*Sens!$C$6957</f>
        <v>1.64417882953695</v>
      </c>
      <c r="D6961" s="38" t="n">
        <f aca="false">Sens!$D$6960-ext_sh*Sens!$D$6957</f>
        <v>3.8781008067718</v>
      </c>
      <c r="E6961" s="38" t="n">
        <f aca="false">Sens!$E$6960-ext_sh*Sens!$E$6957</f>
        <v>1.41270258088753</v>
      </c>
      <c r="F6961" s="38" t="n">
        <f aca="false">Sens!$F$6960-ext_sh*Sens!$F$6957</f>
        <v>6.50727700583486</v>
      </c>
      <c r="G6961" s="38" t="n">
        <f aca="false">Sens!$G$6960-ext_sh*Sens!$G$6957</f>
        <v>7.9199795867224</v>
      </c>
      <c r="H6961" s="38" t="n">
        <f aca="false">Sens!$H$6960-ext_sh*Sens!$H$6957</f>
        <v>19.2818189481807</v>
      </c>
      <c r="I6961" s="38" t="n">
        <f aca="false">Sens!$I$6960-ext_sh*Sens!$I$6957</f>
        <v>30.140114407202</v>
      </c>
      <c r="J6961" s="38" t="n">
        <f aca="false">Sens!$J$6960-ext_sh*Sens!$J$6957</f>
        <v>40.3569468829854</v>
      </c>
      <c r="K6961" s="38" t="n">
        <f aca="false">Sens!$K$6960-ext_sh*Sens!$K$6957</f>
        <v>50.0782975081929</v>
      </c>
      <c r="L6961" s="38" t="n">
        <f aca="false">Sens!$L$6960-ext_sh*Sens!$L$6957</f>
        <v>61.443331993499</v>
      </c>
      <c r="M6961" s="38" t="n">
        <f aca="false">Sens!$M$6960-ext_sh*Sens!$M$6957</f>
        <v>72.2498791587849</v>
      </c>
      <c r="N6961" s="38" t="n">
        <f aca="false">Sens!$N$6960-ext_sh*Sens!$N$6957</f>
        <v>0.92264103489199</v>
      </c>
      <c r="O6961" s="38" t="n">
        <f aca="false">Sens!$O$6960-ext_sh*Sens!$O$6957</f>
        <v>2.95545977187981</v>
      </c>
    </row>
    <row r="6962" customFormat="false" ht="17.15" hidden="false" customHeight="false" outlineLevel="0" collapsed="false">
      <c r="A6962" s="0" t="s">
        <v>598</v>
      </c>
      <c r="B6962" s="0" t="s">
        <v>52</v>
      </c>
      <c r="C6962" s="12" t="n">
        <f aca="false">Sens!$C$6961/Sens!$C$6942</f>
        <v>0.708390794789371</v>
      </c>
      <c r="D6962" s="12" t="n">
        <f aca="false">Sens!$D$6961/Sens!$D$6942</f>
        <v>0.445565630441968</v>
      </c>
      <c r="E6962" s="12" t="n">
        <f aca="false">Sens!$E$6961/Sens!$E$6942</f>
        <v>0.165998118402711</v>
      </c>
      <c r="F6962" s="12" t="n">
        <f aca="false">Sens!$F$6961/Sens!$F$6942</f>
        <v>0.434878595403858</v>
      </c>
      <c r="G6962" s="12" t="n">
        <f aca="false">Sens!$G$6961/Sens!$G$6942</f>
        <v>0.3373967615381</v>
      </c>
      <c r="H6962" s="12" t="n">
        <f aca="false">Sens!$H$6961/Sens!$H$6942</f>
        <v>0.320477578041224</v>
      </c>
      <c r="I6962" s="12" t="n">
        <f aca="false">Sens!$I$6961/Sens!$I$6942</f>
        <v>0.296936118226494</v>
      </c>
      <c r="J6962" s="12" t="n">
        <f aca="false">Sens!$J$6961/Sens!$J$6942</f>
        <v>0.282166278613001</v>
      </c>
      <c r="K6962" s="12" t="n">
        <f aca="false">Sens!$K$6961/Sens!$K$6942</f>
        <v>0.271267685694333</v>
      </c>
      <c r="L6962" s="12" t="n">
        <f aca="false">Sens!$L$6961/Sens!$L$6942</f>
        <v>0.27160960915653</v>
      </c>
      <c r="M6962" s="12" t="n">
        <f aca="false">Sens!$M$6961/Sens!$M$6942</f>
        <v>0.26974494804234</v>
      </c>
      <c r="N6962" s="12" t="n">
        <f aca="false">Sens!$N$6961/Sens!$N$6942</f>
        <v>0.302870734830849</v>
      </c>
      <c r="O6962" s="12" t="n">
        <f aca="false">Sens!$O$6961/Sens!$O$6942</f>
        <v>0.52240134346334</v>
      </c>
    </row>
    <row r="6963" customFormat="false" ht="17.15" hidden="false" customHeight="false" outlineLevel="0" collapsed="false">
      <c r="A6963" s="5" t="s">
        <v>599</v>
      </c>
      <c r="B6963" s="0" t="s">
        <v>73</v>
      </c>
      <c r="C6963" s="38" t="n">
        <f aca="false">rd2*(1-ext_sh)/ext_sh*Sens!$C$6925*he_open*Sens!$C$6926/1000</f>
        <v>0</v>
      </c>
      <c r="D6963" s="38" t="n">
        <f aca="false">rd2*(1-ext_sh)/ext_sh*Sens!$D$6925*he_open*Sens!$D$6926/1000</f>
        <v>0</v>
      </c>
      <c r="E6963" s="38" t="n">
        <f aca="false">rd2*(1-ext_sh)/ext_sh*Sens!$E$6925*he_open*Sens!$E$6926/1000</f>
        <v>0</v>
      </c>
      <c r="F6963" s="38" t="n">
        <f aca="false">rd2*(1-ext_sh)/ext_sh*(mw_open*he_open+Sens!$F$6940*Sens!$F$6937)*Sens!$F$6926/1000</f>
        <v>0</v>
      </c>
      <c r="G6963" s="38" t="n">
        <f aca="false">Sens!$E$6963+Sens!$F$6963</f>
        <v>0</v>
      </c>
      <c r="H6963" s="38" t="n">
        <f aca="false">rd2*(1-ext_sh)/ext_sh*(mw_open*he_open+Sens!$H$6940*Sens!$H$6937)*Sens!$H$6926/1000</f>
        <v>0</v>
      </c>
      <c r="I6963" s="38" t="n">
        <f aca="false">rd2*(1-ext_sh)/ext_sh*(mw_open*he_open+Sens!$I$6940*Sens!$I$6937)*Sens!$I$6926/1000</f>
        <v>0</v>
      </c>
      <c r="J6963" s="38" t="n">
        <f aca="false">rd2*(1-ext_sh)/ext_sh*(mw_open*he_open+Sens!$J$6940*Sens!$J$6937)*Sens!$J$6926/1000</f>
        <v>0</v>
      </c>
      <c r="K6963" s="38" t="n">
        <f aca="false">rd2*(1-ext_sh)/ext_sh*(mw_open*he_open+Sens!$K$6940*Sens!$K$6937)*Sens!$K$6926/1000</f>
        <v>0</v>
      </c>
      <c r="L6963" s="38" t="n">
        <f aca="false">rd2*(1-ext_sh)/ext_sh*(mw_open*he_open+Sens!$L$6940*Sens!$L$6937)*Sens!$L$6926/1000</f>
        <v>0</v>
      </c>
      <c r="M6963" s="38" t="n">
        <f aca="false">rd2*(1-ext_sh)/ext_sh*(mw_open*he_open+Sens!$M$6940*Sens!$M$6937)*Sens!$M$6926/1000</f>
        <v>0</v>
      </c>
      <c r="N6963" s="38" t="n">
        <f aca="false">rd2*(1-ext_sh)/ext_sh*Sens!$N$6925*he_open*Sens!$N$6926/1000</f>
        <v>0</v>
      </c>
      <c r="O6963" s="38" t="n">
        <f aca="false">rd2*(1-ext_sh)/ext_sh*Sens!$O$6925*he_open*Sens!$O$6926/1000</f>
        <v>0</v>
      </c>
      <c r="P6963" s="8" t="s">
        <v>600</v>
      </c>
    </row>
    <row r="6964" customFormat="false" ht="17.15" hidden="false" customHeight="false" outlineLevel="0" collapsed="false">
      <c r="A6964" s="5" t="s">
        <v>601</v>
      </c>
      <c r="B6964" s="0" t="s">
        <v>73</v>
      </c>
      <c r="C6964" s="38" t="n">
        <f aca="false">(1-ext_sh)*(Sens!$C$6944+Sens!$C$6957)-Sens!$C$6963</f>
        <v>0.169206631859174</v>
      </c>
      <c r="D6964" s="38" t="n">
        <f aca="false">(1-ext_sh)*(Sens!$D$6944+Sens!$D$6957)-Sens!$D$6963</f>
        <v>1.20641732046984</v>
      </c>
      <c r="E6964" s="38" t="n">
        <f aca="false">(1-ext_sh)*(Sens!$E$6944+Sens!$E$6957)-Sens!$E$6963</f>
        <v>1.77441259867062</v>
      </c>
      <c r="F6964" s="38" t="n">
        <f aca="false">(1-ext_sh)*(Sens!$F$6944+Sens!$F$6957)-Sens!$F$6963</f>
        <v>2.1140391597214</v>
      </c>
      <c r="G6964" s="38" t="n">
        <f aca="false">(1-ext_sh)*(Sens!$G$6944+Sens!$G$6957)-Sens!$G$6963</f>
        <v>3.88845175839202</v>
      </c>
      <c r="H6964" s="38" t="n">
        <f aca="false">(1-ext_sh)*(Sens!$H$6944+Sens!$H$6957)-Sens!$H$6963</f>
        <v>10.2210179503985</v>
      </c>
      <c r="I6964" s="38" t="n">
        <f aca="false">(1-ext_sh)*(Sens!$I$6944+Sens!$I$6957)-Sens!$I$6963</f>
        <v>17.8408961823075</v>
      </c>
      <c r="J6964" s="38" t="n">
        <f aca="false">(1-ext_sh)*(Sens!$J$6944+Sens!$J$6957)-Sens!$J$6963</f>
        <v>25.6671150670732</v>
      </c>
      <c r="K6964" s="38" t="n">
        <f aca="false">(1-ext_sh)*(Sens!$K$6944+Sens!$K$6957)-Sens!$K$6963</f>
        <v>33.6325293834986</v>
      </c>
      <c r="L6964" s="38" t="n">
        <f aca="false">(1-ext_sh)*(Sens!$L$6944+Sens!$L$6957)-Sens!$L$6963</f>
        <v>41.1939886299065</v>
      </c>
      <c r="M6964" s="38" t="n">
        <f aca="false">(1-ext_sh)*(Sens!$M$6944+Sens!$M$6957)-Sens!$M$6963</f>
        <v>48.8988205728617</v>
      </c>
      <c r="N6964" s="38" t="n">
        <f aca="false">(1-ext_sh)*(Sens!$N$6944+Sens!$N$6957)-Sens!$N$6963</f>
        <v>0.530919624033979</v>
      </c>
      <c r="O6964" s="38" t="n">
        <f aca="false">(1-ext_sh)*(Sens!$O$6944+Sens!$O$6957)-Sens!$O$6963</f>
        <v>0.675497696435861</v>
      </c>
    </row>
    <row r="6965" customFormat="false" ht="17.15" hidden="false" customHeight="false" outlineLevel="0" collapsed="false">
      <c r="A6965" s="0" t="s">
        <v>602</v>
      </c>
      <c r="B6965" s="0" t="s">
        <v>73</v>
      </c>
      <c r="C6965" s="38" t="n">
        <f aca="false">Q!$D$24</f>
        <v>39.834</v>
      </c>
      <c r="D6965" s="38" t="n">
        <f aca="false">Q!$E$24</f>
        <v>45.606</v>
      </c>
      <c r="E6965" s="38" t="n">
        <f aca="false">Q!$P$24</f>
        <v>30.782</v>
      </c>
      <c r="N6965" s="38" t="n">
        <f aca="false">Q!$N$24</f>
        <v>21.707</v>
      </c>
      <c r="O6965" s="38" t="n">
        <f aca="false">Q!$O$24</f>
        <v>23.899</v>
      </c>
    </row>
    <row r="6966" customFormat="false" ht="17.15" hidden="false" customHeight="false" outlineLevel="0" collapsed="false">
      <c r="A6966" s="0" t="s">
        <v>603</v>
      </c>
      <c r="B6966" s="0" t="s">
        <v>73</v>
      </c>
      <c r="C6966" s="38" t="n">
        <f aca="false">Sens!$C$6965-Sens!$C$6961</f>
        <v>38.1898211704631</v>
      </c>
      <c r="D6966" s="38" t="n">
        <f aca="false">Sens!$D$6965-Sens!$D$6961</f>
        <v>41.7278991932282</v>
      </c>
      <c r="E6966" s="38" t="n">
        <f aca="false">Sens!$E$6965-Sens!$E$6961</f>
        <v>29.3692974191125</v>
      </c>
      <c r="F6966" s="38" t="n">
        <f aca="false">Sens!$F$6946*Sens!$F$6967</f>
        <v>29.458060516894</v>
      </c>
      <c r="G6966" s="38" t="n">
        <f aca="false">Sens!$E$6966+Sens!$F$6966</f>
        <v>58.8273579360065</v>
      </c>
      <c r="H6966" s="38" t="n">
        <f aca="false">Sens!$H$6946*Sens!$H$6967</f>
        <v>67.8004040185081</v>
      </c>
      <c r="I6966" s="38" t="n">
        <f aca="false">Sens!$I$6946*Sens!$I$6967</f>
        <v>78.9527630302702</v>
      </c>
      <c r="J6966" s="38" t="n">
        <f aca="false">Sens!$J$6946*Sens!$J$6967</f>
        <v>88.6042681781841</v>
      </c>
      <c r="K6966" s="38" t="n">
        <f aca="false">Sens!$K$6946*Sens!$K$6967</f>
        <v>95.6926096324389</v>
      </c>
      <c r="L6966" s="38" t="n">
        <f aca="false">Sens!$L$6946*Sens!$L$6967</f>
        <v>103.348018403034</v>
      </c>
      <c r="M6966" s="38" t="n">
        <f aca="false">Sens!$M$6946*Sens!$M$6967</f>
        <v>111.615859875277</v>
      </c>
      <c r="N6966" s="38" t="n">
        <f aca="false">Sens!$N$6965-Sens!$N$6961</f>
        <v>20.784358965108</v>
      </c>
      <c r="O6966" s="38" t="n">
        <f aca="false">Sens!$O$6965-Sens!$O$6961</f>
        <v>20.9435402281202</v>
      </c>
      <c r="P6966" s="5" t="s">
        <v>604</v>
      </c>
    </row>
    <row r="6967" customFormat="false" ht="17.15" hidden="false" customHeight="false" outlineLevel="0" collapsed="false">
      <c r="A6967" s="0" t="s">
        <v>605</v>
      </c>
      <c r="B6967" s="0" t="s">
        <v>52</v>
      </c>
      <c r="C6967" s="12" t="n">
        <f aca="false">Sens!$C$6966/Sens!$C$6946</f>
        <v>0.362900395443635</v>
      </c>
      <c r="D6967" s="12" t="n">
        <f aca="false">Sens!$D$6966/Sens!$D$6946</f>
        <v>0.34767098474203</v>
      </c>
      <c r="E6967" s="12" t="n">
        <f aca="false">Sens!$E$6966/Sens!$E$6946</f>
        <v>0.411861655558416</v>
      </c>
      <c r="F6967" s="12" t="n">
        <f aca="false">(Sens!$O$6966+Sens!$E$6966)/(Sens!$O$6946+Sens!$E$6946)</f>
        <v>0.37480827803158</v>
      </c>
      <c r="G6967" s="12" t="n">
        <f aca="false">Sens!$G$6966/Sens!$G$6946</f>
        <v>0.392434440489471</v>
      </c>
      <c r="H6967" s="12" t="n">
        <f aca="false">Sens!$F$6967</f>
        <v>0.37480827803158</v>
      </c>
      <c r="I6967" s="12" t="n">
        <f aca="false">Sens!$F$6967</f>
        <v>0.37480827803158</v>
      </c>
      <c r="J6967" s="12" t="n">
        <f aca="false">Sens!$F$6967</f>
        <v>0.37480827803158</v>
      </c>
      <c r="K6967" s="12" t="n">
        <f aca="false">Sens!$F$6967</f>
        <v>0.37480827803158</v>
      </c>
      <c r="L6967" s="12" t="n">
        <f aca="false">Sens!$F$6967</f>
        <v>0.37480827803158</v>
      </c>
      <c r="M6967" s="12" t="n">
        <f aca="false">Sens!$F$6967</f>
        <v>0.37480827803158</v>
      </c>
      <c r="N6967" s="12" t="n">
        <f aca="false">Sens!$N$6966/Sens!$N$6946</f>
        <v>0.364039571356823</v>
      </c>
      <c r="O6967" s="12" t="n">
        <f aca="false">Sens!$O$6966/Sens!$O$6946</f>
        <v>0.332819892300086</v>
      </c>
      <c r="P6967" s="8" t="s">
        <v>606</v>
      </c>
    </row>
    <row r="6968" customFormat="false" ht="17.15" hidden="false" customHeight="false" outlineLevel="0" collapsed="false">
      <c r="A6968" s="0" t="s">
        <v>607</v>
      </c>
      <c r="B6968" s="0" t="s">
        <v>52</v>
      </c>
      <c r="D6968" s="12" t="n">
        <f aca="false">(Q!$E$31-ext_sh*Sens!$D$6957)/Sens!$D$6946</f>
        <v>0.154572973163571</v>
      </c>
    </row>
    <row r="6969" customFormat="false" ht="17.15" hidden="false" customHeight="false" outlineLevel="0" collapsed="false">
      <c r="A6969" s="0" t="s">
        <v>608</v>
      </c>
      <c r="B6969" s="0" t="s">
        <v>73</v>
      </c>
      <c r="C6969" s="38" t="n">
        <f aca="false">Q!$D$31</f>
        <v>13.32</v>
      </c>
      <c r="D6969" s="38" t="n">
        <f aca="false">Q!$E$31</f>
        <v>21.45</v>
      </c>
      <c r="E6969" s="38" t="n">
        <f aca="false">Q!$P$31</f>
        <v>15.353</v>
      </c>
      <c r="F6969" s="38" t="n">
        <f aca="false">ext_sh*Sens!$F$6957+Sens!$D$6968*Sens!$F$6946</f>
        <v>17.3614451462707</v>
      </c>
      <c r="G6969" s="38" t="n">
        <f aca="false">Sens!$E$6969+Sens!$F$6969</f>
        <v>32.7144451462707</v>
      </c>
      <c r="H6969" s="38" t="n">
        <f aca="false">ext_sh*Sens!$H$6957+Sens!$D$6968*Sens!$H$6946</f>
        <v>56.1966092719415</v>
      </c>
      <c r="I6969" s="38" t="n">
        <f aca="false">ext_sh*Sens!$I$6957+Sens!$D$6968*Sens!$I$6946</f>
        <v>82.9744039068297</v>
      </c>
      <c r="J6969" s="38" t="n">
        <f aca="false">ext_sh*Sens!$J$6957+Sens!$D$6968*Sens!$J$6946</f>
        <v>109.943252237669</v>
      </c>
      <c r="K6969" s="38" t="n">
        <f aca="false">ext_sh*Sens!$K$6957+Sens!$D$6968*Sens!$K$6946</f>
        <v>136.406703436571</v>
      </c>
      <c r="L6969" s="38" t="n">
        <f aca="false">ext_sh*Sens!$L$6957+Sens!$D$6968*Sens!$L$6946</f>
        <v>161.485870454155</v>
      </c>
      <c r="M6969" s="38" t="n">
        <f aca="false">ext_sh*Sens!$M$6957+Sens!$D$6968*Sens!$M$6946</f>
        <v>187.389846618199</v>
      </c>
      <c r="N6969" s="38" t="n">
        <f aca="false">Q!$N$31</f>
        <v>9.234</v>
      </c>
      <c r="O6969" s="38" t="n">
        <f aca="false">Q!$O$31</f>
        <v>12.216</v>
      </c>
    </row>
    <row r="6970" customFormat="false" ht="17.15" hidden="false" customHeight="false" outlineLevel="0" collapsed="false">
      <c r="A6970" s="1" t="s">
        <v>609</v>
      </c>
    </row>
    <row r="6971" customFormat="false" ht="17.15" hidden="false" customHeight="false" outlineLevel="0" collapsed="false">
      <c r="A6971" s="14" t="s">
        <v>610</v>
      </c>
      <c r="B6971" s="13" t="s">
        <v>52</v>
      </c>
      <c r="C6971" s="13"/>
      <c r="D6971" s="13"/>
      <c r="E6971" s="13"/>
      <c r="F6971" s="13"/>
      <c r="G6971" s="16" t="n">
        <f aca="false">Sens!$G$6961*(1-tax)/(ext_sh*(Sens!$D$6958+Sens!$G$6958)/2)</f>
        <v>0.0492184452944045</v>
      </c>
      <c r="H6971" s="16" t="n">
        <f aca="false">Sens!$H$6961*(1-tax)/(ext_sh*(Sens!$G$6958+Sens!$H$6958)/2)</f>
        <v>0.0619414246858107</v>
      </c>
      <c r="I6971" s="16" t="n">
        <f aca="false">Sens!$I$6961*(1-tax)/(ext_sh*(Sens!$H$6958+Sens!$I$6958)/2)</f>
        <v>0.0656831488051666</v>
      </c>
      <c r="J6971" s="16" t="n">
        <f aca="false">Sens!$J$6961*(1-tax)/(ext_sh*(Sens!$I$6958+Sens!$J$6958)/2)</f>
        <v>0.0690334849962116</v>
      </c>
      <c r="K6971" s="16" t="n">
        <f aca="false">Sens!$K$6961*(1-tax)/(ext_sh*(Sens!$J$6958+Sens!$K$6958)/2)</f>
        <v>0.0728680488295485</v>
      </c>
      <c r="L6971" s="16" t="n">
        <f aca="false">Sens!$L$6961*(1-tax)/(ext_sh*(Sens!$K$6958+Sens!$L$6958)/2)</f>
        <v>0.0785052878122331</v>
      </c>
      <c r="M6971" s="16" t="n">
        <f aca="false">Sens!$M$6961*(1-tax)/(ext_sh*(Sens!$L$6958+Sens!$M$6958)/2)</f>
        <v>0.0804526580722741</v>
      </c>
      <c r="N6971" s="13"/>
      <c r="O6971" s="13"/>
      <c r="P6971" s="8" t="s">
        <v>611</v>
      </c>
    </row>
    <row r="6972" customFormat="false" ht="17.15" hidden="false" customHeight="false" outlineLevel="0" collapsed="false">
      <c r="A6972" s="5" t="s">
        <v>612</v>
      </c>
      <c r="B6972" s="0" t="s">
        <v>57</v>
      </c>
      <c r="H6972" s="36" t="n">
        <f aca="false">Sens!$H$6942*1000/(mw_open*he_open+Sens!$H$6940*Sens!$H$6937)</f>
        <v>0.991949006767191</v>
      </c>
      <c r="I6972" s="36" t="n">
        <f aca="false">Sens!$I$6942*1000/(mw_open*he_open+Sens!$I$6940*Sens!$I$6937)</f>
        <v>0.991949006767191</v>
      </c>
      <c r="J6972" s="36" t="n">
        <f aca="false">Sens!$J$6942*1000/(mw_open*he_open+Sens!$J$6940*Sens!$J$6937)</f>
        <v>0.991949006767191</v>
      </c>
      <c r="K6972" s="36" t="n">
        <f aca="false">Sens!$K$6942*1000/(mw_open*he_open+Sens!$K$6940*Sens!$K$6937)</f>
        <v>0.991949006767191</v>
      </c>
      <c r="L6972" s="36" t="n">
        <f aca="false">Sens!$L$6942*1000/(mw_open*he_open+Sens!$L$6940*Sens!$L$6937)</f>
        <v>0.991949006767191</v>
      </c>
      <c r="M6972" s="36" t="n">
        <f aca="false">Sens!$M$6942*1000/(mw_open*he_open+Sens!$M$6940*Sens!$M$6937)</f>
        <v>0.991949006767192</v>
      </c>
    </row>
    <row r="6973" customFormat="false" ht="17.15" hidden="false" customHeight="false" outlineLevel="0" collapsed="false">
      <c r="A6973" s="5" t="s">
        <v>613</v>
      </c>
      <c r="B6973" s="0" t="s">
        <v>57</v>
      </c>
      <c r="H6973" s="36" t="n">
        <f aca="false">Sens!$H$6972*(Sens!$H$6942+wacc*ext_sh*(Sens!$G$6958+Sens!$H$6958)/2/(1-tax)-Sens!$H$6961)/Sens!$H$6942</f>
        <v>1.3149781212103</v>
      </c>
      <c r="I6973" s="36" t="n">
        <f aca="false">Sens!$I$6972*(Sens!$I$6942+wacc*ext_sh*(Sens!$H$6958+Sens!$I$6958)/2/(1-tax)-Sens!$I$6961)/Sens!$I$6942</f>
        <v>1.25742005569107</v>
      </c>
      <c r="J6973" s="36" t="n">
        <f aca="false">Sens!$J$6972*(Sens!$J$6942+wacc*ext_sh*(Sens!$I$6958+Sens!$J$6958)/2/(1-tax)-Sens!$J$6961)/Sens!$J$6942</f>
        <v>1.21838845868559</v>
      </c>
      <c r="K6973" s="36" t="n">
        <f aca="false">Sens!$K$6972*(Sens!$K$6942+wacc*ext_sh*(Sens!$J$6958+Sens!$K$6958)/2/(1-tax)-Sens!$K$6961)/Sens!$K$6942</f>
        <v>1.18402644209548</v>
      </c>
      <c r="L6973" s="36" t="n">
        <f aca="false">Sens!$L$6972*(Sens!$L$6942+wacc*ext_sh*(Sens!$K$6958+Sens!$L$6958)/2/(1-tax)-Sens!$L$6961)/Sens!$L$6942</f>
        <v>1.15111215322059</v>
      </c>
      <c r="M6973" s="36" t="n">
        <f aca="false">Sens!$M$6972*(Sens!$M$6942+wacc*ext_sh*(Sens!$L$6958+Sens!$M$6958)/2/(1-tax)-Sens!$M$6961)/Sens!$M$6942</f>
        <v>1.1397166845677</v>
      </c>
    </row>
    <row r="6974" customFormat="false" ht="17.15" hidden="false" customHeight="false" outlineLevel="0" collapsed="false">
      <c r="A6974" s="5" t="s">
        <v>614</v>
      </c>
      <c r="B6974" s="0" t="s">
        <v>52</v>
      </c>
      <c r="C6974" s="12" t="n">
        <f aca="false">Sens!$C$6943/tk_pq</f>
        <v>0.195316432429398</v>
      </c>
      <c r="D6974" s="12" t="n">
        <f aca="false">Sens!$D$6943/tk_pq</f>
        <v>0.195316432429398</v>
      </c>
      <c r="E6974" s="12" t="n">
        <f aca="false">Sens!$E$6943/tk_pq</f>
        <v>0.195316432429398</v>
      </c>
      <c r="F6974" s="12" t="n">
        <f aca="false">Sens!$F$6943/tk_pq</f>
        <v>0.202241827274866</v>
      </c>
      <c r="G6974" s="12" t="n">
        <f aca="false">Sens!$G$6943/tk_pq</f>
        <v>0.199675016194063</v>
      </c>
      <c r="H6974" s="12" t="n">
        <f aca="false">Sens!$H$6943/tk_pq</f>
        <v>0.212647947710325</v>
      </c>
      <c r="I6974" s="12" t="n">
        <f aca="false">Sens!$I$6943/tk_pq</f>
        <v>0.219285125475351</v>
      </c>
      <c r="J6974" s="12" t="n">
        <f aca="false">Sens!$J$6943/tk_pq</f>
        <v>0.222492493217189</v>
      </c>
      <c r="K6974" s="12" t="n">
        <f aca="false">Sens!$K$6943/tk_pq</f>
        <v>0.224371415939166</v>
      </c>
      <c r="L6974" s="12" t="n">
        <f aca="false">Sens!$L$6943/tk_pq</f>
        <v>0.225603749825993</v>
      </c>
      <c r="M6974" s="12" t="n">
        <f aca="false">Sens!$M$6943/tk_pq</f>
        <v>0.22647376274628</v>
      </c>
      <c r="N6974" s="12" t="n">
        <f aca="false">Sens!$N$6943/tk_pq</f>
        <v>0.195316432429398</v>
      </c>
      <c r="O6974" s="12" t="n">
        <f aca="false">Sens!$O$6943/tk_pq</f>
        <v>0.195316432429398</v>
      </c>
      <c r="P6974" s="5" t="s">
        <v>615</v>
      </c>
    </row>
    <row r="6977" customFormat="false" ht="17.15" hidden="false" customHeight="false" outlineLevel="0" collapsed="false">
      <c r="A6977" s="1" t="s">
        <v>642</v>
      </c>
    </row>
    <row r="6978" customFormat="false" ht="17.15" hidden="false" customHeight="false" outlineLevel="0" collapsed="false">
      <c r="A6978" s="0" t="s">
        <v>643</v>
      </c>
      <c r="B6978" s="0" t="s">
        <v>73</v>
      </c>
      <c r="C6978" s="38" t="n">
        <f aca="false">Sens!$C$6942</f>
        <v>2.32100535697364</v>
      </c>
      <c r="D6978" s="38" t="n">
        <f aca="false">Sens!$D$6942</f>
        <v>8.70377008865116</v>
      </c>
      <c r="E6978" s="38" t="n">
        <f aca="false">Sens!$E$6942</f>
        <v>8.51035297557002</v>
      </c>
      <c r="F6978" s="38" t="n">
        <f aca="false">Sens!$F$6942</f>
        <v>14.9634336447205</v>
      </c>
      <c r="G6978" s="38" t="n">
        <f aca="false">Sens!$G$6942</f>
        <v>23.4737866202905</v>
      </c>
      <c r="H6978" s="38" t="n">
        <f aca="false">Sens!$H$6942</f>
        <v>60.1658907497746</v>
      </c>
      <c r="I6978" s="38" t="n">
        <f aca="false">Sens!$I$6942</f>
        <v>101.503699136432</v>
      </c>
      <c r="J6978" s="38" t="n">
        <f aca="false">Sens!$J$6942</f>
        <v>143.025407151278</v>
      </c>
      <c r="K6978" s="38" t="n">
        <f aca="false">Sens!$K$6942</f>
        <v>184.608415042187</v>
      </c>
      <c r="L6978" s="38" t="n">
        <f aca="false">Sens!$L$6942</f>
        <v>226.219286513125</v>
      </c>
      <c r="M6978" s="38" t="n">
        <f aca="false">Sens!$M$6942</f>
        <v>267.845161450232</v>
      </c>
      <c r="N6978" s="38" t="n">
        <f aca="false">Sens!$N$6942</f>
        <v>3.04631953102791</v>
      </c>
      <c r="O6978" s="38" t="n">
        <f aca="false">Sens!$O$6942</f>
        <v>5.65745055762326</v>
      </c>
      <c r="P6978" s="8" t="s">
        <v>644</v>
      </c>
    </row>
    <row r="6979" customFormat="false" ht="17.15" hidden="false" customHeight="false" outlineLevel="0" collapsed="false">
      <c r="A6979" s="0" t="s">
        <v>645</v>
      </c>
      <c r="B6979" s="0" t="s">
        <v>73</v>
      </c>
      <c r="C6979" s="38" t="n">
        <f aca="false">Sens!$C$6946</f>
        <v>105.234994643026</v>
      </c>
      <c r="D6979" s="38" t="n">
        <f aca="false">Sens!$D$6946</f>
        <v>120.021229911349</v>
      </c>
      <c r="E6979" s="38" t="n">
        <f aca="false">Sens!$E$6946</f>
        <v>71.30864702443</v>
      </c>
      <c r="F6979" s="38" t="n">
        <f aca="false">Sens!$F$6946</f>
        <v>78.5950104186653</v>
      </c>
      <c r="G6979" s="38" t="n">
        <f aca="false">Sens!$G$6946</f>
        <v>149.903657443095</v>
      </c>
      <c r="H6979" s="38" t="n">
        <f aca="false">Sens!$H$6946</f>
        <v>180.893560768142</v>
      </c>
      <c r="I6979" s="38" t="n">
        <f aca="false">Sens!$I$6946</f>
        <v>210.64839721501</v>
      </c>
      <c r="J6979" s="38" t="n">
        <f aca="false">Sens!$J$6946</f>
        <v>236.398909446495</v>
      </c>
      <c r="K6979" s="38" t="n">
        <f aca="false">Sens!$K$6946</f>
        <v>255.310822202215</v>
      </c>
      <c r="L6979" s="38" t="n">
        <f aca="false">Sens!$L$6946</f>
        <v>275.735687978392</v>
      </c>
      <c r="M6979" s="38" t="n">
        <f aca="false">Sens!$M$6946</f>
        <v>297.794543016663</v>
      </c>
      <c r="N6979" s="38" t="n">
        <f aca="false">Sens!$N$6946</f>
        <v>57.0936804689721</v>
      </c>
      <c r="O6979" s="38" t="n">
        <f aca="false">Sens!$O$6946</f>
        <v>62.9275494423768</v>
      </c>
      <c r="P6979" s="8" t="s">
        <v>644</v>
      </c>
    </row>
    <row r="6980" customFormat="false" ht="17.15" hidden="false" customHeight="false" outlineLevel="0" collapsed="false">
      <c r="A6980" s="1" t="s">
        <v>476</v>
      </c>
      <c r="B6980" s="8" t="s">
        <v>73</v>
      </c>
      <c r="C6980" s="38" t="n">
        <f aca="false">Q!$D$7</f>
        <v>107.556</v>
      </c>
      <c r="D6980" s="38" t="n">
        <f aca="false">Q!$E$7</f>
        <v>128.725</v>
      </c>
      <c r="E6980" s="38" t="n">
        <f aca="false">Q!$P$7</f>
        <v>79.819</v>
      </c>
      <c r="F6980" s="38" t="n">
        <f aca="false">Sens!$F$6978+Sens!$F$6979</f>
        <v>93.5584440633857</v>
      </c>
      <c r="G6980" s="38" t="n">
        <f aca="false">Sens!$G$6978+Sens!$G$6979</f>
        <v>173.377444063386</v>
      </c>
      <c r="H6980" s="38" t="n">
        <f aca="false">Sens!$H$6978+Sens!$H$6979</f>
        <v>241.059451517916</v>
      </c>
      <c r="I6980" s="38" t="n">
        <f aca="false">Sens!$I$6978+Sens!$I$6979</f>
        <v>312.152096351442</v>
      </c>
      <c r="J6980" s="38" t="n">
        <f aca="false">Sens!$J$6978+Sens!$J$6979</f>
        <v>379.424316597773</v>
      </c>
      <c r="K6980" s="38" t="n">
        <f aca="false">Sens!$K$6978+Sens!$K$6979</f>
        <v>439.919237244402</v>
      </c>
      <c r="L6980" s="38" t="n">
        <f aca="false">Sens!$L$6978+Sens!$L$6979</f>
        <v>501.954974491517</v>
      </c>
      <c r="M6980" s="38" t="n">
        <f aca="false">Sens!$M$6978+Sens!$M$6979</f>
        <v>565.639704466895</v>
      </c>
      <c r="N6980" s="38" t="n">
        <f aca="false">Q!$N$7</f>
        <v>60.14</v>
      </c>
      <c r="O6980" s="38" t="n">
        <f aca="false">Q!$O$7</f>
        <v>68.585</v>
      </c>
      <c r="P6980" s="5" t="s">
        <v>646</v>
      </c>
    </row>
    <row r="6981" customFormat="false" ht="15" hidden="false" customHeight="false" outlineLevel="0" collapsed="false">
      <c r="A6981" s="3" t="s">
        <v>647</v>
      </c>
      <c r="B6981" s="8" t="s">
        <v>73</v>
      </c>
      <c r="C6981" s="38" t="n">
        <f aca="false">Q!$D$8</f>
        <v>637.959</v>
      </c>
      <c r="D6981" s="38" t="n">
        <f aca="false">Q!$E$8</f>
        <v>716.924</v>
      </c>
      <c r="E6981" s="38" t="n">
        <f aca="false">Q!$P$8</f>
        <v>382.125</v>
      </c>
      <c r="F6981" s="38" t="n">
        <f aca="false">Sens!$F$6915+Sens!$F$6980</f>
        <v>450.494873271816</v>
      </c>
      <c r="G6981" s="38" t="n">
        <f aca="false">Sens!$G$6915+Sens!$G$6980</f>
        <v>832.619873271816</v>
      </c>
      <c r="H6981" s="38" t="n">
        <f aca="false">Sens!$H$6915+Sens!$H$6980</f>
        <v>970.995189139617</v>
      </c>
      <c r="I6981" s="38" t="n">
        <f aca="false">Sens!$I$6915+Sens!$I$6980</f>
        <v>1110.44766604932</v>
      </c>
      <c r="J6981" s="38" t="n">
        <f aca="false">Sens!$J$6915+Sens!$J$6980</f>
        <v>1241.16113892356</v>
      </c>
      <c r="K6981" s="38" t="n">
        <f aca="false">Sens!$K$6915+Sens!$K$6980</f>
        <v>1357.47672934633</v>
      </c>
      <c r="L6981" s="38" t="n">
        <f aca="false">Sens!$L$6915+Sens!$L$6980</f>
        <v>1479.24006423468</v>
      </c>
      <c r="M6981" s="38" t="n">
        <f aca="false">Sens!$M$6915+Sens!$M$6980</f>
        <v>1606.8537230104</v>
      </c>
      <c r="N6981" s="38" t="n">
        <f aca="false">Q!$N$8</f>
        <v>323.369</v>
      </c>
      <c r="O6981" s="38" t="n">
        <f aca="false">Q!$O$8</f>
        <v>393.555</v>
      </c>
    </row>
    <row r="6982" customFormat="false" ht="17.15" hidden="false" customHeight="false" outlineLevel="0" collapsed="false">
      <c r="A6982" s="24" t="s">
        <v>655</v>
      </c>
      <c r="B6982" s="25" t="s">
        <v>73</v>
      </c>
      <c r="C6982" s="39" t="n">
        <f aca="false">Sens!$C$6915-(Sens!$C$6917+Sens!$C$6918)</f>
        <v>0</v>
      </c>
      <c r="D6982" s="39" t="n">
        <f aca="false">Sens!$D$6915-(Sens!$D$6917+Sens!$D$6918)</f>
        <v>0</v>
      </c>
      <c r="E6982" s="39" t="n">
        <f aca="false">Sens!$E$6915-(Sens!$E$6917+Sens!$E$6918)</f>
        <v>0</v>
      </c>
      <c r="F6982" s="39" t="n">
        <f aca="false">Sens!$F$6915-(Sens!$F$6917+Sens!$F$6918)</f>
        <v>0</v>
      </c>
      <c r="G6982" s="39" t="n">
        <f aca="false">Sens!$G$6915-(Sens!$G$6917+Sens!$G$6918)</f>
        <v>0</v>
      </c>
      <c r="H6982" s="39" t="n">
        <f aca="false">Sens!$H$6915-(Sens!$H$6917+Sens!$H$6918)</f>
        <v>0</v>
      </c>
      <c r="I6982" s="39" t="n">
        <f aca="false">Sens!$I$6915-(Sens!$I$6917+Sens!$I$6918)</f>
        <v>0</v>
      </c>
      <c r="J6982" s="39" t="n">
        <f aca="false">Sens!$J$6915-(Sens!$J$6917+Sens!$J$6918)</f>
        <v>0</v>
      </c>
      <c r="K6982" s="39" t="n">
        <f aca="false">Sens!$K$6915-(Sens!$K$6917+Sens!$K$6918)</f>
        <v>0</v>
      </c>
      <c r="L6982" s="39" t="n">
        <f aca="false">Sens!$L$6915-(Sens!$L$6917+Sens!$L$6918)</f>
        <v>0</v>
      </c>
      <c r="M6982" s="39" t="n">
        <f aca="false">Sens!$M$6915-(Sens!$M$6917+Sens!$M$6918)</f>
        <v>0</v>
      </c>
      <c r="N6982" s="39" t="n">
        <f aca="false">Sens!$N$6915-(Sens!$N$6917+Sens!$N$6918)</f>
        <v>0</v>
      </c>
      <c r="O6982" s="39" t="n">
        <f aca="false">Sens!$O$6915-(Sens!$O$6917+Sens!$O$6918)</f>
        <v>0</v>
      </c>
    </row>
    <row r="6983" customFormat="false" ht="17.15" hidden="false" customHeight="false" outlineLevel="0" collapsed="false">
      <c r="A6983" s="24" t="s">
        <v>656</v>
      </c>
      <c r="B6983" s="25" t="s">
        <v>73</v>
      </c>
      <c r="C6983" s="39" t="n">
        <f aca="false">Sens!$C$6978+Sens!$C$6979-Sens!$C$6980</f>
        <v>0</v>
      </c>
      <c r="D6983" s="39" t="n">
        <f aca="false">Sens!$D$6978+Sens!$D$6979-Sens!$D$6980</f>
        <v>0</v>
      </c>
      <c r="E6983" s="39" t="n">
        <f aca="false">Sens!$E$6978+Sens!$E$6979-Sens!$E$6980</f>
        <v>0</v>
      </c>
      <c r="F6983" s="39" t="n">
        <f aca="false">Sens!$F$6978+Sens!$F$6979-Sens!$F$6980</f>
        <v>0</v>
      </c>
      <c r="G6983" s="39" t="n">
        <f aca="false">Sens!$G$6978+Sens!$G$6979-Sens!$G$6980</f>
        <v>0</v>
      </c>
      <c r="H6983" s="39" t="n">
        <f aca="false">Sens!$H$6978+Sens!$H$6979-Sens!$H$6980</f>
        <v>0</v>
      </c>
      <c r="I6983" s="39" t="n">
        <f aca="false">Sens!$I$6978+Sens!$I$6979-Sens!$I$6980</f>
        <v>0</v>
      </c>
      <c r="J6983" s="39" t="n">
        <f aca="false">Sens!$J$6978+Sens!$J$6979-Sens!$J$6980</f>
        <v>0</v>
      </c>
      <c r="K6983" s="39" t="n">
        <f aca="false">Sens!$K$6978+Sens!$K$6979-Sens!$K$6980</f>
        <v>0</v>
      </c>
      <c r="L6983" s="39" t="n">
        <f aca="false">Sens!$L$6978+Sens!$L$6979-Sens!$L$6980</f>
        <v>0</v>
      </c>
      <c r="M6983" s="39" t="n">
        <f aca="false">Sens!$M$6978+Sens!$M$6979-Sens!$M$6980</f>
        <v>0</v>
      </c>
      <c r="N6983" s="39" t="n">
        <f aca="false">Sens!$N$6978+Sens!$N$6979-Sens!$N$6980</f>
        <v>0</v>
      </c>
      <c r="O6983" s="39" t="n">
        <f aca="false">Sens!$O$6978+Sens!$O$6979-Sens!$O$6980</f>
        <v>0</v>
      </c>
    </row>
    <row r="6984" customFormat="false" ht="17.15" hidden="false" customHeight="false" outlineLevel="0" collapsed="false">
      <c r="A6984" s="24" t="s">
        <v>657</v>
      </c>
      <c r="B6984" s="25" t="s">
        <v>73</v>
      </c>
      <c r="C6984" s="39" t="n">
        <f aca="false">Sens!$C$6917+Sens!$C$6918+Sens!$C$6980-Sens!$C$6981</f>
        <v>0</v>
      </c>
      <c r="D6984" s="39" t="n">
        <f aca="false">Sens!$D$6917+Sens!$D$6918+Sens!$D$6980-Sens!$D$6981</f>
        <v>0</v>
      </c>
      <c r="E6984" s="39" t="n">
        <f aca="false">Sens!$E$6917+Sens!$E$6918+Sens!$E$6980-Sens!$E$6981</f>
        <v>0</v>
      </c>
      <c r="F6984" s="39" t="n">
        <f aca="false">Sens!$F$6917+Sens!$F$6918+Sens!$F$6980-Sens!$F$6981</f>
        <v>0</v>
      </c>
      <c r="G6984" s="39" t="n">
        <f aca="false">Sens!$G$6917+Sens!$G$6918+Sens!$G$6980-Sens!$G$6981</f>
        <v>0</v>
      </c>
      <c r="H6984" s="39" t="n">
        <f aca="false">Sens!$H$6917+Sens!$H$6918+Sens!$H$6980-Sens!$H$6981</f>
        <v>0</v>
      </c>
      <c r="I6984" s="39" t="n">
        <f aca="false">Sens!$I$6917+Sens!$I$6918+Sens!$I$6980-Sens!$I$6981</f>
        <v>0</v>
      </c>
      <c r="J6984" s="39" t="n">
        <f aca="false">Sens!$J$6917+Sens!$J$6918+Sens!$J$6980-Sens!$J$6981</f>
        <v>0</v>
      </c>
      <c r="K6984" s="39" t="n">
        <f aca="false">Sens!$K$6917+Sens!$K$6918+Sens!$K$6980-Sens!$K$6981</f>
        <v>0</v>
      </c>
      <c r="L6984" s="39" t="n">
        <f aca="false">Sens!$L$6917+Sens!$L$6918+Sens!$L$6980-Sens!$L$6981</f>
        <v>0</v>
      </c>
      <c r="M6984" s="39" t="n">
        <f aca="false">Sens!$M$6917+Sens!$M$6918+Sens!$M$6980-Sens!$M$6981</f>
        <v>0</v>
      </c>
      <c r="N6984" s="39" t="n">
        <f aca="false">Sens!$N$6917+Sens!$N$6918+Sens!$N$6980-Sens!$N$6981</f>
        <v>0</v>
      </c>
      <c r="O6984" s="39" t="n">
        <f aca="false">Sens!$O$6917+Sens!$O$6918+Sens!$O$6980-Sens!$O$6981</f>
        <v>0</v>
      </c>
    </row>
    <row r="6985" customFormat="false" ht="15" hidden="false" customHeight="false" outlineLevel="0" collapsed="false">
      <c r="A6985" s="5" t="s">
        <v>651</v>
      </c>
      <c r="B6985" s="0" t="s">
        <v>52</v>
      </c>
      <c r="G6985" s="12" t="n">
        <f aca="false">Sens!$G$6981/Sens!$D$6981-1</f>
        <v>0.161378156222718</v>
      </c>
      <c r="H6985" s="12" t="n">
        <f aca="false">Sens!$H$6981/Sens!$G$6981-1</f>
        <v>0.166192665236357</v>
      </c>
      <c r="I6985" s="12" t="n">
        <f aca="false">Sens!$I$6981/Sens!$H$6981-1</f>
        <v>0.143618092519351</v>
      </c>
      <c r="J6985" s="12" t="n">
        <f aca="false">Sens!$J$6981/Sens!$I$6981-1</f>
        <v>0.117712411733268</v>
      </c>
      <c r="K6985" s="12" t="n">
        <f aca="false">Sens!$K$6981/Sens!$J$6981-1</f>
        <v>0.0937151404237868</v>
      </c>
      <c r="L6985" s="12" t="n">
        <f aca="false">Sens!$L$6981/Sens!$K$6981-1</f>
        <v>0.0896982852494186</v>
      </c>
      <c r="M6985" s="12" t="n">
        <f aca="false">Sens!$M$6981/Sens!$L$6981-1</f>
        <v>0.0862697420528154</v>
      </c>
    </row>
    <row r="6986" customFormat="false" ht="17.15" hidden="false" customHeight="false" outlineLevel="0" collapsed="false">
      <c r="A6986" s="0" t="s">
        <v>652</v>
      </c>
      <c r="B6986" s="0" t="s">
        <v>52</v>
      </c>
      <c r="C6986" s="12" t="n">
        <f aca="false">Sens!$C$6980/Sens!$C$6981</f>
        <v>0.168593906504964</v>
      </c>
      <c r="D6986" s="12" t="n">
        <f aca="false">Sens!$D$6980/Sens!$D$6981</f>
        <v>0.179551807444025</v>
      </c>
      <c r="E6986" s="12" t="n">
        <f aca="false">Sens!$E$6980/Sens!$E$6981</f>
        <v>0.208881910369643</v>
      </c>
      <c r="F6986" s="12" t="n">
        <f aca="false">Sens!$F$6980/Sens!$F$6981</f>
        <v>0.207679264769203</v>
      </c>
      <c r="G6986" s="12" t="n">
        <f aca="false">Sens!$G$6980/Sens!$G$6981</f>
        <v>0.208231210458731</v>
      </c>
      <c r="H6986" s="12" t="n">
        <f aca="false">Sens!$H$6980/Sens!$H$6981</f>
        <v>0.248260191414043</v>
      </c>
      <c r="I6986" s="12" t="n">
        <f aca="false">Sens!$I$6980/Sens!$I$6981</f>
        <v>0.28110473450946</v>
      </c>
      <c r="J6986" s="12" t="n">
        <f aca="false">Sens!$J$6980/Sens!$J$6981</f>
        <v>0.30570109287086</v>
      </c>
      <c r="K6986" s="12" t="n">
        <f aca="false">Sens!$K$6980/Sens!$K$6981</f>
        <v>0.324071291782835</v>
      </c>
      <c r="L6986" s="12" t="n">
        <f aca="false">Sens!$L$6980/Sens!$L$6981</f>
        <v>0.339333003903741</v>
      </c>
      <c r="M6986" s="12" t="n">
        <f aca="false">Sens!$M$6980/Sens!$M$6981</f>
        <v>0.3520169237354</v>
      </c>
      <c r="N6986" s="12" t="n">
        <f aca="false">Sens!$N$6980/Sens!$N$6981</f>
        <v>0.185979484737251</v>
      </c>
      <c r="O6986" s="12" t="n">
        <f aca="false">Sens!$O$6980/Sens!$O$6981</f>
        <v>0.174270432341096</v>
      </c>
    </row>
    <row r="6987" customFormat="false" ht="17.15" hidden="false" customHeight="false" outlineLevel="0" collapsed="false">
      <c r="A6987" s="0" t="s">
        <v>653</v>
      </c>
      <c r="B6987" s="0" t="s">
        <v>52</v>
      </c>
      <c r="C6987" s="12" t="n">
        <f aca="false">Sens!$C$6978/Sens!$C$6980</f>
        <v>0.0215795060896058</v>
      </c>
      <c r="D6987" s="12" t="n">
        <f aca="false">Sens!$D$6978/Sens!$D$6980</f>
        <v>0.0676152269462122</v>
      </c>
      <c r="E6987" s="12" t="n">
        <f aca="false">Sens!$E$6978/Sens!$E$6980</f>
        <v>0.106620641395783</v>
      </c>
      <c r="F6987" s="12" t="n">
        <f aca="false">Sens!$F$6978/Sens!$F$6980</f>
        <v>0.159936751776064</v>
      </c>
      <c r="G6987" s="12" t="n">
        <f aca="false">Sens!$G$6978/Sens!$G$6980</f>
        <v>0.135391237003751</v>
      </c>
      <c r="H6987" s="12" t="n">
        <f aca="false">Sens!$H$6978/Sens!$H$6980</f>
        <v>0.249589428545194</v>
      </c>
      <c r="I6987" s="12" t="n">
        <f aca="false">Sens!$I$6978/Sens!$I$6980</f>
        <v>0.325173850577483</v>
      </c>
      <c r="J6987" s="12" t="n">
        <f aca="false">Sens!$J$6978/Sens!$J$6980</f>
        <v>0.376953718817392</v>
      </c>
      <c r="K6987" s="12" t="n">
        <f aca="false">Sens!$K$6978/Sens!$K$6980</f>
        <v>0.419641605578676</v>
      </c>
      <c r="L6987" s="12" t="n">
        <f aca="false">Sens!$L$6978/Sens!$L$6980</f>
        <v>0.450676451094615</v>
      </c>
      <c r="M6987" s="12" t="n">
        <f aca="false">Sens!$M$6978/Sens!$M$6980</f>
        <v>0.473526096798086</v>
      </c>
      <c r="N6987" s="12" t="n">
        <f aca="false">Sens!$N$6978/Sens!$N$6980</f>
        <v>0.0506537999838362</v>
      </c>
      <c r="O6987" s="12" t="n">
        <f aca="false">Sens!$O$6978/Sens!$O$6980</f>
        <v>0.0824881615167056</v>
      </c>
    </row>
    <row r="6990" customFormat="false" ht="19.4" hidden="false" customHeight="false" outlineLevel="0" collapsed="false">
      <c r="A6990" s="31" t="s">
        <v>1195</v>
      </c>
    </row>
    <row r="6991" customFormat="false" ht="17.15" hidden="false" customHeight="false" outlineLevel="0" collapsed="false">
      <c r="A6991" s="6" t="s">
        <v>16</v>
      </c>
      <c r="B6991" s="6" t="s">
        <v>17</v>
      </c>
      <c r="C6991" s="20" t="s">
        <v>457</v>
      </c>
      <c r="D6991" s="20" t="s">
        <v>458</v>
      </c>
      <c r="E6991" s="20" t="s">
        <v>540</v>
      </c>
      <c r="F6991" s="20" t="s">
        <v>541</v>
      </c>
      <c r="G6991" s="20" t="s">
        <v>542</v>
      </c>
      <c r="H6991" s="20" t="s">
        <v>543</v>
      </c>
      <c r="I6991" s="20" t="s">
        <v>544</v>
      </c>
      <c r="J6991" s="20" t="s">
        <v>545</v>
      </c>
      <c r="K6991" s="20" t="s">
        <v>546</v>
      </c>
      <c r="L6991" s="20" t="s">
        <v>547</v>
      </c>
      <c r="M6991" s="20" t="s">
        <v>548</v>
      </c>
      <c r="N6991" s="20" t="s">
        <v>549</v>
      </c>
      <c r="O6991" s="20" t="s">
        <v>550</v>
      </c>
      <c r="P6991" s="6" t="s">
        <v>23</v>
      </c>
      <c r="R6991" s="20" t="n">
        <v>2023</v>
      </c>
      <c r="S6991" s="20" t="n">
        <v>2024</v>
      </c>
      <c r="T6991" s="20" t="n">
        <v>2025</v>
      </c>
      <c r="U6991" s="20" t="n">
        <v>2026</v>
      </c>
      <c r="V6991" s="20" t="n">
        <v>2027</v>
      </c>
      <c r="W6991" s="20" t="n">
        <v>2028</v>
      </c>
      <c r="X6991" s="20" t="n">
        <v>2029</v>
      </c>
      <c r="Y6991" s="20" t="n">
        <v>2030</v>
      </c>
      <c r="Z6991" s="20" t="n">
        <v>2031</v>
      </c>
      <c r="AA6991" s="20" t="n">
        <v>2032</v>
      </c>
    </row>
    <row r="6992" customFormat="false" ht="17.15" hidden="false" customHeight="false" outlineLevel="0" collapsed="false">
      <c r="A6992" s="1" t="s">
        <v>668</v>
      </c>
    </row>
    <row r="6993" customFormat="false" ht="15" hidden="false" customHeight="false" outlineLevel="0" collapsed="false">
      <c r="A6993" s="0" t="s">
        <v>479</v>
      </c>
      <c r="B6993" s="0" t="s">
        <v>73</v>
      </c>
      <c r="C6993" s="38" t="n">
        <f aca="false">Sens!$C$6903</f>
        <v>247.029</v>
      </c>
      <c r="D6993" s="38" t="n">
        <f aca="false">Sens!$D$6903</f>
        <v>269.287</v>
      </c>
      <c r="E6993" s="38" t="n">
        <f aca="false">Sens!$E$6903</f>
        <v>134.686</v>
      </c>
      <c r="F6993" s="38" t="n">
        <f aca="false">Sens!$F$6903</f>
        <v>160.728085930082</v>
      </c>
      <c r="G6993" s="38" t="n">
        <f aca="false">Sens!$G$6903</f>
        <v>295.414085930082</v>
      </c>
      <c r="H6993" s="38" t="n">
        <f aca="false">Sens!$H$6903</f>
        <v>320.828163943375</v>
      </c>
      <c r="I6993" s="38" t="n">
        <f aca="false">Sens!$I$6903</f>
        <v>344.575578072228</v>
      </c>
      <c r="J6993" s="38" t="n">
        <f aca="false">Sens!$J$6903</f>
        <v>365.942555779681</v>
      </c>
      <c r="K6993" s="38" t="n">
        <f aca="false">Sens!$K$6903</f>
        <v>384.239683568665</v>
      </c>
      <c r="L6993" s="38" t="n">
        <f aca="false">Sens!$L$6903</f>
        <v>403.451667747098</v>
      </c>
      <c r="M6993" s="38" t="n">
        <f aca="false">Sens!$M$6903</f>
        <v>423.624251134453</v>
      </c>
      <c r="N6993" s="38" t="n">
        <f aca="false">Sens!$N$6903</f>
        <v>118.892</v>
      </c>
      <c r="O6993" s="38" t="n">
        <f aca="false">Sens!$O$6903</f>
        <v>150.395</v>
      </c>
    </row>
    <row r="6994" customFormat="false" ht="15" hidden="false" customHeight="false" outlineLevel="0" collapsed="false">
      <c r="A6994" s="0" t="s">
        <v>480</v>
      </c>
      <c r="B6994" s="0" t="s">
        <v>73</v>
      </c>
      <c r="C6994" s="38" t="n">
        <f aca="false">Sens!$C$6905</f>
        <v>21.215</v>
      </c>
      <c r="D6994" s="38" t="n">
        <f aca="false">Sens!$D$6905</f>
        <v>22.561</v>
      </c>
      <c r="E6994" s="38" t="n">
        <f aca="false">Sens!$E$6905</f>
        <v>11.579</v>
      </c>
      <c r="F6994" s="38" t="n">
        <f aca="false">Sens!$F$6905</f>
        <v>12.0952613121125</v>
      </c>
      <c r="G6994" s="38" t="n">
        <f aca="false">Sens!$G$6905</f>
        <v>23.6742613121125</v>
      </c>
      <c r="H6994" s="38" t="n">
        <f aca="false">Sens!$H$6905</f>
        <v>24.8803243963206</v>
      </c>
      <c r="I6994" s="38" t="n">
        <f aca="false">Sens!$I$6905</f>
        <v>25.9741308664154</v>
      </c>
      <c r="J6994" s="38" t="n">
        <f aca="false">Sens!$J$6905</f>
        <v>26.9346894124267</v>
      </c>
      <c r="K6994" s="38" t="n">
        <f aca="false">Sens!$K$6905</f>
        <v>27.7427300947995</v>
      </c>
      <c r="L6994" s="38" t="n">
        <f aca="false">Sens!$L$6905</f>
        <v>28.5750119976435</v>
      </c>
      <c r="M6994" s="38" t="n">
        <f aca="false">Sens!$M$6905</f>
        <v>29.4322623575728</v>
      </c>
      <c r="N6994" s="38" t="n">
        <f aca="false">Sens!$N$6905</f>
        <v>11.128</v>
      </c>
      <c r="O6994" s="38" t="n">
        <f aca="false">Sens!$O$6905</f>
        <v>11.433</v>
      </c>
    </row>
    <row r="6995" customFormat="false" ht="15" hidden="false" customHeight="false" outlineLevel="0" collapsed="false">
      <c r="A6995" s="0" t="s">
        <v>481</v>
      </c>
      <c r="B6995" s="0" t="s">
        <v>73</v>
      </c>
      <c r="C6995" s="38" t="n">
        <f aca="false">Sens!$C$6907</f>
        <v>156.146</v>
      </c>
      <c r="D6995" s="38" t="n">
        <f aca="false">Sens!$D$6907</f>
        <v>172.162</v>
      </c>
      <c r="E6995" s="38" t="n">
        <f aca="false">Sens!$E$6907</f>
        <v>88.358</v>
      </c>
      <c r="F6995" s="38" t="n">
        <f aca="false">Sens!$F$6907</f>
        <v>103.62028337149</v>
      </c>
      <c r="G6995" s="38" t="n">
        <f aca="false">Sens!$G$6907</f>
        <v>191.97828337149</v>
      </c>
      <c r="H6995" s="38" t="n">
        <f aca="false">Sens!$H$6907</f>
        <v>212.128608444755</v>
      </c>
      <c r="I6995" s="38" t="n">
        <f aca="false">Sens!$I$6907</f>
        <v>231.92183134134</v>
      </c>
      <c r="J6995" s="38" t="n">
        <f aca="false">Sens!$J$6907</f>
        <v>250.859136487863</v>
      </c>
      <c r="K6995" s="38" t="n">
        <f aca="false">Sens!$K$6907</f>
        <v>268.419276042014</v>
      </c>
      <c r="L6995" s="38" t="n">
        <f aca="false">Sens!$L$6907</f>
        <v>287.208625364954</v>
      </c>
      <c r="M6995" s="38" t="n">
        <f aca="false">Sens!$M$6907</f>
        <v>307.313229140501</v>
      </c>
      <c r="N6995" s="38" t="n">
        <f aca="false">Sens!$N$6907</f>
        <v>76.86</v>
      </c>
      <c r="O6995" s="38" t="n">
        <f aca="false">Sens!$O$6907</f>
        <v>95.302</v>
      </c>
    </row>
    <row r="6996" customFormat="false" ht="15" hidden="false" customHeight="false" outlineLevel="0" collapsed="false">
      <c r="A6996" s="0" t="s">
        <v>482</v>
      </c>
      <c r="B6996" s="0" t="s">
        <v>73</v>
      </c>
      <c r="C6996" s="38" t="n">
        <f aca="false">Sens!$C$6909</f>
        <v>56.214</v>
      </c>
      <c r="D6996" s="38" t="n">
        <f aca="false">Sens!$D$6909</f>
        <v>68.635</v>
      </c>
      <c r="E6996" s="38" t="n">
        <f aca="false">Sens!$E$6909</f>
        <v>37.052</v>
      </c>
      <c r="F6996" s="38" t="n">
        <f aca="false">Sens!$F$6909</f>
        <v>48.1533381827382</v>
      </c>
      <c r="G6996" s="38" t="n">
        <f aca="false">Sens!$G$6909</f>
        <v>85.2053381827382</v>
      </c>
      <c r="H6996" s="38" t="n">
        <f aca="false">Sens!$H$6909</f>
        <v>102.29336185894</v>
      </c>
      <c r="I6996" s="38" t="n">
        <f aca="false">Sens!$I$6909</f>
        <v>119.379837585241</v>
      </c>
      <c r="J6996" s="38" t="n">
        <f aca="false">Sens!$J$6909</f>
        <v>135.319079048844</v>
      </c>
      <c r="K6996" s="38" t="n">
        <f aca="false">Sens!$K$6909</f>
        <v>148.850986953729</v>
      </c>
      <c r="L6996" s="38" t="n">
        <f aca="false">Sens!$L$6909</f>
        <v>163.736085649102</v>
      </c>
      <c r="M6996" s="38" t="n">
        <f aca="false">Sens!$M$6909</f>
        <v>180.109694214012</v>
      </c>
      <c r="N6996" s="38" t="n">
        <f aca="false">Sens!$N$6909</f>
        <v>29.615</v>
      </c>
      <c r="O6996" s="38" t="n">
        <f aca="false">Sens!$O$6909</f>
        <v>39.02</v>
      </c>
    </row>
    <row r="6997" customFormat="false" ht="15" hidden="false" customHeight="false" outlineLevel="0" collapsed="false">
      <c r="A6997" s="0" t="s">
        <v>483</v>
      </c>
      <c r="B6997" s="0" t="s">
        <v>73</v>
      </c>
      <c r="C6997" s="38" t="n">
        <f aca="false">Sens!$C$6911</f>
        <v>44.374</v>
      </c>
      <c r="D6997" s="38" t="n">
        <f aca="false">Sens!$D$6911</f>
        <v>49.619</v>
      </c>
      <c r="E6997" s="38" t="n">
        <f aca="false">Sens!$E$6911</f>
        <v>27.157</v>
      </c>
      <c r="F6997" s="38" t="n">
        <f aca="false">Sens!$F$6911</f>
        <v>28.9776360923374</v>
      </c>
      <c r="G6997" s="38" t="n">
        <f aca="false">Sens!$G$6911</f>
        <v>56.1346360923374</v>
      </c>
      <c r="H6997" s="38" t="n">
        <f aca="false">Sens!$H$6911</f>
        <v>62.4937078946075</v>
      </c>
      <c r="I6997" s="38" t="n">
        <f aca="false">Sens!$I$6911</f>
        <v>68.6715233062498</v>
      </c>
      <c r="J6997" s="38" t="n">
        <f aca="false">Sens!$J$6911</f>
        <v>74.4692882949818</v>
      </c>
      <c r="K6997" s="38" t="n">
        <f aca="false">Sens!$K$6911</f>
        <v>79.6821384756306</v>
      </c>
      <c r="L6997" s="38" t="n">
        <f aca="false">Sens!$L$6911</f>
        <v>85.2598881689247</v>
      </c>
      <c r="M6997" s="38" t="n">
        <f aca="false">Sens!$M$6911</f>
        <v>91.2280803407494</v>
      </c>
      <c r="N6997" s="38" t="n">
        <f aca="false">Sens!$N$6911</f>
        <v>23.923</v>
      </c>
      <c r="O6997" s="38" t="n">
        <f aca="false">Sens!$O$6911</f>
        <v>25.696</v>
      </c>
    </row>
    <row r="6998" customFormat="false" ht="15" hidden="false" customHeight="false" outlineLevel="0" collapsed="false">
      <c r="A6998" s="0" t="s">
        <v>484</v>
      </c>
      <c r="B6998" s="0" t="s">
        <v>73</v>
      </c>
      <c r="C6998" s="38" t="n">
        <f aca="false">Sens!$C$6913</f>
        <v>5.425</v>
      </c>
      <c r="D6998" s="38" t="n">
        <f aca="false">Sens!$D$6913</f>
        <v>5.935</v>
      </c>
      <c r="E6998" s="38" t="n">
        <f aca="false">Sens!$E$6913</f>
        <v>3.474</v>
      </c>
      <c r="F6998" s="38" t="n">
        <f aca="false">Sens!$F$6913</f>
        <v>3.36182431966931</v>
      </c>
      <c r="G6998" s="38" t="n">
        <f aca="false">Sens!$G$6913</f>
        <v>6.83582431966931</v>
      </c>
      <c r="H6998" s="38" t="n">
        <f aca="false">Sens!$H$6913</f>
        <v>7.31157108370141</v>
      </c>
      <c r="I6998" s="38" t="n">
        <f aca="false">Sens!$I$6913</f>
        <v>7.77266852639815</v>
      </c>
      <c r="J6998" s="38" t="n">
        <f aca="false">Sens!$J$6913</f>
        <v>8.2120733019884</v>
      </c>
      <c r="K6998" s="38" t="n">
        <f aca="false">Sens!$K$6913</f>
        <v>8.62267696708783</v>
      </c>
      <c r="L6998" s="38" t="n">
        <f aca="false">Sens!$L$6913</f>
        <v>9.05381081544222</v>
      </c>
      <c r="M6998" s="38" t="n">
        <f aca="false">Sens!$M$6913</f>
        <v>9.50650135621433</v>
      </c>
      <c r="N6998" s="38" t="n">
        <f aca="false">Sens!$N$6913</f>
        <v>2.811</v>
      </c>
      <c r="O6998" s="38" t="n">
        <f aca="false">Sens!$O$6913</f>
        <v>3.124</v>
      </c>
    </row>
    <row r="6999" customFormat="false" ht="17.15" hidden="false" customHeight="false" outlineLevel="0" collapsed="false">
      <c r="A6999" s="0" t="s">
        <v>669</v>
      </c>
      <c r="B6999" s="0" t="s">
        <v>73</v>
      </c>
      <c r="C6999" s="38" t="n">
        <f aca="false">Sens!$C$6980</f>
        <v>107.556</v>
      </c>
      <c r="D6999" s="38" t="n">
        <f aca="false">Sens!$D$6980</f>
        <v>128.725</v>
      </c>
      <c r="E6999" s="38" t="n">
        <f aca="false">Sens!$E$6980</f>
        <v>79.819</v>
      </c>
      <c r="F6999" s="38" t="n">
        <f aca="false">Sens!$F$6980</f>
        <v>93.5584440633857</v>
      </c>
      <c r="G6999" s="38" t="n">
        <f aca="false">Sens!$G$6980</f>
        <v>173.377444063386</v>
      </c>
      <c r="H6999" s="38" t="n">
        <f aca="false">Sens!$H$6980</f>
        <v>241.059451517916</v>
      </c>
      <c r="I6999" s="38" t="n">
        <f aca="false">Sens!$I$6980</f>
        <v>312.152096351442</v>
      </c>
      <c r="J6999" s="38" t="n">
        <f aca="false">Sens!$J$6980</f>
        <v>379.424316597773</v>
      </c>
      <c r="K6999" s="38" t="n">
        <f aca="false">Sens!$K$6980</f>
        <v>439.919237244402</v>
      </c>
      <c r="L6999" s="38" t="n">
        <f aca="false">Sens!$L$6980</f>
        <v>501.954974491517</v>
      </c>
      <c r="M6999" s="38" t="n">
        <f aca="false">Sens!$M$6980</f>
        <v>565.639704466895</v>
      </c>
      <c r="N6999" s="38" t="n">
        <f aca="false">Sens!$N$6980</f>
        <v>60.14</v>
      </c>
      <c r="O6999" s="38" t="n">
        <f aca="false">Sens!$O$6980</f>
        <v>68.585</v>
      </c>
    </row>
    <row r="7000" customFormat="false" ht="15" hidden="false" customHeight="false" outlineLevel="0" collapsed="false">
      <c r="A7000" s="1" t="s">
        <v>472</v>
      </c>
      <c r="B7000" s="8" t="s">
        <v>73</v>
      </c>
      <c r="C7000" s="38" t="n">
        <f aca="false">Sens!$C$6917</f>
        <v>387.497</v>
      </c>
      <c r="D7000" s="38" t="n">
        <f aca="false">Sens!$D$6917</f>
        <v>426.305</v>
      </c>
      <c r="E7000" s="38" t="n">
        <f aca="false">Sens!$E$6917</f>
        <v>220.32</v>
      </c>
      <c r="F7000" s="38" t="n">
        <f aca="false">Sens!$F$6917</f>
        <v>256.304015003807</v>
      </c>
      <c r="G7000" s="38" t="n">
        <f aca="false">Sens!$G$6917</f>
        <v>476.624015003807</v>
      </c>
      <c r="H7000" s="38" t="n">
        <f aca="false">Sens!$H$6917</f>
        <v>527.734391091543</v>
      </c>
      <c r="I7000" s="38" t="n">
        <f aca="false">Sens!$I$6917</f>
        <v>577.157693029577</v>
      </c>
      <c r="J7000" s="38" t="n">
        <f aca="false">Sens!$J$6917</f>
        <v>623.024923663827</v>
      </c>
      <c r="K7000" s="38" t="n">
        <f aca="false">Sens!$K$6917</f>
        <v>663.382568393781</v>
      </c>
      <c r="L7000" s="38" t="n">
        <f aca="false">Sens!$L$6917</f>
        <v>706.564873010432</v>
      </c>
      <c r="M7000" s="38" t="n">
        <f aca="false">Sens!$M$6917</f>
        <v>752.784687406019</v>
      </c>
      <c r="N7000" s="38" t="n">
        <f aca="false">Sens!$N$6917</f>
        <v>192.955</v>
      </c>
      <c r="O7000" s="38" t="n">
        <f aca="false">Sens!$O$6917</f>
        <v>233.35</v>
      </c>
    </row>
    <row r="7001" customFormat="false" ht="15" hidden="false" customHeight="false" outlineLevel="0" collapsed="false">
      <c r="A7001" s="1" t="s">
        <v>475</v>
      </c>
      <c r="B7001" s="8" t="s">
        <v>73</v>
      </c>
      <c r="C7001" s="38" t="n">
        <f aca="false">Sens!$C$6918</f>
        <v>142.906</v>
      </c>
      <c r="D7001" s="38" t="n">
        <f aca="false">Sens!$D$6918</f>
        <v>161.894</v>
      </c>
      <c r="E7001" s="38" t="n">
        <f aca="false">Sens!$E$6918</f>
        <v>81.986</v>
      </c>
      <c r="F7001" s="38" t="n">
        <f aca="false">Sens!$F$6918</f>
        <v>100.632414204623</v>
      </c>
      <c r="G7001" s="38" t="n">
        <f aca="false">Sens!$G$6918</f>
        <v>182.618414204623</v>
      </c>
      <c r="H7001" s="38" t="n">
        <f aca="false">Sens!$H$6918</f>
        <v>202.201346530158</v>
      </c>
      <c r="I7001" s="38" t="n">
        <f aca="false">Sens!$I$6918</f>
        <v>221.137876668296</v>
      </c>
      <c r="J7001" s="38" t="n">
        <f aca="false">Sens!$J$6918</f>
        <v>238.711898661958</v>
      </c>
      <c r="K7001" s="38" t="n">
        <f aca="false">Sens!$K$6918</f>
        <v>254.174923708144</v>
      </c>
      <c r="L7001" s="38" t="n">
        <f aca="false">Sens!$L$6918</f>
        <v>270.720216732733</v>
      </c>
      <c r="M7001" s="38" t="n">
        <f aca="false">Sens!$M$6918</f>
        <v>288.429331137484</v>
      </c>
      <c r="N7001" s="38" t="n">
        <f aca="false">Sens!$N$6918</f>
        <v>70.274</v>
      </c>
      <c r="O7001" s="38" t="n">
        <f aca="false">Sens!$O$6918</f>
        <v>91.62</v>
      </c>
    </row>
    <row r="7002" customFormat="false" ht="15" hidden="false" customHeight="false" outlineLevel="0" collapsed="false">
      <c r="A7002" s="1" t="s">
        <v>476</v>
      </c>
      <c r="B7002" s="8" t="s">
        <v>73</v>
      </c>
      <c r="C7002" s="38" t="n">
        <f aca="false">Sens!$C$6980</f>
        <v>107.556</v>
      </c>
      <c r="D7002" s="38" t="n">
        <f aca="false">Sens!$D$6980</f>
        <v>128.725</v>
      </c>
      <c r="E7002" s="38" t="n">
        <f aca="false">Sens!$E$6980</f>
        <v>79.819</v>
      </c>
      <c r="F7002" s="38" t="n">
        <f aca="false">Sens!$F$6980</f>
        <v>93.5584440633857</v>
      </c>
      <c r="G7002" s="38" t="n">
        <f aca="false">Sens!$G$6980</f>
        <v>173.377444063386</v>
      </c>
      <c r="H7002" s="38" t="n">
        <f aca="false">Sens!$H$6980</f>
        <v>241.059451517916</v>
      </c>
      <c r="I7002" s="38" t="n">
        <f aca="false">Sens!$I$6980</f>
        <v>312.152096351442</v>
      </c>
      <c r="J7002" s="38" t="n">
        <f aca="false">Sens!$J$6980</f>
        <v>379.424316597773</v>
      </c>
      <c r="K7002" s="38" t="n">
        <f aca="false">Sens!$K$6980</f>
        <v>439.919237244402</v>
      </c>
      <c r="L7002" s="38" t="n">
        <f aca="false">Sens!$L$6980</f>
        <v>501.954974491517</v>
      </c>
      <c r="M7002" s="38" t="n">
        <f aca="false">Sens!$M$6980</f>
        <v>565.639704466895</v>
      </c>
      <c r="N7002" s="38" t="n">
        <f aca="false">Sens!$N$6980</f>
        <v>60.14</v>
      </c>
      <c r="O7002" s="38" t="n">
        <f aca="false">Sens!$O$6980</f>
        <v>68.585</v>
      </c>
    </row>
    <row r="7003" customFormat="false" ht="17.15" hidden="false" customHeight="false" outlineLevel="0" collapsed="false">
      <c r="A7003" s="0" t="s">
        <v>643</v>
      </c>
      <c r="B7003" s="0" t="s">
        <v>73</v>
      </c>
      <c r="C7003" s="38" t="n">
        <f aca="false">Sens!$C$6978</f>
        <v>2.32100535697364</v>
      </c>
      <c r="D7003" s="38" t="n">
        <f aca="false">Sens!$D$6978</f>
        <v>8.70377008865116</v>
      </c>
      <c r="E7003" s="38" t="n">
        <f aca="false">Sens!$E$6978</f>
        <v>8.51035297557002</v>
      </c>
      <c r="F7003" s="38" t="n">
        <f aca="false">Sens!$F$6978</f>
        <v>14.9634336447205</v>
      </c>
      <c r="G7003" s="38" t="n">
        <f aca="false">Sens!$G$6978</f>
        <v>23.4737866202905</v>
      </c>
      <c r="H7003" s="38" t="n">
        <f aca="false">Sens!$H$6978</f>
        <v>60.1658907497746</v>
      </c>
      <c r="I7003" s="38" t="n">
        <f aca="false">Sens!$I$6978</f>
        <v>101.503699136432</v>
      </c>
      <c r="J7003" s="38" t="n">
        <f aca="false">Sens!$J$6978</f>
        <v>143.025407151278</v>
      </c>
      <c r="K7003" s="38" t="n">
        <f aca="false">Sens!$K$6978</f>
        <v>184.608415042187</v>
      </c>
      <c r="L7003" s="38" t="n">
        <f aca="false">Sens!$L$6978</f>
        <v>226.219286513125</v>
      </c>
      <c r="M7003" s="38" t="n">
        <f aca="false">Sens!$M$6978</f>
        <v>267.845161450232</v>
      </c>
      <c r="N7003" s="38" t="n">
        <f aca="false">Sens!$N$6978</f>
        <v>3.04631953102791</v>
      </c>
      <c r="O7003" s="38" t="n">
        <f aca="false">Sens!$O$6978</f>
        <v>5.65745055762326</v>
      </c>
    </row>
    <row r="7004" customFormat="false" ht="17.15" hidden="false" customHeight="false" outlineLevel="0" collapsed="false">
      <c r="A7004" s="0" t="s">
        <v>645</v>
      </c>
      <c r="B7004" s="0" t="s">
        <v>73</v>
      </c>
      <c r="C7004" s="38" t="n">
        <f aca="false">Sens!$C$6979</f>
        <v>105.234994643026</v>
      </c>
      <c r="D7004" s="38" t="n">
        <f aca="false">Sens!$D$6979</f>
        <v>120.021229911349</v>
      </c>
      <c r="E7004" s="38" t="n">
        <f aca="false">Sens!$E$6979</f>
        <v>71.30864702443</v>
      </c>
      <c r="F7004" s="38" t="n">
        <f aca="false">Sens!$F$6979</f>
        <v>78.5950104186653</v>
      </c>
      <c r="G7004" s="38" t="n">
        <f aca="false">Sens!$G$6979</f>
        <v>149.903657443095</v>
      </c>
      <c r="H7004" s="38" t="n">
        <f aca="false">Sens!$H$6979</f>
        <v>180.893560768142</v>
      </c>
      <c r="I7004" s="38" t="n">
        <f aca="false">Sens!$I$6979</f>
        <v>210.64839721501</v>
      </c>
      <c r="J7004" s="38" t="n">
        <f aca="false">Sens!$J$6979</f>
        <v>236.398909446495</v>
      </c>
      <c r="K7004" s="38" t="n">
        <f aca="false">Sens!$K$6979</f>
        <v>255.310822202215</v>
      </c>
      <c r="L7004" s="38" t="n">
        <f aca="false">Sens!$L$6979</f>
        <v>275.735687978392</v>
      </c>
      <c r="M7004" s="38" t="n">
        <f aca="false">Sens!$M$6979</f>
        <v>297.794543016663</v>
      </c>
      <c r="N7004" s="38" t="n">
        <f aca="false">Sens!$N$6979</f>
        <v>57.0936804689721</v>
      </c>
      <c r="O7004" s="38" t="n">
        <f aca="false">Sens!$O$6979</f>
        <v>62.9275494423768</v>
      </c>
    </row>
    <row r="7005" customFormat="false" ht="15" hidden="false" customHeight="false" outlineLevel="0" collapsed="false">
      <c r="A7005" s="3" t="s">
        <v>477</v>
      </c>
      <c r="B7005" s="8" t="s">
        <v>73</v>
      </c>
      <c r="C7005" s="38" t="n">
        <f aca="false">Sens!$C$6981</f>
        <v>637.959</v>
      </c>
      <c r="D7005" s="38" t="n">
        <f aca="false">Sens!$D$6981</f>
        <v>716.924</v>
      </c>
      <c r="E7005" s="38" t="n">
        <f aca="false">Sens!$E$6981</f>
        <v>382.125</v>
      </c>
      <c r="F7005" s="38" t="n">
        <f aca="false">Sens!$F$6981</f>
        <v>450.494873271816</v>
      </c>
      <c r="G7005" s="38" t="n">
        <f aca="false">Sens!$G$6981</f>
        <v>832.619873271816</v>
      </c>
      <c r="H7005" s="38" t="n">
        <f aca="false">Sens!$H$6981</f>
        <v>970.995189139617</v>
      </c>
      <c r="I7005" s="38" t="n">
        <f aca="false">Sens!$I$6981</f>
        <v>1110.44766604932</v>
      </c>
      <c r="J7005" s="38" t="n">
        <f aca="false">Sens!$J$6981</f>
        <v>1241.16113892356</v>
      </c>
      <c r="K7005" s="38" t="n">
        <f aca="false">Sens!$K$6981</f>
        <v>1357.47672934633</v>
      </c>
      <c r="L7005" s="38" t="n">
        <f aca="false">Sens!$L$6981</f>
        <v>1479.24006423468</v>
      </c>
      <c r="M7005" s="38" t="n">
        <f aca="false">Sens!$M$6981</f>
        <v>1606.8537230104</v>
      </c>
      <c r="N7005" s="38" t="n">
        <f aca="false">Sens!$N$6981</f>
        <v>323.369</v>
      </c>
      <c r="O7005" s="38" t="n">
        <f aca="false">Sens!$O$6981</f>
        <v>393.555</v>
      </c>
    </row>
    <row r="7006" customFormat="false" ht="17.15" hidden="false" customHeight="false" outlineLevel="0" collapsed="false">
      <c r="A7006" s="24" t="s">
        <v>655</v>
      </c>
      <c r="B7006" s="25" t="s">
        <v>73</v>
      </c>
      <c r="C7006" s="39" t="n">
        <f aca="false">Sens!$C$6993+Sens!$C$6994+Sens!$C$6995+Sens!$C$6996+Sens!$C$6997+Sens!$C$6998-(Sens!$C$7000+Sens!$C$7001)</f>
        <v>0</v>
      </c>
      <c r="D7006" s="39" t="n">
        <f aca="false">Sens!$D$6993+Sens!$D$6994+Sens!$D$6995+Sens!$D$6996+Sens!$D$6997+Sens!$D$6998-(Sens!$D$7000+Sens!$D$7001)</f>
        <v>0</v>
      </c>
      <c r="E7006" s="39" t="n">
        <f aca="false">Sens!$E$6993+Sens!$E$6994+Sens!$E$6995+Sens!$E$6996+Sens!$E$6997+Sens!$E$6998-(Sens!$E$7000+Sens!$E$7001)</f>
        <v>0</v>
      </c>
      <c r="F7006" s="39" t="n">
        <f aca="false">Sens!$F$6993+Sens!$F$6994+Sens!$F$6995+Sens!$F$6996+Sens!$F$6997+Sens!$F$6998-(Sens!$F$7000+Sens!$F$7001)</f>
        <v>0</v>
      </c>
      <c r="G7006" s="39" t="n">
        <f aca="false">Sens!$G$6993+Sens!$G$6994+Sens!$G$6995+Sens!$G$6996+Sens!$G$6997+Sens!$G$6998-(Sens!$G$7000+Sens!$G$7001)</f>
        <v>0</v>
      </c>
      <c r="H7006" s="39" t="n">
        <f aca="false">Sens!$H$6993+Sens!$H$6994+Sens!$H$6995+Sens!$H$6996+Sens!$H$6997+Sens!$H$6998-(Sens!$H$7000+Sens!$H$7001)</f>
        <v>0</v>
      </c>
      <c r="I7006" s="39" t="n">
        <f aca="false">Sens!$I$6993+Sens!$I$6994+Sens!$I$6995+Sens!$I$6996+Sens!$I$6997+Sens!$I$6998-(Sens!$I$7000+Sens!$I$7001)</f>
        <v>0</v>
      </c>
      <c r="J7006" s="39" t="n">
        <f aca="false">Sens!$J$6993+Sens!$J$6994+Sens!$J$6995+Sens!$J$6996+Sens!$J$6997+Sens!$J$6998-(Sens!$J$7000+Sens!$J$7001)</f>
        <v>0</v>
      </c>
      <c r="K7006" s="39" t="n">
        <f aca="false">Sens!$K$6993+Sens!$K$6994+Sens!$K$6995+Sens!$K$6996+Sens!$K$6997+Sens!$K$6998-(Sens!$K$7000+Sens!$K$7001)</f>
        <v>0</v>
      </c>
      <c r="L7006" s="39" t="n">
        <f aca="false">Sens!$L$6993+Sens!$L$6994+Sens!$L$6995+Sens!$L$6996+Sens!$L$6997+Sens!$L$6998-(Sens!$L$7000+Sens!$L$7001)</f>
        <v>0</v>
      </c>
      <c r="M7006" s="39" t="n">
        <f aca="false">Sens!$M$6993+Sens!$M$6994+Sens!$M$6995+Sens!$M$6996+Sens!$M$6997+Sens!$M$6998-(Sens!$M$7000+Sens!$M$7001)</f>
        <v>0</v>
      </c>
      <c r="N7006" s="39" t="n">
        <f aca="false">Sens!$N$6993+Sens!$N$6994+Sens!$N$6995+Sens!$N$6996+Sens!$N$6997+Sens!$N$6998-(Sens!$N$7000+Sens!$N$7001)</f>
        <v>0</v>
      </c>
      <c r="O7006" s="39" t="n">
        <f aca="false">Sens!$O$6993+Sens!$O$6994+Sens!$O$6995+Sens!$O$6996+Sens!$O$6997+Sens!$O$6998-(Sens!$O$7000+Sens!$O$7001)</f>
        <v>0</v>
      </c>
    </row>
    <row r="7007" customFormat="false" ht="17.15" hidden="false" customHeight="false" outlineLevel="0" collapsed="false">
      <c r="A7007" s="24" t="s">
        <v>656</v>
      </c>
      <c r="B7007" s="25" t="s">
        <v>73</v>
      </c>
      <c r="C7007" s="39" t="n">
        <f aca="false">Sens!$C$7003+Sens!$C$7004-Sens!$C$7002</f>
        <v>0</v>
      </c>
      <c r="D7007" s="39" t="n">
        <f aca="false">Sens!$D$7003+Sens!$D$7004-Sens!$D$7002</f>
        <v>0</v>
      </c>
      <c r="E7007" s="39" t="n">
        <f aca="false">Sens!$E$7003+Sens!$E$7004-Sens!$E$7002</f>
        <v>0</v>
      </c>
      <c r="F7007" s="39" t="n">
        <f aca="false">Sens!$F$7003+Sens!$F$7004-Sens!$F$7002</f>
        <v>0</v>
      </c>
      <c r="G7007" s="39" t="n">
        <f aca="false">Sens!$G$7003+Sens!$G$7004-Sens!$G$7002</f>
        <v>0</v>
      </c>
      <c r="H7007" s="39" t="n">
        <f aca="false">Sens!$H$7003+Sens!$H$7004-Sens!$H$7002</f>
        <v>0</v>
      </c>
      <c r="I7007" s="39" t="n">
        <f aca="false">Sens!$I$7003+Sens!$I$7004-Sens!$I$7002</f>
        <v>0</v>
      </c>
      <c r="J7007" s="39" t="n">
        <f aca="false">Sens!$J$7003+Sens!$J$7004-Sens!$J$7002</f>
        <v>0</v>
      </c>
      <c r="K7007" s="39" t="n">
        <f aca="false">Sens!$K$7003+Sens!$K$7004-Sens!$K$7002</f>
        <v>0</v>
      </c>
      <c r="L7007" s="39" t="n">
        <f aca="false">Sens!$L$7003+Sens!$L$7004-Sens!$L$7002</f>
        <v>0</v>
      </c>
      <c r="M7007" s="39" t="n">
        <f aca="false">Sens!$M$7003+Sens!$M$7004-Sens!$M$7002</f>
        <v>0</v>
      </c>
      <c r="N7007" s="39" t="n">
        <f aca="false">Sens!$N$7003+Sens!$N$7004-Sens!$N$7002</f>
        <v>0</v>
      </c>
      <c r="O7007" s="39" t="n">
        <f aca="false">Sens!$O$7003+Sens!$O$7004-Sens!$O$7002</f>
        <v>0</v>
      </c>
    </row>
    <row r="7008" customFormat="false" ht="17.15" hidden="false" customHeight="false" outlineLevel="0" collapsed="false">
      <c r="A7008" s="24" t="s">
        <v>710</v>
      </c>
      <c r="B7008" s="25" t="s">
        <v>73</v>
      </c>
      <c r="C7008" s="39" t="n">
        <f aca="false">Sens!$C$6993+Sens!$C$6994+Sens!$C$6995+Sens!$C$6996+Sens!$C$6997+Sens!$C$6998+Sens!$C$6999-Sens!$C$7005</f>
        <v>0</v>
      </c>
      <c r="D7008" s="39" t="n">
        <f aca="false">Sens!$D$6993+Sens!$D$6994+Sens!$D$6995+Sens!$D$6996+Sens!$D$6997+Sens!$D$6998+Sens!$D$6999-Sens!$D$7005</f>
        <v>0</v>
      </c>
      <c r="E7008" s="39" t="n">
        <f aca="false">Sens!$E$6993+Sens!$E$6994+Sens!$E$6995+Sens!$E$6996+Sens!$E$6997+Sens!$E$6998+Sens!$E$6999-Sens!$E$7005</f>
        <v>0</v>
      </c>
      <c r="F7008" s="39" t="n">
        <f aca="false">Sens!$F$6993+Sens!$F$6994+Sens!$F$6995+Sens!$F$6996+Sens!$F$6997+Sens!$F$6998+Sens!$F$6999-Sens!$F$7005</f>
        <v>0</v>
      </c>
      <c r="G7008" s="39" t="n">
        <f aca="false">Sens!$G$6993+Sens!$G$6994+Sens!$G$6995+Sens!$G$6996+Sens!$G$6997+Sens!$G$6998+Sens!$G$6999-Sens!$G$7005</f>
        <v>0</v>
      </c>
      <c r="H7008" s="39" t="n">
        <f aca="false">Sens!$H$6993+Sens!$H$6994+Sens!$H$6995+Sens!$H$6996+Sens!$H$6997+Sens!$H$6998+Sens!$H$6999-Sens!$H$7005</f>
        <v>0</v>
      </c>
      <c r="I7008" s="39" t="n">
        <f aca="false">Sens!$I$6993+Sens!$I$6994+Sens!$I$6995+Sens!$I$6996+Sens!$I$6997+Sens!$I$6998+Sens!$I$6999-Sens!$I$7005</f>
        <v>0</v>
      </c>
      <c r="J7008" s="39" t="n">
        <f aca="false">Sens!$J$6993+Sens!$J$6994+Sens!$J$6995+Sens!$J$6996+Sens!$J$6997+Sens!$J$6998+Sens!$J$6999-Sens!$J$7005</f>
        <v>0</v>
      </c>
      <c r="K7008" s="39" t="n">
        <f aca="false">Sens!$K$6993+Sens!$K$6994+Sens!$K$6995+Sens!$K$6996+Sens!$K$6997+Sens!$K$6998+Sens!$K$6999-Sens!$K$7005</f>
        <v>0</v>
      </c>
      <c r="L7008" s="39" t="n">
        <f aca="false">Sens!$L$6993+Sens!$L$6994+Sens!$L$6995+Sens!$L$6996+Sens!$L$6997+Sens!$L$6998+Sens!$L$6999-Sens!$L$7005</f>
        <v>0</v>
      </c>
      <c r="M7008" s="39" t="n">
        <f aca="false">Sens!$M$6993+Sens!$M$6994+Sens!$M$6995+Sens!$M$6996+Sens!$M$6997+Sens!$M$6998+Sens!$M$6999-Sens!$M$7005</f>
        <v>0</v>
      </c>
      <c r="N7008" s="39" t="n">
        <f aca="false">Sens!$N$6993+Sens!$N$6994+Sens!$N$6995+Sens!$N$6996+Sens!$N$6997+Sens!$N$6998+Sens!$N$6999-Sens!$N$7005</f>
        <v>0</v>
      </c>
      <c r="O7008" s="39" t="n">
        <f aca="false">Sens!$O$6993+Sens!$O$6994+Sens!$O$6995+Sens!$O$6996+Sens!$O$6997+Sens!$O$6998+Sens!$O$6999-Sens!$O$7005</f>
        <v>0</v>
      </c>
    </row>
    <row r="7009" customFormat="false" ht="17.15" hidden="false" customHeight="false" outlineLevel="0" collapsed="false">
      <c r="A7009" s="24" t="s">
        <v>657</v>
      </c>
      <c r="B7009" s="25" t="s">
        <v>73</v>
      </c>
      <c r="C7009" s="39" t="n">
        <f aca="false">Sens!$C$7000+Sens!$C$7001+Sens!$C$7002-Sens!$C$7005</f>
        <v>0</v>
      </c>
      <c r="D7009" s="39" t="n">
        <f aca="false">Sens!$D$7000+Sens!$D$7001+Sens!$D$7002-Sens!$D$7005</f>
        <v>0</v>
      </c>
      <c r="E7009" s="39" t="n">
        <f aca="false">Sens!$E$7000+Sens!$E$7001+Sens!$E$7002-Sens!$E$7005</f>
        <v>0</v>
      </c>
      <c r="F7009" s="39" t="n">
        <f aca="false">Sens!$F$7000+Sens!$F$7001+Sens!$F$7002-Sens!$F$7005</f>
        <v>0</v>
      </c>
      <c r="G7009" s="39" t="n">
        <f aca="false">Sens!$G$7000+Sens!$G$7001+Sens!$G$7002-Sens!$G$7005</f>
        <v>0</v>
      </c>
      <c r="H7009" s="39" t="n">
        <f aca="false">Sens!$H$7000+Sens!$H$7001+Sens!$H$7002-Sens!$H$7005</f>
        <v>0</v>
      </c>
      <c r="I7009" s="39" t="n">
        <f aca="false">Sens!$I$7000+Sens!$I$7001+Sens!$I$7002-Sens!$I$7005</f>
        <v>0</v>
      </c>
      <c r="J7009" s="39" t="n">
        <f aca="false">Sens!$J$7000+Sens!$J$7001+Sens!$J$7002-Sens!$J$7005</f>
        <v>0</v>
      </c>
      <c r="K7009" s="39" t="n">
        <f aca="false">Sens!$K$7000+Sens!$K$7001+Sens!$K$7002-Sens!$K$7005</f>
        <v>0</v>
      </c>
      <c r="L7009" s="39" t="n">
        <f aca="false">Sens!$L$7000+Sens!$L$7001+Sens!$L$7002-Sens!$L$7005</f>
        <v>0</v>
      </c>
      <c r="M7009" s="39" t="n">
        <f aca="false">Sens!$M$7000+Sens!$M$7001+Sens!$M$7002-Sens!$M$7005</f>
        <v>0</v>
      </c>
      <c r="N7009" s="39" t="n">
        <f aca="false">Sens!$N$7000+Sens!$N$7001+Sens!$N$7002-Sens!$N$7005</f>
        <v>0</v>
      </c>
      <c r="O7009" s="39" t="n">
        <f aca="false">Sens!$O$7000+Sens!$O$7001+Sens!$O$7002-Sens!$O$7005</f>
        <v>0</v>
      </c>
    </row>
    <row r="7010" customFormat="false" ht="17.15" hidden="false" customHeight="false" outlineLevel="0" collapsed="false">
      <c r="A7010" s="1" t="s">
        <v>671</v>
      </c>
    </row>
    <row r="7011" customFormat="false" ht="17.15" hidden="false" customHeight="false" outlineLevel="0" collapsed="false">
      <c r="A7011" s="0" t="s">
        <v>672</v>
      </c>
      <c r="B7011" s="0" t="s">
        <v>73</v>
      </c>
      <c r="C7011" s="38" t="n">
        <f aca="false">Sens!$C$6919*m_ad</f>
        <v>20.5341564414228</v>
      </c>
      <c r="D7011" s="38" t="n">
        <f aca="false">Sens!$D$6919*m_ad</f>
        <v>24.8720617299587</v>
      </c>
      <c r="E7011" s="38" t="n">
        <f aca="false">Sens!$E$6919*m_ad</f>
        <v>13.5017112462207</v>
      </c>
      <c r="F7011" s="38" t="n">
        <f aca="false">Sens!$F$6919*m_ad</f>
        <v>17.2886442824599</v>
      </c>
      <c r="G7011" s="38" t="n">
        <f aca="false">Sens!$G$6919*m_ad</f>
        <v>30.8011958765886</v>
      </c>
      <c r="H7011" s="38" t="n">
        <f aca="false">Sens!$H$6919*m_ad</f>
        <v>36.978409366026</v>
      </c>
      <c r="I7011" s="38" t="n">
        <f aca="false">Sens!$I$6919*m_ad</f>
        <v>43.155063281273</v>
      </c>
      <c r="J7011" s="38" t="n">
        <f aca="false">Sens!$J$6919*m_ad</f>
        <v>48.9169991988532</v>
      </c>
      <c r="K7011" s="38" t="n">
        <f aca="false">Sens!$K$6919*m_ad</f>
        <v>53.8086991187386</v>
      </c>
      <c r="L7011" s="38" t="n">
        <f aca="false">Sens!$L$6919*m_ad</f>
        <v>59.1895690306124</v>
      </c>
      <c r="M7011" s="38" t="n">
        <f aca="false">Sens!$M$6919*m_ad</f>
        <v>65.1085259336737</v>
      </c>
      <c r="N7011" s="38" t="n">
        <f aca="false">Sens!$N$6919*m_ad</f>
        <v>10.8543555706248</v>
      </c>
      <c r="O7011" s="38" t="n">
        <f aca="false">Sens!$O$6919*m_ad</f>
        <v>14.0094731821399</v>
      </c>
    </row>
    <row r="7012" customFormat="false" ht="17.15" hidden="false" customHeight="false" outlineLevel="0" collapsed="false">
      <c r="A7012" s="0" t="s">
        <v>673</v>
      </c>
      <c r="B7012" s="0" t="s">
        <v>73</v>
      </c>
      <c r="C7012" s="38" t="n">
        <f aca="false">Sens!$C$6917-Sens!$C$6919</f>
        <v>346.428687117154</v>
      </c>
      <c r="D7012" s="38" t="n">
        <f aca="false">Sens!$D$6917-Sens!$D$6919</f>
        <v>376.560876540083</v>
      </c>
      <c r="E7012" s="38" t="n">
        <f aca="false">Sens!$E$6917-Sens!$E$6919</f>
        <v>193.316577507559</v>
      </c>
      <c r="F7012" s="38" t="n">
        <f aca="false">Sens!$F$6917-Sens!$F$6919</f>
        <v>221.726726438887</v>
      </c>
      <c r="G7012" s="38" t="n">
        <f aca="false">Sens!$G$6917-Sens!$G$6919</f>
        <v>415.02162325063</v>
      </c>
      <c r="H7012" s="38" t="n">
        <f aca="false">Sens!$H$6917-Sens!$H$6919</f>
        <v>453.777572359491</v>
      </c>
      <c r="I7012" s="38" t="n">
        <f aca="false">Sens!$I$6917-Sens!$I$6919</f>
        <v>490.847566467031</v>
      </c>
      <c r="J7012" s="38" t="n">
        <f aca="false">Sens!$J$6917-Sens!$J$6919</f>
        <v>525.190925266121</v>
      </c>
      <c r="K7012" s="38" t="n">
        <f aca="false">Sens!$K$6917-Sens!$K$6919</f>
        <v>555.765170156304</v>
      </c>
      <c r="L7012" s="38" t="n">
        <f aca="false">Sens!$L$6917-Sens!$L$6919</f>
        <v>588.185734949207</v>
      </c>
      <c r="M7012" s="38" t="n">
        <f aca="false">Sens!$M$6917-Sens!$M$6919</f>
        <v>622.567635538672</v>
      </c>
      <c r="N7012" s="38" t="n">
        <f aca="false">Sens!$N$6917-Sens!$N$6919</f>
        <v>171.24628885875</v>
      </c>
      <c r="O7012" s="38" t="n">
        <f aca="false">Sens!$O$6917-Sens!$O$6919</f>
        <v>205.33105363572</v>
      </c>
    </row>
    <row r="7013" customFormat="false" ht="17.15" hidden="false" customHeight="false" outlineLevel="0" collapsed="false">
      <c r="A7013" s="0" t="s">
        <v>674</v>
      </c>
      <c r="B7013" s="0" t="s">
        <v>73</v>
      </c>
      <c r="C7013" s="38" t="n">
        <f aca="false">Sens!$C$6964*Sens!$C$6916</f>
        <v>0.123617442257179</v>
      </c>
      <c r="D7013" s="38" t="n">
        <f aca="false">Sens!$D$6964*Sens!$D$6916</f>
        <v>0.874366899302609</v>
      </c>
      <c r="E7013" s="38" t="n">
        <f aca="false">Sens!$E$6964*Sens!$E$6916</f>
        <v>1.29318830502574</v>
      </c>
      <c r="F7013" s="38" t="n">
        <f aca="false">Sens!$F$6964*Sens!$F$6916</f>
        <v>1.51802024162534</v>
      </c>
      <c r="G7013" s="38" t="n">
        <f aca="false">Sens!$G$6964*Sens!$G$6916</f>
        <v>2.81130189308167</v>
      </c>
      <c r="H7013" s="38" t="n">
        <f aca="false">Sens!$H$6964*Sens!$H$6916</f>
        <v>7.38966789318209</v>
      </c>
      <c r="I7013" s="38" t="n">
        <f aca="false">Sens!$I$6964*Sens!$I$6916</f>
        <v>12.8987443661473</v>
      </c>
      <c r="J7013" s="38" t="n">
        <f aca="false">Sens!$J$6964*Sens!$J$6916</f>
        <v>18.5570025453645</v>
      </c>
      <c r="K7013" s="38" t="n">
        <f aca="false">Sens!$K$6964*Sens!$K$6916</f>
        <v>24.3158972773405</v>
      </c>
      <c r="L7013" s="38" t="n">
        <f aca="false">Sens!$L$6964*Sens!$L$6916</f>
        <v>29.7827375558674</v>
      </c>
      <c r="M7013" s="38" t="n">
        <f aca="false">Sens!$M$6964*Sens!$M$6916</f>
        <v>35.3532344973194</v>
      </c>
      <c r="N7013" s="38" t="n">
        <f aca="false">Sens!$N$6964*Sens!$N$6916</f>
        <v>0.389180508437431</v>
      </c>
      <c r="O7013" s="38" t="n">
        <f aca="false">Sens!$O$6964*Sens!$O$6916</f>
        <v>0.485052120082802</v>
      </c>
    </row>
    <row r="7014" customFormat="false" ht="17.15" hidden="false" customHeight="false" outlineLevel="0" collapsed="false">
      <c r="A7014" s="0" t="s">
        <v>675</v>
      </c>
      <c r="B7014" s="0" t="s">
        <v>52</v>
      </c>
      <c r="C7014" s="28" t="n">
        <f aca="false">(Sens!$C$7015-Sens!$C$7011+Sens!$C$7013)/Sens!$C$7012</f>
        <v>0.0131526665379575</v>
      </c>
      <c r="D7014" s="28" t="n">
        <f aca="false">(Sens!$D$7015-Sens!$D$7011+Sens!$D$7013)/Sens!$D$7012</f>
        <v>0.0149280116962589</v>
      </c>
      <c r="E7014" s="28" t="n">
        <f aca="false">(Sens!$E$7015-Sens!$E$7011+Sens!$E$7013)/Sens!$E$7012</f>
        <v>0.0268030663774938</v>
      </c>
      <c r="F7014" s="28" t="n">
        <f aca="false">Sens!$O$7014+(Sens!$E$7014-Sens!$N$7014)</f>
        <v>0.0232379346966962</v>
      </c>
      <c r="G7014" s="28" t="n">
        <f aca="false">(Sens!$G$7015-Sens!$G$7011+Sens!$G$7013)/Sens!$G$7012</f>
        <v>0.0248738876928168</v>
      </c>
      <c r="H7014" s="28" t="n">
        <f aca="false">Sens!$G$7014+step_na</f>
        <v>0.0278738876928168</v>
      </c>
      <c r="I7014" s="28" t="n">
        <f aca="false">Sens!$H$7014+step_na</f>
        <v>0.0308738876928168</v>
      </c>
      <c r="J7014" s="28" t="n">
        <f aca="false">Sens!$I$7014+step_na</f>
        <v>0.0338738876928168</v>
      </c>
      <c r="K7014" s="28" t="n">
        <f aca="false">Sens!$J$7014+step_na</f>
        <v>0.0368738876928168</v>
      </c>
      <c r="L7014" s="28" t="n">
        <f aca="false">Sens!$K$7014</f>
        <v>0.0368738876928168</v>
      </c>
      <c r="M7014" s="28" t="n">
        <f aca="false">Sens!$L$7014</f>
        <v>0.0368738876928168</v>
      </c>
      <c r="N7014" s="28" t="n">
        <f aca="false">(Sens!$N$7015-Sens!$N$7011+Sens!$N$7013)/Sens!$N$7012</f>
        <v>0.0168927744775755</v>
      </c>
      <c r="O7014" s="28" t="n">
        <f aca="false">(Sens!$O$7015-Sens!$O$7011+Sens!$O$7013)/Sens!$O$7012</f>
        <v>0.0133276427967779</v>
      </c>
      <c r="P7014" s="8" t="s">
        <v>676</v>
      </c>
    </row>
    <row r="7015" customFormat="false" ht="17.15" hidden="false" customHeight="false" outlineLevel="0" collapsed="false">
      <c r="A7015" s="1" t="s">
        <v>677</v>
      </c>
      <c r="B7015" s="8" t="s">
        <v>73</v>
      </c>
      <c r="C7015" s="38" t="n">
        <f aca="false">Q!$D$22</f>
        <v>24.967</v>
      </c>
      <c r="D7015" s="38" t="n">
        <f aca="false">Q!$E$22</f>
        <v>29.619</v>
      </c>
      <c r="E7015" s="38" t="n">
        <f aca="false">Q!$P$22</f>
        <v>17.39</v>
      </c>
      <c r="F7015" s="38" t="n">
        <f aca="false">Sens!$F$7011+Sens!$F$7012*Sens!$F$7014-Sens!$F$7013</f>
        <v>20.9230952303336</v>
      </c>
      <c r="G7015" s="38" t="n">
        <f aca="false">Sens!$E$7015+Sens!$F$7015</f>
        <v>38.3130952303336</v>
      </c>
      <c r="H7015" s="38" t="n">
        <f aca="false">Sens!$H$7011+Sens!$H$7012*Sens!$H$7014-Sens!$H$7013</f>
        <v>42.2372865623114</v>
      </c>
      <c r="I7015" s="38" t="n">
        <f aca="false">Sens!$I$7011+Sens!$I$7012*Sens!$I$7014-Sens!$I$7013</f>
        <v>45.4106915565213</v>
      </c>
      <c r="J7015" s="38" t="n">
        <f aca="false">Sens!$J$7011+Sens!$J$7012*Sens!$J$7014-Sens!$J$7013</f>
        <v>48.1502550732398</v>
      </c>
      <c r="K7015" s="38" t="n">
        <f aca="false">Sens!$K$7011+Sens!$K$7012*Sens!$K$7014-Sens!$K$7013</f>
        <v>49.9860243093208</v>
      </c>
      <c r="L7015" s="38" t="n">
        <f aca="false">Sens!$L$7011+Sens!$L$7012*Sens!$L$7014-Sens!$L$7013</f>
        <v>51.095526207779</v>
      </c>
      <c r="M7015" s="38" t="n">
        <f aca="false">Sens!$M$7011+Sens!$M$7012*Sens!$M$7014-Sens!$M$7013</f>
        <v>52.7117805103898</v>
      </c>
      <c r="N7015" s="38" t="n">
        <f aca="false">Q!$N$22</f>
        <v>13.358</v>
      </c>
      <c r="O7015" s="38" t="n">
        <f aca="false">Q!$O$22</f>
        <v>16.261</v>
      </c>
    </row>
    <row r="7016" customFormat="false" ht="17.15" hidden="false" customHeight="false" outlineLevel="0" collapsed="false">
      <c r="A7016" s="0" t="s">
        <v>678</v>
      </c>
      <c r="B7016" s="0" t="s">
        <v>73</v>
      </c>
      <c r="C7016" s="38" t="n">
        <f aca="false">Sens!$C$6920*m_ad</f>
        <v>7.57284355857716</v>
      </c>
      <c r="D7016" s="38" t="n">
        <f aca="false">Sens!$D$6920*m_ad</f>
        <v>9.44543827004127</v>
      </c>
      <c r="E7016" s="38" t="n">
        <f aca="false">Sens!$E$6920*m_ad</f>
        <v>5.02428875377928</v>
      </c>
      <c r="F7016" s="38" t="n">
        <f aca="false">Sens!$F$6920*m_ad</f>
        <v>6.78802480890925</v>
      </c>
      <c r="G7016" s="38" t="n">
        <f aca="false">Sens!$G$6920*m_ad</f>
        <v>11.8014732147805</v>
      </c>
      <c r="H7016" s="38" t="n">
        <f aca="false">Sens!$H$6920*m_ad</f>
        <v>14.1682715634442</v>
      </c>
      <c r="I7016" s="38" t="n">
        <f aca="false">Sens!$I$6920*m_ad</f>
        <v>16.5348555113474</v>
      </c>
      <c r="J7016" s="38" t="n">
        <f aca="false">Sens!$J$6920*m_ad</f>
        <v>18.7425403255689</v>
      </c>
      <c r="K7016" s="38" t="n">
        <f aca="false">Sens!$K$6920*m_ad</f>
        <v>20.6167943581258</v>
      </c>
      <c r="L7016" s="38" t="n">
        <f aca="false">Sens!$L$6920*m_ad</f>
        <v>22.6784737939383</v>
      </c>
      <c r="M7016" s="38" t="n">
        <f aca="false">Sens!$M$6920*m_ad</f>
        <v>24.9463211733322</v>
      </c>
      <c r="N7016" s="38" t="n">
        <f aca="false">Sens!$N$6920*m_ad</f>
        <v>3.95314442937518</v>
      </c>
      <c r="O7016" s="38" t="n">
        <f aca="false">Sens!$O$6920*m_ad</f>
        <v>5.50052681786011</v>
      </c>
    </row>
    <row r="7017" customFormat="false" ht="17.15" hidden="false" customHeight="false" outlineLevel="0" collapsed="false">
      <c r="A7017" s="0" t="s">
        <v>679</v>
      </c>
      <c r="B7017" s="0" t="s">
        <v>73</v>
      </c>
      <c r="C7017" s="38" t="n">
        <f aca="false">Sens!$C$6918-Sens!$C$6920</f>
        <v>127.760312882846</v>
      </c>
      <c r="D7017" s="38" t="n">
        <f aca="false">Sens!$D$6918-Sens!$D$6920</f>
        <v>143.003123459917</v>
      </c>
      <c r="E7017" s="38" t="n">
        <f aca="false">Sens!$E$6918-Sens!$E$6920</f>
        <v>71.9374224924414</v>
      </c>
      <c r="F7017" s="38" t="n">
        <f aca="false">Sens!$F$6918-Sens!$F$6920</f>
        <v>87.0563645868046</v>
      </c>
      <c r="G7017" s="38" t="n">
        <f aca="false">Sens!$G$6918-Sens!$G$6920</f>
        <v>159.015467775062</v>
      </c>
      <c r="H7017" s="38" t="n">
        <f aca="false">Sens!$H$6918-Sens!$H$6920</f>
        <v>173.864803403269</v>
      </c>
      <c r="I7017" s="38" t="n">
        <f aca="false">Sens!$I$6918-Sens!$I$6920</f>
        <v>188.068165645601</v>
      </c>
      <c r="J7017" s="38" t="n">
        <f aca="false">Sens!$J$6918-Sens!$J$6920</f>
        <v>201.22681801082</v>
      </c>
      <c r="K7017" s="38" t="n">
        <f aca="false">Sens!$K$6918-Sens!$K$6920</f>
        <v>212.941334991893</v>
      </c>
      <c r="L7017" s="38" t="n">
        <f aca="false">Sens!$L$6918-Sens!$L$6920</f>
        <v>225.363269144856</v>
      </c>
      <c r="M7017" s="38" t="n">
        <f aca="false">Sens!$M$6918-Sens!$M$6920</f>
        <v>238.536688790819</v>
      </c>
      <c r="N7017" s="38" t="n">
        <f aca="false">Sens!$N$6918-Sens!$N$6920</f>
        <v>62.3677111412496</v>
      </c>
      <c r="O7017" s="38" t="n">
        <f aca="false">Sens!$O$6918-Sens!$O$6920</f>
        <v>80.6189463642798</v>
      </c>
    </row>
    <row r="7018" customFormat="false" ht="17.15" hidden="false" customHeight="false" outlineLevel="0" collapsed="false">
      <c r="A7018" s="0" t="s">
        <v>680</v>
      </c>
      <c r="B7018" s="0" t="s">
        <v>73</v>
      </c>
      <c r="C7018" s="38" t="n">
        <f aca="false">Sens!$C$6964*(1-Sens!$C$6916)</f>
        <v>0.0455891896019953</v>
      </c>
      <c r="D7018" s="38" t="n">
        <f aca="false">Sens!$D$6964*(1-Sens!$D$6916)</f>
        <v>0.332050421167231</v>
      </c>
      <c r="E7018" s="38" t="n">
        <f aca="false">Sens!$E$6964*(1-Sens!$E$6916)</f>
        <v>0.481224293644882</v>
      </c>
      <c r="F7018" s="38" t="n">
        <f aca="false">Sens!$F$6964*(1-Sens!$F$6916)</f>
        <v>0.596018918096053</v>
      </c>
      <c r="G7018" s="38" t="n">
        <f aca="false">Sens!$G$6964*(1-Sens!$G$6916)</f>
        <v>1.07714986531035</v>
      </c>
      <c r="H7018" s="38" t="n">
        <f aca="false">Sens!$H$6964*(1-Sens!$H$6916)</f>
        <v>2.83135005721638</v>
      </c>
      <c r="I7018" s="38" t="n">
        <f aca="false">Sens!$I$6964*(1-Sens!$I$6916)</f>
        <v>4.9421518161602</v>
      </c>
      <c r="J7018" s="38" t="n">
        <f aca="false">Sens!$J$6964*(1-Sens!$J$6916)</f>
        <v>7.11011252170866</v>
      </c>
      <c r="K7018" s="38" t="n">
        <f aca="false">Sens!$K$6964*(1-Sens!$K$6916)</f>
        <v>9.31663210615807</v>
      </c>
      <c r="L7018" s="38" t="n">
        <f aca="false">Sens!$L$6964*(1-Sens!$L$6916)</f>
        <v>11.411251074039</v>
      </c>
      <c r="M7018" s="38" t="n">
        <f aca="false">Sens!$M$6964*(1-Sens!$M$6916)</f>
        <v>13.5455860755423</v>
      </c>
      <c r="N7018" s="38" t="n">
        <f aca="false">Sens!$N$6964*(1-Sens!$N$6916)</f>
        <v>0.141739115596548</v>
      </c>
      <c r="O7018" s="38" t="n">
        <f aca="false">Sens!$O$6964*(1-Sens!$O$6916)</f>
        <v>0.190445576353059</v>
      </c>
    </row>
    <row r="7019" customFormat="false" ht="17.15" hidden="false" customHeight="false" outlineLevel="0" collapsed="false">
      <c r="A7019" s="0" t="s">
        <v>681</v>
      </c>
      <c r="B7019" s="0" t="s">
        <v>52</v>
      </c>
      <c r="C7019" s="28" t="n">
        <f aca="false">(Sens!$C$7020-Sens!$C$7016+Sens!$C$7018)/Sens!$C$7017</f>
        <v>-0.0292364215826579</v>
      </c>
      <c r="D7019" s="28" t="n">
        <f aca="false">(Sens!$D$7020-Sens!$D$7016+Sens!$D$7018)/Sens!$D$7017</f>
        <v>-0.0305125352740778</v>
      </c>
      <c r="E7019" s="28" t="n">
        <f aca="false">(Sens!$E$7020-Sens!$E$7016+Sens!$E$7018)/Sens!$E$7017</f>
        <v>-0.019490056934994</v>
      </c>
      <c r="F7019" s="28" t="n">
        <f aca="false">Sens!$O$7019+(Sens!$E$7019-Sens!$N$7019)</f>
        <v>-0.0367332293992226</v>
      </c>
      <c r="G7019" s="28" t="n">
        <f aca="false">(Sens!$G$7020-Sens!$G$7016+Sens!$G$7018)/Sens!$G$7017</f>
        <v>-0.0288599526442178</v>
      </c>
      <c r="H7019" s="28" t="n">
        <f aca="false">Sens!$G$7019+step_in</f>
        <v>-0.0288599526442178</v>
      </c>
      <c r="I7019" s="28" t="n">
        <f aca="false">Sens!$H$7019+step_in</f>
        <v>-0.0288599526442178</v>
      </c>
      <c r="J7019" s="28" t="n">
        <f aca="false">Sens!$I$7019+step_in</f>
        <v>-0.0288599526442178</v>
      </c>
      <c r="K7019" s="28" t="n">
        <f aca="false">Sens!$J$7019+step_in</f>
        <v>-0.0288599526442178</v>
      </c>
      <c r="L7019" s="28" t="n">
        <f aca="false">Sens!$K$7019</f>
        <v>-0.0288599526442178</v>
      </c>
      <c r="M7019" s="28" t="n">
        <f aca="false">Sens!$L$7019</f>
        <v>-0.0288599526442178</v>
      </c>
      <c r="N7019" s="28" t="n">
        <f aca="false">(Sens!$N$7020-Sens!$N$7016+Sens!$N$7018)/Sens!$N$7017</f>
        <v>-0.02085061789158</v>
      </c>
      <c r="O7019" s="28" t="n">
        <f aca="false">(Sens!$O$7020-Sens!$O$7016+Sens!$O$7018)/Sens!$O$7017</f>
        <v>-0.0380937903558086</v>
      </c>
      <c r="P7019" s="8" t="s">
        <v>676</v>
      </c>
    </row>
    <row r="7020" customFormat="false" ht="17.15" hidden="false" customHeight="false" outlineLevel="0" collapsed="false">
      <c r="A7020" s="1" t="s">
        <v>682</v>
      </c>
      <c r="B7020" s="8" t="s">
        <v>73</v>
      </c>
      <c r="C7020" s="38" t="n">
        <f aca="false">Q!$D$23</f>
        <v>3.792</v>
      </c>
      <c r="D7020" s="38" t="n">
        <f aca="false">Q!$E$23</f>
        <v>4.75</v>
      </c>
      <c r="E7020" s="38" t="n">
        <f aca="false">Q!$P$23</f>
        <v>3.141</v>
      </c>
      <c r="F7020" s="38" t="n">
        <f aca="false">Sens!$F$7016+Sens!$F$7017*Sens!$F$7019-Sens!$F$7018</f>
        <v>2.99414447978375</v>
      </c>
      <c r="G7020" s="38" t="n">
        <f aca="false">Sens!$E$7020+Sens!$F$7020</f>
        <v>6.13514447978375</v>
      </c>
      <c r="H7020" s="38" t="n">
        <f aca="false">Sens!$H$7016+Sens!$H$7017*Sens!$H$7019-Sens!$H$7018</f>
        <v>6.31919151351322</v>
      </c>
      <c r="I7020" s="38" t="n">
        <f aca="false">Sens!$I$7016+Sens!$I$7017*Sens!$I$7019-Sens!$I$7018</f>
        <v>6.16506534077027</v>
      </c>
      <c r="J7020" s="38" t="n">
        <f aca="false">Sens!$J$7016+Sens!$J$7017*Sens!$J$7019-Sens!$J$7018</f>
        <v>5.8250313653213</v>
      </c>
      <c r="K7020" s="38" t="n">
        <f aca="false">Sens!$K$7016+Sens!$K$7017*Sens!$K$7019-Sens!$K$7018</f>
        <v>5.15468540810514</v>
      </c>
      <c r="L7020" s="38" t="n">
        <f aca="false">Sens!$L$7016+Sens!$L$7017*Sens!$L$7019-Sens!$L$7018</f>
        <v>4.76324944463266</v>
      </c>
      <c r="M7020" s="38" t="n">
        <f aca="false">Sens!$M$7016+Sens!$M$7017*Sens!$M$7019-Sens!$M$7018</f>
        <v>4.51657755537829</v>
      </c>
      <c r="N7020" s="38" t="n">
        <f aca="false">Q!$N$23</f>
        <v>2.511</v>
      </c>
      <c r="O7020" s="38" t="n">
        <f aca="false">Q!$O$23</f>
        <v>2.239</v>
      </c>
    </row>
    <row r="7021" customFormat="false" ht="17.15" hidden="false" customHeight="false" outlineLevel="0" collapsed="false">
      <c r="A7021" s="0" t="s">
        <v>683</v>
      </c>
      <c r="B7021" s="0" t="s">
        <v>73</v>
      </c>
      <c r="C7021" s="38" t="n">
        <f aca="false">Sens!$C$6961</f>
        <v>1.64417882953695</v>
      </c>
      <c r="D7021" s="38" t="n">
        <f aca="false">Sens!$D$6961</f>
        <v>3.8781008067718</v>
      </c>
      <c r="E7021" s="38" t="n">
        <f aca="false">Sens!$E$6961</f>
        <v>1.41270258088753</v>
      </c>
      <c r="F7021" s="38" t="n">
        <f aca="false">Sens!$F$6961</f>
        <v>6.50727700583486</v>
      </c>
      <c r="G7021" s="38" t="n">
        <f aca="false">Sens!$G$6961</f>
        <v>7.9199795867224</v>
      </c>
      <c r="H7021" s="38" t="n">
        <f aca="false">Sens!$H$6961</f>
        <v>19.2818189481807</v>
      </c>
      <c r="I7021" s="38" t="n">
        <f aca="false">Sens!$I$6961</f>
        <v>30.140114407202</v>
      </c>
      <c r="J7021" s="38" t="n">
        <f aca="false">Sens!$J$6961</f>
        <v>40.3569468829854</v>
      </c>
      <c r="K7021" s="38" t="n">
        <f aca="false">Sens!$K$6961</f>
        <v>50.0782975081929</v>
      </c>
      <c r="L7021" s="38" t="n">
        <f aca="false">Sens!$L$6961</f>
        <v>61.443331993499</v>
      </c>
      <c r="M7021" s="38" t="n">
        <f aca="false">Sens!$M$6961</f>
        <v>72.2498791587849</v>
      </c>
      <c r="N7021" s="38" t="n">
        <f aca="false">Sens!$N$6961</f>
        <v>0.92264103489199</v>
      </c>
      <c r="O7021" s="38" t="n">
        <f aca="false">Sens!$O$6961</f>
        <v>2.95545977187981</v>
      </c>
    </row>
    <row r="7022" customFormat="false" ht="17.15" hidden="false" customHeight="false" outlineLevel="0" collapsed="false">
      <c r="A7022" s="0" t="s">
        <v>603</v>
      </c>
      <c r="B7022" s="0" t="s">
        <v>73</v>
      </c>
      <c r="C7022" s="38" t="n">
        <f aca="false">Sens!$C$6966</f>
        <v>38.1898211704631</v>
      </c>
      <c r="D7022" s="38" t="n">
        <f aca="false">Sens!$D$6966</f>
        <v>41.7278991932282</v>
      </c>
      <c r="E7022" s="38" t="n">
        <f aca="false">Sens!$E$6966</f>
        <v>29.3692974191125</v>
      </c>
      <c r="F7022" s="38" t="n">
        <f aca="false">Sens!$F$6966</f>
        <v>29.458060516894</v>
      </c>
      <c r="G7022" s="38" t="n">
        <f aca="false">Sens!$G$6966</f>
        <v>58.8273579360065</v>
      </c>
      <c r="H7022" s="38" t="n">
        <f aca="false">Sens!$H$6966</f>
        <v>67.8004040185081</v>
      </c>
      <c r="I7022" s="38" t="n">
        <f aca="false">Sens!$I$6966</f>
        <v>78.9527630302702</v>
      </c>
      <c r="J7022" s="38" t="n">
        <f aca="false">Sens!$J$6966</f>
        <v>88.6042681781841</v>
      </c>
      <c r="K7022" s="38" t="n">
        <f aca="false">Sens!$K$6966</f>
        <v>95.6926096324389</v>
      </c>
      <c r="L7022" s="38" t="n">
        <f aca="false">Sens!$L$6966</f>
        <v>103.348018403034</v>
      </c>
      <c r="M7022" s="38" t="n">
        <f aca="false">Sens!$M$6966</f>
        <v>111.615859875277</v>
      </c>
      <c r="N7022" s="38" t="n">
        <f aca="false">Sens!$N$6966</f>
        <v>20.784358965108</v>
      </c>
      <c r="O7022" s="38" t="n">
        <f aca="false">Sens!$O$6966</f>
        <v>20.9435402281202</v>
      </c>
    </row>
    <row r="7023" customFormat="false" ht="17.15" hidden="false" customHeight="false" outlineLevel="0" collapsed="false">
      <c r="A7023" s="1" t="s">
        <v>684</v>
      </c>
      <c r="B7023" s="8" t="s">
        <v>73</v>
      </c>
      <c r="C7023" s="38" t="n">
        <f aca="false">Q!$D$24</f>
        <v>39.834</v>
      </c>
      <c r="D7023" s="38" t="n">
        <f aca="false">Q!$E$24</f>
        <v>45.606</v>
      </c>
      <c r="E7023" s="38" t="n">
        <f aca="false">Q!$P$24</f>
        <v>30.782</v>
      </c>
      <c r="F7023" s="38" t="n">
        <f aca="false">Sens!$F$7021+Sens!$F$7022</f>
        <v>35.9653375227289</v>
      </c>
      <c r="G7023" s="38" t="n">
        <f aca="false">Sens!$G$7021+Sens!$G$7022</f>
        <v>66.7473375227289</v>
      </c>
      <c r="H7023" s="38" t="n">
        <f aca="false">Sens!$H$7021+Sens!$H$7022</f>
        <v>87.0822229666888</v>
      </c>
      <c r="I7023" s="38" t="n">
        <f aca="false">Sens!$I$7021+Sens!$I$7022</f>
        <v>109.092877437472</v>
      </c>
      <c r="J7023" s="38" t="n">
        <f aca="false">Sens!$J$7021+Sens!$J$7022</f>
        <v>128.96121506117</v>
      </c>
      <c r="K7023" s="38" t="n">
        <f aca="false">Sens!$K$7021+Sens!$K$7022</f>
        <v>145.770907140632</v>
      </c>
      <c r="L7023" s="38" t="n">
        <f aca="false">Sens!$L$7021+Sens!$L$7022</f>
        <v>164.791350396533</v>
      </c>
      <c r="M7023" s="38" t="n">
        <f aca="false">Sens!$M$7021+Sens!$M$7022</f>
        <v>183.865739034062</v>
      </c>
      <c r="N7023" s="38" t="n">
        <f aca="false">Q!$N$24</f>
        <v>21.707</v>
      </c>
      <c r="O7023" s="38" t="n">
        <f aca="false">Q!$O$24</f>
        <v>23.899</v>
      </c>
    </row>
    <row r="7024" customFormat="false" ht="17.15" hidden="false" customHeight="false" outlineLevel="0" collapsed="false">
      <c r="A7024" s="5" t="s">
        <v>685</v>
      </c>
      <c r="B7024" s="0" t="s">
        <v>73</v>
      </c>
      <c r="C7024" s="38" t="n">
        <f aca="false">Q!$D$26</f>
        <v>0</v>
      </c>
      <c r="D7024" s="38" t="n">
        <f aca="false">Q!$E$26</f>
        <v>0</v>
      </c>
      <c r="E7024" s="38" t="n">
        <f aca="false">Q!$P$26</f>
        <v>0</v>
      </c>
      <c r="F7024" s="41" t="n">
        <v>0</v>
      </c>
      <c r="G7024" s="38" t="n">
        <f aca="false">Sens!$E$7024+Sens!$F$7024</f>
        <v>0</v>
      </c>
      <c r="H7024" s="41" t="n">
        <v>0</v>
      </c>
      <c r="I7024" s="41" t="n">
        <v>0</v>
      </c>
      <c r="J7024" s="41" t="n">
        <v>0</v>
      </c>
      <c r="K7024" s="41" t="n">
        <v>0</v>
      </c>
      <c r="L7024" s="41" t="n">
        <v>0</v>
      </c>
      <c r="M7024" s="41" t="n">
        <v>0</v>
      </c>
      <c r="N7024" s="38" t="n">
        <f aca="false">Q!$N$26</f>
        <v>0</v>
      </c>
      <c r="O7024" s="38" t="n">
        <f aca="false">Q!$O$26</f>
        <v>0</v>
      </c>
    </row>
    <row r="7025" customFormat="false" ht="15" hidden="false" customHeight="false" outlineLevel="0" collapsed="false">
      <c r="A7025" s="3" t="s">
        <v>494</v>
      </c>
      <c r="B7025" s="8" t="s">
        <v>73</v>
      </c>
      <c r="C7025" s="38" t="n">
        <f aca="false">Q!$D$25</f>
        <v>68.593</v>
      </c>
      <c r="D7025" s="38" t="n">
        <f aca="false">Q!$E$25</f>
        <v>79.975</v>
      </c>
      <c r="E7025" s="38" t="n">
        <f aca="false">Q!$P$25</f>
        <v>51.313</v>
      </c>
      <c r="F7025" s="38" t="n">
        <f aca="false">Sens!$F$7015+Sens!$F$7020+Sens!$F$7023+Sens!$F$7024</f>
        <v>59.8825772328462</v>
      </c>
      <c r="G7025" s="38" t="n">
        <f aca="false">Sens!$G$7015+Sens!$G$7020+Sens!$G$7023+Sens!$G$7024</f>
        <v>111.195577232846</v>
      </c>
      <c r="H7025" s="38" t="n">
        <f aca="false">Sens!$H$7015+Sens!$H$7020+Sens!$H$7023+Sens!$H$7024</f>
        <v>135.638701042513</v>
      </c>
      <c r="I7025" s="38" t="n">
        <f aca="false">Sens!$I$7015+Sens!$I$7020+Sens!$I$7023+Sens!$I$7024</f>
        <v>160.668634334764</v>
      </c>
      <c r="J7025" s="38" t="n">
        <f aca="false">Sens!$J$7015+Sens!$J$7020+Sens!$J$7023+Sens!$J$7024</f>
        <v>182.936501499731</v>
      </c>
      <c r="K7025" s="38" t="n">
        <f aca="false">Sens!$K$7015+Sens!$K$7020+Sens!$K$7023+Sens!$K$7024</f>
        <v>200.911616858058</v>
      </c>
      <c r="L7025" s="38" t="n">
        <f aca="false">Sens!$L$7015+Sens!$L$7020+Sens!$L$7023+Sens!$L$7024</f>
        <v>220.650126048945</v>
      </c>
      <c r="M7025" s="38" t="n">
        <f aca="false">Sens!$M$7015+Sens!$M$7020+Sens!$M$7023+Sens!$M$7024</f>
        <v>241.09409709983</v>
      </c>
      <c r="N7025" s="38" t="n">
        <f aca="false">Q!$N$25</f>
        <v>37.576</v>
      </c>
      <c r="O7025" s="38" t="n">
        <f aca="false">Q!$O$25</f>
        <v>42.399</v>
      </c>
    </row>
    <row r="7026" customFormat="false" ht="17.15" hidden="false" customHeight="false" outlineLevel="0" collapsed="false">
      <c r="A7026" s="24" t="s">
        <v>711</v>
      </c>
      <c r="B7026" s="25" t="s">
        <v>73</v>
      </c>
      <c r="C7026" s="39" t="n">
        <f aca="false">Sens!$C$7015+Sens!$C$7020+Sens!$C$7023+Sens!$C$7024-Sens!$C$7025</f>
        <v>0</v>
      </c>
      <c r="D7026" s="39" t="n">
        <f aca="false">Sens!$D$7015+Sens!$D$7020+Sens!$D$7023+Sens!$D$7024-Sens!$D$7025</f>
        <v>0</v>
      </c>
      <c r="E7026" s="39" t="n">
        <f aca="false">Sens!$E$7015+Sens!$E$7020+Sens!$E$7023+Sens!$E$7024-Sens!$E$7025</f>
        <v>0</v>
      </c>
      <c r="F7026" s="39" t="n">
        <f aca="false">Sens!$F$7015+Sens!$F$7020+Sens!$F$7023+Sens!$F$7024-Sens!$F$7025</f>
        <v>0</v>
      </c>
      <c r="G7026" s="39" t="n">
        <f aca="false">Sens!$G$7015+Sens!$G$7020+Sens!$G$7023+Sens!$G$7024-Sens!$G$7025</f>
        <v>0</v>
      </c>
      <c r="H7026" s="39" t="n">
        <f aca="false">Sens!$H$7015+Sens!$H$7020+Sens!$H$7023+Sens!$H$7024-Sens!$H$7025</f>
        <v>0</v>
      </c>
      <c r="I7026" s="39" t="n">
        <f aca="false">Sens!$I$7015+Sens!$I$7020+Sens!$I$7023+Sens!$I$7024-Sens!$I$7025</f>
        <v>0</v>
      </c>
      <c r="J7026" s="39" t="n">
        <f aca="false">Sens!$J$7015+Sens!$J$7020+Sens!$J$7023+Sens!$J$7024-Sens!$J$7025</f>
        <v>0</v>
      </c>
      <c r="K7026" s="39" t="n">
        <f aca="false">Sens!$K$7015+Sens!$K$7020+Sens!$K$7023+Sens!$K$7024-Sens!$K$7025</f>
        <v>0</v>
      </c>
      <c r="L7026" s="39" t="n">
        <f aca="false">Sens!$L$7015+Sens!$L$7020+Sens!$L$7023+Sens!$L$7024-Sens!$L$7025</f>
        <v>0</v>
      </c>
      <c r="M7026" s="39" t="n">
        <f aca="false">Sens!$M$7015+Sens!$M$7020+Sens!$M$7023+Sens!$M$7024-Sens!$M$7025</f>
        <v>0</v>
      </c>
      <c r="N7026" s="39" t="n">
        <f aca="false">Sens!$N$7015+Sens!$N$7020+Sens!$N$7023+Sens!$N$7024-Sens!$N$7025</f>
        <v>0</v>
      </c>
      <c r="O7026" s="39" t="n">
        <f aca="false">Sens!$O$7015+Sens!$O$7020+Sens!$O$7023+Sens!$O$7024-Sens!$O$7025</f>
        <v>0</v>
      </c>
    </row>
    <row r="7027" customFormat="false" ht="17.15" hidden="false" customHeight="false" outlineLevel="0" collapsed="false">
      <c r="A7027" s="0" t="s">
        <v>687</v>
      </c>
      <c r="B7027" s="0" t="s">
        <v>52</v>
      </c>
      <c r="C7027" s="12" t="n">
        <f aca="false">Sens!$C$7015/Sens!$C$7000</f>
        <v>0.0644314665661928</v>
      </c>
      <c r="D7027" s="12" t="n">
        <f aca="false">Sens!$D$7015/Sens!$D$7000</f>
        <v>0.0694784250712518</v>
      </c>
      <c r="E7027" s="12" t="n">
        <f aca="false">Sens!$E$7015/Sens!$E$7000</f>
        <v>0.0789306463326071</v>
      </c>
      <c r="F7027" s="12" t="n">
        <f aca="false">Sens!$F$7015/Sens!$F$7000</f>
        <v>0.0816338957078875</v>
      </c>
      <c r="G7027" s="12" t="n">
        <f aca="false">Sens!$G$7015/Sens!$G$7000</f>
        <v>0.080384315570057</v>
      </c>
      <c r="H7027" s="12" t="n">
        <f aca="false">Sens!$H$7015/Sens!$H$7000</f>
        <v>0.080035122355679</v>
      </c>
      <c r="I7027" s="12" t="n">
        <f aca="false">Sens!$I$7015/Sens!$I$7000</f>
        <v>0.0786798687862144</v>
      </c>
      <c r="J7027" s="12" t="n">
        <f aca="false">Sens!$J$7015/Sens!$J$7000</f>
        <v>0.0772846370095153</v>
      </c>
      <c r="K7027" s="12" t="n">
        <f aca="false">Sens!$K$7015/Sens!$K$7000</f>
        <v>0.0753502227686655</v>
      </c>
      <c r="L7027" s="12" t="n">
        <f aca="false">Sens!$L$7015/Sens!$L$7000</f>
        <v>0.0723154067793922</v>
      </c>
      <c r="M7027" s="12" t="n">
        <f aca="false">Sens!$M$7015/Sens!$M$7000</f>
        <v>0.070022386735876</v>
      </c>
      <c r="N7027" s="12" t="n">
        <f aca="false">Sens!$N$7015/Sens!$N$7000</f>
        <v>0.069228576611127</v>
      </c>
      <c r="O7027" s="12" t="n">
        <f aca="false">Sens!$O$7015/Sens!$O$7000</f>
        <v>0.069685022498393</v>
      </c>
    </row>
    <row r="7028" customFormat="false" ht="17.15" hidden="false" customHeight="false" outlineLevel="0" collapsed="false">
      <c r="A7028" s="0" t="s">
        <v>688</v>
      </c>
      <c r="B7028" s="0" t="s">
        <v>52</v>
      </c>
      <c r="C7028" s="12" t="n">
        <f aca="false">Sens!$C$7020/Sens!$C$7001</f>
        <v>0.026534925055631</v>
      </c>
      <c r="D7028" s="12" t="n">
        <f aca="false">Sens!$D$7020/Sens!$D$7001</f>
        <v>0.0293401855535103</v>
      </c>
      <c r="E7028" s="12" t="n">
        <f aca="false">Sens!$E$7020/Sens!$E$7001</f>
        <v>0.03831141902276</v>
      </c>
      <c r="F7028" s="12" t="n">
        <f aca="false">Sens!$F$7020/Sens!$F$7001</f>
        <v>0.0297532808235678</v>
      </c>
      <c r="G7028" s="12" t="n">
        <f aca="false">Sens!$G$7020/Sens!$G$7001</f>
        <v>0.0335954317997163</v>
      </c>
      <c r="H7028" s="12" t="n">
        <f aca="false">Sens!$H$7020/Sens!$H$7001</f>
        <v>0.0312519754292078</v>
      </c>
      <c r="I7028" s="12" t="n">
        <f aca="false">Sens!$I$7020/Sens!$I$7001</f>
        <v>0.0278788303191397</v>
      </c>
      <c r="J7028" s="12" t="n">
        <f aca="false">Sens!$J$7020/Sens!$J$7001</f>
        <v>0.0244019313573061</v>
      </c>
      <c r="K7028" s="12" t="n">
        <f aca="false">Sens!$K$7020/Sens!$K$7001</f>
        <v>0.020280070641524</v>
      </c>
      <c r="L7028" s="12" t="n">
        <f aca="false">Sens!$L$7020/Sens!$L$7001</f>
        <v>0.0175947312030086</v>
      </c>
      <c r="M7028" s="12" t="n">
        <f aca="false">Sens!$M$7020/Sens!$M$7001</f>
        <v>0.0156592172424565</v>
      </c>
      <c r="N7028" s="12" t="n">
        <f aca="false">Sens!$N$7020/Sens!$N$7001</f>
        <v>0.0357315650169337</v>
      </c>
      <c r="O7028" s="12" t="n">
        <f aca="false">Sens!$O$7020/Sens!$O$7001</f>
        <v>0.0244378956559703</v>
      </c>
    </row>
    <row r="7029" customFormat="false" ht="17.15" hidden="false" customHeight="false" outlineLevel="0" collapsed="false">
      <c r="A7029" s="13" t="s">
        <v>689</v>
      </c>
      <c r="B7029" s="13" t="s">
        <v>52</v>
      </c>
      <c r="C7029" s="16" t="n">
        <f aca="false">Sens!$C$7023/Sens!$C$7002</f>
        <v>0.370355907620217</v>
      </c>
      <c r="D7029" s="16" t="n">
        <f aca="false">Sens!$D$7023/Sens!$D$7002</f>
        <v>0.35429015342785</v>
      </c>
      <c r="E7029" s="16" t="n">
        <f aca="false">Sens!$E$7023/Sens!$E$7002</f>
        <v>0.385647527531039</v>
      </c>
      <c r="F7029" s="16" t="n">
        <f aca="false">Sens!$F$7023/Sens!$F$7002</f>
        <v>0.384415729470259</v>
      </c>
      <c r="G7029" s="16" t="n">
        <f aca="false">Sens!$G$7023/Sens!$G$7002</f>
        <v>0.38498282105443</v>
      </c>
      <c r="H7029" s="16" t="n">
        <f aca="false">Sens!$H$7023/Sens!$H$7002</f>
        <v>0.361247909668527</v>
      </c>
      <c r="I7029" s="16" t="n">
        <f aca="false">Sens!$I$7023/Sens!$I$7002</f>
        <v>0.349486287974975</v>
      </c>
      <c r="J7029" s="16" t="n">
        <f aca="false">Sens!$J$7023/Sens!$J$7002</f>
        <v>0.339886531832068</v>
      </c>
      <c r="K7029" s="16" t="n">
        <f aca="false">Sens!$K$7023/Sens!$K$7002</f>
        <v>0.33135833762061</v>
      </c>
      <c r="L7029" s="16" t="n">
        <f aca="false">Sens!$L$7023/Sens!$L$7002</f>
        <v>0.328299068185284</v>
      </c>
      <c r="M7029" s="16" t="n">
        <f aca="false">Sens!$M$7023/Sens!$M$7002</f>
        <v>0.325058049465166</v>
      </c>
      <c r="N7029" s="16" t="n">
        <f aca="false">Sens!$N$7023/Sens!$N$7002</f>
        <v>0.360941137346192</v>
      </c>
      <c r="O7029" s="16" t="n">
        <f aca="false">Sens!$O$7023/Sens!$O$7002</f>
        <v>0.348458117664212</v>
      </c>
    </row>
    <row r="7030" customFormat="false" ht="17.15" hidden="false" customHeight="false" outlineLevel="0" collapsed="false">
      <c r="A7030" s="0" t="s">
        <v>690</v>
      </c>
      <c r="B7030" s="0" t="s">
        <v>52</v>
      </c>
      <c r="C7030" s="12" t="n">
        <f aca="false">Sens!$C$7021/Sens!$C$7003</f>
        <v>0.708390794789371</v>
      </c>
      <c r="D7030" s="12" t="n">
        <f aca="false">Sens!$D$7021/Sens!$D$7003</f>
        <v>0.445565630441968</v>
      </c>
      <c r="E7030" s="12" t="n">
        <f aca="false">Sens!$E$7021/Sens!$E$7003</f>
        <v>0.165998118402711</v>
      </c>
      <c r="F7030" s="12" t="n">
        <f aca="false">Sens!$F$7021/Sens!$F$7003</f>
        <v>0.434878595403858</v>
      </c>
      <c r="G7030" s="12" t="n">
        <f aca="false">Sens!$G$7021/Sens!$G$7003</f>
        <v>0.3373967615381</v>
      </c>
      <c r="H7030" s="12" t="n">
        <f aca="false">Sens!$H$7021/Sens!$H$7003</f>
        <v>0.320477578041224</v>
      </c>
      <c r="I7030" s="12" t="n">
        <f aca="false">Sens!$I$7021/Sens!$I$7003</f>
        <v>0.296936118226494</v>
      </c>
      <c r="J7030" s="12" t="n">
        <f aca="false">Sens!$J$7021/Sens!$J$7003</f>
        <v>0.282166278613001</v>
      </c>
      <c r="K7030" s="12" t="n">
        <f aca="false">Sens!$K$7021/Sens!$K$7003</f>
        <v>0.271267685694333</v>
      </c>
      <c r="L7030" s="12" t="n">
        <f aca="false">Sens!$L$7021/Sens!$L$7003</f>
        <v>0.27160960915653</v>
      </c>
      <c r="M7030" s="12" t="n">
        <f aca="false">Sens!$M$7021/Sens!$M$7003</f>
        <v>0.26974494804234</v>
      </c>
      <c r="N7030" s="12" t="n">
        <f aca="false">Sens!$N$7021/Sens!$N$7003</f>
        <v>0.302870734830849</v>
      </c>
      <c r="O7030" s="12" t="n">
        <f aca="false">Sens!$O$7021/Sens!$O$7003</f>
        <v>0.52240134346334</v>
      </c>
    </row>
    <row r="7031" customFormat="false" ht="15" hidden="false" customHeight="false" outlineLevel="0" collapsed="false">
      <c r="A7031" s="5" t="s">
        <v>691</v>
      </c>
      <c r="B7031" s="0" t="s">
        <v>52</v>
      </c>
      <c r="C7031" s="12" t="n">
        <f aca="false">Sens!$C$7025/Sens!$C$7005</f>
        <v>0.107519448742004</v>
      </c>
      <c r="D7031" s="12" t="n">
        <f aca="false">Sens!$D$7025/Sens!$D$7005</f>
        <v>0.111552967957552</v>
      </c>
      <c r="E7031" s="12" t="n">
        <f aca="false">Sens!$E$7025/Sens!$E$7005</f>
        <v>0.13428328426562</v>
      </c>
      <c r="F7031" s="12" t="n">
        <f aca="false">Sens!$F$7025/Sens!$F$7005</f>
        <v>0.132926212451512</v>
      </c>
      <c r="G7031" s="12" t="n">
        <f aca="false">Sens!$G$7025/Sens!$G$7005</f>
        <v>0.133549030959228</v>
      </c>
      <c r="H7031" s="12" t="n">
        <f aca="false">Sens!$H$7025/Sens!$H$7005</f>
        <v>0.139690394514416</v>
      </c>
      <c r="I7031" s="12" t="n">
        <f aca="false">Sens!$I$7025/Sens!$I$7005</f>
        <v>0.144688164284573</v>
      </c>
      <c r="J7031" s="12" t="n">
        <f aca="false">Sens!$J$7025/Sens!$J$7005</f>
        <v>0.147391419021054</v>
      </c>
      <c r="K7031" s="12" t="n">
        <f aca="false">Sens!$K$7025/Sens!$K$7005</f>
        <v>0.148003728177944</v>
      </c>
      <c r="L7031" s="12" t="n">
        <f aca="false">Sens!$L$7025/Sens!$L$7005</f>
        <v>0.149164514525979</v>
      </c>
      <c r="M7031" s="12" t="n">
        <f aca="false">Sens!$M$7025/Sens!$M$7005</f>
        <v>0.150041098108262</v>
      </c>
      <c r="N7031" s="12" t="n">
        <f aca="false">Sens!$N$7025/Sens!$N$7005</f>
        <v>0.116201614873411</v>
      </c>
      <c r="O7031" s="12" t="n">
        <f aca="false">Sens!$O$7025/Sens!$O$7005</f>
        <v>0.107733353660861</v>
      </c>
    </row>
    <row r="7032" customFormat="false" ht="17.15" hidden="false" customHeight="false" outlineLevel="0" collapsed="false">
      <c r="A7032" s="1" t="s">
        <v>692</v>
      </c>
    </row>
    <row r="7033" customFormat="false" ht="17.15" hidden="false" customHeight="false" outlineLevel="0" collapsed="false">
      <c r="A7033" s="5" t="s">
        <v>693</v>
      </c>
      <c r="B7033" s="0" t="s">
        <v>52</v>
      </c>
      <c r="D7033" s="28" t="n">
        <f aca="false">(Q!$E$29+Q!$E$30-(1-ext_sh)*Sens!$D$6957)/Sens!$D$6915</f>
        <v>0.0334674312393194</v>
      </c>
    </row>
    <row r="7034" customFormat="false" ht="17.15" hidden="false" customHeight="false" outlineLevel="0" collapsed="false">
      <c r="A7034" s="0" t="s">
        <v>498</v>
      </c>
      <c r="B7034" s="0" t="s">
        <v>73</v>
      </c>
      <c r="C7034" s="38" t="n">
        <f aca="false">Q!$D$29</f>
        <v>14.285</v>
      </c>
      <c r="D7034" s="38" t="n">
        <f aca="false">Q!$E$29</f>
        <v>15.503</v>
      </c>
      <c r="E7034" s="38" t="n">
        <f aca="false">Q!$P$29</f>
        <v>8.78</v>
      </c>
      <c r="F7034" s="38" t="n">
        <f aca="false">(Sens!$D$7033*Sens!$F$6915+(1-ext_sh)*Sens!$F$6957)*Sens!$F$6916</f>
        <v>9.51361751569285</v>
      </c>
      <c r="G7034" s="38" t="n">
        <f aca="false">Sens!$E$7034+Sens!$F$7034</f>
        <v>18.2936175156929</v>
      </c>
      <c r="H7034" s="38" t="n">
        <f aca="false">(Sens!$D$7033*Sens!$H$6915+(1-ext_sh)*Sens!$H$6957)*Sens!$H$6916</f>
        <v>22.7653661801943</v>
      </c>
      <c r="I7034" s="38" t="n">
        <f aca="false">(Sens!$D$7033*Sens!$I$6915+(1-ext_sh)*Sens!$I$6957)*Sens!$I$6916</f>
        <v>28.4281317305062</v>
      </c>
      <c r="J7034" s="38" t="n">
        <f aca="false">(Sens!$D$7033*Sens!$J$6915+(1-ext_sh)*Sens!$J$6957)*Sens!$J$6916</f>
        <v>34.1182922009732</v>
      </c>
      <c r="K7034" s="38" t="n">
        <f aca="false">(Sens!$D$7033*Sens!$K$6915+(1-ext_sh)*Sens!$K$6957)*Sens!$K$6916</f>
        <v>39.7237727987046</v>
      </c>
      <c r="L7034" s="38" t="n">
        <f aca="false">(Sens!$D$7033*Sens!$L$6915+(1-ext_sh)*Sens!$L$6957)*Sens!$L$6916</f>
        <v>45.1313127180263</v>
      </c>
      <c r="M7034" s="38" t="n">
        <f aca="false">(Sens!$D$7033*Sens!$M$6915+(1-ext_sh)*Sens!$M$6957)*Sens!$M$6916</f>
        <v>50.743940615442</v>
      </c>
      <c r="N7034" s="38" t="n">
        <f aca="false">Q!$N$29</f>
        <v>7.272</v>
      </c>
      <c r="O7034" s="38" t="n">
        <f aca="false">Q!$O$29</f>
        <v>8.231</v>
      </c>
    </row>
    <row r="7035" customFormat="false" ht="17.15" hidden="false" customHeight="false" outlineLevel="0" collapsed="false">
      <c r="A7035" s="0" t="s">
        <v>500</v>
      </c>
      <c r="B7035" s="0" t="s">
        <v>73</v>
      </c>
      <c r="C7035" s="38" t="n">
        <f aca="false">Q!$D$30</f>
        <v>4.462</v>
      </c>
      <c r="D7035" s="38" t="n">
        <f aca="false">Q!$E$30</f>
        <v>4.907</v>
      </c>
      <c r="E7035" s="38" t="n">
        <f aca="false">Q!$P$30</f>
        <v>2.57</v>
      </c>
      <c r="F7035" s="38" t="n">
        <f aca="false">(Sens!$D$7033*Sens!$F$6915+(1-ext_sh)*Sens!$F$6957)*(1-Sens!$F$6916)</f>
        <v>3.7353230631574</v>
      </c>
      <c r="G7035" s="38" t="n">
        <f aca="false">Sens!$E$7035+Sens!$F$7035</f>
        <v>6.3053230631574</v>
      </c>
      <c r="H7035" s="38" t="n">
        <f aca="false">(Sens!$D$7033*Sens!$H$6915+(1-ext_sh)*Sens!$H$6957)*(1-Sens!$H$6916)</f>
        <v>8.72254636724805</v>
      </c>
      <c r="I7035" s="38" t="n">
        <f aca="false">(Sens!$D$7033*Sens!$I$6915+(1-ext_sh)*Sens!$I$6957)*(1-Sens!$I$6916)</f>
        <v>10.8922340713019</v>
      </c>
      <c r="J7035" s="38" t="n">
        <f aca="false">(Sens!$D$7033*Sens!$J$6915+(1-ext_sh)*Sens!$J$6957)*(1-Sens!$J$6916)</f>
        <v>13.0724181345791</v>
      </c>
      <c r="K7035" s="38" t="n">
        <f aca="false">(Sens!$D$7033*Sens!$K$6915+(1-ext_sh)*Sens!$K$6957)*(1-Sens!$K$6916)</f>
        <v>15.2201571183236</v>
      </c>
      <c r="L7035" s="38" t="n">
        <f aca="false">(Sens!$D$7033*Sens!$L$6915+(1-ext_sh)*Sens!$L$6957)*(1-Sens!$L$6916)</f>
        <v>17.2920551631732</v>
      </c>
      <c r="M7035" s="38" t="n">
        <f aca="false">(Sens!$D$7033*Sens!$M$6915+(1-ext_sh)*Sens!$M$6957)*(1-Sens!$M$6916)</f>
        <v>19.4425326336348</v>
      </c>
      <c r="N7035" s="38" t="n">
        <f aca="false">Q!$N$30</f>
        <v>2.316</v>
      </c>
      <c r="O7035" s="38" t="n">
        <f aca="false">Q!$O$30</f>
        <v>2.591</v>
      </c>
    </row>
    <row r="7036" customFormat="false" ht="17.15" hidden="false" customHeight="false" outlineLevel="0" collapsed="false">
      <c r="A7036" s="0" t="s">
        <v>501</v>
      </c>
      <c r="B7036" s="0" t="s">
        <v>73</v>
      </c>
      <c r="C7036" s="38" t="n">
        <f aca="false">Sens!$C$6969</f>
        <v>13.32</v>
      </c>
      <c r="D7036" s="38" t="n">
        <f aca="false">Sens!$D$6969</f>
        <v>21.45</v>
      </c>
      <c r="E7036" s="38" t="n">
        <f aca="false">Sens!$E$6969</f>
        <v>15.353</v>
      </c>
      <c r="F7036" s="38" t="n">
        <f aca="false">Sens!$F$6969</f>
        <v>17.3614451462707</v>
      </c>
      <c r="G7036" s="38" t="n">
        <f aca="false">Sens!$G$6969</f>
        <v>32.7144451462707</v>
      </c>
      <c r="H7036" s="38" t="n">
        <f aca="false">Sens!$H$6969</f>
        <v>56.1966092719415</v>
      </c>
      <c r="I7036" s="38" t="n">
        <f aca="false">Sens!$I$6969</f>
        <v>82.9744039068297</v>
      </c>
      <c r="J7036" s="38" t="n">
        <f aca="false">Sens!$J$6969</f>
        <v>109.943252237669</v>
      </c>
      <c r="K7036" s="38" t="n">
        <f aca="false">Sens!$K$6969</f>
        <v>136.406703436571</v>
      </c>
      <c r="L7036" s="38" t="n">
        <f aca="false">Sens!$L$6969</f>
        <v>161.485870454155</v>
      </c>
      <c r="M7036" s="38" t="n">
        <f aca="false">Sens!$M$6969</f>
        <v>187.389846618199</v>
      </c>
      <c r="N7036" s="38" t="n">
        <f aca="false">Sens!$N$6969</f>
        <v>9.234</v>
      </c>
      <c r="O7036" s="38" t="n">
        <f aca="false">Sens!$O$6969</f>
        <v>12.216</v>
      </c>
    </row>
    <row r="7037" customFormat="false" ht="17.15" hidden="false" customHeight="false" outlineLevel="0" collapsed="false">
      <c r="A7037" s="5" t="s">
        <v>694</v>
      </c>
      <c r="B7037" s="0" t="s">
        <v>73</v>
      </c>
      <c r="C7037" s="38" t="n">
        <f aca="false">Sens!$C$7034+Sens!$C$7035+Sens!$C$7036</f>
        <v>32.067</v>
      </c>
      <c r="D7037" s="38" t="n">
        <f aca="false">Sens!$D$7034+Sens!$D$7035+Sens!$D$7036</f>
        <v>41.86</v>
      </c>
      <c r="E7037" s="38" t="n">
        <f aca="false">Sens!$E$7034+Sens!$E$7035+Sens!$E$7036</f>
        <v>26.703</v>
      </c>
      <c r="F7037" s="38" t="n">
        <f aca="false">Sens!$F$7034+Sens!$F$7035+Sens!$F$7036</f>
        <v>30.6103857251209</v>
      </c>
      <c r="G7037" s="38" t="n">
        <f aca="false">Sens!$G$7034+Sens!$G$7035+Sens!$G$7036</f>
        <v>57.3133857251209</v>
      </c>
      <c r="H7037" s="38" t="n">
        <f aca="false">Sens!$H$7034+Sens!$H$7035+Sens!$H$7036</f>
        <v>87.6845218193838</v>
      </c>
      <c r="I7037" s="38" t="n">
        <f aca="false">Sens!$I$7034+Sens!$I$7035+Sens!$I$7036</f>
        <v>122.294769708638</v>
      </c>
      <c r="J7037" s="38" t="n">
        <f aca="false">Sens!$J$7034+Sens!$J$7035+Sens!$J$7036</f>
        <v>157.133962573221</v>
      </c>
      <c r="K7037" s="38" t="n">
        <f aca="false">Sens!$K$7034+Sens!$K$7035+Sens!$K$7036</f>
        <v>191.350633353599</v>
      </c>
      <c r="L7037" s="38" t="n">
        <f aca="false">Sens!$L$7034+Sens!$L$7035+Sens!$L$7036</f>
        <v>223.909238335354</v>
      </c>
      <c r="M7037" s="38" t="n">
        <f aca="false">Sens!$M$7034+Sens!$M$7035+Sens!$M$7036</f>
        <v>257.576319867276</v>
      </c>
      <c r="N7037" s="38" t="n">
        <f aca="false">Sens!$N$7034+Sens!$N$7035+Sens!$N$7036</f>
        <v>18.822</v>
      </c>
      <c r="O7037" s="38" t="n">
        <f aca="false">Sens!$O$7034+Sens!$O$7035+Sens!$O$7036</f>
        <v>23.038</v>
      </c>
    </row>
    <row r="7038" customFormat="false" ht="17.15" hidden="false" customHeight="false" outlineLevel="0" collapsed="false">
      <c r="A7038" s="0" t="s">
        <v>695</v>
      </c>
      <c r="B7038" s="0" t="s">
        <v>73</v>
      </c>
      <c r="C7038" s="38" t="n">
        <f aca="false">Sens!$C$7011+Sens!$C$7016</f>
        <v>28.107</v>
      </c>
      <c r="D7038" s="38" t="n">
        <f aca="false">Sens!$D$7011+Sens!$D$7016</f>
        <v>34.3175</v>
      </c>
      <c r="E7038" s="38" t="n">
        <f aca="false">Sens!$E$7011+Sens!$E$7016</f>
        <v>18.526</v>
      </c>
      <c r="F7038" s="38" t="n">
        <f aca="false">Sens!$F$7011+Sens!$F$7016</f>
        <v>24.0766690913691</v>
      </c>
      <c r="G7038" s="38" t="n">
        <f aca="false">Sens!$G$7011+Sens!$G$7016</f>
        <v>42.6026690913691</v>
      </c>
      <c r="H7038" s="38" t="n">
        <f aca="false">Sens!$H$7011+Sens!$H$7016</f>
        <v>51.1466809294702</v>
      </c>
      <c r="I7038" s="38" t="n">
        <f aca="false">Sens!$I$7011+Sens!$I$7016</f>
        <v>59.6899187926205</v>
      </c>
      <c r="J7038" s="38" t="n">
        <f aca="false">Sens!$J$7011+Sens!$J$7016</f>
        <v>67.6595395244221</v>
      </c>
      <c r="K7038" s="38" t="n">
        <f aca="false">Sens!$K$7011+Sens!$K$7016</f>
        <v>74.4254934768643</v>
      </c>
      <c r="L7038" s="38" t="n">
        <f aca="false">Sens!$L$7011+Sens!$L$7016</f>
        <v>81.8680428245508</v>
      </c>
      <c r="M7038" s="38" t="n">
        <f aca="false">Sens!$M$7011+Sens!$M$7016</f>
        <v>90.0548471070059</v>
      </c>
      <c r="N7038" s="38" t="n">
        <f aca="false">Sens!$N$7011+Sens!$N$7016</f>
        <v>14.8075</v>
      </c>
      <c r="O7038" s="38" t="n">
        <f aca="false">Sens!$O$7011+Sens!$O$7016</f>
        <v>19.51</v>
      </c>
    </row>
    <row r="7039" customFormat="false" ht="17.15" hidden="false" customHeight="false" outlineLevel="0" collapsed="false">
      <c r="A7039" s="0" t="s">
        <v>696</v>
      </c>
      <c r="B7039" s="0" t="s">
        <v>73</v>
      </c>
      <c r="C7039" s="38" t="n">
        <f aca="false">Sens!$C$7015+Sens!$C$7020+Sens!$C$7034+Sens!$C$7035-Sens!$C$7038</f>
        <v>19.399</v>
      </c>
      <c r="D7039" s="38" t="n">
        <f aca="false">Sens!$D$7015+Sens!$D$7020+Sens!$D$7034+Sens!$D$7035-Sens!$D$7038</f>
        <v>20.4615</v>
      </c>
      <c r="E7039" s="38" t="n">
        <f aca="false">Sens!$E$7015+Sens!$E$7020+Sens!$E$7034+Sens!$E$7035-Sens!$E$7038</f>
        <v>13.355</v>
      </c>
      <c r="F7039" s="38" t="n">
        <f aca="false">Sens!$F$7015+Sens!$F$7020+Sens!$F$7034+Sens!$F$7035-Sens!$F$7038</f>
        <v>13.0895111975985</v>
      </c>
      <c r="G7039" s="38" t="n">
        <f aca="false">Sens!$G$7015+Sens!$G$7020+Sens!$G$7034+Sens!$G$7035-Sens!$G$7038</f>
        <v>26.4445111975985</v>
      </c>
      <c r="H7039" s="38" t="n">
        <f aca="false">Sens!$H$7015+Sens!$H$7020+Sens!$H$7034+Sens!$H$7035-Sens!$H$7038</f>
        <v>28.8977096937968</v>
      </c>
      <c r="I7039" s="38" t="n">
        <f aca="false">Sens!$I$7015+Sens!$I$7020+Sens!$I$7034+Sens!$I$7035-Sens!$I$7038</f>
        <v>31.2062039064791</v>
      </c>
      <c r="J7039" s="38" t="n">
        <f aca="false">Sens!$J$7015+Sens!$J$7020+Sens!$J$7034+Sens!$J$7035-Sens!$J$7038</f>
        <v>33.5064572496913</v>
      </c>
      <c r="K7039" s="38" t="n">
        <f aca="false">Sens!$K$7015+Sens!$K$7020+Sens!$K$7034+Sens!$K$7035-Sens!$K$7038</f>
        <v>35.6591461575899</v>
      </c>
      <c r="L7039" s="38" t="n">
        <f aca="false">Sens!$L$7015+Sens!$L$7020+Sens!$L$7034+Sens!$L$7035-Sens!$L$7038</f>
        <v>36.4141007090604</v>
      </c>
      <c r="M7039" s="38" t="n">
        <f aca="false">Sens!$M$7015+Sens!$M$7020+Sens!$M$7034+Sens!$M$7035-Sens!$M$7038</f>
        <v>37.359984207839</v>
      </c>
      <c r="N7039" s="38" t="n">
        <f aca="false">Sens!$N$7015+Sens!$N$7020+Sens!$N$7034+Sens!$N$7035-Sens!$N$7038</f>
        <v>10.6495</v>
      </c>
      <c r="O7039" s="38" t="n">
        <f aca="false">Sens!$O$7015+Sens!$O$7020+Sens!$O$7034+Sens!$O$7035-Sens!$O$7038</f>
        <v>9.81200000000001</v>
      </c>
    </row>
    <row r="7040" customFormat="false" ht="17.15" hidden="false" customHeight="false" outlineLevel="0" collapsed="false">
      <c r="A7040" s="0" t="s">
        <v>697</v>
      </c>
      <c r="B7040" s="0" t="s">
        <v>73</v>
      </c>
      <c r="C7040" s="38" t="n">
        <f aca="false">Sens!$C$7022+Sens!$C$7036-ext_sh*Sens!$C$6957</f>
        <v>51.3470500115664</v>
      </c>
      <c r="D7040" s="38" t="n">
        <f aca="false">Sens!$D$7022+Sens!$D$7036-ext_sh*Sens!$D$6957</f>
        <v>60.2799375433739</v>
      </c>
      <c r="E7040" s="38" t="n">
        <f aca="false">Sens!$E$7022+Sens!$E$7036-ext_sh*Sens!$E$6957</f>
        <v>39.5095167090767</v>
      </c>
      <c r="F7040" s="38" t="n">
        <f aca="false">Sens!$F$7022+Sens!$F$7036-ext_sh*Sens!$F$6957</f>
        <v>41.606724953129</v>
      </c>
      <c r="G7040" s="38" t="n">
        <f aca="false">Sens!$G$7022+Sens!$G$7036-ext_sh*Sens!$G$6957</f>
        <v>81.1162416622057</v>
      </c>
      <c r="H7040" s="38" t="n">
        <f aca="false">Sens!$H$7022+Sens!$H$7036-ext_sh*Sens!$H$6957</f>
        <v>95.7616595325849</v>
      </c>
      <c r="I7040" s="38" t="n">
        <f aca="false">Sens!$I$7022+Sens!$I$7036-ext_sh*Sens!$I$6957</f>
        <v>111.513312079935</v>
      </c>
      <c r="J7040" s="38" t="n">
        <f aca="false">Sens!$J$7022+Sens!$J$7036-ext_sh*Sens!$J$6957</f>
        <v>125.145150463955</v>
      </c>
      <c r="K7040" s="38" t="n">
        <f aca="false">Sens!$K$7022+Sens!$K$7036-ext_sh*Sens!$K$6957</f>
        <v>135.156762501071</v>
      </c>
      <c r="L7040" s="38" t="n">
        <f aca="false">Sens!$L$7022+Sens!$L$7036-ext_sh*Sens!$L$6957</f>
        <v>145.969303501157</v>
      </c>
      <c r="M7040" s="38" t="n">
        <f aca="false">Sens!$M$7022+Sens!$M$7036-ext_sh*Sens!$M$6957</f>
        <v>157.646847781249</v>
      </c>
      <c r="N7040" s="38" t="n">
        <f aca="false">Sens!$N$7022+Sens!$N$7036-ext_sh*Sens!$N$6957</f>
        <v>28.5693781401809</v>
      </c>
      <c r="O7040" s="38" t="n">
        <f aca="false">Sens!$O$7022+Sens!$O$7036-ext_sh*Sens!$O$6957</f>
        <v>31.7105594031931</v>
      </c>
    </row>
    <row r="7041" customFormat="false" ht="17.15" hidden="false" customHeight="false" outlineLevel="0" collapsed="false">
      <c r="A7041" s="0" t="s">
        <v>698</v>
      </c>
      <c r="B7041" s="0" t="s">
        <v>73</v>
      </c>
      <c r="C7041" s="38" t="n">
        <f aca="false">Sens!$C$6960</f>
        <v>1.80694998843362</v>
      </c>
      <c r="D7041" s="38" t="n">
        <f aca="false">Sens!$D$6960</f>
        <v>6.77606245662607</v>
      </c>
      <c r="E7041" s="38" t="n">
        <f aca="false">Sens!$E$6960</f>
        <v>6.62548329092326</v>
      </c>
      <c r="F7041" s="38" t="n">
        <f aca="false">Sens!$F$6960</f>
        <v>11.7200577158706</v>
      </c>
      <c r="G7041" s="38" t="n">
        <f aca="false">Sens!$G$6960</f>
        <v>18.3455410067939</v>
      </c>
      <c r="H7041" s="38" t="n">
        <f aca="false">Sens!$H$6960</f>
        <v>47.5171727060453</v>
      </c>
      <c r="I7041" s="38" t="n">
        <f aca="false">Sens!$I$6960</f>
        <v>80.5539692643667</v>
      </c>
      <c r="J7041" s="38" t="n">
        <f aca="false">Sens!$J$6960</f>
        <v>113.759316834883</v>
      </c>
      <c r="K7041" s="38" t="n">
        <f aca="false">Sens!$K$6960</f>
        <v>147.020848076132</v>
      </c>
      <c r="L7041" s="38" t="n">
        <f aca="false">Sens!$L$6960</f>
        <v>180.307917349531</v>
      </c>
      <c r="M7041" s="38" t="n">
        <f aca="false">Sens!$M$6960</f>
        <v>213.608737871012</v>
      </c>
      <c r="N7041" s="38" t="n">
        <f aca="false">Sens!$N$6960</f>
        <v>2.37162185981912</v>
      </c>
      <c r="O7041" s="38" t="n">
        <f aca="false">Sens!$O$6960</f>
        <v>4.40444059680694</v>
      </c>
    </row>
    <row r="7042" customFormat="false" ht="17.15" hidden="false" customHeight="false" outlineLevel="0" collapsed="false">
      <c r="A7042" s="0" t="s">
        <v>699</v>
      </c>
      <c r="B7042" s="0" t="s">
        <v>73</v>
      </c>
      <c r="C7042" s="38" t="n">
        <f aca="false">Sens!$C$7025+Sens!$C$7037</f>
        <v>100.66</v>
      </c>
      <c r="D7042" s="38" t="n">
        <f aca="false">Sens!$D$7025+Sens!$D$7037</f>
        <v>121.835</v>
      </c>
      <c r="E7042" s="38" t="n">
        <f aca="false">Sens!$E$7025+Sens!$E$7037</f>
        <v>78.016</v>
      </c>
      <c r="F7042" s="38" t="n">
        <f aca="false">Sens!$F$7025+Sens!$F$7037</f>
        <v>90.4929629579672</v>
      </c>
      <c r="G7042" s="38" t="n">
        <f aca="false">Sens!$G$7025+Sens!$G$7037</f>
        <v>168.508962957967</v>
      </c>
      <c r="H7042" s="38" t="n">
        <f aca="false">Sens!$H$7025+Sens!$H$7037</f>
        <v>223.323222861897</v>
      </c>
      <c r="I7042" s="38" t="n">
        <f aca="false">Sens!$I$7025+Sens!$I$7037</f>
        <v>282.963404043402</v>
      </c>
      <c r="J7042" s="38" t="n">
        <f aca="false">Sens!$J$7025+Sens!$J$7037</f>
        <v>340.070464072952</v>
      </c>
      <c r="K7042" s="38" t="n">
        <f aca="false">Sens!$K$7025+Sens!$K$7037</f>
        <v>392.262250211657</v>
      </c>
      <c r="L7042" s="38" t="n">
        <f aca="false">Sens!$L$7025+Sens!$L$7037</f>
        <v>444.559364384299</v>
      </c>
      <c r="M7042" s="38" t="n">
        <f aca="false">Sens!$M$7025+Sens!$M$7037</f>
        <v>498.670416967106</v>
      </c>
      <c r="N7042" s="38" t="n">
        <f aca="false">Sens!$N$7025+Sens!$N$7037</f>
        <v>56.398</v>
      </c>
      <c r="O7042" s="38" t="n">
        <f aca="false">Sens!$O$7025+Sens!$O$7037</f>
        <v>65.437</v>
      </c>
    </row>
    <row r="7043" customFormat="false" ht="17.15" hidden="false" customHeight="false" outlineLevel="0" collapsed="false">
      <c r="A7043" s="1" t="s">
        <v>700</v>
      </c>
    </row>
    <row r="7044" customFormat="false" ht="15" hidden="false" customHeight="false" outlineLevel="0" collapsed="false">
      <c r="A7044" s="5" t="s">
        <v>504</v>
      </c>
      <c r="B7044" s="0" t="s">
        <v>73</v>
      </c>
      <c r="C7044" s="38" t="n">
        <f aca="false">Q!$D$34</f>
        <v>2.406</v>
      </c>
      <c r="D7044" s="38" t="n">
        <f aca="false">Q!$E$34</f>
        <v>2.274</v>
      </c>
      <c r="E7044" s="38" t="n">
        <f aca="false">Q!$P$34</f>
        <v>2.114</v>
      </c>
      <c r="F7044" s="38" t="n">
        <f aca="false">Sens!$F$7080</f>
        <v>3.24888964316061</v>
      </c>
      <c r="G7044" s="38" t="n">
        <f aca="false">Sens!$E$7044+Sens!$F$7044</f>
        <v>5.36288964316061</v>
      </c>
      <c r="H7044" s="38" t="n">
        <f aca="false">Sens!$H$7080</f>
        <v>7.42354178632123</v>
      </c>
      <c r="I7044" s="38" t="n">
        <f aca="false">Sens!$I$7080</f>
        <v>7.51827597635917</v>
      </c>
      <c r="J7044" s="38" t="n">
        <f aca="false">Sens!$J$7080</f>
        <v>7.76994062068418</v>
      </c>
      <c r="K7044" s="38" t="n">
        <f aca="false">Sens!$K$7080</f>
        <v>7.76994062068418</v>
      </c>
      <c r="L7044" s="38" t="n">
        <f aca="false">Sens!$L$7080</f>
        <v>7.76994062068418</v>
      </c>
      <c r="M7044" s="38" t="n">
        <f aca="false">Sens!$M$7080</f>
        <v>7.76994062068418</v>
      </c>
      <c r="N7044" s="38" t="n">
        <f aca="false">Q!$N$34</f>
        <v>1.057</v>
      </c>
      <c r="O7044" s="38" t="n">
        <f aca="false">Q!$O$34</f>
        <v>1.217</v>
      </c>
    </row>
    <row r="7045" customFormat="false" ht="15" hidden="false" customHeight="false" outlineLevel="0" collapsed="false">
      <c r="A7045" s="5" t="s">
        <v>701</v>
      </c>
      <c r="B7045" s="0" t="s">
        <v>73</v>
      </c>
      <c r="F7045" s="38" t="n">
        <f aca="false">Sens!$F$7081</f>
        <v>2.59</v>
      </c>
      <c r="H7045" s="38" t="n">
        <f aca="false">Sens!$H$7081</f>
        <v>4.00971603121774</v>
      </c>
      <c r="I7045" s="38" t="n">
        <f aca="false">Sens!$I$7081</f>
        <v>2.10589651022864</v>
      </c>
      <c r="J7045" s="38" t="n">
        <f aca="false">Sens!$J$7081</f>
        <v>2.10589651022864</v>
      </c>
      <c r="K7045" s="38" t="n">
        <f aca="false">Sens!$K$7081</f>
        <v>3.77985822695893</v>
      </c>
      <c r="L7045" s="38" t="n">
        <f aca="false">Sens!$L$7081</f>
        <v>7.24081936505971</v>
      </c>
      <c r="M7045" s="38" t="n">
        <f aca="false">Sens!$M$7081</f>
        <v>11.205150593419</v>
      </c>
    </row>
    <row r="7046" customFormat="false" ht="17.15" hidden="false" customHeight="false" outlineLevel="0" collapsed="false">
      <c r="A7046" s="5" t="s">
        <v>702</v>
      </c>
      <c r="B7046" s="0" t="s">
        <v>73</v>
      </c>
      <c r="C7046" s="38" t="n">
        <f aca="false">Q!$D$39</f>
        <v>2.427</v>
      </c>
      <c r="D7046" s="38" t="n">
        <f aca="false">Q!$E$39</f>
        <v>19.61</v>
      </c>
      <c r="E7046" s="38" t="n">
        <f aca="false">Q!$P$39</f>
        <v>71.492</v>
      </c>
      <c r="F7046" s="41" t="n">
        <v>0</v>
      </c>
      <c r="G7046" s="38" t="n">
        <f aca="false">Sens!$E$7046+Sens!$F$7046</f>
        <v>71.492</v>
      </c>
      <c r="H7046" s="41" t="n">
        <v>0</v>
      </c>
      <c r="I7046" s="41" t="n">
        <v>0</v>
      </c>
      <c r="J7046" s="41" t="n">
        <v>0</v>
      </c>
      <c r="K7046" s="41" t="n">
        <v>0</v>
      </c>
      <c r="L7046" s="41" t="n">
        <v>0</v>
      </c>
      <c r="M7046" s="41" t="n">
        <v>0</v>
      </c>
      <c r="N7046" s="38" t="n">
        <f aca="false">Q!$N$39</f>
        <v>6.017</v>
      </c>
      <c r="O7046" s="38" t="n">
        <f aca="false">Q!$O$39</f>
        <v>13.593</v>
      </c>
      <c r="P7046" s="5" t="s">
        <v>703</v>
      </c>
    </row>
    <row r="7047" customFormat="false" ht="15" hidden="false" customHeight="false" outlineLevel="0" collapsed="false">
      <c r="A7047" s="5" t="s">
        <v>507</v>
      </c>
      <c r="B7047" s="0" t="s">
        <v>73</v>
      </c>
      <c r="C7047" s="38" t="n">
        <f aca="false">Q!$D$36</f>
        <v>68.614</v>
      </c>
      <c r="D7047" s="38" t="n">
        <f aca="false">Q!$E$36</f>
        <v>97.311</v>
      </c>
      <c r="E7047" s="38" t="n">
        <f aca="false">Q!$P$36</f>
        <v>120.691</v>
      </c>
      <c r="F7047" s="38" t="n">
        <f aca="false">Sens!$F$7025-Sens!$F$7044+Sens!$F$7045+Sens!$F$7046</f>
        <v>59.2236875896856</v>
      </c>
      <c r="G7047" s="38" t="n">
        <f aca="false">Sens!$E$7047+Sens!$F$7047</f>
        <v>179.914687589686</v>
      </c>
      <c r="H7047" s="38" t="n">
        <f aca="false">Sens!$H$7025-Sens!$H$7044+Sens!$H$7045+Sens!$H$7046</f>
        <v>132.22487528741</v>
      </c>
      <c r="I7047" s="38" t="n">
        <f aca="false">Sens!$I$7025-Sens!$I$7044+Sens!$I$7045+Sens!$I$7046</f>
        <v>155.256254868633</v>
      </c>
      <c r="J7047" s="38" t="n">
        <f aca="false">Sens!$J$7025-Sens!$J$7044+Sens!$J$7045+Sens!$J$7046</f>
        <v>177.272457389275</v>
      </c>
      <c r="K7047" s="38" t="n">
        <f aca="false">Sens!$K$7025-Sens!$K$7044+Sens!$K$7045+Sens!$K$7046</f>
        <v>196.921534464333</v>
      </c>
      <c r="L7047" s="38" t="n">
        <f aca="false">Sens!$L$7025-Sens!$L$7044+Sens!$L$7045+Sens!$L$7046</f>
        <v>220.12100479332</v>
      </c>
      <c r="M7047" s="38" t="n">
        <f aca="false">Sens!$M$7025-Sens!$M$7044+Sens!$M$7045+Sens!$M$7046</f>
        <v>244.529307072564</v>
      </c>
      <c r="N7047" s="38" t="n">
        <f aca="false">Q!$N$36</f>
        <v>42.536</v>
      </c>
      <c r="O7047" s="38" t="n">
        <f aca="false">Q!$O$36</f>
        <v>54.775</v>
      </c>
    </row>
    <row r="7048" customFormat="false" ht="15" hidden="false" customHeight="false" outlineLevel="0" collapsed="false">
      <c r="A7048" s="5" t="s">
        <v>508</v>
      </c>
      <c r="B7048" s="0" t="s">
        <v>73</v>
      </c>
      <c r="C7048" s="38" t="n">
        <f aca="false">Q!$D$37</f>
        <v>9.265</v>
      </c>
      <c r="D7048" s="38" t="n">
        <f aca="false">Q!$E$37</f>
        <v>19.087</v>
      </c>
      <c r="E7048" s="38" t="n">
        <f aca="false">Q!$P$37</f>
        <v>27.759</v>
      </c>
      <c r="F7048" s="38" t="n">
        <f aca="false">Sens!$F$7047*tax</f>
        <v>10.2803157750071</v>
      </c>
      <c r="G7048" s="38" t="n">
        <f aca="false">Sens!$E$7048+Sens!$F$7048</f>
        <v>38.0393157750071</v>
      </c>
      <c r="H7048" s="38" t="n">
        <f aca="false">Sens!$H$7047*tax</f>
        <v>22.9521923842892</v>
      </c>
      <c r="I7048" s="38" t="n">
        <f aca="false">Sens!$I$7047*tax</f>
        <v>26.9500835063251</v>
      </c>
      <c r="J7048" s="38" t="n">
        <f aca="false">Sens!$J$7047*tax</f>
        <v>30.7717555988633</v>
      </c>
      <c r="K7048" s="38" t="n">
        <f aca="false">Sens!$K$7047*tax</f>
        <v>34.1825313414772</v>
      </c>
      <c r="L7048" s="38" t="n">
        <f aca="false">Sens!$L$7047*tax</f>
        <v>38.209600416393</v>
      </c>
      <c r="M7048" s="38" t="n">
        <f aca="false">Sens!$M$7047*tax</f>
        <v>42.4465040131586</v>
      </c>
      <c r="N7048" s="38" t="n">
        <f aca="false">Q!$N$37</f>
        <v>7.231</v>
      </c>
      <c r="O7048" s="38" t="n">
        <f aca="false">Q!$O$37</f>
        <v>11.856</v>
      </c>
    </row>
    <row r="7049" customFormat="false" ht="15" hidden="false" customHeight="false" outlineLevel="0" collapsed="false">
      <c r="A7049" s="3" t="s">
        <v>509</v>
      </c>
      <c r="B7049" s="8" t="s">
        <v>73</v>
      </c>
      <c r="C7049" s="38" t="n">
        <f aca="false">Q!$D$38</f>
        <v>59.248</v>
      </c>
      <c r="D7049" s="38" t="n">
        <f aca="false">Q!$E$38</f>
        <v>77.67</v>
      </c>
      <c r="E7049" s="38" t="n">
        <f aca="false">Q!$P$38</f>
        <v>92.902</v>
      </c>
      <c r="F7049" s="38" t="n">
        <f aca="false">Sens!$F$7047-Sens!$F$7048</f>
        <v>48.9433718146785</v>
      </c>
      <c r="G7049" s="38" t="n">
        <f aca="false">Sens!$E$7049+Sens!$F$7049</f>
        <v>141.845371814679</v>
      </c>
      <c r="H7049" s="38" t="n">
        <f aca="false">Sens!$H$7047-Sens!$H$7048</f>
        <v>109.272682903121</v>
      </c>
      <c r="I7049" s="38" t="n">
        <f aca="false">Sens!$I$7047-Sens!$I$7048</f>
        <v>128.306171362308</v>
      </c>
      <c r="J7049" s="38" t="n">
        <f aca="false">Sens!$J$7047-Sens!$J$7048</f>
        <v>146.500701790412</v>
      </c>
      <c r="K7049" s="38" t="n">
        <f aca="false">Sens!$K$7047-Sens!$K$7048</f>
        <v>162.739003122855</v>
      </c>
      <c r="L7049" s="38" t="n">
        <f aca="false">Sens!$L$7047-Sens!$L$7048</f>
        <v>181.911404376927</v>
      </c>
      <c r="M7049" s="38" t="n">
        <f aca="false">Sens!$M$7047-Sens!$M$7048</f>
        <v>202.082803059406</v>
      </c>
      <c r="N7049" s="38" t="n">
        <f aca="false">Q!$N$38</f>
        <v>35.291</v>
      </c>
      <c r="O7049" s="38" t="n">
        <f aca="false">Q!$O$38</f>
        <v>42.379</v>
      </c>
    </row>
    <row r="7050" customFormat="false" ht="17.15" hidden="false" customHeight="false" outlineLevel="0" collapsed="false">
      <c r="A7050" s="5" t="s">
        <v>512</v>
      </c>
      <c r="B7050" s="5" t="s">
        <v>33</v>
      </c>
      <c r="C7050" s="22" t="n">
        <f aca="false">Q!$D$41</f>
        <v>10.721</v>
      </c>
      <c r="D7050" s="22" t="n">
        <f aca="false">Q!$E$41</f>
        <v>10.827</v>
      </c>
      <c r="E7050" s="22" t="n">
        <f aca="false">(Q!$L$41+Q!$M$41)/2</f>
        <v>10.8885</v>
      </c>
      <c r="F7050" s="22" t="n">
        <f aca="false">Sens!$G$7050</f>
        <v>10.924806</v>
      </c>
      <c r="G7050" s="22" t="n">
        <f aca="false">Q!$M$41*(1+sh_g*0.25)</f>
        <v>10.924806</v>
      </c>
      <c r="H7050" s="22" t="n">
        <f aca="false">Sens!$G$7050*(1+sh_g)</f>
        <v>11.012204448</v>
      </c>
      <c r="I7050" s="22" t="n">
        <f aca="false">Sens!$H$7050*(1+sh_g)</f>
        <v>11.100302083584</v>
      </c>
      <c r="J7050" s="22" t="n">
        <f aca="false">Sens!$I$7050*(1+sh_g)</f>
        <v>11.1891045002527</v>
      </c>
      <c r="K7050" s="22" t="n">
        <f aca="false">Sens!$J$7050*(1+sh_g)</f>
        <v>11.2786173362547</v>
      </c>
      <c r="L7050" s="22" t="n">
        <f aca="false">Sens!$K$7050*(1+sh_g)</f>
        <v>11.3688462749447</v>
      </c>
      <c r="M7050" s="22" t="n">
        <f aca="false">Sens!$L$7050*(1+sh_g)</f>
        <v>11.4597970451443</v>
      </c>
      <c r="P7050" s="5" t="s">
        <v>704</v>
      </c>
    </row>
    <row r="7051" customFormat="false" ht="17.15" hidden="false" customHeight="false" outlineLevel="0" collapsed="false">
      <c r="A7051" s="42" t="s">
        <v>705</v>
      </c>
      <c r="B7051" s="13" t="s">
        <v>27</v>
      </c>
      <c r="C7051" s="43" t="n">
        <f aca="false">Sens!$C$7049/Sens!$C$7050</f>
        <v>5.52635015390355</v>
      </c>
      <c r="D7051" s="43" t="n">
        <f aca="false">Sens!$D$7049/Sens!$D$7050</f>
        <v>7.1737323358271</v>
      </c>
      <c r="E7051" s="43" t="n">
        <f aca="false">Sens!$E$7049/Sens!$E$7050</f>
        <v>8.53212104513937</v>
      </c>
      <c r="F7051" s="13"/>
      <c r="G7051" s="43" t="n">
        <f aca="false">Sens!$G$7049/Sens!$G$7050</f>
        <v>12.9837886196495</v>
      </c>
      <c r="H7051" s="43" t="n">
        <f aca="false">Sens!$H$7049/Sens!$H$7050</f>
        <v>9.92287088558062</v>
      </c>
      <c r="I7051" s="43" t="n">
        <f aca="false">Sens!$I$7049/Sens!$I$7050</f>
        <v>11.5587999674403</v>
      </c>
      <c r="J7051" s="43" t="n">
        <f aca="false">Sens!$J$7049/Sens!$J$7050</f>
        <v>13.0931569892035</v>
      </c>
      <c r="K7051" s="43" t="n">
        <f aca="false">Sens!$K$7049/Sens!$K$7050</f>
        <v>14.4289852444711</v>
      </c>
      <c r="L7051" s="43" t="n">
        <f aca="false">Sens!$L$7049/Sens!$L$7050</f>
        <v>16.0008676322621</v>
      </c>
      <c r="M7051" s="43" t="n">
        <f aca="false">Sens!$M$7049/Sens!$M$7050</f>
        <v>17.6340647450673</v>
      </c>
      <c r="N7051" s="13"/>
      <c r="O7051" s="13"/>
    </row>
    <row r="7052" customFormat="false" ht="17.15" hidden="false" customHeight="false" outlineLevel="0" collapsed="false">
      <c r="A7052" s="0" t="s">
        <v>706</v>
      </c>
      <c r="B7052" s="0" t="s">
        <v>27</v>
      </c>
      <c r="C7052" s="30" t="n">
        <f aca="false">(Sens!$C$7049-Sens!$C$7046*(1-tax))/Sens!$C$7050</f>
        <v>5.33926775917445</v>
      </c>
      <c r="D7052" s="30" t="n">
        <f aca="false">(Sens!$D$7049-Sens!$D$7046*(1-tax))/Sens!$D$7050</f>
        <v>5.67691812755503</v>
      </c>
      <c r="E7052" s="30" t="n">
        <f aca="false">(Sens!$E$7049-Sens!$E$7046*(1-tax))/Sens!$E$7050</f>
        <v>3.10602057006846</v>
      </c>
      <c r="G7052" s="30" t="n">
        <f aca="false">(Sens!$G$7049-Sens!$G$7046*(1-tax))/Sens!$G$7050</f>
        <v>7.57572050175252</v>
      </c>
      <c r="H7052" s="30" t="n">
        <f aca="false">(Sens!$H$7049-Sens!$H$7046*(1-tax))/Sens!$H$7050</f>
        <v>9.92287088558062</v>
      </c>
      <c r="I7052" s="30" t="n">
        <f aca="false">(Sens!$I$7049-Sens!$I$7046*(1-tax))/Sens!$I$7050</f>
        <v>11.5587999674403</v>
      </c>
      <c r="J7052" s="30" t="n">
        <f aca="false">(Sens!$J$7049-Sens!$J$7046*(1-tax))/Sens!$J$7050</f>
        <v>13.0931569892035</v>
      </c>
      <c r="K7052" s="30" t="n">
        <f aca="false">(Sens!$K$7049-Sens!$K$7046*(1-tax))/Sens!$K$7050</f>
        <v>14.4289852444711</v>
      </c>
      <c r="L7052" s="30" t="n">
        <f aca="false">(Sens!$L$7049-Sens!$L$7046*(1-tax))/Sens!$L$7050</f>
        <v>16.0008676322621</v>
      </c>
      <c r="M7052" s="30" t="n">
        <f aca="false">(Sens!$M$7049-Sens!$M$7046*(1-tax))/Sens!$M$7050</f>
        <v>17.6340647450673</v>
      </c>
      <c r="P7052" s="5" t="s">
        <v>707</v>
      </c>
    </row>
    <row r="7053" customFormat="false" ht="17.15" hidden="false" customHeight="false" outlineLevel="0" collapsed="false">
      <c r="A7053" s="0" t="s">
        <v>708</v>
      </c>
      <c r="B7053" s="0" t="s">
        <v>52</v>
      </c>
      <c r="H7053" s="12" t="n">
        <f aca="false">Sens!$H$7051/Sens!$G$7051-1</f>
        <v>-0.23574919645846</v>
      </c>
      <c r="I7053" s="12" t="n">
        <f aca="false">Sens!$I$7051/Sens!$H$7051-1</f>
        <v>0.164864493423664</v>
      </c>
      <c r="J7053" s="12" t="n">
        <f aca="false">Sens!$J$7051/Sens!$I$7051-1</f>
        <v>0.132743626162345</v>
      </c>
      <c r="K7053" s="12" t="n">
        <f aca="false">Sens!$K$7051/Sens!$J$7051-1</f>
        <v>0.102024917013454</v>
      </c>
      <c r="L7053" s="12" t="n">
        <f aca="false">Sens!$L$7051/Sens!$K$7051-1</f>
        <v>0.108939219297719</v>
      </c>
      <c r="M7053" s="12" t="n">
        <f aca="false">Sens!$M$7051/Sens!$L$7051-1</f>
        <v>0.102069284637555</v>
      </c>
    </row>
    <row r="7056" customFormat="false" ht="19.4" hidden="false" customHeight="false" outlineLevel="0" collapsed="false">
      <c r="A7056" s="31" t="s">
        <v>1196</v>
      </c>
    </row>
    <row r="7057" customFormat="false" ht="17.15" hidden="false" customHeight="false" outlineLevel="0" collapsed="false">
      <c r="A7057" s="6" t="s">
        <v>16</v>
      </c>
      <c r="B7057" s="6" t="s">
        <v>17</v>
      </c>
      <c r="C7057" s="20" t="s">
        <v>457</v>
      </c>
      <c r="D7057" s="20" t="s">
        <v>458</v>
      </c>
      <c r="E7057" s="20" t="s">
        <v>540</v>
      </c>
      <c r="F7057" s="20" t="s">
        <v>541</v>
      </c>
      <c r="G7057" s="20" t="s">
        <v>542</v>
      </c>
      <c r="H7057" s="20" t="s">
        <v>543</v>
      </c>
      <c r="I7057" s="20" t="s">
        <v>544</v>
      </c>
      <c r="J7057" s="20" t="s">
        <v>545</v>
      </c>
      <c r="K7057" s="20" t="s">
        <v>546</v>
      </c>
      <c r="L7057" s="20" t="s">
        <v>547</v>
      </c>
      <c r="M7057" s="20" t="s">
        <v>548</v>
      </c>
      <c r="N7057" s="20" t="s">
        <v>549</v>
      </c>
      <c r="O7057" s="20" t="s">
        <v>550</v>
      </c>
      <c r="P7057" s="6" t="s">
        <v>23</v>
      </c>
      <c r="R7057" s="20" t="n">
        <v>2023</v>
      </c>
      <c r="S7057" s="20" t="n">
        <v>2024</v>
      </c>
      <c r="T7057" s="20" t="n">
        <v>2025</v>
      </c>
      <c r="U7057" s="20" t="n">
        <v>2026</v>
      </c>
      <c r="V7057" s="20" t="n">
        <v>2027</v>
      </c>
      <c r="W7057" s="20" t="n">
        <v>2028</v>
      </c>
      <c r="X7057" s="20" t="n">
        <v>2029</v>
      </c>
      <c r="Y7057" s="20" t="n">
        <v>2030</v>
      </c>
      <c r="Z7057" s="20" t="n">
        <v>2031</v>
      </c>
      <c r="AA7057" s="20" t="n">
        <v>2032</v>
      </c>
    </row>
    <row r="7058" customFormat="false" ht="15" hidden="false" customHeight="false" outlineLevel="0" collapsed="false">
      <c r="A7058" s="5" t="s">
        <v>509</v>
      </c>
      <c r="B7058" s="0" t="s">
        <v>73</v>
      </c>
      <c r="C7058" s="38" t="n">
        <f aca="false">Sens!$C$7049</f>
        <v>59.248</v>
      </c>
      <c r="D7058" s="38" t="n">
        <f aca="false">Sens!$D$7049</f>
        <v>77.67</v>
      </c>
      <c r="E7058" s="38" t="n">
        <f aca="false">Sens!$E$7049</f>
        <v>92.902</v>
      </c>
      <c r="F7058" s="38" t="n">
        <f aca="false">Sens!$F$7049</f>
        <v>48.9433718146785</v>
      </c>
      <c r="G7058" s="38" t="n">
        <f aca="false">Sens!$G$7049</f>
        <v>141.845371814679</v>
      </c>
      <c r="H7058" s="38" t="n">
        <f aca="false">Sens!$H$7049</f>
        <v>109.272682903121</v>
      </c>
      <c r="I7058" s="38" t="n">
        <f aca="false">Sens!$I$7049</f>
        <v>128.306171362308</v>
      </c>
      <c r="J7058" s="38" t="n">
        <f aca="false">Sens!$J$7049</f>
        <v>146.500701790412</v>
      </c>
      <c r="K7058" s="38" t="n">
        <f aca="false">Sens!$K$7049</f>
        <v>162.739003122855</v>
      </c>
      <c r="L7058" s="38" t="n">
        <f aca="false">Sens!$L$7049</f>
        <v>181.911404376927</v>
      </c>
      <c r="M7058" s="38" t="n">
        <f aca="false">Sens!$M$7049</f>
        <v>202.082803059406</v>
      </c>
    </row>
    <row r="7059" customFormat="false" ht="17.15" hidden="false" customHeight="false" outlineLevel="0" collapsed="false">
      <c r="A7059" s="5" t="s">
        <v>730</v>
      </c>
      <c r="B7059" s="0" t="s">
        <v>73</v>
      </c>
      <c r="C7059" s="38" t="n">
        <f aca="false">Sens!$C$7037</f>
        <v>32.067</v>
      </c>
      <c r="D7059" s="38" t="n">
        <f aca="false">Sens!$D$7037</f>
        <v>41.86</v>
      </c>
      <c r="E7059" s="38" t="n">
        <f aca="false">Sens!$E$7037</f>
        <v>26.703</v>
      </c>
      <c r="F7059" s="38" t="n">
        <f aca="false">Sens!$F$7037</f>
        <v>30.6103857251209</v>
      </c>
      <c r="G7059" s="38" t="n">
        <f aca="false">Sens!$G$7037</f>
        <v>57.3133857251209</v>
      </c>
      <c r="H7059" s="38" t="n">
        <f aca="false">Sens!$H$7037</f>
        <v>87.6845218193838</v>
      </c>
      <c r="I7059" s="38" t="n">
        <f aca="false">Sens!$I$7037</f>
        <v>122.294769708638</v>
      </c>
      <c r="J7059" s="38" t="n">
        <f aca="false">Sens!$J$7037</f>
        <v>157.133962573221</v>
      </c>
      <c r="K7059" s="38" t="n">
        <f aca="false">Sens!$K$7037</f>
        <v>191.350633353599</v>
      </c>
      <c r="L7059" s="38" t="n">
        <f aca="false">Sens!$L$7037</f>
        <v>223.909238335354</v>
      </c>
      <c r="M7059" s="38" t="n">
        <f aca="false">Sens!$M$7037</f>
        <v>257.576319867276</v>
      </c>
    </row>
    <row r="7060" customFormat="false" ht="15" hidden="false" customHeight="false" outlineLevel="0" collapsed="false">
      <c r="A7060" s="5" t="s">
        <v>731</v>
      </c>
      <c r="B7060" s="0" t="s">
        <v>73</v>
      </c>
      <c r="C7060" s="38" t="n">
        <f aca="false">Q!$D$48</f>
        <v>22.011</v>
      </c>
      <c r="D7060" s="38" t="n">
        <f aca="false">Q!$E$48</f>
        <v>19.467</v>
      </c>
      <c r="E7060" s="38" t="n">
        <f aca="false">Q!$P$48</f>
        <v>10.07</v>
      </c>
      <c r="F7060" s="38" t="n">
        <f aca="false">sbc_r*Sens!$F$6981</f>
        <v>11.2170714500462</v>
      </c>
      <c r="G7060" s="38" t="n">
        <f aca="false">Sens!$E$7060+Sens!$F$7060</f>
        <v>21.2870714500462</v>
      </c>
      <c r="H7060" s="38" t="n">
        <f aca="false">sbc_r*Sens!$H$6981</f>
        <v>24.1772394325528</v>
      </c>
      <c r="I7060" s="38" t="n">
        <f aca="false">sbc_r*Sens!$I$6981</f>
        <v>27.6495284422397</v>
      </c>
      <c r="J7060" s="38" t="n">
        <f aca="false">sbc_r*Sens!$J$6981</f>
        <v>30.9042211184633</v>
      </c>
      <c r="K7060" s="38" t="n">
        <f aca="false">sbc_r*Sens!$K$6981</f>
        <v>33.8004145402678</v>
      </c>
      <c r="L7060" s="38" t="n">
        <f aca="false">sbc_r*Sens!$L$6981</f>
        <v>36.8322537652494</v>
      </c>
      <c r="M7060" s="38" t="n">
        <f aca="false">sbc_r*Sens!$M$6981</f>
        <v>40.0097627968013</v>
      </c>
    </row>
    <row r="7061" customFormat="false" ht="17.15" hidden="false" customHeight="false" outlineLevel="0" collapsed="false">
      <c r="A7061" s="5" t="s">
        <v>732</v>
      </c>
      <c r="B7061" s="0" t="s">
        <v>73</v>
      </c>
      <c r="C7061" s="38" t="n">
        <f aca="false">Q!$D$44-Sens!$C$7058-Sens!$C$7059-Sens!$C$7060</f>
        <v>2.551</v>
      </c>
      <c r="D7061" s="38" t="n">
        <f aca="false">Q!$E$44-Sens!$D$7058-Sens!$D$7059-Sens!$D$7060</f>
        <v>0.51700000000001</v>
      </c>
      <c r="E7061" s="38" t="n">
        <f aca="false">Q!$P$44-Sens!$E$7058-Sens!$E$7059-Sens!$E$7060</f>
        <v>-58.256</v>
      </c>
      <c r="F7061" s="38" t="n">
        <f aca="false">wc_2h26+oth_r*Sens!$F$6981</f>
        <v>7.34599241893378</v>
      </c>
      <c r="G7061" s="38" t="n">
        <f aca="false">Sens!$E$7061+Sens!$F$7061</f>
        <v>-50.9100075810662</v>
      </c>
      <c r="H7061" s="38" t="n">
        <f aca="false">oth_r*Sens!$H$6981</f>
        <v>11.6369707537667</v>
      </c>
      <c r="I7061" s="38" t="n">
        <f aca="false">oth_r*Sens!$I$6981</f>
        <v>13.3082502961262</v>
      </c>
      <c r="J7061" s="38" t="n">
        <f aca="false">oth_r*Sens!$J$6981</f>
        <v>14.8747965344332</v>
      </c>
      <c r="K7061" s="38" t="n">
        <f aca="false">oth_r*Sens!$K$6981</f>
        <v>16.2687901804328</v>
      </c>
      <c r="L7061" s="38" t="n">
        <f aca="false">oth_r*Sens!$L$6981</f>
        <v>17.7280727627002</v>
      </c>
      <c r="M7061" s="38" t="n">
        <f aca="false">oth_r*Sens!$M$6981</f>
        <v>19.2574690270319</v>
      </c>
      <c r="P7061" s="8" t="s">
        <v>733</v>
      </c>
    </row>
    <row r="7062" customFormat="false" ht="15" hidden="false" customHeight="false" outlineLevel="0" collapsed="false">
      <c r="A7062" s="3" t="s">
        <v>515</v>
      </c>
      <c r="B7062" s="8" t="s">
        <v>73</v>
      </c>
      <c r="C7062" s="38" t="n">
        <f aca="false">Q!$D$44</f>
        <v>115.877</v>
      </c>
      <c r="D7062" s="38" t="n">
        <f aca="false">Q!$E$44</f>
        <v>139.514</v>
      </c>
      <c r="E7062" s="38" t="n">
        <f aca="false">Q!$P$44</f>
        <v>71.419</v>
      </c>
      <c r="F7062" s="38" t="n">
        <f aca="false">Sens!$F$7058+Sens!$F$7059+Sens!$F$7060+Sens!$F$7061</f>
        <v>98.1168214087795</v>
      </c>
      <c r="G7062" s="38" t="n">
        <f aca="false">Sens!$E$7062+Sens!$F$7062</f>
        <v>169.535821408779</v>
      </c>
      <c r="H7062" s="38" t="n">
        <f aca="false">Sens!$H$7058+Sens!$H$7059+Sens!$H$7060+Sens!$H$7061</f>
        <v>232.771414908824</v>
      </c>
      <c r="I7062" s="38" t="n">
        <f aca="false">Sens!$I$7058+Sens!$I$7059+Sens!$I$7060+Sens!$I$7061</f>
        <v>291.558719809312</v>
      </c>
      <c r="J7062" s="38" t="n">
        <f aca="false">Sens!$J$7058+Sens!$J$7059+Sens!$J$7060+Sens!$J$7061</f>
        <v>349.413682016529</v>
      </c>
      <c r="K7062" s="38" t="n">
        <f aca="false">Sens!$K$7058+Sens!$K$7059+Sens!$K$7060+Sens!$K$7061</f>
        <v>404.158841197156</v>
      </c>
      <c r="L7062" s="38" t="n">
        <f aca="false">Sens!$L$7058+Sens!$L$7059+Sens!$L$7060+Sens!$L$7061</f>
        <v>460.380969240231</v>
      </c>
      <c r="M7062" s="38" t="n">
        <f aca="false">Sens!$M$7058+Sens!$M$7059+Sens!$M$7060+Sens!$M$7061</f>
        <v>518.926354750515</v>
      </c>
    </row>
    <row r="7063" customFormat="false" ht="17.15" hidden="false" customHeight="false" outlineLevel="0" collapsed="false">
      <c r="A7063" s="5" t="s">
        <v>734</v>
      </c>
      <c r="B7063" s="0" t="s">
        <v>73</v>
      </c>
      <c r="C7063" s="38" t="n">
        <f aca="false">Sens!$C$6951</f>
        <v>25.2781053077374</v>
      </c>
      <c r="D7063" s="38" t="n">
        <f aca="false">Sens!$D$6951</f>
        <v>69.5686316310026</v>
      </c>
      <c r="E7063" s="38" t="n">
        <f aca="false">Sens!$E$6951</f>
        <v>64.1899206485108</v>
      </c>
      <c r="F7063" s="38" t="n">
        <f aca="false">Sens!$F$6951</f>
        <v>96.2481299895</v>
      </c>
      <c r="G7063" s="38" t="n">
        <f aca="false">Sens!$G$6951</f>
        <v>160.438050638011</v>
      </c>
      <c r="H7063" s="38" t="n">
        <f aca="false">Sens!$H$6951</f>
        <v>198.57136494475</v>
      </c>
      <c r="I7063" s="38" t="n">
        <f aca="false">Sens!$I$6951</f>
        <v>204.6464699105</v>
      </c>
      <c r="J7063" s="38" t="n">
        <f aca="false">Sens!$J$6951</f>
        <v>209.8832381105</v>
      </c>
      <c r="K7063" s="38" t="n">
        <f aca="false">Sens!$K$6951</f>
        <v>215.1200063105</v>
      </c>
      <c r="L7063" s="38" t="n">
        <f aca="false">Sens!$L$6951</f>
        <v>251.7773837105</v>
      </c>
      <c r="M7063" s="38" t="n">
        <f aca="false">Sens!$M$6951</f>
        <v>311.87584476575</v>
      </c>
    </row>
    <row r="7064" customFormat="false" ht="17.15" hidden="false" customHeight="false" outlineLevel="0" collapsed="false">
      <c r="A7064" s="5" t="s">
        <v>735</v>
      </c>
      <c r="B7064" s="0" t="s">
        <v>73</v>
      </c>
      <c r="C7064" s="38" t="n">
        <f aca="false">cx_awso*Sens!$C$6979</f>
        <v>21.0469989286053</v>
      </c>
      <c r="D7064" s="38" t="n">
        <f aca="false">cx_awso*Sens!$D$6979</f>
        <v>24.0042459822698</v>
      </c>
      <c r="E7064" s="38" t="n">
        <f aca="false">cx_awso*Sens!$E$6979</f>
        <v>14.261729404886</v>
      </c>
      <c r="F7064" s="38" t="n">
        <f aca="false">cx_awso*Sens!$F$6979</f>
        <v>15.7190020837331</v>
      </c>
      <c r="G7064" s="38" t="n">
        <f aca="false">Sens!$E$7064+Sens!$F$7064</f>
        <v>29.9807314886191</v>
      </c>
      <c r="H7064" s="38" t="n">
        <f aca="false">cx_awso*Sens!$H$6979</f>
        <v>36.1787121536283</v>
      </c>
      <c r="I7064" s="38" t="n">
        <f aca="false">cx_awso*Sens!$I$6979</f>
        <v>42.1296794430021</v>
      </c>
      <c r="J7064" s="38" t="n">
        <f aca="false">cx_awso*Sens!$J$6979</f>
        <v>47.279781889299</v>
      </c>
      <c r="K7064" s="38" t="n">
        <f aca="false">cx_awso*Sens!$K$6979</f>
        <v>51.0621644404429</v>
      </c>
      <c r="L7064" s="38" t="n">
        <f aca="false">cx_awso*Sens!$L$6979</f>
        <v>55.1471375956783</v>
      </c>
      <c r="M7064" s="38" t="n">
        <f aca="false">cx_awso*Sens!$M$6979</f>
        <v>59.5589086033326</v>
      </c>
    </row>
    <row r="7065" customFormat="false" ht="17.15" hidden="false" customHeight="false" outlineLevel="0" collapsed="false">
      <c r="A7065" s="5" t="s">
        <v>736</v>
      </c>
      <c r="B7065" s="0" t="s">
        <v>73</v>
      </c>
      <c r="C7065" s="38" t="n">
        <f aca="false">Q!$D$46-Sens!$C$7063-Sens!$C$7064</f>
        <v>31.3328957636573</v>
      </c>
      <c r="D7065" s="38" t="n">
        <f aca="false">Q!$E$46-Sens!$D$7063-Sens!$D$7064</f>
        <v>34.7471223867276</v>
      </c>
      <c r="E7065" s="38" t="n">
        <f aca="false">Q!$P$46-Sens!$E$7063-Sens!$E$7064</f>
        <v>17.8583499466032</v>
      </c>
      <c r="F7065" s="38" t="n">
        <f aca="false">cx_rt*Sens!$F$6915</f>
        <v>21.0855744229195</v>
      </c>
      <c r="G7065" s="38" t="n">
        <f aca="false">Sens!$E$7065+Sens!$F$7065</f>
        <v>38.9439243695228</v>
      </c>
      <c r="H7065" s="38" t="n">
        <f aca="false">cx_rt*Sens!$H$6915</f>
        <v>43.1200434029767</v>
      </c>
      <c r="I7065" s="38" t="n">
        <f aca="false">cx_rt*Sens!$I$6915</f>
        <v>47.1583152318763</v>
      </c>
      <c r="J7065" s="38" t="n">
        <f aca="false">cx_rt*Sens!$J$6915</f>
        <v>50.9060281137911</v>
      </c>
      <c r="K7065" s="38" t="n">
        <f aca="false">cx_rt*Sens!$K$6915</f>
        <v>54.2035645673053</v>
      </c>
      <c r="L7065" s="38" t="n">
        <f aca="false">cx_rt*Sens!$L$6915</f>
        <v>57.7318979121519</v>
      </c>
      <c r="M7065" s="38" t="n">
        <f aca="false">cx_rt*Sens!$M$6915</f>
        <v>61.5084196557756</v>
      </c>
    </row>
    <row r="7066" customFormat="false" ht="15" hidden="false" customHeight="false" outlineLevel="0" collapsed="false">
      <c r="A7066" s="3" t="s">
        <v>737</v>
      </c>
      <c r="B7066" s="8" t="s">
        <v>73</v>
      </c>
      <c r="C7066" s="38" t="n">
        <f aca="false">Q!$D$46</f>
        <v>77.658</v>
      </c>
      <c r="D7066" s="38" t="n">
        <f aca="false">Q!$E$46</f>
        <v>128.32</v>
      </c>
      <c r="E7066" s="38" t="n">
        <f aca="false">Q!$P$46</f>
        <v>96.31</v>
      </c>
      <c r="F7066" s="38" t="n">
        <f aca="false">Sens!$F$7063+Sens!$F$7064+Sens!$F$7065</f>
        <v>133.052706496153</v>
      </c>
      <c r="G7066" s="38" t="n">
        <f aca="false">Sens!$E$7066+Sens!$F$7066</f>
        <v>229.362706496153</v>
      </c>
      <c r="H7066" s="38" t="n">
        <f aca="false">Sens!$H$7063+Sens!$H$7064+Sens!$H$7065</f>
        <v>277.870120501355</v>
      </c>
      <c r="I7066" s="38" t="n">
        <f aca="false">Sens!$I$7063+Sens!$I$7064+Sens!$I$7065</f>
        <v>293.934464585378</v>
      </c>
      <c r="J7066" s="38" t="n">
        <f aca="false">Sens!$J$7063+Sens!$J$7064+Sens!$J$7065</f>
        <v>308.06904811359</v>
      </c>
      <c r="K7066" s="38" t="n">
        <f aca="false">Sens!$K$7063+Sens!$K$7064+Sens!$K$7065</f>
        <v>320.385735318248</v>
      </c>
      <c r="L7066" s="38" t="n">
        <f aca="false">Sens!$L$7063+Sens!$L$7064+Sens!$L$7065</f>
        <v>364.65641921833</v>
      </c>
      <c r="M7066" s="38" t="n">
        <f aca="false">Sens!$M$7063+Sens!$M$7064+Sens!$M$7065</f>
        <v>432.943173024858</v>
      </c>
    </row>
    <row r="7067" customFormat="false" ht="17.15" hidden="false" customHeight="false" outlineLevel="0" collapsed="false">
      <c r="A7067" s="5" t="s">
        <v>523</v>
      </c>
      <c r="B7067" s="0" t="s">
        <v>73</v>
      </c>
      <c r="C7067" s="38" t="n">
        <f aca="false">Q!$D$50</f>
        <v>2.043</v>
      </c>
      <c r="D7067" s="38" t="n">
        <f aca="false">Q!$E$50</f>
        <v>1.557</v>
      </c>
      <c r="E7067" s="38" t="n">
        <f aca="false">lease_pr/2</f>
        <v>0.8</v>
      </c>
      <c r="F7067" s="38" t="n">
        <f aca="false">lease_pr/2</f>
        <v>0.8</v>
      </c>
      <c r="G7067" s="38" t="n">
        <f aca="false">Sens!$E$7067+Sens!$F$7067</f>
        <v>1.6</v>
      </c>
      <c r="H7067" s="38" t="n">
        <f aca="false">lease_pr</f>
        <v>1.6</v>
      </c>
      <c r="I7067" s="38" t="n">
        <f aca="false">lease_pr</f>
        <v>1.6</v>
      </c>
      <c r="J7067" s="38" t="n">
        <f aca="false">lease_pr</f>
        <v>1.6</v>
      </c>
      <c r="K7067" s="38" t="n">
        <f aca="false">lease_pr</f>
        <v>1.6</v>
      </c>
      <c r="L7067" s="38" t="n">
        <f aca="false">lease_pr</f>
        <v>1.6</v>
      </c>
      <c r="M7067" s="38" t="n">
        <f aca="false">lease_pr</f>
        <v>1.6</v>
      </c>
      <c r="P7067" s="8" t="s">
        <v>738</v>
      </c>
    </row>
    <row r="7068" customFormat="false" ht="15" hidden="false" customHeight="false" outlineLevel="0" collapsed="false">
      <c r="A7068" s="46" t="s">
        <v>739</v>
      </c>
      <c r="B7068" s="13" t="s">
        <v>73</v>
      </c>
      <c r="C7068" s="47" t="n">
        <f aca="false">Sens!$C$7062-Sens!$C$7066-Sens!$C$7067</f>
        <v>36.176</v>
      </c>
      <c r="D7068" s="47" t="n">
        <f aca="false">Sens!$D$7062-Sens!$D$7066-Sens!$D$7067</f>
        <v>9.63700000000002</v>
      </c>
      <c r="E7068" s="47" t="n">
        <f aca="false">Sens!$E$7062-Sens!$E$7066-Sens!$E$7067</f>
        <v>-25.691</v>
      </c>
      <c r="F7068" s="47" t="n">
        <f aca="false">Sens!$F$7062-Sens!$F$7066-Sens!$F$7067</f>
        <v>-35.7358850873731</v>
      </c>
      <c r="G7068" s="47" t="n">
        <f aca="false">Sens!$G$7062-Sens!$G$7066-Sens!$G$7067</f>
        <v>-61.4268850873731</v>
      </c>
      <c r="H7068" s="47" t="n">
        <f aca="false">Sens!$H$7062-Sens!$H$7066-Sens!$H$7067</f>
        <v>-46.6987055925312</v>
      </c>
      <c r="I7068" s="47" t="n">
        <f aca="false">Sens!$I$7062-Sens!$I$7066-Sens!$I$7067</f>
        <v>-3.97574477606648</v>
      </c>
      <c r="J7068" s="47" t="n">
        <f aca="false">Sens!$J$7062-Sens!$J$7066-Sens!$J$7067</f>
        <v>39.7446339029391</v>
      </c>
      <c r="K7068" s="47" t="n">
        <f aca="false">Sens!$K$7062-Sens!$K$7066-Sens!$K$7067</f>
        <v>82.1731058789073</v>
      </c>
      <c r="L7068" s="47" t="n">
        <f aca="false">Sens!$L$7062-Sens!$L$7066-Sens!$L$7067</f>
        <v>94.1245500219009</v>
      </c>
      <c r="M7068" s="47" t="n">
        <f aca="false">Sens!$M$7062-Sens!$M$7066-Sens!$M$7067</f>
        <v>84.3831817256571</v>
      </c>
      <c r="N7068" s="13"/>
      <c r="O7068" s="13"/>
    </row>
    <row r="7069" customFormat="false" ht="17.15" hidden="false" customHeight="false" outlineLevel="0" collapsed="false">
      <c r="A7069" s="5" t="s">
        <v>740</v>
      </c>
      <c r="B7069" s="0" t="s">
        <v>73</v>
      </c>
      <c r="C7069" s="38" t="n">
        <f aca="false">dps*Sens!$C$7050</f>
        <v>0</v>
      </c>
      <c r="D7069" s="38" t="n">
        <f aca="false">dps*Sens!$D$7050</f>
        <v>0</v>
      </c>
      <c r="E7069" s="38" t="n">
        <f aca="false">dps*Sens!$E$7050</f>
        <v>0</v>
      </c>
      <c r="F7069" s="38" t="n">
        <f aca="false">0</f>
        <v>0</v>
      </c>
      <c r="G7069" s="38" t="n">
        <f aca="false">dps*Sens!$G$7050</f>
        <v>0</v>
      </c>
      <c r="H7069" s="38" t="n">
        <f aca="false">dps*Sens!$H$7050</f>
        <v>0</v>
      </c>
      <c r="I7069" s="38" t="n">
        <f aca="false">dps*Sens!$I$7050</f>
        <v>0</v>
      </c>
      <c r="J7069" s="38" t="n">
        <f aca="false">dps*Sens!$J$7050</f>
        <v>0</v>
      </c>
      <c r="K7069" s="38" t="n">
        <f aca="false">dps*Sens!$K$7050</f>
        <v>0</v>
      </c>
      <c r="L7069" s="38" t="n">
        <f aca="false">dps*Sens!$L$7050</f>
        <v>0</v>
      </c>
      <c r="M7069" s="38" t="n">
        <f aca="false">dps*Sens!$M$7050</f>
        <v>0</v>
      </c>
      <c r="P7069" s="8" t="s">
        <v>741</v>
      </c>
    </row>
    <row r="7070" customFormat="false" ht="17.15" hidden="false" customHeight="false" outlineLevel="0" collapsed="false">
      <c r="A7070" s="5" t="s">
        <v>742</v>
      </c>
      <c r="B7070" s="0" t="s">
        <v>73</v>
      </c>
      <c r="C7070" s="38" t="n">
        <f aca="false">0</f>
        <v>0</v>
      </c>
      <c r="D7070" s="38" t="n">
        <f aca="false">0</f>
        <v>0</v>
      </c>
      <c r="E7070" s="38" t="n">
        <f aca="false">0</f>
        <v>0</v>
      </c>
      <c r="F7070" s="38" t="n">
        <f aca="false">0</f>
        <v>0</v>
      </c>
      <c r="G7070" s="38" t="n">
        <f aca="false">0</f>
        <v>0</v>
      </c>
      <c r="H7070" s="38" t="n">
        <f aca="false">0</f>
        <v>0</v>
      </c>
      <c r="I7070" s="38" t="n">
        <f aca="false">0</f>
        <v>0</v>
      </c>
      <c r="J7070" s="38" t="n">
        <f aca="false">0</f>
        <v>0</v>
      </c>
      <c r="K7070" s="38" t="n">
        <f aca="false">0</f>
        <v>0</v>
      </c>
      <c r="L7070" s="38" t="n">
        <f aca="false">0</f>
        <v>0</v>
      </c>
      <c r="M7070" s="38" t="n">
        <f aca="false">0</f>
        <v>0</v>
      </c>
      <c r="P7070" s="8" t="s">
        <v>743</v>
      </c>
    </row>
    <row r="7071" customFormat="false" ht="15" hidden="false" customHeight="false" outlineLevel="0" collapsed="false">
      <c r="A7071" s="3" t="s">
        <v>744</v>
      </c>
      <c r="B7071" s="8" t="s">
        <v>73</v>
      </c>
      <c r="C7071" s="38" t="n">
        <f aca="false">Sens!$C$7068-Sens!$C$7069</f>
        <v>36.176</v>
      </c>
      <c r="D7071" s="38" t="n">
        <f aca="false">Sens!$D$7068-Sens!$D$7069</f>
        <v>9.63700000000002</v>
      </c>
      <c r="E7071" s="38" t="n">
        <f aca="false">Sens!$E$7068-Sens!$E$7069</f>
        <v>-25.691</v>
      </c>
      <c r="F7071" s="38" t="n">
        <f aca="false">Sens!$F$7068-Sens!$F$7069</f>
        <v>-35.7358850873731</v>
      </c>
      <c r="G7071" s="38" t="n">
        <f aca="false">Sens!$G$7068-Sens!$G$7069</f>
        <v>-61.4268850873731</v>
      </c>
      <c r="H7071" s="38" t="n">
        <f aca="false">Sens!$H$7068-Sens!$H$7069</f>
        <v>-46.6987055925312</v>
      </c>
      <c r="I7071" s="38" t="n">
        <f aca="false">Sens!$I$7068-Sens!$I$7069</f>
        <v>-3.97574477606648</v>
      </c>
      <c r="J7071" s="38" t="n">
        <f aca="false">Sens!$J$7068-Sens!$J$7069</f>
        <v>39.7446339029391</v>
      </c>
      <c r="K7071" s="38" t="n">
        <f aca="false">Sens!$K$7068-Sens!$K$7069</f>
        <v>82.1731058789073</v>
      </c>
      <c r="L7071" s="38" t="n">
        <f aca="false">Sens!$L$7068-Sens!$L$7069</f>
        <v>94.1245500219009</v>
      </c>
      <c r="M7071" s="38" t="n">
        <f aca="false">Sens!$M$7068-Sens!$M$7069</f>
        <v>84.3831817256571</v>
      </c>
    </row>
    <row r="7072" customFormat="false" ht="17.15" hidden="false" customHeight="false" outlineLevel="0" collapsed="false">
      <c r="A7072" s="5" t="s">
        <v>745</v>
      </c>
      <c r="B7072" s="0" t="s">
        <v>73</v>
      </c>
      <c r="E7072" s="38" t="n">
        <f aca="false">Q!$P$53</f>
        <v>39.767</v>
      </c>
      <c r="F7072" s="38" t="n">
        <f aca="false">inv_2h26</f>
        <v>21.3</v>
      </c>
      <c r="G7072" s="38" t="n">
        <f aca="false">Sens!$E$7072+Sens!$F$7072</f>
        <v>61.067</v>
      </c>
      <c r="H7072" s="41" t="n">
        <v>0</v>
      </c>
      <c r="I7072" s="41" t="n">
        <v>0</v>
      </c>
      <c r="J7072" s="41" t="n">
        <v>0</v>
      </c>
      <c r="K7072" s="41" t="n">
        <v>0</v>
      </c>
      <c r="L7072" s="41" t="n">
        <v>0</v>
      </c>
      <c r="M7072" s="41" t="n">
        <v>0</v>
      </c>
    </row>
    <row r="7073" customFormat="false" ht="17.15" hidden="false" customHeight="false" outlineLevel="0" collapsed="false">
      <c r="A7073" s="5" t="s">
        <v>746</v>
      </c>
      <c r="B7073" s="0" t="s">
        <v>73</v>
      </c>
      <c r="F7073" s="38" t="n">
        <f aca="false">iss_2h26</f>
        <v>29.25</v>
      </c>
      <c r="G7073" s="38" t="n">
        <f aca="false">Sens!$F$7073</f>
        <v>29.25</v>
      </c>
      <c r="H7073" s="41" t="n">
        <v>0</v>
      </c>
      <c r="I7073" s="41" t="n">
        <v>0</v>
      </c>
      <c r="J7073" s="41" t="n">
        <v>0</v>
      </c>
      <c r="K7073" s="41" t="n">
        <v>0</v>
      </c>
      <c r="L7073" s="41" t="n">
        <v>0</v>
      </c>
      <c r="M7073" s="41" t="n">
        <v>0</v>
      </c>
    </row>
    <row r="7074" customFormat="false" ht="17.15" hidden="false" customHeight="false" outlineLevel="0" collapsed="false">
      <c r="A7074" s="5" t="s">
        <v>747</v>
      </c>
      <c r="B7074" s="0" t="s">
        <v>73</v>
      </c>
      <c r="F7074" s="38" t="n">
        <f aca="false">cash_q2</f>
        <v>122.988</v>
      </c>
      <c r="G7074" s="38" t="n">
        <f aca="false">cash_q2</f>
        <v>122.988</v>
      </c>
      <c r="H7074" s="38" t="n">
        <f aca="false">Sens!$G$7077</f>
        <v>95.2021149126269</v>
      </c>
      <c r="I7074" s="38" t="n">
        <f aca="false">Sens!$H$7077</f>
        <v>50</v>
      </c>
      <c r="J7074" s="38" t="n">
        <f aca="false">Sens!$I$7077</f>
        <v>50</v>
      </c>
      <c r="K7074" s="38" t="n">
        <f aca="false">Sens!$J$7077</f>
        <v>89.7446339029391</v>
      </c>
      <c r="L7074" s="38" t="n">
        <f aca="false">Sens!$K$7077</f>
        <v>171.917739781846</v>
      </c>
      <c r="M7074" s="38" t="n">
        <f aca="false">Sens!$L$7077</f>
        <v>266.042289803747</v>
      </c>
    </row>
    <row r="7075" customFormat="false" ht="15" hidden="false" customHeight="false" outlineLevel="0" collapsed="false">
      <c r="A7075" s="5" t="s">
        <v>748</v>
      </c>
      <c r="B7075" s="0" t="s">
        <v>73</v>
      </c>
      <c r="F7075" s="38" t="n">
        <f aca="false">Sens!$F$7074+Sens!$F$7071-Sens!$F$7070-Sens!$F$7072+Sens!$F$7073</f>
        <v>95.2021149126269</v>
      </c>
      <c r="H7075" s="38" t="n">
        <f aca="false">Sens!$H$7074+Sens!$H$7071-Sens!$H$7070-Sens!$H$7072+Sens!$H$7073</f>
        <v>48.5034093200957</v>
      </c>
      <c r="I7075" s="38" t="n">
        <f aca="false">Sens!$I$7074+Sens!$I$7071-Sens!$I$7070-Sens!$I$7072+Sens!$I$7073</f>
        <v>46.0242552239335</v>
      </c>
      <c r="J7075" s="38" t="n">
        <f aca="false">Sens!$J$7074+Sens!$J$7071-Sens!$J$7070-Sens!$J$7072+Sens!$J$7073</f>
        <v>89.7446339029391</v>
      </c>
      <c r="K7075" s="38" t="n">
        <f aca="false">Sens!$K$7074+Sens!$K$7071-Sens!$K$7070-Sens!$K$7072+Sens!$K$7073</f>
        <v>171.917739781846</v>
      </c>
      <c r="L7075" s="38" t="n">
        <f aca="false">Sens!$L$7074+Sens!$L$7071-Sens!$L$7070-Sens!$L$7072+Sens!$L$7073</f>
        <v>266.042289803747</v>
      </c>
      <c r="M7075" s="38" t="n">
        <f aca="false">Sens!$M$7074+Sens!$M$7071-Sens!$M$7070-Sens!$M$7072+Sens!$M$7073</f>
        <v>350.425471529404</v>
      </c>
    </row>
    <row r="7076" customFormat="false" ht="17.15" hidden="false" customHeight="false" outlineLevel="0" collapsed="false">
      <c r="A7076" s="5" t="s">
        <v>749</v>
      </c>
      <c r="B7076" s="0" t="s">
        <v>73</v>
      </c>
      <c r="F7076" s="38" t="n">
        <f aca="false">MAX(0,min_cash-Sens!$F$7075)</f>
        <v>0</v>
      </c>
      <c r="G7076" s="38" t="n">
        <f aca="false">Sens!$F$7076</f>
        <v>0</v>
      </c>
      <c r="H7076" s="38" t="n">
        <f aca="false">MAX(0,min_cash-Sens!$H$7075)</f>
        <v>1.49659067990431</v>
      </c>
      <c r="I7076" s="38" t="n">
        <f aca="false">MAX(0,min_cash-Sens!$I$7075)</f>
        <v>3.97574477606648</v>
      </c>
      <c r="J7076" s="38" t="n">
        <f aca="false">MAX(0,min_cash-Sens!$J$7075)</f>
        <v>0</v>
      </c>
      <c r="K7076" s="38" t="n">
        <f aca="false">MAX(0,min_cash-Sens!$K$7075)</f>
        <v>0</v>
      </c>
      <c r="L7076" s="38" t="n">
        <f aca="false">MAX(0,min_cash-Sens!$L$7075)</f>
        <v>0</v>
      </c>
      <c r="M7076" s="38" t="n">
        <f aca="false">MAX(0,min_cash-Sens!$M$7075)</f>
        <v>0</v>
      </c>
      <c r="P7076" s="5" t="s">
        <v>750</v>
      </c>
    </row>
    <row r="7077" customFormat="false" ht="15" hidden="false" customHeight="false" outlineLevel="0" collapsed="false">
      <c r="A7077" s="5" t="s">
        <v>751</v>
      </c>
      <c r="B7077" s="0" t="s">
        <v>73</v>
      </c>
      <c r="D7077" s="38" t="n">
        <f aca="false">Q!$E$61</f>
        <v>123.029</v>
      </c>
      <c r="E7077" s="38" t="n">
        <f aca="false">Q!$M$61</f>
        <v>122.988</v>
      </c>
      <c r="F7077" s="38" t="n">
        <f aca="false">Sens!$F$7075+Sens!$F$7076</f>
        <v>95.2021149126269</v>
      </c>
      <c r="G7077" s="38" t="n">
        <f aca="false">Sens!$F$7077</f>
        <v>95.2021149126269</v>
      </c>
      <c r="H7077" s="38" t="n">
        <f aca="false">Sens!$H$7075+Sens!$H$7076</f>
        <v>50</v>
      </c>
      <c r="I7077" s="38" t="n">
        <f aca="false">Sens!$I$7075+Sens!$I$7076</f>
        <v>50</v>
      </c>
      <c r="J7077" s="38" t="n">
        <f aca="false">Sens!$J$7075+Sens!$J$7076</f>
        <v>89.7446339029391</v>
      </c>
      <c r="K7077" s="38" t="n">
        <f aca="false">Sens!$K$7075+Sens!$K$7076</f>
        <v>171.917739781846</v>
      </c>
      <c r="L7077" s="38" t="n">
        <f aca="false">Sens!$L$7075+Sens!$L$7076</f>
        <v>266.042289803747</v>
      </c>
      <c r="M7077" s="38" t="n">
        <f aca="false">Sens!$M$7075+Sens!$M$7076</f>
        <v>350.425471529404</v>
      </c>
    </row>
    <row r="7078" customFormat="false" ht="15" hidden="false" customHeight="false" outlineLevel="0" collapsed="false">
      <c r="A7078" s="5" t="s">
        <v>752</v>
      </c>
      <c r="B7078" s="0" t="s">
        <v>73</v>
      </c>
      <c r="D7078" s="38" t="n">
        <f aca="false">Q!$E$62</f>
        <v>68.836</v>
      </c>
      <c r="E7078" s="38" t="n">
        <f aca="false">Q!$M$62</f>
        <v>132.995</v>
      </c>
      <c r="F7078" s="38" t="n">
        <f aca="false">debt_q2+Sens!$F$7073+Sens!$F$7076</f>
        <v>162.245</v>
      </c>
      <c r="G7078" s="38" t="n">
        <f aca="false">Sens!$F$7078</f>
        <v>162.245</v>
      </c>
      <c r="H7078" s="38" t="n">
        <f aca="false">Sens!$G$7078+Sens!$H$7076</f>
        <v>163.741590679904</v>
      </c>
      <c r="I7078" s="38" t="n">
        <f aca="false">Sens!$H$7078+Sens!$I$7076</f>
        <v>167.717335455971</v>
      </c>
      <c r="J7078" s="38" t="n">
        <f aca="false">Sens!$I$7078+Sens!$J$7076</f>
        <v>167.717335455971</v>
      </c>
      <c r="K7078" s="38" t="n">
        <f aca="false">Sens!$J$7078+Sens!$K$7076</f>
        <v>167.717335455971</v>
      </c>
      <c r="L7078" s="38" t="n">
        <f aca="false">Sens!$K$7078+Sens!$L$7076</f>
        <v>167.717335455971</v>
      </c>
      <c r="M7078" s="38" t="n">
        <f aca="false">Sens!$L$7078+Sens!$M$7076</f>
        <v>167.717335455971</v>
      </c>
    </row>
    <row r="7079" customFormat="false" ht="15" hidden="false" customHeight="false" outlineLevel="0" collapsed="false">
      <c r="A7079" s="5" t="s">
        <v>753</v>
      </c>
      <c r="B7079" s="0" t="s">
        <v>73</v>
      </c>
      <c r="D7079" s="38" t="n">
        <f aca="false">Sens!$D$7078-Sens!$D$7077</f>
        <v>-54.193</v>
      </c>
      <c r="E7079" s="38" t="n">
        <f aca="false">Sens!$E$7078-Sens!$E$7077</f>
        <v>10.007</v>
      </c>
      <c r="F7079" s="38" t="n">
        <f aca="false">Sens!$F$7078-Sens!$F$7077</f>
        <v>67.0428850873731</v>
      </c>
      <c r="G7079" s="38" t="n">
        <f aca="false">Sens!$G$7078-Sens!$G$7077</f>
        <v>67.0428850873731</v>
      </c>
      <c r="H7079" s="38" t="n">
        <f aca="false">Sens!$H$7078-Sens!$H$7077</f>
        <v>113.741590679904</v>
      </c>
      <c r="I7079" s="38" t="n">
        <f aca="false">Sens!$I$7078-Sens!$I$7077</f>
        <v>117.717335455971</v>
      </c>
      <c r="J7079" s="38" t="n">
        <f aca="false">Sens!$J$7078-Sens!$J$7077</f>
        <v>77.9727015530317</v>
      </c>
      <c r="K7079" s="38" t="n">
        <f aca="false">Sens!$K$7078-Sens!$K$7077</f>
        <v>-4.20040432587558</v>
      </c>
      <c r="L7079" s="38" t="n">
        <f aca="false">Sens!$L$7078-Sens!$L$7077</f>
        <v>-98.3249543477765</v>
      </c>
      <c r="M7079" s="38" t="n">
        <f aca="false">Sens!$M$7078-Sens!$M$7077</f>
        <v>-182.708136073434</v>
      </c>
    </row>
    <row r="7080" customFormat="false" ht="17.15" hidden="false" customHeight="false" outlineLevel="0" collapsed="false">
      <c r="A7080" s="5" t="s">
        <v>754</v>
      </c>
      <c r="B7080" s="0" t="s">
        <v>73</v>
      </c>
      <c r="F7080" s="38" t="n">
        <f aca="false">debt_q2*kd_book*0.5+iss_2h26*kd_new*0.25</f>
        <v>3.24888964316061</v>
      </c>
      <c r="H7080" s="38" t="n">
        <f aca="false">debt_q2*kd_book+(Sens!$G$7078-debt_q2)*kd_new</f>
        <v>7.42354178632123</v>
      </c>
      <c r="I7080" s="38" t="n">
        <f aca="false">debt_q2*kd_book+(Sens!$H$7078-debt_q2)*kd_new</f>
        <v>7.51827597635917</v>
      </c>
      <c r="J7080" s="38" t="n">
        <f aca="false">debt_q2*kd_book+(Sens!$I$7078-debt_q2)*kd_new</f>
        <v>7.76994062068418</v>
      </c>
      <c r="K7080" s="38" t="n">
        <f aca="false">debt_q2*kd_book+(Sens!$J$7078-debt_q2)*kd_new</f>
        <v>7.76994062068418</v>
      </c>
      <c r="L7080" s="38" t="n">
        <f aca="false">debt_q2*kd_book+(Sens!$K$7078-debt_q2)*kd_new</f>
        <v>7.76994062068418</v>
      </c>
      <c r="M7080" s="38" t="n">
        <f aca="false">debt_q2*kd_book+(Sens!$L$7078-debt_q2)*kd_new</f>
        <v>7.76994062068418</v>
      </c>
    </row>
    <row r="7081" customFormat="false" ht="17.15" hidden="false" customHeight="false" outlineLevel="0" collapsed="false">
      <c r="A7081" s="5" t="s">
        <v>755</v>
      </c>
      <c r="B7081" s="0" t="s">
        <v>73</v>
      </c>
      <c r="F7081" s="38" t="n">
        <f aca="false">cash_q2*y_cash*0.5</f>
        <v>2.59</v>
      </c>
      <c r="H7081" s="38" t="n">
        <f aca="false">Sens!$G$7077*y_cash</f>
        <v>4.00971603121774</v>
      </c>
      <c r="I7081" s="38" t="n">
        <f aca="false">Sens!$H$7077*y_cash</f>
        <v>2.10589651022864</v>
      </c>
      <c r="J7081" s="38" t="n">
        <f aca="false">Sens!$I$7077*y_cash</f>
        <v>2.10589651022864</v>
      </c>
      <c r="K7081" s="38" t="n">
        <f aca="false">Sens!$J$7077*y_cash</f>
        <v>3.77985822695893</v>
      </c>
      <c r="L7081" s="38" t="n">
        <f aca="false">Sens!$K$7077*y_cash</f>
        <v>7.24081936505971</v>
      </c>
      <c r="M7081" s="38" t="n">
        <f aca="false">Sens!$L$7077*y_cash</f>
        <v>11.205150593419</v>
      </c>
    </row>
    <row r="7082" customFormat="false" ht="17.15" hidden="false" customHeight="false" outlineLevel="0" collapsed="false">
      <c r="A7082" s="46" t="s">
        <v>756</v>
      </c>
      <c r="B7082" s="13" t="s">
        <v>73</v>
      </c>
      <c r="C7082" s="13"/>
      <c r="D7082" s="13"/>
      <c r="E7082" s="13"/>
      <c r="F7082" s="13"/>
      <c r="G7082" s="47" t="n">
        <f aca="false">SUM(Sens!$G$7071:$K$7071)</f>
        <v>9.81640432587554</v>
      </c>
      <c r="H7082" s="13"/>
      <c r="I7082" s="13"/>
      <c r="J7082" s="13"/>
      <c r="K7082" s="13"/>
      <c r="L7082" s="13"/>
      <c r="M7082" s="13"/>
      <c r="N7082" s="13"/>
      <c r="O7082" s="13"/>
    </row>
    <row r="7083" customFormat="false" ht="17.15" hidden="false" customHeight="false" outlineLevel="0" collapsed="false">
      <c r="A7083" s="0" t="s">
        <v>723</v>
      </c>
      <c r="B7083" s="0" t="s">
        <v>73</v>
      </c>
      <c r="G7083" s="38" t="n">
        <f aca="false">SUM(Sens!$G$7076:$K$7076)</f>
        <v>5.47233545597079</v>
      </c>
    </row>
    <row r="7086" customFormat="false" ht="19.4" hidden="false" customHeight="false" outlineLevel="0" collapsed="false">
      <c r="A7086" s="31" t="s">
        <v>1197</v>
      </c>
    </row>
    <row r="7087" customFormat="false" ht="17.15" hidden="false" customHeight="false" outlineLevel="0" collapsed="false">
      <c r="A7087" s="6" t="s">
        <v>16</v>
      </c>
      <c r="B7087" s="6" t="s">
        <v>17</v>
      </c>
      <c r="C7087" s="20" t="s">
        <v>457</v>
      </c>
      <c r="D7087" s="20" t="s">
        <v>458</v>
      </c>
      <c r="E7087" s="20" t="s">
        <v>540</v>
      </c>
      <c r="F7087" s="20" t="s">
        <v>541</v>
      </c>
      <c r="G7087" s="20" t="s">
        <v>542</v>
      </c>
      <c r="H7087" s="20" t="s">
        <v>543</v>
      </c>
      <c r="I7087" s="20" t="s">
        <v>544</v>
      </c>
      <c r="J7087" s="20" t="s">
        <v>545</v>
      </c>
      <c r="K7087" s="20" t="s">
        <v>546</v>
      </c>
      <c r="L7087" s="20" t="s">
        <v>547</v>
      </c>
      <c r="M7087" s="20" t="s">
        <v>548</v>
      </c>
      <c r="N7087" s="20" t="s">
        <v>549</v>
      </c>
      <c r="O7087" s="20" t="s">
        <v>550</v>
      </c>
      <c r="P7087" s="6" t="s">
        <v>23</v>
      </c>
      <c r="R7087" s="20" t="n">
        <v>2023</v>
      </c>
      <c r="S7087" s="20" t="n">
        <v>2024</v>
      </c>
      <c r="T7087" s="20" t="n">
        <v>2025</v>
      </c>
      <c r="U7087" s="20" t="n">
        <v>2026</v>
      </c>
      <c r="V7087" s="20" t="n">
        <v>2027</v>
      </c>
      <c r="W7087" s="20" t="n">
        <v>2028</v>
      </c>
      <c r="X7087" s="20" t="n">
        <v>2029</v>
      </c>
      <c r="Y7087" s="20" t="n">
        <v>2030</v>
      </c>
      <c r="Z7087" s="20" t="n">
        <v>2031</v>
      </c>
      <c r="AA7087" s="20" t="n">
        <v>2032</v>
      </c>
    </row>
    <row r="7088" customFormat="false" ht="17.15" hidden="false" customHeight="false" outlineLevel="0" collapsed="false">
      <c r="A7088" s="1" t="s">
        <v>851</v>
      </c>
    </row>
    <row r="7089" customFormat="false" ht="17.15" hidden="false" customHeight="false" outlineLevel="0" collapsed="false">
      <c r="A7089" s="0" t="s">
        <v>852</v>
      </c>
      <c r="B7089" s="0" t="s">
        <v>73</v>
      </c>
      <c r="H7089" s="38" t="n">
        <f aca="false">Sens!$H$7025*(1-tax)</f>
        <v>112.093921330558</v>
      </c>
      <c r="I7089" s="38" t="n">
        <f aca="false">Sens!$I$7025*(1-tax)</f>
        <v>132.779045500917</v>
      </c>
      <c r="J7089" s="38" t="n">
        <f aca="false">Sens!$J$7025*(1-tax)</f>
        <v>151.181555485193</v>
      </c>
      <c r="K7089" s="38" t="n">
        <f aca="false">Sens!$K$7025*(1-tax)</f>
        <v>166.036468953087</v>
      </c>
      <c r="L7089" s="38" t="n">
        <f aca="false">Sens!$L$7025*(1-tax)</f>
        <v>182.348678369869</v>
      </c>
      <c r="M7089" s="38" t="n">
        <f aca="false">Sens!$M$7025*(1-tax)</f>
        <v>199.243892383632</v>
      </c>
    </row>
    <row r="7090" customFormat="false" ht="15" hidden="false" customHeight="false" outlineLevel="0" collapsed="false">
      <c r="A7090" s="5" t="s">
        <v>853</v>
      </c>
      <c r="B7090" s="0" t="s">
        <v>73</v>
      </c>
      <c r="H7090" s="38" t="n">
        <f aca="false">Sens!$H$7037</f>
        <v>87.6845218193838</v>
      </c>
      <c r="I7090" s="38" t="n">
        <f aca="false">Sens!$I$7037</f>
        <v>122.294769708638</v>
      </c>
      <c r="J7090" s="38" t="n">
        <f aca="false">Sens!$J$7037</f>
        <v>157.133962573221</v>
      </c>
      <c r="K7090" s="38" t="n">
        <f aca="false">Sens!$K$7037</f>
        <v>191.350633353599</v>
      </c>
      <c r="L7090" s="38" t="n">
        <f aca="false">Sens!$L$7037</f>
        <v>223.909238335354</v>
      </c>
      <c r="M7090" s="38" t="n">
        <f aca="false">Sens!$M$7037</f>
        <v>257.576319867276</v>
      </c>
    </row>
    <row r="7091" customFormat="false" ht="15" hidden="false" customHeight="false" outlineLevel="0" collapsed="false">
      <c r="A7091" s="5" t="s">
        <v>854</v>
      </c>
      <c r="B7091" s="0" t="s">
        <v>73</v>
      </c>
      <c r="H7091" s="38" t="n">
        <f aca="false">Sens!$H$7066</f>
        <v>277.870120501355</v>
      </c>
      <c r="I7091" s="38" t="n">
        <f aca="false">Sens!$I$7066</f>
        <v>293.934464585378</v>
      </c>
      <c r="J7091" s="38" t="n">
        <f aca="false">Sens!$J$7066</f>
        <v>308.06904811359</v>
      </c>
      <c r="K7091" s="38" t="n">
        <f aca="false">Sens!$K$7066</f>
        <v>320.385735318248</v>
      </c>
      <c r="L7091" s="38" t="n">
        <f aca="false">Sens!$L$7066</f>
        <v>364.65641921833</v>
      </c>
      <c r="M7091" s="38" t="n">
        <f aca="false">Sens!$M$7066</f>
        <v>432.943173024858</v>
      </c>
    </row>
    <row r="7092" customFormat="false" ht="15" hidden="false" customHeight="false" outlineLevel="0" collapsed="false">
      <c r="A7092" s="5" t="s">
        <v>855</v>
      </c>
      <c r="B7092" s="0" t="s">
        <v>73</v>
      </c>
      <c r="H7092" s="38" t="n">
        <f aca="false">Sens!$H$7067</f>
        <v>1.6</v>
      </c>
      <c r="I7092" s="38" t="n">
        <f aca="false">Sens!$I$7067</f>
        <v>1.6</v>
      </c>
      <c r="J7092" s="38" t="n">
        <f aca="false">Sens!$J$7067</f>
        <v>1.6</v>
      </c>
      <c r="K7092" s="38" t="n">
        <f aca="false">Sens!$K$7067</f>
        <v>1.6</v>
      </c>
      <c r="L7092" s="38" t="n">
        <f aca="false">Sens!$L$7067</f>
        <v>1.6</v>
      </c>
      <c r="M7092" s="38" t="n">
        <f aca="false">Sens!$M$7067</f>
        <v>1.6</v>
      </c>
    </row>
    <row r="7093" customFormat="false" ht="15" hidden="false" customHeight="false" outlineLevel="0" collapsed="false">
      <c r="A7093" s="5" t="s">
        <v>856</v>
      </c>
      <c r="B7093" s="0" t="s">
        <v>73</v>
      </c>
      <c r="H7093" s="38" t="n">
        <f aca="false">Sens!$H$7061</f>
        <v>11.6369707537667</v>
      </c>
      <c r="I7093" s="38" t="n">
        <f aca="false">Sens!$I$7061</f>
        <v>13.3082502961262</v>
      </c>
      <c r="J7093" s="38" t="n">
        <f aca="false">Sens!$J$7061</f>
        <v>14.8747965344332</v>
      </c>
      <c r="K7093" s="38" t="n">
        <f aca="false">Sens!$K$7061</f>
        <v>16.2687901804328</v>
      </c>
      <c r="L7093" s="38" t="n">
        <f aca="false">Sens!$L$7061</f>
        <v>17.7280727627002</v>
      </c>
      <c r="M7093" s="38" t="n">
        <f aca="false">Sens!$M$7061</f>
        <v>19.2574690270319</v>
      </c>
    </row>
    <row r="7094" customFormat="false" ht="17.15" hidden="false" customHeight="false" outlineLevel="0" collapsed="false">
      <c r="A7094" s="1" t="s">
        <v>857</v>
      </c>
      <c r="B7094" s="8" t="s">
        <v>73</v>
      </c>
      <c r="H7094" s="38" t="n">
        <f aca="false">Sens!$H$7089+Sens!$H$7090-Sens!$H$7091-Sens!$H$7092+Sens!$H$7093</f>
        <v>-68.0547065976468</v>
      </c>
      <c r="I7094" s="38" t="n">
        <f aca="false">Sens!$I$7089+Sens!$I$7090-Sens!$I$7091-Sens!$I$7092+Sens!$I$7093</f>
        <v>-27.1523990796972</v>
      </c>
      <c r="J7094" s="38" t="n">
        <f aca="false">Sens!$J$7089+Sens!$J$7090-Sens!$J$7091-Sens!$J$7092+Sens!$J$7093</f>
        <v>13.5212664792573</v>
      </c>
      <c r="K7094" s="38" t="n">
        <f aca="false">Sens!$K$7089+Sens!$K$7090-Sens!$K$7091-Sens!$K$7092+Sens!$K$7093</f>
        <v>51.6701571688709</v>
      </c>
      <c r="L7094" s="38" t="n">
        <f aca="false">Sens!$L$7089+Sens!$L$7090-Sens!$L$7091-Sens!$L$7092+Sens!$L$7093</f>
        <v>57.7295702495933</v>
      </c>
      <c r="M7094" s="38" t="n">
        <f aca="false">Sens!$M$7089+Sens!$M$7090-Sens!$M$7091-Sens!$M$7092+Sens!$M$7093</f>
        <v>41.534508253082</v>
      </c>
    </row>
    <row r="7095" customFormat="false" ht="15" hidden="false" customHeight="false" outlineLevel="0" collapsed="false">
      <c r="A7095" s="5" t="s">
        <v>858</v>
      </c>
      <c r="B7095" s="0" t="s">
        <v>57</v>
      </c>
      <c r="H7095" s="51" t="n">
        <f aca="false">1/(1+wacc)^(2027-2026-0.5)</f>
        <v>0.942858177653364</v>
      </c>
      <c r="I7095" s="51" t="n">
        <f aca="false">1/(1+wacc)^(2028-2026-0.5)</f>
        <v>0.838183517758688</v>
      </c>
      <c r="J7095" s="51" t="n">
        <f aca="false">1/(1+wacc)^(2029-2026-0.5)</f>
        <v>0.745129677074952</v>
      </c>
      <c r="K7095" s="51" t="n">
        <f aca="false">1/(1+wacc)^(2030-2026-0.5)</f>
        <v>0.662406530186232</v>
      </c>
      <c r="L7095" s="51" t="n">
        <f aca="false">1/(1+wacc)^(2031-2026-0.5)</f>
        <v>0.588867179409399</v>
      </c>
      <c r="M7095" s="51" t="n">
        <f aca="false">1/(1+wacc)^(2032-2026-0.5)</f>
        <v>0.52349205387225</v>
      </c>
    </row>
    <row r="7096" customFormat="false" ht="15" hidden="false" customHeight="false" outlineLevel="0" collapsed="false">
      <c r="A7096" s="5" t="s">
        <v>859</v>
      </c>
      <c r="B7096" s="0" t="s">
        <v>73</v>
      </c>
      <c r="H7096" s="38" t="n">
        <f aca="false">Sens!$H$7094*Sens!$H$7095</f>
        <v>-64.1659366433916</v>
      </c>
      <c r="I7096" s="38" t="n">
        <f aca="false">Sens!$I$7094*Sens!$I$7095</f>
        <v>-22.7586933762084</v>
      </c>
      <c r="J7096" s="38" t="n">
        <f aca="false">Sens!$J$7094*Sens!$J$7095</f>
        <v>10.0750969253334</v>
      </c>
      <c r="K7096" s="38" t="n">
        <f aca="false">Sens!$K$7094*Sens!$K$7095</f>
        <v>34.226649524409</v>
      </c>
      <c r="L7096" s="38" t="n">
        <f aca="false">Sens!$L$7094*Sens!$L$7095</f>
        <v>33.9950492013948</v>
      </c>
      <c r="M7096" s="38" t="n">
        <f aca="false">Sens!$M$7094*Sens!$M$7095</f>
        <v>21.7429850319798</v>
      </c>
    </row>
    <row r="7097" customFormat="false" ht="15" hidden="false" customHeight="false" outlineLevel="0" collapsed="false">
      <c r="A7097" s="5" t="s">
        <v>860</v>
      </c>
      <c r="B7097" s="0" t="s">
        <v>73</v>
      </c>
      <c r="C7097" s="38" t="n">
        <f aca="false">SUM(Sens!$H$7096:$M$7096)</f>
        <v>13.115150663517</v>
      </c>
    </row>
    <row r="7098" customFormat="false" ht="17.15" hidden="false" customHeight="false" outlineLevel="0" collapsed="false">
      <c r="A7098" s="5" t="s">
        <v>861</v>
      </c>
      <c r="B7098" s="0" t="s">
        <v>73</v>
      </c>
      <c r="C7098" s="38" t="n">
        <f aca="false">Sens!$M$7089*(1+tg)*(1-tg/ronic)/(wacc-tg)</f>
        <v>1643.3111431308</v>
      </c>
    </row>
    <row r="7099" customFormat="false" ht="15" hidden="false" customHeight="false" outlineLevel="0" collapsed="false">
      <c r="A7099" s="5" t="s">
        <v>862</v>
      </c>
      <c r="B7099" s="0" t="s">
        <v>73</v>
      </c>
      <c r="C7099" s="38" t="n">
        <f aca="false">Sens!$C$7098/(1+wacc)^6</f>
        <v>811.103482778908</v>
      </c>
    </row>
    <row r="7100" customFormat="false" ht="17.15" hidden="false" customHeight="false" outlineLevel="0" collapsed="false">
      <c r="A7100" s="5" t="s">
        <v>863</v>
      </c>
      <c r="B7100" s="0" t="s">
        <v>73</v>
      </c>
      <c r="C7100" s="38" t="n">
        <f aca="false">Sens!$C$7097+Sens!$C$7099</f>
        <v>824.218633442425</v>
      </c>
    </row>
    <row r="7101" customFormat="false" ht="17.15" hidden="false" customHeight="false" outlineLevel="0" collapsed="false">
      <c r="A7101" s="5" t="s">
        <v>864</v>
      </c>
      <c r="B7101" s="0" t="s">
        <v>52</v>
      </c>
      <c r="C7101" s="12" t="n">
        <f aca="false">Sens!$C$7099/Sens!$C$7100</f>
        <v>0.984087777039521</v>
      </c>
    </row>
    <row r="7102" customFormat="false" ht="17.15" hidden="false" customHeight="false" outlineLevel="0" collapsed="false">
      <c r="A7102" s="5" t="s">
        <v>865</v>
      </c>
      <c r="B7102" s="0" t="s">
        <v>73</v>
      </c>
      <c r="C7102" s="38" t="n">
        <f aca="false">Sens!$G$7079</f>
        <v>67.0428850873731</v>
      </c>
    </row>
    <row r="7103" customFormat="false" ht="17.15" hidden="false" customHeight="false" outlineLevel="0" collapsed="false">
      <c r="A7103" s="5" t="s">
        <v>866</v>
      </c>
      <c r="B7103" s="0" t="s">
        <v>73</v>
      </c>
      <c r="C7103" s="38" t="n">
        <f aca="false">(ant_val*ant_sh+oai_val*oai_sh)*(1-liq_disc)</f>
        <v>178.944</v>
      </c>
    </row>
    <row r="7104" customFormat="false" ht="15" hidden="false" customHeight="false" outlineLevel="0" collapsed="false">
      <c r="A7104" s="5" t="s">
        <v>867</v>
      </c>
      <c r="B7104" s="0" t="s">
        <v>73</v>
      </c>
      <c r="C7104" s="38" t="n">
        <f aca="false">Sens!$C$7100-Sens!$C$7102+Sens!$C$7103</f>
        <v>936.119748355051</v>
      </c>
    </row>
    <row r="7105" customFormat="false" ht="17.15" hidden="false" customHeight="false" outlineLevel="0" collapsed="false">
      <c r="A7105" s="5" t="s">
        <v>868</v>
      </c>
      <c r="B7105" s="0" t="s">
        <v>27</v>
      </c>
      <c r="C7105" s="30" t="n">
        <f aca="false">Sens!$C$7104/sh_val</f>
        <v>84.8679147624493</v>
      </c>
    </row>
    <row r="7106" customFormat="false" ht="17.15" hidden="false" customHeight="false" outlineLevel="0" collapsed="false">
      <c r="A7106" s="1" t="s">
        <v>869</v>
      </c>
      <c r="B7106" s="8" t="s">
        <v>27</v>
      </c>
      <c r="C7106" s="30" t="n">
        <f aca="false">Sens!$C$7105*(1+ke)^tp_yf</f>
        <v>93.7319373662158</v>
      </c>
    </row>
    <row r="7107" customFormat="false" ht="17.15" hidden="false" customHeight="false" outlineLevel="0" collapsed="false">
      <c r="A7107" s="3" t="s">
        <v>870</v>
      </c>
    </row>
    <row r="7108" customFormat="false" ht="17.15" hidden="false" customHeight="false" outlineLevel="0" collapsed="false">
      <c r="A7108" s="5" t="s">
        <v>871</v>
      </c>
      <c r="B7108" s="0" t="s">
        <v>73</v>
      </c>
      <c r="C7108" s="38" t="n">
        <f aca="false">0.25*Sens!$H$7038+0.75*Sens!$I$7038</f>
        <v>57.5541093268329</v>
      </c>
    </row>
    <row r="7109" customFormat="false" ht="15" hidden="false" customHeight="false" outlineLevel="0" collapsed="false">
      <c r="A7109" s="5" t="s">
        <v>872</v>
      </c>
      <c r="B7109" s="0" t="s">
        <v>57</v>
      </c>
      <c r="C7109" s="30" t="n">
        <f aca="false">m_ads*m_x</f>
        <v>9.11</v>
      </c>
    </row>
    <row r="7110" customFormat="false" ht="17.15" hidden="false" customHeight="false" outlineLevel="0" collapsed="false">
      <c r="A7110" s="5" t="s">
        <v>873</v>
      </c>
      <c r="B7110" s="0" t="s">
        <v>73</v>
      </c>
      <c r="C7110" s="38" t="n">
        <f aca="false">Sens!$C$7108*Sens!$C$7109</f>
        <v>524.317935967448</v>
      </c>
    </row>
    <row r="7111" customFormat="false" ht="17.15" hidden="false" customHeight="false" outlineLevel="0" collapsed="false">
      <c r="A7111" s="5" t="s">
        <v>874</v>
      </c>
      <c r="B7111" s="0" t="s">
        <v>73</v>
      </c>
      <c r="C7111" s="38" t="n">
        <f aca="false">0.25*Sens!$H$7039+0.75*Sens!$I$7039</f>
        <v>30.6290803533085</v>
      </c>
    </row>
    <row r="7112" customFormat="false" ht="15" hidden="false" customHeight="false" outlineLevel="0" collapsed="false">
      <c r="A7112" s="5" t="s">
        <v>875</v>
      </c>
      <c r="B7112" s="0" t="s">
        <v>57</v>
      </c>
      <c r="C7112" s="30" t="n">
        <f aca="false">m_retail*m_x</f>
        <v>17.72</v>
      </c>
    </row>
    <row r="7113" customFormat="false" ht="17.15" hidden="false" customHeight="false" outlineLevel="0" collapsed="false">
      <c r="A7113" s="5" t="s">
        <v>876</v>
      </c>
      <c r="B7113" s="0" t="s">
        <v>73</v>
      </c>
      <c r="C7113" s="38" t="n">
        <f aca="false">Sens!$C$7111*Sens!$C$7112</f>
        <v>542.747303860627</v>
      </c>
    </row>
    <row r="7114" customFormat="false" ht="17.15" hidden="false" customHeight="false" outlineLevel="0" collapsed="false">
      <c r="A7114" s="0" t="s">
        <v>877</v>
      </c>
      <c r="B7114" s="0" t="s">
        <v>73</v>
      </c>
      <c r="C7114" s="38" t="n">
        <f aca="false">0.25*Sens!$H$7040+0.75*Sens!$I$7040</f>
        <v>107.575398943098</v>
      </c>
    </row>
    <row r="7115" customFormat="false" ht="17.15" hidden="false" customHeight="false" outlineLevel="0" collapsed="false">
      <c r="A7115" s="0" t="s">
        <v>878</v>
      </c>
      <c r="B7115" s="0" t="s">
        <v>57</v>
      </c>
      <c r="C7115" s="30" t="n">
        <f aca="false">m_cloud*m_x</f>
        <v>13.82</v>
      </c>
    </row>
    <row r="7116" customFormat="false" ht="17.15" hidden="false" customHeight="false" outlineLevel="0" collapsed="false">
      <c r="A7116" s="0" t="s">
        <v>879</v>
      </c>
      <c r="B7116" s="0" t="s">
        <v>73</v>
      </c>
      <c r="C7116" s="38" t="n">
        <f aca="false">Sens!$C$7114*Sens!$C$7115</f>
        <v>1486.69201339361</v>
      </c>
    </row>
    <row r="7117" customFormat="false" ht="17.15" hidden="false" customHeight="false" outlineLevel="0" collapsed="false">
      <c r="A7117" s="0" t="s">
        <v>880</v>
      </c>
      <c r="B7117" s="0" t="s">
        <v>73</v>
      </c>
      <c r="C7117" s="38" t="n">
        <f aca="false">0.25*Sens!$H$7041+0.75*Sens!$I$7041</f>
        <v>72.2947701247864</v>
      </c>
    </row>
    <row r="7118" customFormat="false" ht="17.15" hidden="false" customHeight="false" outlineLevel="0" collapsed="false">
      <c r="A7118" s="0" t="s">
        <v>881</v>
      </c>
      <c r="B7118" s="0" t="s">
        <v>57</v>
      </c>
      <c r="C7118" s="30" t="n">
        <f aca="false">m_ai</f>
        <v>6</v>
      </c>
    </row>
    <row r="7119" customFormat="false" ht="17.15" hidden="false" customHeight="false" outlineLevel="0" collapsed="false">
      <c r="A7119" s="0" t="s">
        <v>882</v>
      </c>
      <c r="B7119" s="0" t="s">
        <v>73</v>
      </c>
      <c r="C7119" s="38" t="n">
        <f aca="false">Sens!$C$7117*Sens!$C$7118</f>
        <v>433.768620748718</v>
      </c>
    </row>
    <row r="7120" customFormat="false" ht="17.15" hidden="false" customHeight="false" outlineLevel="0" collapsed="false">
      <c r="A7120" s="5" t="s">
        <v>883</v>
      </c>
      <c r="B7120" s="0" t="s">
        <v>73</v>
      </c>
      <c r="C7120" s="38" t="n">
        <f aca="false">Sens!$C$7110+Sens!$C$7113+Sens!$C$7116+Sens!$C$7119</f>
        <v>2987.5258739704</v>
      </c>
    </row>
    <row r="7121" customFormat="false" ht="17.15" hidden="false" customHeight="false" outlineLevel="0" collapsed="false">
      <c r="A7121" s="5" t="s">
        <v>884</v>
      </c>
      <c r="B7121" s="0" t="s">
        <v>73</v>
      </c>
      <c r="C7121" s="38" t="n">
        <f aca="false">Sens!$H$7079</f>
        <v>113.741590679904</v>
      </c>
    </row>
    <row r="7122" customFormat="false" ht="15" hidden="false" customHeight="false" outlineLevel="0" collapsed="false">
      <c r="A7122" s="5" t="s">
        <v>885</v>
      </c>
      <c r="B7122" s="0" t="s">
        <v>73</v>
      </c>
      <c r="C7122" s="38" t="n">
        <f aca="false">Sens!$C$7120-Sens!$C$7121+Sens!$C$7103</f>
        <v>3052.7282832905</v>
      </c>
    </row>
    <row r="7123" customFormat="false" ht="15" hidden="false" customHeight="false" outlineLevel="0" collapsed="false">
      <c r="A7123" s="3" t="s">
        <v>886</v>
      </c>
      <c r="B7123" s="8" t="s">
        <v>27</v>
      </c>
      <c r="C7123" s="30" t="n">
        <f aca="false">Sens!$C$7122/sh_val</f>
        <v>276.758058137828</v>
      </c>
    </row>
    <row r="7124" customFormat="false" ht="17.15" hidden="false" customHeight="false" outlineLevel="0" collapsed="false">
      <c r="A7124" s="46" t="s">
        <v>887</v>
      </c>
      <c r="B7124" s="13" t="s">
        <v>27</v>
      </c>
      <c r="C7124" s="43" t="n">
        <f aca="false">0.7*Sens!$C$7106+(1-0.7)*Sens!$C$7123</f>
        <v>148.639773597699</v>
      </c>
      <c r="D7124" s="13"/>
      <c r="E7124" s="13"/>
      <c r="F7124" s="13"/>
      <c r="G7124" s="13"/>
      <c r="H7124" s="13"/>
      <c r="I7124" s="13"/>
      <c r="J7124" s="13"/>
      <c r="K7124" s="13"/>
      <c r="L7124" s="13"/>
      <c r="M7124" s="13"/>
      <c r="N7124" s="13"/>
      <c r="O7124" s="13"/>
    </row>
    <row r="7125" customFormat="false" ht="17.15" hidden="false" customHeight="false" outlineLevel="0" collapsed="false">
      <c r="A7125" s="5" t="s">
        <v>888</v>
      </c>
      <c r="B7125" s="0" t="s">
        <v>27</v>
      </c>
      <c r="C7125" s="30" t="n">
        <f aca="false">0.45*Sens!$C$7106+0.55*Sens!$C$7123</f>
        <v>194.396303790603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0"/>
    <col collapsed="false" customWidth="true" hidden="false" outlineLevel="0" max="3" min="3" style="0" width="12"/>
    <col collapsed="false" customWidth="true" hidden="false" outlineLevel="0" max="4" min="4" style="0" width="100"/>
    <col collapsed="false" customWidth="true" hidden="false" outlineLevel="0" max="5" min="5" style="0" width="18"/>
  </cols>
  <sheetData>
    <row r="1" customFormat="false" ht="17.15" hidden="false" customHeight="false" outlineLevel="0" collapsed="false">
      <c r="A1" s="1" t="s">
        <v>1198</v>
      </c>
    </row>
    <row r="2" customFormat="false" ht="15" hidden="false" customHeight="false" outlineLevel="0" collapsed="false">
      <c r="A2" s="6" t="s">
        <v>1199</v>
      </c>
      <c r="B2" s="6" t="s">
        <v>1200</v>
      </c>
      <c r="C2" s="6" t="s">
        <v>1201</v>
      </c>
      <c r="D2" s="6" t="s">
        <v>1202</v>
      </c>
      <c r="E2" s="6" t="s">
        <v>21</v>
      </c>
    </row>
    <row r="3" customFormat="false" ht="17.15" hidden="false" customHeight="false" outlineLevel="0" collapsed="false">
      <c r="A3" s="0" t="s">
        <v>69</v>
      </c>
      <c r="B3" s="0" t="s">
        <v>1203</v>
      </c>
      <c r="C3" s="0" t="s">
        <v>1204</v>
      </c>
      <c r="D3" s="0" t="s">
        <v>1205</v>
      </c>
      <c r="E3" s="0" t="s">
        <v>28</v>
      </c>
    </row>
    <row r="4" customFormat="false" ht="17.15" hidden="false" customHeight="false" outlineLevel="0" collapsed="false">
      <c r="A4" s="0" t="s">
        <v>34</v>
      </c>
      <c r="B4" s="0" t="s">
        <v>1206</v>
      </c>
      <c r="C4" s="0" t="s">
        <v>1207</v>
      </c>
      <c r="D4" s="0" t="s">
        <v>1208</v>
      </c>
      <c r="E4" s="0" t="s">
        <v>28</v>
      </c>
    </row>
    <row r="5" customFormat="false" ht="17.15" hidden="false" customHeight="false" outlineLevel="0" collapsed="false">
      <c r="A5" s="0" t="s">
        <v>1209</v>
      </c>
      <c r="B5" s="0" t="s">
        <v>1210</v>
      </c>
      <c r="C5" s="0" t="s">
        <v>1211</v>
      </c>
      <c r="D5" s="0" t="s">
        <v>1212</v>
      </c>
      <c r="E5" s="0" t="s">
        <v>28</v>
      </c>
    </row>
    <row r="6" customFormat="false" ht="17.15" hidden="false" customHeight="false" outlineLevel="0" collapsed="false">
      <c r="A6" s="0" t="s">
        <v>276</v>
      </c>
      <c r="B6" s="0" t="s">
        <v>1213</v>
      </c>
      <c r="C6" s="0" t="s">
        <v>1214</v>
      </c>
      <c r="D6" s="0" t="s">
        <v>1215</v>
      </c>
      <c r="E6" s="0" t="s">
        <v>46</v>
      </c>
    </row>
    <row r="7" customFormat="false" ht="17.15" hidden="false" customHeight="false" outlineLevel="0" collapsed="false">
      <c r="A7" s="0" t="s">
        <v>1216</v>
      </c>
      <c r="B7" s="0" t="s">
        <v>1217</v>
      </c>
      <c r="C7" s="0" t="s">
        <v>1218</v>
      </c>
      <c r="D7" s="0" t="s">
        <v>1219</v>
      </c>
      <c r="E7" s="0" t="s">
        <v>46</v>
      </c>
    </row>
    <row r="8" customFormat="false" ht="17.15" hidden="false" customHeight="false" outlineLevel="0" collapsed="false">
      <c r="A8" s="0" t="s">
        <v>1220</v>
      </c>
      <c r="B8" s="0" t="s">
        <v>1221</v>
      </c>
      <c r="C8" s="0" t="s">
        <v>1222</v>
      </c>
      <c r="D8" s="0" t="s">
        <v>1223</v>
      </c>
      <c r="E8" s="0" t="s">
        <v>46</v>
      </c>
    </row>
    <row r="9" customFormat="false" ht="17.15" hidden="false" customHeight="false" outlineLevel="0" collapsed="false">
      <c r="A9" s="0" t="s">
        <v>1224</v>
      </c>
      <c r="B9" s="0" t="s">
        <v>1225</v>
      </c>
      <c r="C9" s="0" t="s">
        <v>1226</v>
      </c>
      <c r="D9" s="0" t="s">
        <v>1227</v>
      </c>
      <c r="E9" s="0" t="s">
        <v>46</v>
      </c>
    </row>
    <row r="10" customFormat="false" ht="17.15" hidden="false" customHeight="false" outlineLevel="0" collapsed="false">
      <c r="A10" s="0" t="s">
        <v>1228</v>
      </c>
      <c r="B10" s="0" t="s">
        <v>1229</v>
      </c>
      <c r="C10" s="0" t="s">
        <v>1230</v>
      </c>
      <c r="D10" s="0" t="s">
        <v>1231</v>
      </c>
      <c r="E10" s="0" t="s">
        <v>46</v>
      </c>
    </row>
    <row r="11" customFormat="false" ht="17.15" hidden="false" customHeight="false" outlineLevel="0" collapsed="false">
      <c r="A11" s="0" t="s">
        <v>1232</v>
      </c>
      <c r="B11" s="0" t="s">
        <v>1233</v>
      </c>
      <c r="C11" s="0" t="s">
        <v>1234</v>
      </c>
      <c r="D11" s="0" t="s">
        <v>1235</v>
      </c>
      <c r="E11" s="0" t="s">
        <v>46</v>
      </c>
    </row>
    <row r="12" customFormat="false" ht="17.15" hidden="false" customHeight="false" outlineLevel="0" collapsed="false">
      <c r="A12" s="0" t="s">
        <v>330</v>
      </c>
      <c r="B12" s="0" t="s">
        <v>1236</v>
      </c>
      <c r="C12" s="0" t="s">
        <v>1237</v>
      </c>
      <c r="D12" s="0" t="s">
        <v>1238</v>
      </c>
      <c r="E12" s="0" t="s">
        <v>28</v>
      </c>
    </row>
    <row r="13" customFormat="false" ht="17.15" hidden="false" customHeight="false" outlineLevel="0" collapsed="false">
      <c r="A13" s="0" t="s">
        <v>267</v>
      </c>
      <c r="B13" s="0" t="s">
        <v>1239</v>
      </c>
      <c r="C13" s="0" t="s">
        <v>1214</v>
      </c>
      <c r="D13" s="0" t="s">
        <v>1240</v>
      </c>
      <c r="E13" s="0" t="s">
        <v>46</v>
      </c>
    </row>
    <row r="14" customFormat="false" ht="17.15" hidden="false" customHeight="false" outlineLevel="0" collapsed="false">
      <c r="A14" s="0" t="s">
        <v>1241</v>
      </c>
      <c r="B14" s="0" t="s">
        <v>1242</v>
      </c>
      <c r="C14" s="0" t="s">
        <v>1243</v>
      </c>
      <c r="D14" s="0" t="s">
        <v>1244</v>
      </c>
      <c r="E14" s="0" t="s">
        <v>46</v>
      </c>
    </row>
    <row r="15" customFormat="false" ht="17.15" hidden="false" customHeight="false" outlineLevel="0" collapsed="false">
      <c r="A15" s="0" t="s">
        <v>1245</v>
      </c>
      <c r="B15" s="0" t="s">
        <v>1246</v>
      </c>
      <c r="C15" s="0" t="s">
        <v>1247</v>
      </c>
      <c r="D15" s="0" t="s">
        <v>1248</v>
      </c>
      <c r="E15" s="0" t="s">
        <v>28</v>
      </c>
    </row>
    <row r="16" customFormat="false" ht="17.15" hidden="false" customHeight="false" outlineLevel="0" collapsed="false">
      <c r="A16" s="0" t="s">
        <v>1249</v>
      </c>
      <c r="B16" s="0" t="s">
        <v>1250</v>
      </c>
      <c r="C16" s="0" t="s">
        <v>1247</v>
      </c>
      <c r="D16" s="0" t="s">
        <v>1251</v>
      </c>
      <c r="E16" s="0" t="s">
        <v>28</v>
      </c>
    </row>
    <row r="17" customFormat="false" ht="17.15" hidden="false" customHeight="false" outlineLevel="0" collapsed="false">
      <c r="A17" s="0" t="s">
        <v>47</v>
      </c>
      <c r="B17" s="0" t="s">
        <v>1252</v>
      </c>
      <c r="C17" s="0" t="s">
        <v>1247</v>
      </c>
      <c r="D17" s="0" t="s">
        <v>1253</v>
      </c>
      <c r="E17" s="0" t="s">
        <v>46</v>
      </c>
    </row>
    <row r="18" customFormat="false" ht="17.15" hidden="false" customHeight="false" outlineLevel="0" collapsed="false">
      <c r="A18" s="0" t="s">
        <v>385</v>
      </c>
      <c r="B18" s="0" t="s">
        <v>1254</v>
      </c>
      <c r="C18" s="0" t="s">
        <v>1237</v>
      </c>
      <c r="D18" s="0" t="s">
        <v>1255</v>
      </c>
      <c r="E18" s="0" t="s">
        <v>46</v>
      </c>
    </row>
    <row r="19" customFormat="false" ht="17.15" hidden="false" customHeight="false" outlineLevel="0" collapsed="false">
      <c r="A19" s="0" t="s">
        <v>160</v>
      </c>
      <c r="B19" s="0" t="s">
        <v>1256</v>
      </c>
      <c r="C19" s="0" t="s">
        <v>1257</v>
      </c>
      <c r="D19" s="0" t="s">
        <v>1258</v>
      </c>
      <c r="E19" s="0" t="s">
        <v>41</v>
      </c>
    </row>
    <row r="20" customFormat="false" ht="17.15" hidden="false" customHeight="false" outlineLevel="0" collapsed="false">
      <c r="A20" s="0" t="s">
        <v>144</v>
      </c>
      <c r="B20" s="0" t="s">
        <v>1259</v>
      </c>
      <c r="C20" s="0" t="s">
        <v>1237</v>
      </c>
      <c r="D20" s="0" t="s">
        <v>1260</v>
      </c>
      <c r="E20" s="0" t="s">
        <v>28</v>
      </c>
    </row>
    <row r="21" customFormat="false" ht="17.15" hidden="false" customHeight="false" outlineLevel="0" collapsed="false">
      <c r="A21" s="0" t="s">
        <v>1261</v>
      </c>
      <c r="B21" s="0" t="s">
        <v>1262</v>
      </c>
      <c r="C21" s="0" t="s">
        <v>1263</v>
      </c>
      <c r="D21" s="0" t="s">
        <v>1264</v>
      </c>
      <c r="E21" s="0" t="s">
        <v>1265</v>
      </c>
    </row>
    <row r="22" customFormat="false" ht="17.15" hidden="false" customHeight="false" outlineLevel="0" collapsed="false">
      <c r="A22" s="0" t="s">
        <v>220</v>
      </c>
      <c r="B22" s="0" t="s">
        <v>1266</v>
      </c>
      <c r="C22" s="0" t="s">
        <v>1237</v>
      </c>
      <c r="D22" s="0" t="s">
        <v>1267</v>
      </c>
      <c r="E22" s="0" t="s">
        <v>41</v>
      </c>
    </row>
    <row r="23" customFormat="false" ht="17.15" hidden="false" customHeight="false" outlineLevel="0" collapsed="false">
      <c r="A23" s="0" t="s">
        <v>1268</v>
      </c>
      <c r="B23" s="0" t="s">
        <v>1269</v>
      </c>
      <c r="C23" s="0" t="s">
        <v>1257</v>
      </c>
      <c r="D23" s="0" t="s">
        <v>1270</v>
      </c>
      <c r="E23" s="0" t="s">
        <v>41</v>
      </c>
    </row>
    <row r="24" customFormat="false" ht="17.15" hidden="false" customHeight="false" outlineLevel="0" collapsed="false">
      <c r="A24" s="0" t="s">
        <v>830</v>
      </c>
      <c r="B24" s="5" t="s">
        <v>1271</v>
      </c>
      <c r="C24" s="0" t="s">
        <v>1272</v>
      </c>
      <c r="D24" s="0" t="s">
        <v>1273</v>
      </c>
      <c r="E24" s="0" t="s">
        <v>41</v>
      </c>
    </row>
    <row r="25" customFormat="false" ht="17.15" hidden="false" customHeight="false" outlineLevel="0" collapsed="false">
      <c r="A25" s="0" t="s">
        <v>816</v>
      </c>
      <c r="B25" s="5" t="s">
        <v>1274</v>
      </c>
      <c r="C25" s="0" t="s">
        <v>1272</v>
      </c>
      <c r="D25" s="0" t="s">
        <v>1275</v>
      </c>
      <c r="E25" s="0" t="s">
        <v>41</v>
      </c>
    </row>
    <row r="26" customFormat="false" ht="17.15" hidden="false" customHeight="false" outlineLevel="0" collapsed="false">
      <c r="A26" s="0" t="s">
        <v>808</v>
      </c>
      <c r="B26" s="5" t="s">
        <v>1276</v>
      </c>
      <c r="C26" s="0" t="s">
        <v>1272</v>
      </c>
      <c r="D26" s="0" t="s">
        <v>1277</v>
      </c>
      <c r="E26" s="0" t="s">
        <v>41</v>
      </c>
    </row>
    <row r="27" customFormat="false" ht="17.15" hidden="false" customHeight="false" outlineLevel="0" collapsed="false">
      <c r="A27" s="0" t="s">
        <v>360</v>
      </c>
      <c r="B27" s="0" t="s">
        <v>1278</v>
      </c>
      <c r="C27" s="0" t="s">
        <v>1279</v>
      </c>
      <c r="D27" s="0" t="s">
        <v>1280</v>
      </c>
      <c r="E27" s="0" t="s">
        <v>46</v>
      </c>
    </row>
    <row r="28" customFormat="false" ht="17.15" hidden="false" customHeight="false" outlineLevel="0" collapsed="false">
      <c r="A28" s="0" t="s">
        <v>1281</v>
      </c>
      <c r="B28" s="0" t="s">
        <v>1282</v>
      </c>
      <c r="C28" s="0" t="s">
        <v>1283</v>
      </c>
      <c r="D28" s="0" t="s">
        <v>1284</v>
      </c>
      <c r="E28" s="0" t="s">
        <v>1265</v>
      </c>
    </row>
    <row r="29" customFormat="false" ht="17.15" hidden="false" customHeight="false" outlineLevel="0" collapsed="false">
      <c r="A29" s="0" t="s">
        <v>368</v>
      </c>
      <c r="B29" s="0" t="s">
        <v>1285</v>
      </c>
      <c r="C29" s="0" t="s">
        <v>1286</v>
      </c>
      <c r="D29" s="0" t="s">
        <v>1287</v>
      </c>
      <c r="E29" s="0" t="s">
        <v>46</v>
      </c>
    </row>
    <row r="30" customFormat="false" ht="17.15" hidden="false" customHeight="false" outlineLevel="0" collapsed="false">
      <c r="A30" s="0" t="s">
        <v>53</v>
      </c>
      <c r="B30" s="5" t="s">
        <v>1288</v>
      </c>
      <c r="C30" s="0" t="s">
        <v>1272</v>
      </c>
      <c r="D30" s="0" t="s">
        <v>1289</v>
      </c>
      <c r="E30" s="0" t="s">
        <v>28</v>
      </c>
    </row>
    <row r="31" customFormat="false" ht="17.15" hidden="false" customHeight="false" outlineLevel="0" collapsed="false">
      <c r="A31" s="0" t="s">
        <v>257</v>
      </c>
      <c r="B31" s="0" t="s">
        <v>1290</v>
      </c>
      <c r="C31" s="0" t="s">
        <v>1291</v>
      </c>
      <c r="D31" s="0" t="s">
        <v>1292</v>
      </c>
      <c r="E31" s="0" t="s">
        <v>46</v>
      </c>
    </row>
    <row r="32" customFormat="false" ht="17.15" hidden="false" customHeight="false" outlineLevel="0" collapsed="false">
      <c r="A32" s="0" t="s">
        <v>1293</v>
      </c>
      <c r="B32" s="0" t="s">
        <v>1294</v>
      </c>
      <c r="C32" s="0" t="s">
        <v>1295</v>
      </c>
      <c r="D32" s="0" t="s">
        <v>1296</v>
      </c>
      <c r="E32" s="0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2026-10-27T06:26:35Z</dcterms:created>
  <dc:creator>openpyxl</dc:creator>
  <dc:description/>
  <dc:language>en-US</dc:language>
  <cp:lastModifiedBy/>
  <dcterms:modified xsi:type="dcterms:W3CDTF">2026-10-27T06:26:38Z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